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-15" yWindow="-15" windowWidth="9555" windowHeight="4785" tabRatio="866" activeTab="4"/>
  </bookViews>
  <sheets>
    <sheet name="ITEMS RESUMEN" sheetId="34" r:id="rId1"/>
    <sheet name="MAQUINARIA Y EQUIPOS" sheetId="14" r:id="rId2"/>
    <sheet name="MATERIALES2" sheetId="31" r:id="rId3"/>
    <sheet name="MANO DE OBRA" sheetId="16" r:id="rId4"/>
    <sheet name="CONCRETOS - HIERROS" sheetId="17" r:id="rId5"/>
    <sheet name="PRELIMINARES" sheetId="12" r:id="rId6"/>
    <sheet name="EXCAVACIONES" sheetId="6" r:id="rId7"/>
    <sheet name="CIMIENTOS" sheetId="18" r:id="rId8"/>
    <sheet name="DESAGUES" sheetId="19" r:id="rId9"/>
    <sheet name="ESTRUCTURAS" sheetId="3" r:id="rId10"/>
    <sheet name="INST. SANIT" sheetId="1" r:id="rId11"/>
    <sheet name="INST. HIDR." sheetId="2" r:id="rId12"/>
    <sheet name="INST. ELECT" sheetId="29" r:id="rId13"/>
    <sheet name="MAMPOSTERIA" sheetId="28" r:id="rId14"/>
    <sheet name="PAÑETES" sheetId="26" r:id="rId15"/>
    <sheet name="PISOS" sheetId="25" r:id="rId16"/>
    <sheet name="CUBIERTA" sheetId="27" r:id="rId17"/>
    <sheet name="CIELORASO" sheetId="24" r:id="rId18"/>
    <sheet name="APAR.SANIT" sheetId="23" r:id="rId19"/>
    <sheet name="ESTUCO Y PINTURA" sheetId="21" r:id="rId20"/>
    <sheet name="CARPINTERIA MADERA" sheetId="22" r:id="rId21"/>
    <sheet name="CARPINTERIA METALICA-ALUMINIO" sheetId="30" r:id="rId22"/>
    <sheet name="PAVIMENTOS" sheetId="36" r:id="rId23"/>
    <sheet name="MOBILIARIO URBANO" sheetId="37" r:id="rId24"/>
    <sheet name="OTROS" sheetId="38" r:id="rId25"/>
  </sheets>
  <externalReferences>
    <externalReference r:id="rId26"/>
    <externalReference r:id="rId27"/>
    <externalReference r:id="rId28"/>
  </externalReferences>
  <definedNames>
    <definedName name="_cie1">CIELORASO!$B$6:$G$58</definedName>
    <definedName name="_cie2">CIELORASO!$B$59:$G$110</definedName>
    <definedName name="_cie3">CIELORASO!$B$111:$G$163</definedName>
    <definedName name="_cie4">CIELORASO!$B$164:$G$216</definedName>
    <definedName name="_cie5">CIELORASO!$B$217:$G$269</definedName>
    <definedName name="_cie6">CIELORASO!$B$270:$G$322</definedName>
    <definedName name="Accesorio_gres_3" localSheetId="8">DESAGUES!$B$59:$G$111</definedName>
    <definedName name="Accesorio_gres_4" localSheetId="8">DESAGUES!$B$165:$G$217</definedName>
    <definedName name="Accesorio_gres_6" localSheetId="8">DESAGUES!$B$271:$G$323</definedName>
    <definedName name="Accesorio_gres_8" localSheetId="8">DESAGUES!$B$377:$G$429</definedName>
    <definedName name="Acomet_pvc_1_2_estrato_2">'INST. HIDR.'!$B$59:$G$110</definedName>
    <definedName name="Acomet_pvc_1_2_estrato_2a">'INST. HIDR.'!$B$59:$G$111</definedName>
    <definedName name="Acomet_pvc_1_2_estrato_3">'INST. HIDR.'!$B$112:$G$164</definedName>
    <definedName name="Acomet_pvc_1_2_estrato_4">'INST. HIDR.'!$B$165:$G$217</definedName>
    <definedName name="Acomet_pvc_3_4_estrato_1">'INST. HIDR.'!$B$218:$G$270</definedName>
    <definedName name="Acomet_pvc_3_4_estrato_2">'INST. HIDR.'!$B$271:$G$323</definedName>
    <definedName name="Acomet_pvc_3_4_estrato_3">'INST. HIDR.'!$B$324:$G$376</definedName>
    <definedName name="Acomet_pvc_3_4_estrato_4">'INST. HIDR.'!$B$377:$G$429</definedName>
    <definedName name="Anden_concret_e0.10">ESTRUCTURAS!$B$1437:$G$1489</definedName>
    <definedName name="APARATOS_SANITARIOS" localSheetId="0">'ITEMS RESUMEN'!$C$394:$E$414</definedName>
    <definedName name="apasanit10">APAR.SANIT!$B$483:$G$535</definedName>
    <definedName name="apasanit11">APAR.SANIT!$B$536:$G$588</definedName>
    <definedName name="apasanit12">APAR.SANIT!$B$589:$G$641</definedName>
    <definedName name="apasanit13">APAR.SANIT!$B$642:$G$694</definedName>
    <definedName name="apasanit14">APAR.SANIT!$B$695:$G$747</definedName>
    <definedName name="apasanit15">APAR.SANIT!$B$748:$G$800</definedName>
    <definedName name="apasanit16">APAR.SANIT!$B$803:$G$855</definedName>
    <definedName name="apasanit17">APAR.SANIT!$B$858:$G$910</definedName>
    <definedName name="apasanit18">APAR.SANIT!$B$913:$G$965</definedName>
    <definedName name="apasanit19">APAR.SANIT!$B$968:$G$1020</definedName>
    <definedName name="apasanit2">APAR.SANIT!$B$59:$G$111</definedName>
    <definedName name="apasanit20">APAR.SANIT!$B$1023:$G$1075</definedName>
    <definedName name="apasanit3">APAR.SANIT!$B$112:$G$164</definedName>
    <definedName name="apasanit4">APAR.SANIT!$B$165:$G$217</definedName>
    <definedName name="apasanit5">APAR.SANIT!$B$218:$G$270</definedName>
    <definedName name="apasanit6">APAR.SANIT!$B$271:$G$323</definedName>
    <definedName name="apasanit7">APAR.SANIT!$B$324:$G$376</definedName>
    <definedName name="apasanit8">APAR.SANIT!$B$377:$G$429</definedName>
    <definedName name="apasanit9">APAR.SANIT!$B$430:$G$482</definedName>
    <definedName name="_xlnm.Print_Area" localSheetId="18">APAR.SANIT!$B$1:$G$1075</definedName>
    <definedName name="_xlnm.Print_Area" localSheetId="20">'CARPINTERIA MADERA'!$B$1:$G$853</definedName>
    <definedName name="_xlnm.Print_Area" localSheetId="21">'CARPINTERIA METALICA-ALUMINIO'!$B$1:$G$1137</definedName>
    <definedName name="_xlnm.Print_Area" localSheetId="17">CIELORASO!$B$1:$G$322</definedName>
    <definedName name="_xlnm.Print_Area" localSheetId="7">CIMIENTOS!$B$1:$G$1009</definedName>
    <definedName name="_xlnm.Print_Area" localSheetId="4">'CONCRETOS - HIERROS'!$B$1:$G$694</definedName>
    <definedName name="_xlnm.Print_Area" localSheetId="16">CUBIERTA!$B$1:$G$1544</definedName>
    <definedName name="_xlnm.Print_Area" localSheetId="8">DESAGUES!$B$1:$G$1155</definedName>
    <definedName name="_xlnm.Print_Area" localSheetId="9">ESTRUCTURAS!$B$1:$G$1541</definedName>
    <definedName name="_xlnm.Print_Area" localSheetId="19">'ESTUCO Y PINTURA'!$B$1:$G$1225</definedName>
    <definedName name="_xlnm.Print_Area" localSheetId="6">EXCAVACIONES!$B$1:$G$2639</definedName>
    <definedName name="_xlnm.Print_Area" localSheetId="12">'INST. ELECT'!$B$1:$G$2305</definedName>
    <definedName name="_xlnm.Print_Area" localSheetId="11">'INST. HIDR.'!$B$1:$G$1405</definedName>
    <definedName name="_xlnm.Print_Area" localSheetId="10">'INST. SANIT'!$B$1:$G$694</definedName>
    <definedName name="_xlnm.Print_Area" localSheetId="0">'ITEMS RESUMEN'!$B$2:$E$497</definedName>
    <definedName name="_xlnm.Print_Area" localSheetId="13">MAMPOSTERIA!$B$1:$G$1223</definedName>
    <definedName name="_xlnm.Print_Area" localSheetId="3">'MANO DE OBRA'!$A$1:$E$57</definedName>
    <definedName name="_xlnm.Print_Area" localSheetId="1">'MAQUINARIA Y EQUIPOS'!$B$1:$D$61</definedName>
    <definedName name="_xlnm.Print_Area" localSheetId="2">MATERIALES2!$B$1:$E$922</definedName>
    <definedName name="_xlnm.Print_Area" localSheetId="14">PAÑETES!$B$1:$G$906</definedName>
    <definedName name="_xlnm.Print_Area" localSheetId="15">PISOS!$B$1:$G$1805</definedName>
    <definedName name="_xlnm.Print_Area" localSheetId="5">PRELIMINARES!$B$1:$G$2122</definedName>
    <definedName name="Arreglo_sanitario" localSheetId="5">PRELIMINARES!$B$1540:$G$1592</definedName>
    <definedName name="Aseo_general" localSheetId="5">PRELIMINARES!$B$1858:$G$1910</definedName>
    <definedName name="Base_concr_2000psi" localSheetId="7">CIMIENTOS!$B$6:$G$58</definedName>
    <definedName name="Caja_inpec_0.5x0.5x0.5" localSheetId="8">DESAGUES!$B$692:$G$743</definedName>
    <definedName name="Caja_inspec_0.30x0.30" localSheetId="8">DESAGUES!$B$536:$G$587</definedName>
    <definedName name="Caja_inspec_0.4x0.4" localSheetId="8">DESAGUES!$B$588:$G$639</definedName>
    <definedName name="Caja_inspec_0.5x0.5" localSheetId="8">DESAGUES!$B$640:$G$691</definedName>
    <definedName name="Caja_inspec_0.7x0.7" localSheetId="8">DESAGUES!$B$794:$G$844</definedName>
    <definedName name="Caja_inspec_0.9x0.9x0.9" localSheetId="8">DESAGUES!$B$895:$G$946</definedName>
    <definedName name="Campamento_20m" localSheetId="5">PRELIMINARES!$B$1116:$G$1168</definedName>
    <definedName name="CANALMETALICO" localSheetId="21">'CARPINTERIA METALICA-ALUMINIO'!$B$1088:$G$1137</definedName>
    <definedName name="CANASTA" localSheetId="21">'CARPINTERIA METALICA-ALUMINIO'!$B$6:$G$57</definedName>
    <definedName name="CARPINTERIA_DE_MADERA" localSheetId="0">'ITEMS RESUMEN'!$C$439:$E$455</definedName>
    <definedName name="CARPINTERIA_METALICA_Y_ALUMINIO" localSheetId="0">'ITEMS RESUMEN'!$C$456:$E$478</definedName>
    <definedName name="carpmad10">'CARPINTERIA MADERA'!$B$483:$G$535</definedName>
    <definedName name="carpmad11">'CARPINTERIA MADERA'!$B$536:$G$588</definedName>
    <definedName name="carpmad12">'CARPINTERIA MADERA'!$B$589:$G$641</definedName>
    <definedName name="carpmad13">'CARPINTERIA MADERA'!$B$642:$G$694</definedName>
    <definedName name="carpmad14">'CARPINTERIA MADERA'!$B$695:$G$747</definedName>
    <definedName name="carpmad15">'CARPINTERIA MADERA'!$B$748:$G$800</definedName>
    <definedName name="carpmad16">'CARPINTERIA MADERA'!$B$801:$G$853</definedName>
    <definedName name="carpmad2">'CARPINTERIA MADERA'!$B$59:$G$111</definedName>
    <definedName name="carpmad3">'CARPINTERIA MADERA'!$B$112:$G$164</definedName>
    <definedName name="carpmad4">'CARPINTERIA MADERA'!$B$165:$G$217</definedName>
    <definedName name="carpmad5">'CARPINTERIA MADERA'!$B$218:$G$270</definedName>
    <definedName name="carpmad6">'CARPINTERIA MADERA'!$B$271:$G$323</definedName>
    <definedName name="carpmad7">'CARPINTERIA MADERA'!$B$324:$G$376</definedName>
    <definedName name="carpmad8">'CARPINTERIA MADERA'!$B$377:$G$429</definedName>
    <definedName name="carpmad9">'CARPINTERIA MADERA'!$B$430:$G$482</definedName>
    <definedName name="carpmet1">'CARPINTERIA METALICA-ALUMINIO'!$B$6:$G$56</definedName>
    <definedName name="carpmet10">'CARPINTERIA METALICA-ALUMINIO'!$B$475:$G$526</definedName>
    <definedName name="carpmet11">'CARPINTERIA METALICA-ALUMINIO'!$B$527:$G$578</definedName>
    <definedName name="carpmet12">'CARPINTERIA METALICA-ALUMINIO'!$B$579:$G$630</definedName>
    <definedName name="carpmet13">'CARPINTERIA METALICA-ALUMINIO'!$B$631:$G$680</definedName>
    <definedName name="carpmet14">'CARPINTERIA METALICA-ALUMINIO'!$B$681:$G$731</definedName>
    <definedName name="carpmet15">'CARPINTERIA METALICA-ALUMINIO'!$B$732:$G$784</definedName>
    <definedName name="carpmet16">'CARPINTERIA METALICA-ALUMINIO'!$B$785:$G$837</definedName>
    <definedName name="carpmet17">'CARPINTERIA METALICA-ALUMINIO'!$B$838:$G$887</definedName>
    <definedName name="carpmet18">'CARPINTERIA METALICA-ALUMINIO'!$B$888:$G$937</definedName>
    <definedName name="carpmet19">'CARPINTERIA METALICA-ALUMINIO'!$B$938:$G$987</definedName>
    <definedName name="carpmet2">'CARPINTERIA METALICA-ALUMINIO'!$B$58:$G$109</definedName>
    <definedName name="carpmet20">'CARPINTERIA METALICA-ALUMINIO'!$B$988:$G$1037</definedName>
    <definedName name="carpmet21">'CARPINTERIA METALICA-ALUMINIO'!$B$1038:$G$1087</definedName>
    <definedName name="carpmet22">'CARPINTERIA METALICA-ALUMINIO'!$B$1088:$G$1137</definedName>
    <definedName name="carpmet3">'CARPINTERIA METALICA-ALUMINIO'!$B$110:$G$161</definedName>
    <definedName name="carpmet4">'CARPINTERIA METALICA-ALUMINIO'!$B$162:$G$213</definedName>
    <definedName name="carpmet5">'CARPINTERIA METALICA-ALUMINIO'!$B$214:$G$265</definedName>
    <definedName name="carpmet6">'CARPINTERIA METALICA-ALUMINIO'!$B$266:$G$317</definedName>
    <definedName name="carpmet7">'CARPINTERIA METALICA-ALUMINIO'!$B$318:$G$369</definedName>
    <definedName name="carpmet8">'CARPINTERIA METALICA-ALUMINIO'!$B$370:$G$422</definedName>
    <definedName name="carpmet9">'CARPINTERIA METALICA-ALUMINIO'!$B$423:$G$474</definedName>
    <definedName name="carpmetal1">'CARPINTERIA METALICA-ALUMINIO'!$B$6:$G$57</definedName>
    <definedName name="Cerramiento_fibr_plastica" localSheetId="5">PRELIMINARES!$B$1169:$G$1221</definedName>
    <definedName name="CIELO_RASOS" localSheetId="0">'ITEMS RESUMEN'!$C$387:$E$393</definedName>
    <definedName name="CIMIENTOS" localSheetId="0">'ITEMS RESUMEN'!$C$118:$E$137</definedName>
    <definedName name="Columna_0.20x0.36">ESTRUCTURAS!$B$430:$G$482</definedName>
    <definedName name="Columna_0.25x0.25m">ESTRUCTURAS!$B$271:$G$323</definedName>
    <definedName name="Columna_0.25x0.30m">ESTRUCTURAS!$B$324:$G$376</definedName>
    <definedName name="Columna_0.25x0.30m_6">ESTRUCTURAS!$B$377:$G$429</definedName>
    <definedName name="Columna_0.45x0.30_1_2">ESTRUCTURAS!$B$536:$G$588</definedName>
    <definedName name="Columna_0.45x0.30m">ESTRUCTURAS!$B$483:$G$535</definedName>
    <definedName name="columneta_0.07x0.30m">ESTRUCTURAS!$B$6:$G$58</definedName>
    <definedName name="columneta_0.12x0.3m">ESTRUCTURAS!$B$59:$G$111</definedName>
    <definedName name="Columneta_0.15x0.15m">ESTRUCTURAS!$B$1384:$G$1436</definedName>
    <definedName name="columneta_0.15x0.30m">ESTRUCTURAS!$B$112:$G$164</definedName>
    <definedName name="Concr_ciclo_3000PSI" localSheetId="7">CIMIENTOS!$B$59:$G$111</definedName>
    <definedName name="concreto2000psi" localSheetId="4">'CONCRETOS - HIERROS'!$B$165:$G$217</definedName>
    <definedName name="concreto2500psi" localSheetId="4">'CONCRETOS - HIERROS'!$B$112:$G$164</definedName>
    <definedName name="concreto3000psi" localSheetId="4">'CONCRETOS - HIERROS'!$B$59:$G$111</definedName>
    <definedName name="concreto3500psi" localSheetId="4">'CONCRETOS - HIERROS'!$B$6:$G$58</definedName>
    <definedName name="CONCRETOS_Y_MORTEROS" localSheetId="0">'ITEMS RESUMEN'!$C$7:$E$18</definedName>
    <definedName name="Cons_estr_tanqu_sub" localSheetId="7">CIMIENTOS!$B$957:$G$1009</definedName>
    <definedName name="Const_cala_inspe_0.6x0.6" localSheetId="8">DESAGUES!$B$744:$G$793</definedName>
    <definedName name="Const_estru_tanque" localSheetId="7">CIMIENTOS!$B$904:$G$956</definedName>
    <definedName name="Const_punt_sanit_pvc2">'INST. SANIT'!$B$536:$G$588</definedName>
    <definedName name="Const_punt_sanit_pvc4">'INST. SANIT'!$B$483:$G$535</definedName>
    <definedName name="Const_vig_cimie_3000psi" localSheetId="7">CIMIENTOS!$B$112:$G$164</definedName>
    <definedName name="Const_vig_trapez_3000psi" localSheetId="7">CIMIENTOS!$B$165:$G$216</definedName>
    <definedName name="Constr_caja_inspc_1x1" localSheetId="8">DESAGUES!$B$947:$G$996</definedName>
    <definedName name="Construc_caja_inspec_0.8x0.8" localSheetId="8">DESAGUES!$B$845:$G$894</definedName>
    <definedName name="cu_10">CUBIERTA!$B$483:$G$535</definedName>
    <definedName name="cu_11">CUBIERTA!$B$536:$G$588</definedName>
    <definedName name="cu_12">CUBIERTA!$B$589:$G$641</definedName>
    <definedName name="cu_13">CUBIERTA!$B$642:$G$694</definedName>
    <definedName name="cu_14">CUBIERTA!$B$695:$G$747</definedName>
    <definedName name="cu_15">CUBIERTA!$B$748:$G$800</definedName>
    <definedName name="cu_16">CUBIERTA!$B$801:$G$853</definedName>
    <definedName name="cu_17">CUBIERTA!$B$854:$G$906</definedName>
    <definedName name="cu_18">CUBIERTA!$B$907:$G$959</definedName>
    <definedName name="cu_19">CUBIERTA!$B$960:$G$1012</definedName>
    <definedName name="cu_2">CUBIERTA!$B$59:$G$111</definedName>
    <definedName name="cu_20">CUBIERTA!$B$1013:$G$1065</definedName>
    <definedName name="cu_21">CUBIERTA!$B$1066:$G$1118</definedName>
    <definedName name="cu_22">CUBIERTA!$B$1119:$G$1171</definedName>
    <definedName name="cu_23">CUBIERTA!$B$1172:$G$1224</definedName>
    <definedName name="cu_24">CUBIERTA!$B$1225:$G$1277</definedName>
    <definedName name="cu_25">CUBIERTA!$B$1278:$G$1330</definedName>
    <definedName name="cu_26">CUBIERTA!$B$1331:$G$1383</definedName>
    <definedName name="cu_27">CUBIERTA!$B$1384:$G$1436</definedName>
    <definedName name="cu_28">CUBIERTA!$B$1438:$G$1490</definedName>
    <definedName name="cu_29">CUBIERTA!$B$1492:$G$1544</definedName>
    <definedName name="cu_3">CUBIERTA!$B$112:$G$164</definedName>
    <definedName name="CU_30">CUBIERTA!$B$1545:$G$1597</definedName>
    <definedName name="cu_4">CUBIERTA!$B$165:$G$217</definedName>
    <definedName name="cu_5">CUBIERTA!$B$218:$G$270</definedName>
    <definedName name="cu_6">CUBIERTA!$B$271:$G$323</definedName>
    <definedName name="cu_7">CUBIERTA!$B$324:$G$376</definedName>
    <definedName name="cu_8">CUBIERTA!$B$377:$G$429</definedName>
    <definedName name="cu_9">CUBIERTA!$B$430:$G$482</definedName>
    <definedName name="CUBIERTA" localSheetId="0">'ITEMS RESUMEN'!$C$356:$E$385</definedName>
    <definedName name="Demo_piso_exist_baldosa" localSheetId="5">PRELIMINARES!$B$1328:$G$1380</definedName>
    <definedName name="Demo_vigas_colum_acarr" localSheetId="5">PRELIMINARES!$B$271:$G$323</definedName>
    <definedName name="Demol_cimiento_conc_ciclo" localSheetId="5">PRELIMINARES!$B$1275:$G$1327</definedName>
    <definedName name="Demol_guar_escob" localSheetId="5">PRELIMINARES!$B$1381:$G$1433</definedName>
    <definedName name="Demol_guard_escob_med_caña" localSheetId="5">PRELIMINARES!$B$1434:$G$1486</definedName>
    <definedName name="Demolicion_columna_mamp" localSheetId="5">PRELIMINARES!$B$1222:$G$1274</definedName>
    <definedName name="Demolicion_enchape" localSheetId="5">PRELIMINARES!$B$1487:$G$1539</definedName>
    <definedName name="Demolicion_meson" localSheetId="5">PRELIMINARES!$B$1593:$G$1645</definedName>
    <definedName name="Demolicion_muros" localSheetId="5">PRELIMINARES!$B$324:$G$376</definedName>
    <definedName name="Demolicion_placa_maciza" localSheetId="5">PRELIMINARES!$B$377:$G$429</definedName>
    <definedName name="Demolicion_vigas_columnas" localSheetId="5">PRELIMINARES!$B$218:$G$270</definedName>
    <definedName name="Demonte_apar_sanit" localSheetId="5">PRELIMINARES!$B$480:$G$532</definedName>
    <definedName name="DESAGUES" localSheetId="0">'ITEMS RESUMEN'!$C$138:$E$160</definedName>
    <definedName name="Descapote_a_mano" localSheetId="5">PRELIMINARES!$B$112:$G$164</definedName>
    <definedName name="Descapote_con_maquina" localSheetId="5">PRELIMINARES!$B$59:$G$111</definedName>
    <definedName name="Desm_ciel_raso_entra_madera" localSheetId="5">PRELIMINARES!$B$692:$G$744</definedName>
    <definedName name="Desm_cubiert_entrama_madera" localSheetId="5">PRELIMINARES!$B$586:$G$638</definedName>
    <definedName name="Desm_hoj_puert_lamina" localSheetId="5">PRELIMINARES!$B$904:$G$956</definedName>
    <definedName name="Desm_marc_puert_mad_metal" localSheetId="5">PRELIMINARES!$B$745:$G$797</definedName>
    <definedName name="Desm_marc_puert_vaiven" localSheetId="5">PRELIMINARES!$B$798:$G$850</definedName>
    <definedName name="Desm_reinst_un_odontol" localSheetId="5">PRELIMINARES!$B$1805:$G$1857</definedName>
    <definedName name="Desm_tanq_elevado" localSheetId="5">PRELIMINARES!$B$1699:$G$1751</definedName>
    <definedName name="Desmo_porto_metal" localSheetId="5">PRELIMINARES!$B$851:$G$903</definedName>
    <definedName name="Desmonte_cielo_raso" localSheetId="5">PRELIMINARES!$B$639:$G$691</definedName>
    <definedName name="Desmonte_cubierta_AC" localSheetId="5">PRELIMINARES!$B$533:$G$585</definedName>
    <definedName name="Desmonte_ventanas" localSheetId="5">PRELIMINARES!$B$957:$G$1009</definedName>
    <definedName name="Dintel_concret_3000psi">ESTRUCTURAS!$B$1066:$G$1118</definedName>
    <definedName name="elec1">'INST. ELECT'!$B$6:$G$58</definedName>
    <definedName name="elec10">'INST. ELECT'!$B$483:$G$534</definedName>
    <definedName name="elec11">'INST. ELECT'!$B$535:$G$586</definedName>
    <definedName name="elec12">'INST. ELECT'!$B$587:$G$638</definedName>
    <definedName name="elec13">'INST. ELECT'!$B$639:$G$690</definedName>
    <definedName name="elec14">'INST. ELECT'!$B$691:$G$742</definedName>
    <definedName name="elec15">'INST. ELECT'!$B$743:$G$794</definedName>
    <definedName name="elec16">'INST. ELECT'!$B$795:$G$846</definedName>
    <definedName name="elec17">'INST. ELECT'!$B$847:$G$899</definedName>
    <definedName name="elec18">'INST. ELECT'!$B$900:$G$952</definedName>
    <definedName name="elec19">'INST. ELECT'!$B$953:$G$1004</definedName>
    <definedName name="elec2">'INST. ELECT'!$B$59:$G$111</definedName>
    <definedName name="elec20">'INST. ELECT'!$B$1005:$G$1056</definedName>
    <definedName name="elec21">'INST. ELECT'!$B$1057:$G$1108</definedName>
    <definedName name="elec22">'INST. ELECT'!$B$1109:$G$1160</definedName>
    <definedName name="elec23">'INST. ELECT'!$B$1161:$G$1213</definedName>
    <definedName name="elec24">'INST. ELECT'!$B$1214:$G$1266</definedName>
    <definedName name="elec25">'INST. ELECT'!$B$1267:$G$1318</definedName>
    <definedName name="elec26">'INST. ELECT'!$B$1319:$G$1370</definedName>
    <definedName name="elec27">'INST. ELECT'!$B$1371:$G$1422</definedName>
    <definedName name="elec28">'INST. ELECT'!$B$1423:$G$1474</definedName>
    <definedName name="elec29">'INST. ELECT'!$B$1475:$G$1526</definedName>
    <definedName name="elec3">'INST. ELECT'!$B$112:$G$164</definedName>
    <definedName name="elec30">'INST. ELECT'!$B$1527:$G$1579</definedName>
    <definedName name="elec31">'INST. ELECT'!$B$1580:$G$1632</definedName>
    <definedName name="elec32">'INST. ELECT'!$B$1633:$G$1684</definedName>
    <definedName name="elec33">'INST. ELECT'!$B$1685:$G$1737</definedName>
    <definedName name="elec34">'INST. ELECT'!$B$1738:$G$1789</definedName>
    <definedName name="elec35">'INST. ELECT'!$B$1790:$G$1841</definedName>
    <definedName name="elec36">'INST. ELECT'!$B$1842:$G$1893</definedName>
    <definedName name="elec37">'INST. ELECT'!$B$1894:$G$1945</definedName>
    <definedName name="elec38">'INST. ELECT'!$B$1946:$G$1997</definedName>
    <definedName name="elec39">'INST. ELECT'!$B$1998:$G$2048</definedName>
    <definedName name="elec4">'INST. ELECT'!$B$165:$G$217</definedName>
    <definedName name="elec40">'INST. ELECT'!$B$2049:$G$2099</definedName>
    <definedName name="elec41">'INST. ELECT'!$B$2100:$G$2150</definedName>
    <definedName name="elec42">'INST. ELECT'!$B$2151:$G$2201</definedName>
    <definedName name="elec43">'INST. ELECT'!$B$2202:$G$2253</definedName>
    <definedName name="elec44">'INST. ELECT'!$B$2254:$G$2305</definedName>
    <definedName name="elec5">'INST. ELECT'!$B$218:$G$270</definedName>
    <definedName name="elec6">'INST. ELECT'!$B$271:$G$323</definedName>
    <definedName name="elec7">'INST. ELECT'!$B$324:$G$376</definedName>
    <definedName name="elec8">'INST. ELECT'!$B$377:$G$429</definedName>
    <definedName name="elec9">'INST. ELECT'!$B$430:$G$482</definedName>
    <definedName name="ESTRUCTURAS" localSheetId="0">'ITEMS RESUMEN'!$C$161:$E$190</definedName>
    <definedName name="ESTUCO_Y_PINTURA" localSheetId="0">'ITEMS RESUMEN'!$C$415:$E$438</definedName>
    <definedName name="estuco10">'ESTUCO Y PINTURA'!$B$483:$G$535</definedName>
    <definedName name="estuco11">'ESTUCO Y PINTURA'!$B$536:$G$588</definedName>
    <definedName name="estuco12">'ESTUCO Y PINTURA'!$B$589:$G$641</definedName>
    <definedName name="estuco13">'ESTUCO Y PINTURA'!$B$642:$G$694</definedName>
    <definedName name="estuco14">'ESTUCO Y PINTURA'!$B$695:$G$747</definedName>
    <definedName name="estuco15">'ESTUCO Y PINTURA'!$B$748:$G$800</definedName>
    <definedName name="estuco16">'ESTUCO Y PINTURA'!$B$801:$G$853</definedName>
    <definedName name="estuco17">'ESTUCO Y PINTURA'!$B$854:$G$906</definedName>
    <definedName name="estuco18">'ESTUCO Y PINTURA'!$B$907:$G$959</definedName>
    <definedName name="estuco19">'ESTUCO Y PINTURA'!$B$960:$G$1012</definedName>
    <definedName name="estuco2">'ESTUCO Y PINTURA'!$B$59:$G$111</definedName>
    <definedName name="estuco20">'ESTUCO Y PINTURA'!$B$1013:$G$1065</definedName>
    <definedName name="estuco21">'ESTUCO Y PINTURA'!$B$1066:$G$1118</definedName>
    <definedName name="estuco22">'ESTUCO Y PINTURA'!$B$1119:$G$1171</definedName>
    <definedName name="estuco23">'ESTUCO Y PINTURA'!$B$1173:$G$1225</definedName>
    <definedName name="estuco3">'ESTUCO Y PINTURA'!$B$112:$G$164</definedName>
    <definedName name="estuco4">'ESTUCO Y PINTURA'!$B$165:$G$217</definedName>
    <definedName name="estuco5">'ESTUCO Y PINTURA'!$B$218:$G$270</definedName>
    <definedName name="estuco6">'ESTUCO Y PINTURA'!$B$271:$G$323</definedName>
    <definedName name="estuco7">'ESTUCO Y PINTURA'!$B$324:$G$376</definedName>
    <definedName name="estuco8">'ESTUCO Y PINTURA'!$B$377:$G$429</definedName>
    <definedName name="estuco9">'ESTUCO Y PINTURA'!$B$430:$G$482</definedName>
    <definedName name="Exc_derrum_2_3m" localSheetId="6">EXCAVACIONES!$B$2216:$G$2268</definedName>
    <definedName name="Exc_derrum_2m" localSheetId="6">EXCAVACIONES!$B$2163:$G$2215</definedName>
    <definedName name="Exc_derrum_3_4m" localSheetId="6">EXCAVACIONES!$B$2269:$G$2321</definedName>
    <definedName name="Exc_derrum_4_5m" localSheetId="6">EXCAVACIONES!$B$2322:$G$2374</definedName>
    <definedName name="Exc_derrum_5_6m" localSheetId="6">EXCAVACIONES!$B$2375:$G$2427</definedName>
    <definedName name="Exc_man_congl_4_5m" localSheetId="6">EXCAVACIONES!$B$854:$G$906</definedName>
    <definedName name="Exc_man_congl_5_6m" localSheetId="6">EXCAVACIONES!$B$907:$G$959</definedName>
    <definedName name="Exc_man_congl_agua_2m_bomb" localSheetId="6">EXCAVACIONES!$B$1539:$G$1590</definedName>
    <definedName name="Exc_man_conglo_agua_2_3m_bomb" localSheetId="6">EXCAVACIONES!$B$1591:$G$1642</definedName>
    <definedName name="Exc_man_conglo_agua_3_4m_bomb" localSheetId="6">EXCAVACIONES!$B$1643:$G$1694</definedName>
    <definedName name="Exc_man_conglo_agua_4_5m_bomb" localSheetId="6">EXCAVACIONES!$B$1695:$G$1746</definedName>
    <definedName name="Exc_man_conglo_agua_5_6m_bomb" localSheetId="6">EXCAVACIONES!$B$1747:$G$1798</definedName>
    <definedName name="Exc_man_conglom_2_3m" localSheetId="6">EXCAVACIONES!$B$748:$G$800</definedName>
    <definedName name="Exc_man_conglom_2m" localSheetId="6">EXCAVACIONES!$B$695:$G$747</definedName>
    <definedName name="Exc_man_conglom_3_4m" localSheetId="6">EXCAVACIONES!$B$801:$G$853</definedName>
    <definedName name="Exc_man_mat_blan_seco" localSheetId="6">EXCAVACIONES!$B$112:$G$164</definedName>
    <definedName name="Exc_man_mat_bland_humed" localSheetId="6">EXCAVACIONES!$B$165:$G$217</definedName>
    <definedName name="Exc_man_mat_duro_humed" localSheetId="6">EXCAVACIONES!$B$271:$G$323</definedName>
    <definedName name="Exc_man_mat_duro_seco" localSheetId="6">EXCAVACIONES!$B$218:$G$270</definedName>
    <definedName name="Exc_man_pied_agua_2m_bomb" localSheetId="6">EXCAVACIONES!$B$1799:$G$1850</definedName>
    <definedName name="Exc_man_piedr_agua_3_4m_bomb" localSheetId="6">EXCAVACIONES!$B$1903:$G$1954</definedName>
    <definedName name="Exc_man_piedr_agua_4_5m_bomb" localSheetId="6">EXCAVACIONES!$B$1955:$G$2006</definedName>
    <definedName name="Exc_man_piedra_2_3m" localSheetId="6">EXCAVACIONES!$B$1013:$G$1065</definedName>
    <definedName name="Exc_man_piedra_2m" localSheetId="6">EXCAVACIONES!$B$960:$G$1012</definedName>
    <definedName name="Exc_man_piedra_3_4m" localSheetId="6">EXCAVACIONES!$B$1066:$G$1118</definedName>
    <definedName name="Exc_man_roca_2_3m" localSheetId="6">EXCAVACIONES!$B$1172:$G$1224</definedName>
    <definedName name="Exc_man_roca_2m" localSheetId="6">EXCAVACIONES!$B$1119:$G$1171</definedName>
    <definedName name="Exc_man_roca_3_4m" localSheetId="6">EXCAVACIONES!$B$1225:$G$1277</definedName>
    <definedName name="Exc_man_roca_4_5m" localSheetId="6">EXCAVACIONES!$B$1278:$G$1330</definedName>
    <definedName name="Exc_man_roca_agua_2_4m_bomb">EXCAVACIONES!$B$2059:$G$2110</definedName>
    <definedName name="Exc_man_roca_agua_2m_bomb" localSheetId="6">EXCAVACIONES!$B$2007:$G$2058</definedName>
    <definedName name="Exc_man_roca_agua_3_4m_bomb" localSheetId="6">EXCAVACIONES!$B$2111:$G$2162</definedName>
    <definedName name="Exc_man_tier_agua_2_3m_bomb" localSheetId="6">EXCAVACIONES!$B$1383:$G$1434</definedName>
    <definedName name="Exc_man_tier_agua_2m_bomb" localSheetId="6">EXCAVACIONES!$B$1331:$G$1382</definedName>
    <definedName name="Exc_man_tier_agua_3_4m_bomb" localSheetId="6">EXCAVACIONES!$B$1435:$G$1486</definedName>
    <definedName name="Exc_man_tier_agua_4_5m_bomb" localSheetId="6">EXCAVACIONES!$B$1487:$G$1538</definedName>
    <definedName name="Exc_man_tierra_1.5m" localSheetId="6">EXCAVACIONES!$B$377:$G$429</definedName>
    <definedName name="Exc_man_tierra_1m" localSheetId="6">EXCAVACIONES!$B$324:$G$376</definedName>
    <definedName name="Exc_man_tierra_2_3m" localSheetId="6">EXCAVACIONES!$B$483:$G$535</definedName>
    <definedName name="Exc_man_tierra_2m" localSheetId="6">EXCAVACIONES!$B$430:$G$482</definedName>
    <definedName name="Exc_man_tierra_3_4m" localSheetId="6">EXCAVACIONES!$B$536:$G$588</definedName>
    <definedName name="Exc_man_tierra_4_5m" localSheetId="6">EXCAVACIONES!$B$589:$G$641</definedName>
    <definedName name="Exc_man_tierra_5_6m" localSheetId="6">EXCAVACIONES!$B$642:$G$694</definedName>
    <definedName name="Exc_mano_mat_suel_hum" localSheetId="6">EXCAVACIONES!$B$59:$G$111</definedName>
    <definedName name="Exca_mano_mat_suel" localSheetId="6">EXCAVACIONES!$B$6:$G$58</definedName>
    <definedName name="excava52">EXCAVACIONES!$B$2688:$G$2735</definedName>
    <definedName name="excava53">EXCAVACIONES!$B$2736:$G$2782</definedName>
    <definedName name="hierro1´4" localSheetId="4">'CONCRETOS - HIERROS'!$B$589:$G$641</definedName>
    <definedName name="hierro3´8" localSheetId="4">'CONCRETOS - HIERROS'!$B$642:$G$694</definedName>
    <definedName name="INSTALACIONES_ELECTRICAS" localSheetId="0">'ITEMS RESUMEN'!$C$234:$E$256</definedName>
    <definedName name="INSTALACIONES_ELECTRICAS1" localSheetId="0">'ITEMS RESUMEN'!$C$257:$E$278</definedName>
    <definedName name="INSTALACIONES_HIDRAULICAS" localSheetId="0">'ITEMS RESUMEN'!$C$207:$E$233</definedName>
    <definedName name="Limpieza_adec_terreno" localSheetId="5">PRELIMINARES!$B$1063:$G$1115</definedName>
    <definedName name="loc_repla_manual" localSheetId="5">PRELIMINARES!$B$6:$G$58</definedName>
    <definedName name="m_10">MAMPOSTERIA!$B$482:$G$534</definedName>
    <definedName name="m_11">MAMPOSTERIA!$B$535:$G$587</definedName>
    <definedName name="m_12">MAMPOSTERIA!$B$588:$G$640</definedName>
    <definedName name="m_13">MAMPOSTERIA!$B$641:$G$693</definedName>
    <definedName name="m_14">MAMPOSTERIA!$B$694:$G$746</definedName>
    <definedName name="m_15">MAMPOSTERIA!$B$747:$G$799</definedName>
    <definedName name="m_16">MAMPOSTERIA!$B$800:$G$852</definedName>
    <definedName name="m_17">MAMPOSTERIA!$B$853:$G$905</definedName>
    <definedName name="m_18">MAMPOSTERIA!$B$906:$G$958</definedName>
    <definedName name="m_19">MAMPOSTERIA!$B$959:$G$1011</definedName>
    <definedName name="m_2">MAMPOSTERIA!$B$59:$G$111</definedName>
    <definedName name="m_20">MAMPOSTERIA!$B$1012:$G$1064</definedName>
    <definedName name="m_21">MAMPOSTERIA!$B$1065:$G$1117</definedName>
    <definedName name="m_22">MAMPOSTERIA!$B$1118:$G$1170</definedName>
    <definedName name="m_23">MAMPOSTERIA!$B$1171:$G$1223</definedName>
    <definedName name="m_3">MAMPOSTERIA!$B$112:$G$164</definedName>
    <definedName name="m_4">MAMPOSTERIA!$B$165:$G$217</definedName>
    <definedName name="m_5">MAMPOSTERIA!$B$218:$G$269</definedName>
    <definedName name="m_6">MAMPOSTERIA!$B$270:$G$322</definedName>
    <definedName name="m_7">MAMPOSTERIA!$B$323:$G$375</definedName>
    <definedName name="m_8">MAMPOSTERIA!$B$376:$G$428</definedName>
    <definedName name="m_9">MAMPOSTERIA!$B$429:$G$481</definedName>
    <definedName name="MAMPOSTERIA" localSheetId="0">'ITEMS RESUMEN'!$C$279:$E$302</definedName>
    <definedName name="MOBILIARIO_URBANO" localSheetId="0">'ITEMS RESUMEN'!$C$489:$E$497</definedName>
    <definedName name="mobilurban2">'MOBILIARIO URBANO'!$B$58:$G$109</definedName>
    <definedName name="mobilurban3">'MOBILIARIO URBANO'!$B$110:$G$161</definedName>
    <definedName name="mobilurban4">'MOBILIARIO URBANO'!$B$162:$G$213</definedName>
    <definedName name="mobilurban5">'MOBILIARIO URBANO'!$B$214:$G$266</definedName>
    <definedName name="mobilurban6">'MOBILIARIO URBANO'!$B$267:$G$319</definedName>
    <definedName name="mobilurban7">'MOBILIARIO URBANO'!$B$320:$G$366</definedName>
    <definedName name="mobilurban8">'MOBILIARIO URBANO'!$B$367:$G$413</definedName>
    <definedName name="mobilurban9">'MOBILIARIO URBANO'!$B$414:$G$462</definedName>
    <definedName name="mortero1´2" localSheetId="4">'CONCRETOS - HIERROS'!$B$218:$G$270</definedName>
    <definedName name="mortero1´2imp" localSheetId="4">'CONCRETOS - HIERROS'!$B$271:$G$323</definedName>
    <definedName name="mortero1´3" localSheetId="4">'CONCRETOS - HIERROS'!$B$324:$G$376</definedName>
    <definedName name="mortero1´3imp" localSheetId="4">'CONCRETOS - HIERROS'!$B$377:$G$429</definedName>
    <definedName name="mortero1´4" localSheetId="4">'CONCRETOS - HIERROS'!$B$430:$G$482</definedName>
    <definedName name="mortero1´5" localSheetId="4">'CONCRETOS - HIERROS'!$B$483:$G$535</definedName>
    <definedName name="mortero1´6" localSheetId="4">'CONCRETOS - HIERROS'!$B$536:$G$588</definedName>
    <definedName name="Movimiento_de_tierra" localSheetId="5">PRELIMINARES!$B$165:$G$217</definedName>
    <definedName name="MOVIMIENTO_TIERRA1" localSheetId="0">'ITEMS RESUMEN'!$C$90:$E$114</definedName>
    <definedName name="MOVIMIENTOS_DE_TIERRA" localSheetId="0">'ITEMS RESUMEN'!$C$64:$E$89</definedName>
    <definedName name="otros_2">OTROS!$B$53:$G$99</definedName>
    <definedName name="otros_3">OTROS!$B$100:$G$142</definedName>
    <definedName name="p_1">PAÑETES!$B$6:$G$58</definedName>
    <definedName name="p_10">PAÑETES!$B$483:$G$535</definedName>
    <definedName name="p_11">PAÑETES!$B$536:$G$588</definedName>
    <definedName name="p_12">PAÑETES!$B$589:$G$641</definedName>
    <definedName name="p_13">PAÑETES!$B$642:$G$694</definedName>
    <definedName name="p_14">PAÑETES!$B$695:$G$747</definedName>
    <definedName name="p_15">PAÑETES!$B$748:$G$800</definedName>
    <definedName name="p_16">PAÑETES!$B$801:$G$853</definedName>
    <definedName name="p_17">PAÑETES!$B$854:$G$906</definedName>
    <definedName name="p_2">PAÑETES!$B$59:$G$111</definedName>
    <definedName name="p_3">PAÑETES!$B$112:$G$164</definedName>
    <definedName name="p_4">PAÑETES!$B$165:$G$217</definedName>
    <definedName name="p_5">PAÑETES!$B$218:$G$270</definedName>
    <definedName name="p_6">PAÑETES!$B$271:$G$323</definedName>
    <definedName name="p_7">PAÑETES!$B$324:$G$376</definedName>
    <definedName name="p_8">PAÑETES!$B$377:$G$429</definedName>
    <definedName name="p_9">PAÑETES!$B$430:$G$482</definedName>
    <definedName name="PAÑETES" localSheetId="0">'ITEMS RESUMEN'!$C$303:$E$320</definedName>
    <definedName name="PAVIMENTO" localSheetId="0">'ITEMS RESUMEN'!$C$479:$E$489</definedName>
    <definedName name="pis_1">PISOS!$B$6:$G$58</definedName>
    <definedName name="pis_10">PISOS!$B$483:$G$535</definedName>
    <definedName name="pis_11">PISOS!$B$536:$G$588</definedName>
    <definedName name="pis_12">PISOS!$B$589:$G$641</definedName>
    <definedName name="pis_13">PISOS!$B$642:$G$694</definedName>
    <definedName name="pis_14">PISOS!$B$695:$G$747</definedName>
    <definedName name="pis_15">PISOS!$B$748:$G$800</definedName>
    <definedName name="pis_16">PISOS!$B$801:$G$853</definedName>
    <definedName name="pis_17">PISOS!$B$854:$G$906</definedName>
    <definedName name="pis_18">PISOS!$B$907:$G$959</definedName>
    <definedName name="pis_19">PISOS!$B$960:$G$1012</definedName>
    <definedName name="pis_2">PISOS!$B$59:$G$111</definedName>
    <definedName name="pis_20">PISOS!$B$1013:$G$1065</definedName>
    <definedName name="pis_21">PISOS!$B$1066:$G$1118</definedName>
    <definedName name="pis_22">PISOS!$B$1119:$G$1171</definedName>
    <definedName name="pis_23">PISOS!$B$1172:$G$1224</definedName>
    <definedName name="pis_24">PISOS!$B$1225:$G$1277</definedName>
    <definedName name="pis_25">PISOS!$B$1278:$G$1329</definedName>
    <definedName name="pis_267">PISOS!$B$1330:$G$1382</definedName>
    <definedName name="pis_27">PISOS!$B$1383:$G$1435</definedName>
    <definedName name="pis_28">PISOS!$B$1436:$G$1488</definedName>
    <definedName name="pis_29">PISOS!$B$1489:$G$1541</definedName>
    <definedName name="pis_3">PISOS!$B$112:$G$164</definedName>
    <definedName name="pis_30">PISOS!$B$1542:$G$1594</definedName>
    <definedName name="pis_31">PISOS!$B$1595:$G$1647</definedName>
    <definedName name="pis_32">PISOS!$B$1648:$G$1700</definedName>
    <definedName name="pis_33">PISOS!$B$1701:$G$1753</definedName>
    <definedName name="pis_34">PISOS!$B$1754:$G$1805</definedName>
    <definedName name="pis_4">PISOS!$B$165:$G$217</definedName>
    <definedName name="pis_5">PISOS!$B$218:$G$270</definedName>
    <definedName name="pis_6">PISOS!$B$271:$G$323</definedName>
    <definedName name="pis_8">PISOS!$B$377:$G$429</definedName>
    <definedName name="pis_9">PISOS!$B$430:$G$482</definedName>
    <definedName name="PISOS_Y_ENCHAPES" localSheetId="0">'ITEMS RESUMEN'!$C$321:$E$355</definedName>
    <definedName name="Placa_maciza_h0.08">ESTRUCTURAS!$B$1224:$G$1275</definedName>
    <definedName name="prelim_41">PRELIMINARES!$B$2123:$G$2170</definedName>
    <definedName name="PRELIMINARES1" localSheetId="0">'ITEMS RESUMEN'!$C$22:$E$42</definedName>
    <definedName name="PRELIMINARES2" localSheetId="0">'ITEMS RESUMEN'!$C$43:$E$62</definedName>
    <definedName name="Punt_pvc_agua_1_2_ducha">'INST. HIDR.'!$B$853:$G$905</definedName>
    <definedName name="Punt_pvc_agua_1_2_lavam">'INST. HIDR.'!$B$906:$G$958</definedName>
    <definedName name="Punto_des_gres_4_sani" localSheetId="8">DESAGUES!$B$1103:$G$1155</definedName>
    <definedName name="Punto_desague_3_sifon" localSheetId="8">DESAGUES!$B$1050:$G$1102</definedName>
    <definedName name="Punto_desague_gres_3_4" localSheetId="8">DESAGUES!$B$997:$G$1049</definedName>
    <definedName name="Red_sumin_pvc_2">'INST. HIDR.'!$B$1224:$G$1276</definedName>
    <definedName name="Rell_mat_gran_casc" localSheetId="6">EXCAVACIONES!$B$2481:$G$2533</definedName>
    <definedName name="Rell_mat_selec_arena" localSheetId="6">EXCAVACIONES!$B$2587:$G$2639</definedName>
    <definedName name="Rell_mat_selec_rece" localSheetId="6">EXCAVACIONES!$B$2534:$G$2586</definedName>
    <definedName name="relle_misma_excv" localSheetId="6">EXCAVACIONES!$B$2428:$G$2480</definedName>
    <definedName name="Retiro_de_escombros" localSheetId="5">PRELIMINARES!$B$1010:$G$1062</definedName>
    <definedName name="Sello_punto_hidraulico" localSheetId="5">PRELIMINARES!$B$1646:$G$1698</definedName>
    <definedName name="Sello_puntos_sanitarios" localSheetId="5">PRELIMINARES!$B$1752:$G$1804</definedName>
    <definedName name="Sobr_ladril_tole_0.25x0.25_imperm" localSheetId="7">CIMIENTOS!$B$851:$G$903</definedName>
    <definedName name="Sobre_concr_3000ps_imper" localSheetId="7">CIMIENTOS!$B$639:$G$691</definedName>
    <definedName name="Sobre_concr_3000psi" localSheetId="7">CIMIENTOS!$B$586:$G$638</definedName>
    <definedName name="Sobre_ladr_tol_0.15x0.25_imper" localSheetId="7">CIMIENTOS!$B$798:$G$850</definedName>
    <definedName name="Sobre_ladril_arrob_imp" localSheetId="7">CIMIENTOS!$B$533:$G$585</definedName>
    <definedName name="Sobrec_bloq_cem_010_imperm" localSheetId="7">CIMIENTOS!$B$480:$G$532</definedName>
    <definedName name="Sobrec_bloq_cem_imperm" localSheetId="7">CIMIENTOS!$B$427:$G$479</definedName>
    <definedName name="Sobrec_ladril_tolet_imperm" localSheetId="7">CIMIENTOS!$B$374:$G$426</definedName>
    <definedName name="Sobrec_ladrill_tole" localSheetId="7">CIMIENTOS!$B$321:$G$373</definedName>
    <definedName name="Sum_inst_red_hidr_pvc_1">'INST. HIDR.'!$B$1118:$G$1170</definedName>
    <definedName name="Sum_inst_red_hidr_pvc_1_2">'INST. HIDR.'!$B$1012:$G$1064</definedName>
    <definedName name="Sum_inst_red_hidrau_pvc_3_4">'INST. HIDR.'!$B$1065:$G$1117</definedName>
    <definedName name="Sum_inst_tanq_elev_ac_1000">'INST. HIDR.'!$B$589:$G$641</definedName>
    <definedName name="Sum_inst_tanq_elev_ac_250">'INST. HIDR.'!$B$483:$G$535</definedName>
    <definedName name="Sum_inst_tanq_elev_ac_500">'INST. HIDR.'!$B$536:$G$588</definedName>
    <definedName name="Sum_inst_tanq_elev_plast_1000">'INST. HIDR.'!$B$748:$G$800</definedName>
    <definedName name="Sum_inst_tanq_elev_plast_250">'INST. HIDR.'!$B$642:$G$694</definedName>
    <definedName name="Sum_inst_tanq_elev_plast_500">'INST. HIDR.'!$B$695:$G$747</definedName>
    <definedName name="Sum_inst_vidrio_corru" localSheetId="5">PRELIMINARES!$B$1964:$G$2016</definedName>
    <definedName name="Sum_mueble_formica" localSheetId="5">PRELIMINARES!$B$1911:$G$1963</definedName>
    <definedName name="Sum_valla_inform_2x4" localSheetId="5">PRELIMINARES!$B$2017:$G$2069</definedName>
    <definedName name="Sum_vallas_portatil_07x12" localSheetId="5">PRELIMINARES!$B$2070:$G$2122</definedName>
    <definedName name="Sumin_inst_llav_registr_3_4">'INST. HIDR.'!$B$1332:$G$1384</definedName>
    <definedName name="Suminis_inst_red_sanit_pvc2">'INST. SANIT'!$B$589:$G$641</definedName>
    <definedName name="Suminist_instal_rejilla_piso">'INST. SANIT'!$B$642:$G$694</definedName>
    <definedName name="Sumn_inst_red_sanit_pvc4">'INST. SANIT'!$B$165:$G$217</definedName>
    <definedName name="Sumn_inst_red_sanit_pvc6">'INST. SANIT'!$B$218:$G$270</definedName>
    <definedName name="_xlnm.Print_Titles" localSheetId="18">APAR.SANIT!$1:$5</definedName>
    <definedName name="_xlnm.Print_Titles" localSheetId="20">'CARPINTERIA MADERA'!$1:$5</definedName>
    <definedName name="_xlnm.Print_Titles" localSheetId="21">'CARPINTERIA METALICA-ALUMINIO'!$1:$5</definedName>
    <definedName name="_xlnm.Print_Titles" localSheetId="7">CIMIENTOS!$1:$5</definedName>
    <definedName name="_xlnm.Print_Titles" localSheetId="4">'CONCRETOS - HIERROS'!$1:$5</definedName>
    <definedName name="_xlnm.Print_Titles" localSheetId="16">CUBIERTA!$1:$5</definedName>
    <definedName name="_xlnm.Print_Titles" localSheetId="8">DESAGUES!$1:$5</definedName>
    <definedName name="_xlnm.Print_Titles" localSheetId="9">ESTRUCTURAS!$1:$5</definedName>
    <definedName name="_xlnm.Print_Titles" localSheetId="19">'ESTUCO Y PINTURA'!$1:$5</definedName>
    <definedName name="_xlnm.Print_Titles" localSheetId="6">EXCAVACIONES!$1:$5</definedName>
    <definedName name="_xlnm.Print_Titles" localSheetId="12">'INST. ELECT'!$1:$5</definedName>
    <definedName name="_xlnm.Print_Titles" localSheetId="11">'INST. HIDR.'!$1:$5</definedName>
    <definedName name="_xlnm.Print_Titles" localSheetId="10">'INST. SANIT'!$1:$5</definedName>
    <definedName name="_xlnm.Print_Titles" localSheetId="13">MAMPOSTERIA!$1:$5</definedName>
    <definedName name="_xlnm.Print_Titles" localSheetId="3">'MANO DE OBRA'!$1:$4</definedName>
    <definedName name="_xlnm.Print_Titles" localSheetId="1">'MAQUINARIA Y EQUIPOS'!$1:$7</definedName>
    <definedName name="_xlnm.Print_Titles" localSheetId="14">PAÑETES!$1:$5</definedName>
    <definedName name="_xlnm.Print_Titles" localSheetId="15">PISOS!$1:$5</definedName>
    <definedName name="_xlnm.Print_Titles" localSheetId="5">PRELIMINARES!$1:$5</definedName>
    <definedName name="Tuber_aguas_negr_pvc3">'INST. SANIT'!$B$112:$G$164</definedName>
    <definedName name="Tuberia_ag_lluv_pvc_3">'INST. SANIT'!$B$6:$G$58</definedName>
    <definedName name="Tuberia_drenaje_gres_6" localSheetId="8">DESAGUES!$B$483:$G$535</definedName>
    <definedName name="Tuberia_gres_3" localSheetId="8">DESAGUES!$B$6:$G$58</definedName>
    <definedName name="Tuberia_gres_4" localSheetId="8">DESAGUES!$B$112:$G$164</definedName>
    <definedName name="Tuberia_revintila_pvc3">'INST. SANIT'!$B$324:$G$376</definedName>
    <definedName name="Tuberis_drenaje_gres_4" localSheetId="8">DESAGUES!$B$430:$G$482</definedName>
    <definedName name="Tuberis_gres_6" localSheetId="8">DESAGUES!$B$218:$G$270</definedName>
    <definedName name="Tuberis_gres_8" localSheetId="8">DESAGUES!$B$324:$G$376</definedName>
    <definedName name="VENTANAFIJA" localSheetId="20">'CARPINTERIA METALICA-ALUMINIO'!$B$423:$G$474</definedName>
    <definedName name="vias2">PAVIMENTOS!$B$487:$G$539</definedName>
    <definedName name="vias3">PAVIMENTOS!$B$540:$G$592</definedName>
    <definedName name="vias4">PAVIMENTOS!$B$593:$G$645</definedName>
    <definedName name="vias5">PAVIMENTOS!$B$646:$G$698</definedName>
    <definedName name="vias6">PAVIMENTOS!$B$699:$G$751</definedName>
    <definedName name="vias7">PAVIMENTOS!$B$752:$G$804</definedName>
    <definedName name="vias8">PAVIMENTOS!$B$805:$G$857</definedName>
    <definedName name="vias9">PAVIMENTOS!$B$858:$G$909</definedName>
    <definedName name="Viga_0.20x0.36">ESTRUCTURAS!$B$642:$G$694</definedName>
    <definedName name="Viga_aerea_0.10x0.20">ESTRUCTURAS!$B$1276:$G$1328</definedName>
    <definedName name="Viga_amarre_0.12x0.20">ESTRUCTURAS!$B$907:$G$959</definedName>
    <definedName name="Viga_amarre_0.12x0.25">ESTRUCTURAS!$B$695:$G$747</definedName>
    <definedName name="Viga_amarre_0.12x0.30">ESTRUCTURAS!$B$801:$G$853</definedName>
    <definedName name="Viga_amarre_0.12x0.30_4">ESTRUCTURAS!$B$960:$G$1012</definedName>
    <definedName name="Viga_amarre_0.15x0.30">ESTRUCTURAS!$B$854:$G$906</definedName>
    <definedName name="Viga_amarre_0.20x0.25">ESTRUCTURAS!$B$1013:$G$1065</definedName>
    <definedName name="Viga_cimie_tee_invert_3000psi" localSheetId="7">CIMIENTOS!$B$217:$G$268</definedName>
    <definedName name="Viga_cimien_lindero_3000psi" localSheetId="7">CIMIENTOS!$B$269:$G$320</definedName>
    <definedName name="Viga_correa_0.08x0.20">ESTRUCTURAS!$B$748:$G$800</definedName>
    <definedName name="Zapatas_1.2_1.2" localSheetId="7">CIMIENTOS!$B$745:$G$797</definedName>
    <definedName name="Zapatas_1_1" localSheetId="7">CIMIENTOS!$B$692:$G$744</definedName>
  </definedNames>
  <calcPr calcId="125725"/>
</workbook>
</file>

<file path=xl/calcChain.xml><?xml version="1.0" encoding="utf-8"?>
<calcChain xmlns="http://schemas.openxmlformats.org/spreadsheetml/2006/main">
  <c r="F560" i="21"/>
  <c r="E2543" i="6"/>
  <c r="F2553"/>
  <c r="E2570"/>
  <c r="B2570"/>
  <c r="B2553"/>
  <c r="B2543"/>
  <c r="B2542"/>
  <c r="F2563"/>
  <c r="F774" i="12"/>
  <c r="E782"/>
  <c r="E781"/>
  <c r="B782"/>
  <c r="B781"/>
  <c r="B753"/>
  <c r="F509" l="1"/>
  <c r="E517"/>
  <c r="E516"/>
  <c r="B517"/>
  <c r="B516"/>
  <c r="B488"/>
  <c r="E492" i="26"/>
  <c r="E493"/>
  <c r="E519"/>
  <c r="E520"/>
  <c r="B520"/>
  <c r="B519"/>
  <c r="F504"/>
  <c r="F503"/>
  <c r="F502"/>
  <c r="B504"/>
  <c r="B503"/>
  <c r="B502"/>
  <c r="B493"/>
  <c r="B492"/>
  <c r="B491"/>
  <c r="F668" i="12"/>
  <c r="B675"/>
  <c r="B676"/>
  <c r="E649"/>
  <c r="E648"/>
  <c r="B649"/>
  <c r="B648"/>
  <c r="B647"/>
  <c r="F721"/>
  <c r="E702"/>
  <c r="E701"/>
  <c r="B700"/>
  <c r="B701"/>
  <c r="B702"/>
  <c r="E675"/>
  <c r="E676"/>
  <c r="E385" i="17"/>
  <c r="F406"/>
  <c r="E414"/>
  <c r="E413"/>
  <c r="B414"/>
  <c r="B413"/>
  <c r="F399"/>
  <c r="F398"/>
  <c r="F397"/>
  <c r="F396"/>
  <c r="B399"/>
  <c r="B398"/>
  <c r="B397"/>
  <c r="B396"/>
  <c r="B386"/>
  <c r="B385"/>
  <c r="F830" i="25"/>
  <c r="F852"/>
  <c r="E810"/>
  <c r="F820"/>
  <c r="F821"/>
  <c r="F822"/>
  <c r="E838"/>
  <c r="E837"/>
  <c r="B838"/>
  <c r="B837"/>
  <c r="B822"/>
  <c r="B821"/>
  <c r="B820"/>
  <c r="B810"/>
  <c r="B809"/>
  <c r="F1328"/>
  <c r="E1314"/>
  <c r="E1313"/>
  <c r="F1306"/>
  <c r="F1300"/>
  <c r="F1299"/>
  <c r="F1298"/>
  <c r="F1297"/>
  <c r="B1286"/>
  <c r="B1297"/>
  <c r="B1298"/>
  <c r="B1299"/>
  <c r="B1300"/>
  <c r="B1313"/>
  <c r="B1314"/>
  <c r="F958"/>
  <c r="E916"/>
  <c r="E944"/>
  <c r="E943"/>
  <c r="B944"/>
  <c r="B943"/>
  <c r="F936"/>
  <c r="F932"/>
  <c r="F931"/>
  <c r="F930"/>
  <c r="F929"/>
  <c r="F928"/>
  <c r="F927"/>
  <c r="F926"/>
  <c r="B932"/>
  <c r="B931"/>
  <c r="B930"/>
  <c r="B929"/>
  <c r="B928"/>
  <c r="B927"/>
  <c r="B926"/>
  <c r="B916"/>
  <c r="B915"/>
  <c r="B1470" i="12"/>
  <c r="E1443"/>
  <c r="B1443"/>
  <c r="F163" i="18"/>
  <c r="E149"/>
  <c r="E148"/>
  <c r="B149"/>
  <c r="B148"/>
  <c r="E121"/>
  <c r="B121"/>
  <c r="B120"/>
  <c r="F141"/>
  <c r="F138"/>
  <c r="F137"/>
  <c r="F136"/>
  <c r="F134"/>
  <c r="F133"/>
  <c r="F132"/>
  <c r="B138"/>
  <c r="B137"/>
  <c r="B136"/>
  <c r="B135"/>
  <c r="B134"/>
  <c r="B133"/>
  <c r="B132"/>
  <c r="B131"/>
  <c r="F1352" i="3" l="1"/>
  <c r="F1064"/>
  <c r="F1042"/>
  <c r="E1022"/>
  <c r="B1021"/>
  <c r="B1022"/>
  <c r="G1014"/>
  <c r="E1050"/>
  <c r="E1049"/>
  <c r="B1050"/>
  <c r="B1049"/>
  <c r="F1038"/>
  <c r="F1037"/>
  <c r="F1036"/>
  <c r="F1035"/>
  <c r="F1034"/>
  <c r="F1033"/>
  <c r="B1038"/>
  <c r="B1037"/>
  <c r="B1036"/>
  <c r="B1035"/>
  <c r="B1034"/>
  <c r="B1033"/>
  <c r="B1032"/>
  <c r="D502" i="34"/>
  <c r="C502"/>
  <c r="B128" i="38"/>
  <c r="C128" s="1"/>
  <c r="B116"/>
  <c r="C116" s="1"/>
  <c r="F117"/>
  <c r="B117"/>
  <c r="F116"/>
  <c r="G116" s="1"/>
  <c r="G112"/>
  <c r="G138"/>
  <c r="G117"/>
  <c r="G120" s="1"/>
  <c r="J28" i="16"/>
  <c r="D63" i="34"/>
  <c r="C63"/>
  <c r="E2130" i="12"/>
  <c r="G2130" s="1"/>
  <c r="B2155"/>
  <c r="E2131"/>
  <c r="G2131" s="1"/>
  <c r="B2131"/>
  <c r="B2130"/>
  <c r="B2129"/>
  <c r="F2169"/>
  <c r="G2166"/>
  <c r="G2147"/>
  <c r="G2129"/>
  <c r="D117" i="34"/>
  <c r="C117"/>
  <c r="B2769" i="6"/>
  <c r="B2768"/>
  <c r="F2751"/>
  <c r="B2751"/>
  <c r="B2742"/>
  <c r="B2694"/>
  <c r="F2781"/>
  <c r="G2778"/>
  <c r="G2751"/>
  <c r="G2760" s="1"/>
  <c r="D191" i="34"/>
  <c r="C191"/>
  <c r="B1576" i="3"/>
  <c r="B1575"/>
  <c r="B1528"/>
  <c r="B1527"/>
  <c r="F1559"/>
  <c r="G1559" s="1"/>
  <c r="B1559"/>
  <c r="F1561"/>
  <c r="B1561"/>
  <c r="F1560"/>
  <c r="G1560" s="1"/>
  <c r="B1560"/>
  <c r="F1457"/>
  <c r="G1457" s="1"/>
  <c r="B1457"/>
  <c r="B1558"/>
  <c r="E1549"/>
  <c r="G1549" s="1"/>
  <c r="B1550"/>
  <c r="D71" i="14"/>
  <c r="E1550" i="3" s="1"/>
  <c r="G1550" s="1"/>
  <c r="B1549"/>
  <c r="B1548"/>
  <c r="B1499"/>
  <c r="F1587"/>
  <c r="G1584"/>
  <c r="E1561"/>
  <c r="E1558"/>
  <c r="G1548"/>
  <c r="G54" i="38"/>
  <c r="C206" i="34"/>
  <c r="D206"/>
  <c r="G737" i="1"/>
  <c r="B728"/>
  <c r="B727"/>
  <c r="B679"/>
  <c r="B678"/>
  <c r="F712"/>
  <c r="G712" s="1"/>
  <c r="B712"/>
  <c r="F711"/>
  <c r="G711" s="1"/>
  <c r="B711"/>
  <c r="F710"/>
  <c r="B710"/>
  <c r="B701"/>
  <c r="B650"/>
  <c r="F742"/>
  <c r="G739"/>
  <c r="G710"/>
  <c r="G701"/>
  <c r="G706" s="1"/>
  <c r="D501" i="34"/>
  <c r="C501"/>
  <c r="B87" i="38"/>
  <c r="B86"/>
  <c r="F72"/>
  <c r="G72" s="1"/>
  <c r="B72"/>
  <c r="F71"/>
  <c r="G71" s="1"/>
  <c r="B71"/>
  <c r="F70"/>
  <c r="G70" s="1"/>
  <c r="B70"/>
  <c r="F69"/>
  <c r="G69" s="1"/>
  <c r="B69"/>
  <c r="E60"/>
  <c r="G60" s="1"/>
  <c r="B60"/>
  <c r="B59"/>
  <c r="F98"/>
  <c r="G94"/>
  <c r="G95" s="1"/>
  <c r="E59"/>
  <c r="G59" s="1"/>
  <c r="G65" s="1"/>
  <c r="G6"/>
  <c r="D500" i="34"/>
  <c r="C500"/>
  <c r="E303" i="31"/>
  <c r="E12"/>
  <c r="B39" i="38"/>
  <c r="B38"/>
  <c r="F21"/>
  <c r="G21" s="1"/>
  <c r="G30" s="1"/>
  <c r="G31" s="1"/>
  <c r="G32" s="1"/>
  <c r="B21"/>
  <c r="B11"/>
  <c r="F51"/>
  <c r="G48"/>
  <c r="D116" i="34"/>
  <c r="C116"/>
  <c r="F2704" i="6"/>
  <c r="G2704" s="1"/>
  <c r="G2713" s="1"/>
  <c r="G2714" s="1"/>
  <c r="B2722"/>
  <c r="B2721"/>
  <c r="B2704"/>
  <c r="G2689"/>
  <c r="G2641"/>
  <c r="F2734"/>
  <c r="G2731"/>
  <c r="D115" i="34"/>
  <c r="C115"/>
  <c r="B2674" i="6"/>
  <c r="B2673"/>
  <c r="F2656"/>
  <c r="G2656" s="1"/>
  <c r="G2665" s="1"/>
  <c r="G2666" s="1"/>
  <c r="B2656"/>
  <c r="E2647"/>
  <c r="G2647" s="1"/>
  <c r="B2647"/>
  <c r="B2646"/>
  <c r="F2686"/>
  <c r="G2683"/>
  <c r="D498" i="34"/>
  <c r="C498"/>
  <c r="B448" i="37"/>
  <c r="B447"/>
  <c r="B431"/>
  <c r="F430"/>
  <c r="G430" s="1"/>
  <c r="B430"/>
  <c r="G415"/>
  <c r="F461"/>
  <c r="G458"/>
  <c r="G1546" i="27"/>
  <c r="D386" i="34"/>
  <c r="C386"/>
  <c r="B1582" i="27"/>
  <c r="B1581"/>
  <c r="F1566"/>
  <c r="G1566" s="1"/>
  <c r="F1565"/>
  <c r="G1565" s="1"/>
  <c r="F1564"/>
  <c r="G1564" s="1"/>
  <c r="B1566"/>
  <c r="B1565"/>
  <c r="B1564"/>
  <c r="E1557"/>
  <c r="G1557" s="1"/>
  <c r="E1556"/>
  <c r="G1556" s="1"/>
  <c r="E1555"/>
  <c r="G1555" s="1"/>
  <c r="E1554"/>
  <c r="G1554" s="1"/>
  <c r="B1557"/>
  <c r="B1556"/>
  <c r="B1555"/>
  <c r="B1554"/>
  <c r="B1553"/>
  <c r="F1596"/>
  <c r="G1593"/>
  <c r="B440" i="12"/>
  <c r="B439"/>
  <c r="B438"/>
  <c r="B441"/>
  <c r="D352" i="34"/>
  <c r="C352"/>
  <c r="C351"/>
  <c r="G6" i="37"/>
  <c r="B13"/>
  <c r="B24"/>
  <c r="F24"/>
  <c r="G24" s="1"/>
  <c r="B25"/>
  <c r="F34"/>
  <c r="B41"/>
  <c r="B42"/>
  <c r="G53"/>
  <c r="F56"/>
  <c r="G59"/>
  <c r="B66"/>
  <c r="B67"/>
  <c r="E67"/>
  <c r="G67" s="1"/>
  <c r="B77"/>
  <c r="F77"/>
  <c r="G77" s="1"/>
  <c r="G86" s="1"/>
  <c r="B94"/>
  <c r="B95"/>
  <c r="G105"/>
  <c r="F108"/>
  <c r="G111"/>
  <c r="B118"/>
  <c r="B119"/>
  <c r="E119"/>
  <c r="G119" s="1"/>
  <c r="B129"/>
  <c r="F129"/>
  <c r="G129" s="1"/>
  <c r="G138" s="1"/>
  <c r="B146"/>
  <c r="B147"/>
  <c r="G157"/>
  <c r="F160"/>
  <c r="G163"/>
  <c r="B170"/>
  <c r="B171"/>
  <c r="E171"/>
  <c r="G171" s="1"/>
  <c r="B181"/>
  <c r="F181"/>
  <c r="G181" s="1"/>
  <c r="G190" s="1"/>
  <c r="B198"/>
  <c r="B199"/>
  <c r="G209"/>
  <c r="F212"/>
  <c r="G215"/>
  <c r="B222"/>
  <c r="B223"/>
  <c r="E223"/>
  <c r="G223" s="1"/>
  <c r="B233"/>
  <c r="F233"/>
  <c r="G233" s="1"/>
  <c r="B234"/>
  <c r="B235"/>
  <c r="B236"/>
  <c r="B250"/>
  <c r="B251"/>
  <c r="G262"/>
  <c r="F265"/>
  <c r="G268"/>
  <c r="B275"/>
  <c r="B276"/>
  <c r="E276"/>
  <c r="G276" s="1"/>
  <c r="B286"/>
  <c r="F286"/>
  <c r="G286" s="1"/>
  <c r="B287"/>
  <c r="B288"/>
  <c r="B289"/>
  <c r="B303"/>
  <c r="B304"/>
  <c r="G315"/>
  <c r="F318"/>
  <c r="G321"/>
  <c r="B327"/>
  <c r="B338"/>
  <c r="F338"/>
  <c r="G338" s="1"/>
  <c r="B339"/>
  <c r="B351"/>
  <c r="B352"/>
  <c r="G368"/>
  <c r="B374"/>
  <c r="B385"/>
  <c r="F385"/>
  <c r="G385" s="1"/>
  <c r="B386"/>
  <c r="B398"/>
  <c r="B399"/>
  <c r="G6" i="36"/>
  <c r="A13"/>
  <c r="B13"/>
  <c r="A14"/>
  <c r="B14"/>
  <c r="E14"/>
  <c r="F14"/>
  <c r="G14"/>
  <c r="A24"/>
  <c r="B24"/>
  <c r="D24"/>
  <c r="F24"/>
  <c r="G24" s="1"/>
  <c r="A25"/>
  <c r="B25"/>
  <c r="D25"/>
  <c r="F25"/>
  <c r="G25"/>
  <c r="F34"/>
  <c r="A41"/>
  <c r="B41"/>
  <c r="E41"/>
  <c r="G41" s="1"/>
  <c r="A42"/>
  <c r="B42"/>
  <c r="E42"/>
  <c r="F42"/>
  <c r="A43"/>
  <c r="B43"/>
  <c r="E43"/>
  <c r="F43"/>
  <c r="G43"/>
  <c r="G53"/>
  <c r="F56"/>
  <c r="G59"/>
  <c r="A66"/>
  <c r="B66"/>
  <c r="G86"/>
  <c r="F87"/>
  <c r="G87"/>
  <c r="A94"/>
  <c r="B94"/>
  <c r="E94"/>
  <c r="G94" s="1"/>
  <c r="A95"/>
  <c r="B95"/>
  <c r="E95"/>
  <c r="F95"/>
  <c r="G95"/>
  <c r="G106"/>
  <c r="F109"/>
  <c r="G112"/>
  <c r="A119"/>
  <c r="B119"/>
  <c r="A120"/>
  <c r="B120"/>
  <c r="E120"/>
  <c r="G120" s="1"/>
  <c r="A121"/>
  <c r="B121"/>
  <c r="E121"/>
  <c r="G121" s="1"/>
  <c r="A122"/>
  <c r="B122"/>
  <c r="E122"/>
  <c r="G122" s="1"/>
  <c r="G139"/>
  <c r="F140"/>
  <c r="G140" s="1"/>
  <c r="A147"/>
  <c r="B147"/>
  <c r="E147"/>
  <c r="F147"/>
  <c r="G147"/>
  <c r="G152" s="1"/>
  <c r="E119" s="1"/>
  <c r="G119" s="1"/>
  <c r="G125" s="1"/>
  <c r="G159"/>
  <c r="F162"/>
  <c r="G165"/>
  <c r="A172"/>
  <c r="B172"/>
  <c r="G192"/>
  <c r="F193"/>
  <c r="G193"/>
  <c r="G194" s="1"/>
  <c r="A200"/>
  <c r="B200"/>
  <c r="E200"/>
  <c r="G200"/>
  <c r="G205" s="1"/>
  <c r="E172" s="1"/>
  <c r="G172" s="1"/>
  <c r="G178" s="1"/>
  <c r="G214" s="1"/>
  <c r="G215" s="1"/>
  <c r="A201"/>
  <c r="B201"/>
  <c r="E201"/>
  <c r="G201"/>
  <c r="G212"/>
  <c r="F215"/>
  <c r="G218"/>
  <c r="A225"/>
  <c r="B225"/>
  <c r="A226"/>
  <c r="B226"/>
  <c r="E226"/>
  <c r="G226" s="1"/>
  <c r="A227"/>
  <c r="B227"/>
  <c r="E227"/>
  <c r="G227" s="1"/>
  <c r="G245"/>
  <c r="F246"/>
  <c r="G246"/>
  <c r="A253"/>
  <c r="B253"/>
  <c r="E253"/>
  <c r="G253" s="1"/>
  <c r="G258" s="1"/>
  <c r="E225" s="1"/>
  <c r="G225" s="1"/>
  <c r="G265"/>
  <c r="F268"/>
  <c r="G271"/>
  <c r="A278"/>
  <c r="B278"/>
  <c r="A279"/>
  <c r="B279"/>
  <c r="E279"/>
  <c r="G279" s="1"/>
  <c r="A280"/>
  <c r="B280"/>
  <c r="E280"/>
  <c r="G280" s="1"/>
  <c r="A281"/>
  <c r="B281"/>
  <c r="E281"/>
  <c r="G281" s="1"/>
  <c r="A282"/>
  <c r="B282"/>
  <c r="E282"/>
  <c r="G282" s="1"/>
  <c r="A289"/>
  <c r="B289"/>
  <c r="D289"/>
  <c r="F289"/>
  <c r="G289" s="1"/>
  <c r="G298" s="1"/>
  <c r="G299" s="1"/>
  <c r="G300" s="1"/>
  <c r="F299"/>
  <c r="A306"/>
  <c r="B306"/>
  <c r="E306"/>
  <c r="G306"/>
  <c r="G311" s="1"/>
  <c r="E278" s="1"/>
  <c r="G278" s="1"/>
  <c r="G318"/>
  <c r="F321"/>
  <c r="G324"/>
  <c r="B331"/>
  <c r="B332"/>
  <c r="E332"/>
  <c r="F332"/>
  <c r="B342"/>
  <c r="D342"/>
  <c r="F342"/>
  <c r="G342" s="1"/>
  <c r="B343"/>
  <c r="D343"/>
  <c r="F343"/>
  <c r="G343" s="1"/>
  <c r="F352"/>
  <c r="B359"/>
  <c r="E359"/>
  <c r="G359" s="1"/>
  <c r="B360"/>
  <c r="E360"/>
  <c r="F360"/>
  <c r="B361"/>
  <c r="E361"/>
  <c r="F361"/>
  <c r="G361" s="1"/>
  <c r="G371"/>
  <c r="F374"/>
  <c r="G382"/>
  <c r="B389"/>
  <c r="B390"/>
  <c r="E390"/>
  <c r="F390"/>
  <c r="B400"/>
  <c r="D400"/>
  <c r="F400"/>
  <c r="G400" s="1"/>
  <c r="G409" s="1"/>
  <c r="B401"/>
  <c r="D401"/>
  <c r="F401"/>
  <c r="G401" s="1"/>
  <c r="F410"/>
  <c r="B417"/>
  <c r="E417"/>
  <c r="G417" s="1"/>
  <c r="B418"/>
  <c r="E418"/>
  <c r="F418"/>
  <c r="B419"/>
  <c r="E419"/>
  <c r="F419"/>
  <c r="G419" s="1"/>
  <c r="G429"/>
  <c r="F432"/>
  <c r="G435"/>
  <c r="B442"/>
  <c r="B443"/>
  <c r="B453"/>
  <c r="F453"/>
  <c r="G453" s="1"/>
  <c r="G462" s="1"/>
  <c r="F463"/>
  <c r="B470"/>
  <c r="B471"/>
  <c r="G482"/>
  <c r="F485"/>
  <c r="G488"/>
  <c r="B495"/>
  <c r="B496"/>
  <c r="B497"/>
  <c r="E497"/>
  <c r="G497" s="1"/>
  <c r="B498"/>
  <c r="G515"/>
  <c r="F516"/>
  <c r="G516" s="1"/>
  <c r="G517" s="1"/>
  <c r="B523"/>
  <c r="B524"/>
  <c r="G535"/>
  <c r="F538"/>
  <c r="G541"/>
  <c r="B548"/>
  <c r="B549"/>
  <c r="B550"/>
  <c r="B551"/>
  <c r="B559"/>
  <c r="F559"/>
  <c r="G559" s="1"/>
  <c r="G568" s="1"/>
  <c r="G569" s="1"/>
  <c r="G570" s="1"/>
  <c r="F569"/>
  <c r="B576"/>
  <c r="B577"/>
  <c r="B578"/>
  <c r="G588"/>
  <c r="F591"/>
  <c r="G594"/>
  <c r="B601"/>
  <c r="B602"/>
  <c r="B603"/>
  <c r="E603"/>
  <c r="G603" s="1"/>
  <c r="B604"/>
  <c r="B612"/>
  <c r="F612"/>
  <c r="G612" s="1"/>
  <c r="G621" s="1"/>
  <c r="B629"/>
  <c r="B630"/>
  <c r="G641"/>
  <c r="F644"/>
  <c r="G647"/>
  <c r="B654"/>
  <c r="B655"/>
  <c r="B656"/>
  <c r="E656"/>
  <c r="G656" s="1"/>
  <c r="B657"/>
  <c r="B665"/>
  <c r="F665"/>
  <c r="G665" s="1"/>
  <c r="G674" s="1"/>
  <c r="B682"/>
  <c r="B683"/>
  <c r="G694"/>
  <c r="F697"/>
  <c r="G700"/>
  <c r="B707"/>
  <c r="B708"/>
  <c r="B709"/>
  <c r="E709"/>
  <c r="G709" s="1"/>
  <c r="B710"/>
  <c r="B718"/>
  <c r="F718"/>
  <c r="G718" s="1"/>
  <c r="G727" s="1"/>
  <c r="B735"/>
  <c r="B736"/>
  <c r="G747"/>
  <c r="F750"/>
  <c r="G753"/>
  <c r="B760"/>
  <c r="B761"/>
  <c r="B762"/>
  <c r="B763"/>
  <c r="B771"/>
  <c r="F771"/>
  <c r="G771" s="1"/>
  <c r="G780" s="1"/>
  <c r="B788"/>
  <c r="B789"/>
  <c r="B790"/>
  <c r="B798"/>
  <c r="F803"/>
  <c r="G806"/>
  <c r="B813"/>
  <c r="B814"/>
  <c r="B815"/>
  <c r="B816"/>
  <c r="B824"/>
  <c r="F824"/>
  <c r="G824" s="1"/>
  <c r="G833" s="1"/>
  <c r="B841"/>
  <c r="B842"/>
  <c r="B843"/>
  <c r="B851"/>
  <c r="F856"/>
  <c r="G859"/>
  <c r="B866"/>
  <c r="B867"/>
  <c r="B877"/>
  <c r="F877"/>
  <c r="G877" s="1"/>
  <c r="G886" s="1"/>
  <c r="B894"/>
  <c r="B895"/>
  <c r="G905"/>
  <c r="F908"/>
  <c r="G7" i="30"/>
  <c r="B14"/>
  <c r="B15"/>
  <c r="E15"/>
  <c r="G15"/>
  <c r="B16"/>
  <c r="E16"/>
  <c r="G16" s="1"/>
  <c r="B24"/>
  <c r="F24"/>
  <c r="G24" s="1"/>
  <c r="B25"/>
  <c r="F25"/>
  <c r="G25" s="1"/>
  <c r="B26"/>
  <c r="F26"/>
  <c r="G26" s="1"/>
  <c r="G33" s="1"/>
  <c r="B27"/>
  <c r="F27"/>
  <c r="G27" s="1"/>
  <c r="F34"/>
  <c r="B41"/>
  <c r="B42"/>
  <c r="B43"/>
  <c r="B44"/>
  <c r="B45"/>
  <c r="G53"/>
  <c r="F56"/>
  <c r="G59"/>
  <c r="B66"/>
  <c r="B67"/>
  <c r="E67"/>
  <c r="G67" s="1"/>
  <c r="B68"/>
  <c r="E68"/>
  <c r="G68" s="1"/>
  <c r="B76"/>
  <c r="F76"/>
  <c r="G76"/>
  <c r="B77"/>
  <c r="F77"/>
  <c r="G77" s="1"/>
  <c r="B78"/>
  <c r="F78"/>
  <c r="G78" s="1"/>
  <c r="B79"/>
  <c r="F79"/>
  <c r="G79" s="1"/>
  <c r="F86"/>
  <c r="B93"/>
  <c r="B94"/>
  <c r="G105"/>
  <c r="F108"/>
  <c r="G111"/>
  <c r="B118"/>
  <c r="B119"/>
  <c r="E119"/>
  <c r="G119" s="1"/>
  <c r="B120"/>
  <c r="E120"/>
  <c r="G120" s="1"/>
  <c r="B128"/>
  <c r="F128"/>
  <c r="G128" s="1"/>
  <c r="B129"/>
  <c r="F129"/>
  <c r="G129" s="1"/>
  <c r="B130"/>
  <c r="F130"/>
  <c r="G130" s="1"/>
  <c r="B131"/>
  <c r="F131"/>
  <c r="G131" s="1"/>
  <c r="F138"/>
  <c r="B145"/>
  <c r="B146"/>
  <c r="G157"/>
  <c r="F160"/>
  <c r="G163"/>
  <c r="B170"/>
  <c r="B171"/>
  <c r="E171"/>
  <c r="G171" s="1"/>
  <c r="B172"/>
  <c r="E172"/>
  <c r="G172" s="1"/>
  <c r="B173"/>
  <c r="B180"/>
  <c r="F180"/>
  <c r="G180"/>
  <c r="B181"/>
  <c r="F181"/>
  <c r="G181" s="1"/>
  <c r="B182"/>
  <c r="F182"/>
  <c r="G182" s="1"/>
  <c r="B183"/>
  <c r="F183"/>
  <c r="G183" s="1"/>
  <c r="B184"/>
  <c r="F184"/>
  <c r="G184" s="1"/>
  <c r="F190"/>
  <c r="B197"/>
  <c r="B198"/>
  <c r="G209"/>
  <c r="F212"/>
  <c r="G215"/>
  <c r="B222"/>
  <c r="B223"/>
  <c r="E223"/>
  <c r="G223" s="1"/>
  <c r="B224"/>
  <c r="E224"/>
  <c r="G224" s="1"/>
  <c r="B225"/>
  <c r="B232"/>
  <c r="F232"/>
  <c r="G232" s="1"/>
  <c r="B233"/>
  <c r="F233"/>
  <c r="G233"/>
  <c r="B234"/>
  <c r="F234"/>
  <c r="G234" s="1"/>
  <c r="B235"/>
  <c r="F235"/>
  <c r="G235" s="1"/>
  <c r="B236"/>
  <c r="F236"/>
  <c r="G236" s="1"/>
  <c r="F242"/>
  <c r="B249"/>
  <c r="B250"/>
  <c r="G261"/>
  <c r="F264"/>
  <c r="G267"/>
  <c r="B274"/>
  <c r="B275"/>
  <c r="E275"/>
  <c r="G275" s="1"/>
  <c r="B276"/>
  <c r="E276"/>
  <c r="G276" s="1"/>
  <c r="B277"/>
  <c r="B284"/>
  <c r="F284"/>
  <c r="G284" s="1"/>
  <c r="B285"/>
  <c r="F285"/>
  <c r="G285" s="1"/>
  <c r="B286"/>
  <c r="F286"/>
  <c r="G286" s="1"/>
  <c r="B287"/>
  <c r="F287"/>
  <c r="G287" s="1"/>
  <c r="B288"/>
  <c r="F288"/>
  <c r="G288" s="1"/>
  <c r="F294"/>
  <c r="B301"/>
  <c r="B302"/>
  <c r="G313"/>
  <c r="F316"/>
  <c r="G319"/>
  <c r="B326"/>
  <c r="B327"/>
  <c r="E327"/>
  <c r="G327" s="1"/>
  <c r="B328"/>
  <c r="E328"/>
  <c r="G328" s="1"/>
  <c r="B329"/>
  <c r="B336"/>
  <c r="F336"/>
  <c r="G336" s="1"/>
  <c r="B337"/>
  <c r="F337"/>
  <c r="G337" s="1"/>
  <c r="B338"/>
  <c r="F338"/>
  <c r="G338" s="1"/>
  <c r="B339"/>
  <c r="F339"/>
  <c r="G339"/>
  <c r="B340"/>
  <c r="F340"/>
  <c r="G340" s="1"/>
  <c r="F346"/>
  <c r="B353"/>
  <c r="B354"/>
  <c r="G365"/>
  <c r="F368"/>
  <c r="G371"/>
  <c r="B378"/>
  <c r="B379"/>
  <c r="E379"/>
  <c r="G379" s="1"/>
  <c r="B380"/>
  <c r="E380"/>
  <c r="G380" s="1"/>
  <c r="B389"/>
  <c r="F389"/>
  <c r="G389" s="1"/>
  <c r="B390"/>
  <c r="F390"/>
  <c r="G390" s="1"/>
  <c r="B391"/>
  <c r="F391"/>
  <c r="G391" s="1"/>
  <c r="B392"/>
  <c r="F392"/>
  <c r="G392"/>
  <c r="B393"/>
  <c r="F393"/>
  <c r="G393" s="1"/>
  <c r="B394"/>
  <c r="F394"/>
  <c r="G394" s="1"/>
  <c r="B395"/>
  <c r="F395"/>
  <c r="G395" s="1"/>
  <c r="B396"/>
  <c r="E396"/>
  <c r="F396"/>
  <c r="G396" s="1"/>
  <c r="F399"/>
  <c r="B406"/>
  <c r="B407"/>
  <c r="B408"/>
  <c r="B409"/>
  <c r="B410"/>
  <c r="G418"/>
  <c r="F421"/>
  <c r="G424"/>
  <c r="B431"/>
  <c r="B432"/>
  <c r="E432"/>
  <c r="G432" s="1"/>
  <c r="B433"/>
  <c r="E433"/>
  <c r="G433" s="1"/>
  <c r="B434"/>
  <c r="B441"/>
  <c r="F441"/>
  <c r="G441" s="1"/>
  <c r="B442"/>
  <c r="F442"/>
  <c r="G442" s="1"/>
  <c r="B443"/>
  <c r="F443"/>
  <c r="G443" s="1"/>
  <c r="B444"/>
  <c r="F444"/>
  <c r="G444" s="1"/>
  <c r="B445"/>
  <c r="F445"/>
  <c r="G445" s="1"/>
  <c r="B446"/>
  <c r="F446"/>
  <c r="G446" s="1"/>
  <c r="B447"/>
  <c r="F447"/>
  <c r="G447" s="1"/>
  <c r="F451"/>
  <c r="B458"/>
  <c r="B459"/>
  <c r="B460"/>
  <c r="B461"/>
  <c r="B462"/>
  <c r="G470"/>
  <c r="F473"/>
  <c r="G476"/>
  <c r="B483"/>
  <c r="B484"/>
  <c r="E484"/>
  <c r="G484" s="1"/>
  <c r="B485"/>
  <c r="E485"/>
  <c r="G485" s="1"/>
  <c r="B486"/>
  <c r="B493"/>
  <c r="F493"/>
  <c r="G493" s="1"/>
  <c r="B494"/>
  <c r="F494"/>
  <c r="G494" s="1"/>
  <c r="B495"/>
  <c r="F495"/>
  <c r="G495" s="1"/>
  <c r="B496"/>
  <c r="F496"/>
  <c r="G496" s="1"/>
  <c r="B497"/>
  <c r="F497"/>
  <c r="G497"/>
  <c r="B498"/>
  <c r="F498"/>
  <c r="G498" s="1"/>
  <c r="B499"/>
  <c r="F499"/>
  <c r="G499" s="1"/>
  <c r="F503"/>
  <c r="B510"/>
  <c r="B511"/>
  <c r="B512"/>
  <c r="B513"/>
  <c r="B514"/>
  <c r="G522"/>
  <c r="F525"/>
  <c r="G528"/>
  <c r="B535"/>
  <c r="B536"/>
  <c r="E536"/>
  <c r="G536" s="1"/>
  <c r="B537"/>
  <c r="E537"/>
  <c r="G537" s="1"/>
  <c r="B538"/>
  <c r="B545"/>
  <c r="F545"/>
  <c r="G545"/>
  <c r="B546"/>
  <c r="F546"/>
  <c r="G546" s="1"/>
  <c r="B547"/>
  <c r="F547"/>
  <c r="G547" s="1"/>
  <c r="B548"/>
  <c r="F548"/>
  <c r="G548" s="1"/>
  <c r="B549"/>
  <c r="F549"/>
  <c r="G549" s="1"/>
  <c r="G554" s="1"/>
  <c r="G555" s="1"/>
  <c r="G556" s="1"/>
  <c r="B550"/>
  <c r="F550"/>
  <c r="G550" s="1"/>
  <c r="B551"/>
  <c r="F551"/>
  <c r="G551" s="1"/>
  <c r="F555"/>
  <c r="B562"/>
  <c r="B563"/>
  <c r="G574"/>
  <c r="F577"/>
  <c r="G580"/>
  <c r="B587"/>
  <c r="B588"/>
  <c r="E588"/>
  <c r="G588" s="1"/>
  <c r="B589"/>
  <c r="E589"/>
  <c r="G589" s="1"/>
  <c r="B590"/>
  <c r="B597"/>
  <c r="F597"/>
  <c r="G597" s="1"/>
  <c r="B598"/>
  <c r="F598"/>
  <c r="G598" s="1"/>
  <c r="B599"/>
  <c r="F599"/>
  <c r="G599" s="1"/>
  <c r="B600"/>
  <c r="F600"/>
  <c r="G600"/>
  <c r="B601"/>
  <c r="F601"/>
  <c r="G601" s="1"/>
  <c r="B602"/>
  <c r="F602"/>
  <c r="G602" s="1"/>
  <c r="B603"/>
  <c r="F603"/>
  <c r="G603" s="1"/>
  <c r="B604"/>
  <c r="F604"/>
  <c r="G604" s="1"/>
  <c r="F607"/>
  <c r="B614"/>
  <c r="B615"/>
  <c r="B616"/>
  <c r="B617"/>
  <c r="B618"/>
  <c r="G626"/>
  <c r="F629"/>
  <c r="G632"/>
  <c r="B639"/>
  <c r="B649"/>
  <c r="F649"/>
  <c r="G649" s="1"/>
  <c r="B650"/>
  <c r="F650"/>
  <c r="G650" s="1"/>
  <c r="B651"/>
  <c r="F651"/>
  <c r="G651" s="1"/>
  <c r="B652"/>
  <c r="F652"/>
  <c r="G652"/>
  <c r="F657"/>
  <c r="B664"/>
  <c r="B665"/>
  <c r="B666"/>
  <c r="G676"/>
  <c r="F679"/>
  <c r="G682"/>
  <c r="B689"/>
  <c r="B699"/>
  <c r="F699"/>
  <c r="G699" s="1"/>
  <c r="B700"/>
  <c r="F700"/>
  <c r="G700" s="1"/>
  <c r="F708"/>
  <c r="B715"/>
  <c r="B716"/>
  <c r="B717"/>
  <c r="G727"/>
  <c r="F730"/>
  <c r="G733"/>
  <c r="B740"/>
  <c r="B751"/>
  <c r="F751"/>
  <c r="G751" s="1"/>
  <c r="B752"/>
  <c r="F752"/>
  <c r="G752" s="1"/>
  <c r="F761"/>
  <c r="B768"/>
  <c r="B769"/>
  <c r="B770"/>
  <c r="G780"/>
  <c r="F783"/>
  <c r="G786"/>
  <c r="B793"/>
  <c r="B804"/>
  <c r="D804"/>
  <c r="F804"/>
  <c r="G804" s="1"/>
  <c r="G813" s="1"/>
  <c r="G814" s="1"/>
  <c r="F814"/>
  <c r="B821"/>
  <c r="B822"/>
  <c r="B823"/>
  <c r="G833"/>
  <c r="F836"/>
  <c r="G839"/>
  <c r="B846"/>
  <c r="B857"/>
  <c r="F857"/>
  <c r="G857" s="1"/>
  <c r="B858"/>
  <c r="F858"/>
  <c r="G858" s="1"/>
  <c r="F864"/>
  <c r="B871"/>
  <c r="B872"/>
  <c r="B873"/>
  <c r="G883"/>
  <c r="F886"/>
  <c r="G889"/>
  <c r="B896"/>
  <c r="G906"/>
  <c r="G913"/>
  <c r="F914"/>
  <c r="B921"/>
  <c r="B922"/>
  <c r="G933"/>
  <c r="F936"/>
  <c r="G939"/>
  <c r="B946"/>
  <c r="B956"/>
  <c r="F956"/>
  <c r="G956" s="1"/>
  <c r="G963" s="1"/>
  <c r="G964" s="1"/>
  <c r="F964"/>
  <c r="B971"/>
  <c r="B972"/>
  <c r="G983"/>
  <c r="F986"/>
  <c r="G989"/>
  <c r="B996"/>
  <c r="B1006"/>
  <c r="F1006"/>
  <c r="G1006" s="1"/>
  <c r="G1013" s="1"/>
  <c r="G1014" s="1"/>
  <c r="F1014"/>
  <c r="B1021"/>
  <c r="B1022"/>
  <c r="G1033"/>
  <c r="F1036"/>
  <c r="G1039"/>
  <c r="B1046"/>
  <c r="G1056"/>
  <c r="G1063"/>
  <c r="F1064"/>
  <c r="B1071"/>
  <c r="B1072"/>
  <c r="G1083"/>
  <c r="F1086"/>
  <c r="G1089"/>
  <c r="B1096"/>
  <c r="B1106"/>
  <c r="F1106"/>
  <c r="G1106"/>
  <c r="G1113" s="1"/>
  <c r="G1114" s="1"/>
  <c r="F1114"/>
  <c r="B1121"/>
  <c r="B1122"/>
  <c r="G1133"/>
  <c r="F1136"/>
  <c r="G7" i="22"/>
  <c r="B14"/>
  <c r="G25"/>
  <c r="G34"/>
  <c r="F35"/>
  <c r="B42"/>
  <c r="B43"/>
  <c r="G54"/>
  <c r="F57"/>
  <c r="G60"/>
  <c r="B67"/>
  <c r="G78"/>
  <c r="G87" s="1"/>
  <c r="F88"/>
  <c r="B95"/>
  <c r="B96"/>
  <c r="G107"/>
  <c r="F110"/>
  <c r="G113"/>
  <c r="B120"/>
  <c r="G131"/>
  <c r="G140" s="1"/>
  <c r="F141"/>
  <c r="B148"/>
  <c r="B149"/>
  <c r="G160"/>
  <c r="F163"/>
  <c r="G166"/>
  <c r="B173"/>
  <c r="B184"/>
  <c r="F184"/>
  <c r="G184" s="1"/>
  <c r="G193" s="1"/>
  <c r="F194"/>
  <c r="B201"/>
  <c r="B202"/>
  <c r="G213"/>
  <c r="F216"/>
  <c r="G219"/>
  <c r="B226"/>
  <c r="B237"/>
  <c r="F237"/>
  <c r="G237" s="1"/>
  <c r="G246" s="1"/>
  <c r="F247"/>
  <c r="B254"/>
  <c r="B255"/>
  <c r="G266"/>
  <c r="F269"/>
  <c r="G272"/>
  <c r="B279"/>
  <c r="B290"/>
  <c r="F290"/>
  <c r="G290" s="1"/>
  <c r="G299" s="1"/>
  <c r="F300"/>
  <c r="B307"/>
  <c r="B308"/>
  <c r="G319"/>
  <c r="F322"/>
  <c r="G325"/>
  <c r="B332"/>
  <c r="B343"/>
  <c r="F343"/>
  <c r="G343" s="1"/>
  <c r="G352" s="1"/>
  <c r="F353"/>
  <c r="B360"/>
  <c r="B361"/>
  <c r="G372"/>
  <c r="F375"/>
  <c r="G378"/>
  <c r="B385"/>
  <c r="B396"/>
  <c r="F396"/>
  <c r="G396" s="1"/>
  <c r="B397"/>
  <c r="F397"/>
  <c r="G397" s="1"/>
  <c r="B398"/>
  <c r="F398"/>
  <c r="G398" s="1"/>
  <c r="B399"/>
  <c r="F399"/>
  <c r="G399" s="1"/>
  <c r="G405" s="1"/>
  <c r="B400"/>
  <c r="F400"/>
  <c r="G400" s="1"/>
  <c r="B401"/>
  <c r="F401"/>
  <c r="G401" s="1"/>
  <c r="F406"/>
  <c r="B413"/>
  <c r="B414"/>
  <c r="G425"/>
  <c r="F428"/>
  <c r="G431"/>
  <c r="B438"/>
  <c r="B449"/>
  <c r="F449"/>
  <c r="G449" s="1"/>
  <c r="B450"/>
  <c r="F450"/>
  <c r="G450" s="1"/>
  <c r="B451"/>
  <c r="F451"/>
  <c r="G451" s="1"/>
  <c r="B452"/>
  <c r="F452"/>
  <c r="G452" s="1"/>
  <c r="B453"/>
  <c r="F453"/>
  <c r="G453" s="1"/>
  <c r="B454"/>
  <c r="F454"/>
  <c r="G454" s="1"/>
  <c r="F459"/>
  <c r="B466"/>
  <c r="B467"/>
  <c r="G478"/>
  <c r="F481"/>
  <c r="G484"/>
  <c r="B491"/>
  <c r="B502"/>
  <c r="F502"/>
  <c r="G502" s="1"/>
  <c r="B503"/>
  <c r="F503"/>
  <c r="G503" s="1"/>
  <c r="B504"/>
  <c r="F504"/>
  <c r="G504" s="1"/>
  <c r="B505"/>
  <c r="F505"/>
  <c r="G505" s="1"/>
  <c r="B506"/>
  <c r="F506"/>
  <c r="G506" s="1"/>
  <c r="B507"/>
  <c r="F507"/>
  <c r="G507" s="1"/>
  <c r="F512"/>
  <c r="B519"/>
  <c r="B520"/>
  <c r="G531"/>
  <c r="F534"/>
  <c r="G537"/>
  <c r="B544"/>
  <c r="B555"/>
  <c r="F555"/>
  <c r="G555" s="1"/>
  <c r="B556"/>
  <c r="F556"/>
  <c r="G556" s="1"/>
  <c r="B557"/>
  <c r="F557"/>
  <c r="G557" s="1"/>
  <c r="B558"/>
  <c r="F558"/>
  <c r="G558" s="1"/>
  <c r="B559"/>
  <c r="F559"/>
  <c r="G559" s="1"/>
  <c r="B560"/>
  <c r="F560"/>
  <c r="G560" s="1"/>
  <c r="F565"/>
  <c r="B572"/>
  <c r="B573"/>
  <c r="G584"/>
  <c r="F587"/>
  <c r="G590"/>
  <c r="B597"/>
  <c r="B608"/>
  <c r="F608"/>
  <c r="G608" s="1"/>
  <c r="B609"/>
  <c r="F609"/>
  <c r="G609" s="1"/>
  <c r="B610"/>
  <c r="F610"/>
  <c r="G610" s="1"/>
  <c r="B611"/>
  <c r="F611"/>
  <c r="G611" s="1"/>
  <c r="G617" s="1"/>
  <c r="B612"/>
  <c r="F612"/>
  <c r="G612" s="1"/>
  <c r="B613"/>
  <c r="F613"/>
  <c r="G613" s="1"/>
  <c r="F618"/>
  <c r="B625"/>
  <c r="B626"/>
  <c r="G637"/>
  <c r="F640"/>
  <c r="G643"/>
  <c r="B650"/>
  <c r="B661"/>
  <c r="F661"/>
  <c r="G661" s="1"/>
  <c r="B662"/>
  <c r="F662"/>
  <c r="G662" s="1"/>
  <c r="B663"/>
  <c r="F663"/>
  <c r="G663" s="1"/>
  <c r="B664"/>
  <c r="F664"/>
  <c r="G664" s="1"/>
  <c r="B665"/>
  <c r="F665"/>
  <c r="G665" s="1"/>
  <c r="B666"/>
  <c r="F666"/>
  <c r="G666" s="1"/>
  <c r="F671"/>
  <c r="B678"/>
  <c r="B679"/>
  <c r="G690"/>
  <c r="F693"/>
  <c r="G696"/>
  <c r="B703"/>
  <c r="B714"/>
  <c r="F714"/>
  <c r="G714" s="1"/>
  <c r="B715"/>
  <c r="F715"/>
  <c r="G715" s="1"/>
  <c r="B716"/>
  <c r="F716"/>
  <c r="G716" s="1"/>
  <c r="B717"/>
  <c r="F717"/>
  <c r="G717" s="1"/>
  <c r="B718"/>
  <c r="F718"/>
  <c r="G718" s="1"/>
  <c r="B719"/>
  <c r="F719"/>
  <c r="G719" s="1"/>
  <c r="F724"/>
  <c r="B731"/>
  <c r="B732"/>
  <c r="G743"/>
  <c r="F746"/>
  <c r="G749"/>
  <c r="B756"/>
  <c r="B767"/>
  <c r="F767"/>
  <c r="G767" s="1"/>
  <c r="G776" s="1"/>
  <c r="B784"/>
  <c r="B785"/>
  <c r="G796"/>
  <c r="F799"/>
  <c r="G802"/>
  <c r="B809"/>
  <c r="G829"/>
  <c r="G830" s="1"/>
  <c r="G831" s="1"/>
  <c r="B837"/>
  <c r="B838"/>
  <c r="G849"/>
  <c r="F852"/>
  <c r="G7" i="21"/>
  <c r="B14"/>
  <c r="B25"/>
  <c r="F25"/>
  <c r="G25" s="1"/>
  <c r="B26"/>
  <c r="F26"/>
  <c r="G26" s="1"/>
  <c r="B27"/>
  <c r="F27"/>
  <c r="G27" s="1"/>
  <c r="F35"/>
  <c r="B42"/>
  <c r="B43"/>
  <c r="G54"/>
  <c r="F57"/>
  <c r="G60"/>
  <c r="B67"/>
  <c r="B78"/>
  <c r="F78"/>
  <c r="G78" s="1"/>
  <c r="B79"/>
  <c r="F79"/>
  <c r="G79" s="1"/>
  <c r="B80"/>
  <c r="F80"/>
  <c r="G80" s="1"/>
  <c r="F88"/>
  <c r="B95"/>
  <c r="B96"/>
  <c r="G107"/>
  <c r="F110"/>
  <c r="G113"/>
  <c r="B120"/>
  <c r="B121"/>
  <c r="E121"/>
  <c r="F121"/>
  <c r="G121"/>
  <c r="B122"/>
  <c r="E122"/>
  <c r="F122"/>
  <c r="G122"/>
  <c r="B131"/>
  <c r="F131"/>
  <c r="G131" s="1"/>
  <c r="B132"/>
  <c r="F132"/>
  <c r="G132" s="1"/>
  <c r="F141"/>
  <c r="B148"/>
  <c r="B149"/>
  <c r="G160"/>
  <c r="F163"/>
  <c r="G166"/>
  <c r="B173"/>
  <c r="B184"/>
  <c r="F184"/>
  <c r="G184" s="1"/>
  <c r="B185"/>
  <c r="F185"/>
  <c r="G185" s="1"/>
  <c r="B186"/>
  <c r="F186"/>
  <c r="G186" s="1"/>
  <c r="F194"/>
  <c r="B201"/>
  <c r="B202"/>
  <c r="G213"/>
  <c r="F216"/>
  <c r="G219"/>
  <c r="B226"/>
  <c r="B237"/>
  <c r="F237"/>
  <c r="G237" s="1"/>
  <c r="B238"/>
  <c r="F238"/>
  <c r="G238" s="1"/>
  <c r="G246" s="1"/>
  <c r="B239"/>
  <c r="F239"/>
  <c r="G239" s="1"/>
  <c r="F247"/>
  <c r="B254"/>
  <c r="B255"/>
  <c r="G266"/>
  <c r="F269"/>
  <c r="G272"/>
  <c r="B279"/>
  <c r="B290"/>
  <c r="F290"/>
  <c r="G290" s="1"/>
  <c r="B291"/>
  <c r="F291"/>
  <c r="G291" s="1"/>
  <c r="G299" s="1"/>
  <c r="G300" s="1"/>
  <c r="G301" s="1"/>
  <c r="B292"/>
  <c r="F292"/>
  <c r="G292" s="1"/>
  <c r="B293"/>
  <c r="F293"/>
  <c r="G293" s="1"/>
  <c r="F300"/>
  <c r="B307"/>
  <c r="B308"/>
  <c r="G319"/>
  <c r="F322"/>
  <c r="G325"/>
  <c r="B332"/>
  <c r="B343"/>
  <c r="F343"/>
  <c r="G343" s="1"/>
  <c r="B344"/>
  <c r="F344"/>
  <c r="G344" s="1"/>
  <c r="B345"/>
  <c r="F345"/>
  <c r="G345" s="1"/>
  <c r="B346"/>
  <c r="F346"/>
  <c r="G346" s="1"/>
  <c r="F353"/>
  <c r="B360"/>
  <c r="B361"/>
  <c r="G372"/>
  <c r="F375"/>
  <c r="G378"/>
  <c r="B385"/>
  <c r="B396"/>
  <c r="F396"/>
  <c r="G396" s="1"/>
  <c r="B397"/>
  <c r="F397"/>
  <c r="G397" s="1"/>
  <c r="B398"/>
  <c r="F398"/>
  <c r="G398" s="1"/>
  <c r="F406"/>
  <c r="B413"/>
  <c r="B414"/>
  <c r="G425"/>
  <c r="F428"/>
  <c r="G431"/>
  <c r="B438"/>
  <c r="B449"/>
  <c r="F449"/>
  <c r="G449" s="1"/>
  <c r="B450"/>
  <c r="F450"/>
  <c r="G450" s="1"/>
  <c r="G458" s="1"/>
  <c r="B451"/>
  <c r="F451"/>
  <c r="G451" s="1"/>
  <c r="B452"/>
  <c r="F452"/>
  <c r="G452" s="1"/>
  <c r="F459"/>
  <c r="B466"/>
  <c r="B467"/>
  <c r="G478"/>
  <c r="F481"/>
  <c r="G484"/>
  <c r="B491"/>
  <c r="B492"/>
  <c r="E492"/>
  <c r="F492"/>
  <c r="G492"/>
  <c r="B493"/>
  <c r="E493"/>
  <c r="F493"/>
  <c r="G493"/>
  <c r="B502"/>
  <c r="F502"/>
  <c r="G502" s="1"/>
  <c r="B503"/>
  <c r="F503"/>
  <c r="G503" s="1"/>
  <c r="B504"/>
  <c r="B505"/>
  <c r="F505"/>
  <c r="G505" s="1"/>
  <c r="B506"/>
  <c r="F506"/>
  <c r="G506" s="1"/>
  <c r="F512"/>
  <c r="B519"/>
  <c r="B520"/>
  <c r="G531"/>
  <c r="F534"/>
  <c r="G537"/>
  <c r="B544"/>
  <c r="B545"/>
  <c r="E545"/>
  <c r="F545"/>
  <c r="G545"/>
  <c r="B546"/>
  <c r="E546"/>
  <c r="F546"/>
  <c r="G546"/>
  <c r="B555"/>
  <c r="F555"/>
  <c r="G555" s="1"/>
  <c r="B556"/>
  <c r="F556"/>
  <c r="G556" s="1"/>
  <c r="B557"/>
  <c r="B558"/>
  <c r="F558"/>
  <c r="G558" s="1"/>
  <c r="B559"/>
  <c r="F559"/>
  <c r="G559" s="1"/>
  <c r="B560"/>
  <c r="G560"/>
  <c r="F565"/>
  <c r="B572"/>
  <c r="B573"/>
  <c r="G584"/>
  <c r="F587"/>
  <c r="G590"/>
  <c r="B597"/>
  <c r="B598"/>
  <c r="E598"/>
  <c r="F598"/>
  <c r="G598"/>
  <c r="B599"/>
  <c r="E599"/>
  <c r="F599"/>
  <c r="G599"/>
  <c r="B608"/>
  <c r="F608"/>
  <c r="G608" s="1"/>
  <c r="B609"/>
  <c r="F609"/>
  <c r="G609" s="1"/>
  <c r="B610"/>
  <c r="B611"/>
  <c r="F611"/>
  <c r="G611" s="1"/>
  <c r="B612"/>
  <c r="F612"/>
  <c r="G612" s="1"/>
  <c r="F618"/>
  <c r="B625"/>
  <c r="B626"/>
  <c r="G637"/>
  <c r="F640"/>
  <c r="G643"/>
  <c r="B650"/>
  <c r="B651"/>
  <c r="E651"/>
  <c r="F651"/>
  <c r="G651"/>
  <c r="B652"/>
  <c r="E652"/>
  <c r="F652"/>
  <c r="G652"/>
  <c r="B661"/>
  <c r="F661"/>
  <c r="G661" s="1"/>
  <c r="B662"/>
  <c r="F662"/>
  <c r="G662" s="1"/>
  <c r="B663"/>
  <c r="F663"/>
  <c r="G663" s="1"/>
  <c r="B664"/>
  <c r="F664"/>
  <c r="G664" s="1"/>
  <c r="F671"/>
  <c r="B678"/>
  <c r="B679"/>
  <c r="G690"/>
  <c r="F693"/>
  <c r="G696"/>
  <c r="B703"/>
  <c r="B704"/>
  <c r="E704"/>
  <c r="F704"/>
  <c r="B705"/>
  <c r="E705"/>
  <c r="F705"/>
  <c r="B714"/>
  <c r="F714"/>
  <c r="G714" s="1"/>
  <c r="G723" s="1"/>
  <c r="F724"/>
  <c r="B731"/>
  <c r="B732"/>
  <c r="G743"/>
  <c r="F746"/>
  <c r="G749"/>
  <c r="B756"/>
  <c r="B757"/>
  <c r="E757"/>
  <c r="F757"/>
  <c r="G757"/>
  <c r="B758"/>
  <c r="E758"/>
  <c r="F758"/>
  <c r="G758"/>
  <c r="B767"/>
  <c r="F767"/>
  <c r="G767" s="1"/>
  <c r="B768"/>
  <c r="F768"/>
  <c r="G768" s="1"/>
  <c r="F777"/>
  <c r="B784"/>
  <c r="B785"/>
  <c r="G796"/>
  <c r="F799"/>
  <c r="G802"/>
  <c r="B809"/>
  <c r="B810"/>
  <c r="E810"/>
  <c r="F810"/>
  <c r="G810"/>
  <c r="B811"/>
  <c r="E811"/>
  <c r="F811"/>
  <c r="G811"/>
  <c r="B820"/>
  <c r="F820"/>
  <c r="G820" s="1"/>
  <c r="B821"/>
  <c r="F821"/>
  <c r="G821" s="1"/>
  <c r="B822"/>
  <c r="F822"/>
  <c r="G822" s="1"/>
  <c r="F830"/>
  <c r="B837"/>
  <c r="B838"/>
  <c r="G849"/>
  <c r="F852"/>
  <c r="G855"/>
  <c r="B862"/>
  <c r="B863"/>
  <c r="E863"/>
  <c r="F863"/>
  <c r="G863"/>
  <c r="B864"/>
  <c r="E864"/>
  <c r="F864"/>
  <c r="G864"/>
  <c r="B873"/>
  <c r="F873"/>
  <c r="G873" s="1"/>
  <c r="G882" s="1"/>
  <c r="F883"/>
  <c r="B890"/>
  <c r="B891"/>
  <c r="G902"/>
  <c r="F905"/>
  <c r="G908"/>
  <c r="B915"/>
  <c r="B916"/>
  <c r="E916"/>
  <c r="G916" s="1"/>
  <c r="B917"/>
  <c r="E917"/>
  <c r="G917" s="1"/>
  <c r="B926"/>
  <c r="F926"/>
  <c r="G926" s="1"/>
  <c r="B927"/>
  <c r="F927"/>
  <c r="G927" s="1"/>
  <c r="B928"/>
  <c r="B929"/>
  <c r="F929"/>
  <c r="G929" s="1"/>
  <c r="B930"/>
  <c r="F930"/>
  <c r="G930" s="1"/>
  <c r="G931"/>
  <c r="F936"/>
  <c r="B943"/>
  <c r="B944"/>
  <c r="G955"/>
  <c r="F958"/>
  <c r="G961"/>
  <c r="B968"/>
  <c r="B969"/>
  <c r="E969"/>
  <c r="F969"/>
  <c r="G969"/>
  <c r="B970"/>
  <c r="E970"/>
  <c r="F970"/>
  <c r="G970"/>
  <c r="B979"/>
  <c r="F979"/>
  <c r="G979" s="1"/>
  <c r="B980"/>
  <c r="F980"/>
  <c r="G980" s="1"/>
  <c r="B981"/>
  <c r="F981"/>
  <c r="G981" s="1"/>
  <c r="F989"/>
  <c r="B996"/>
  <c r="B997"/>
  <c r="G1008"/>
  <c r="F1011"/>
  <c r="G1014"/>
  <c r="B1021"/>
  <c r="B1022"/>
  <c r="E1022"/>
  <c r="F1022"/>
  <c r="G1022"/>
  <c r="B1023"/>
  <c r="E1023"/>
  <c r="F1023"/>
  <c r="G1023"/>
  <c r="B1032"/>
  <c r="F1032"/>
  <c r="G1032" s="1"/>
  <c r="G1041" s="1"/>
  <c r="F1042"/>
  <c r="B1049"/>
  <c r="B1050"/>
  <c r="G1061"/>
  <c r="F1064"/>
  <c r="G1067"/>
  <c r="B1074"/>
  <c r="B1075"/>
  <c r="E1075"/>
  <c r="F1075"/>
  <c r="G1075"/>
  <c r="B1076"/>
  <c r="E1076"/>
  <c r="F1076"/>
  <c r="G1076"/>
  <c r="B1085"/>
  <c r="F1085"/>
  <c r="G1085" s="1"/>
  <c r="G1094" s="1"/>
  <c r="F1095"/>
  <c r="B1102"/>
  <c r="B1103"/>
  <c r="G1114"/>
  <c r="F1117"/>
  <c r="G1120"/>
  <c r="B1127"/>
  <c r="B1128"/>
  <c r="E1128"/>
  <c r="F1128"/>
  <c r="G1128"/>
  <c r="B1129"/>
  <c r="E1129"/>
  <c r="F1129"/>
  <c r="G1129"/>
  <c r="B1138"/>
  <c r="F1138"/>
  <c r="G1138" s="1"/>
  <c r="B1139"/>
  <c r="F1139"/>
  <c r="G1139" s="1"/>
  <c r="B1140"/>
  <c r="F1140"/>
  <c r="G1140" s="1"/>
  <c r="F1148"/>
  <c r="B1155"/>
  <c r="B1156"/>
  <c r="G1167"/>
  <c r="F1170"/>
  <c r="G1174"/>
  <c r="B1181"/>
  <c r="B1182"/>
  <c r="E1182"/>
  <c r="F1182"/>
  <c r="G1182"/>
  <c r="B1183"/>
  <c r="E1183"/>
  <c r="F1183"/>
  <c r="G1183"/>
  <c r="B1192"/>
  <c r="F1192"/>
  <c r="G1192" s="1"/>
  <c r="G1201" s="1"/>
  <c r="F1202"/>
  <c r="B1209"/>
  <c r="B1210"/>
  <c r="G1221"/>
  <c r="F1224"/>
  <c r="G7" i="23"/>
  <c r="B14"/>
  <c r="B25"/>
  <c r="F25"/>
  <c r="G25" s="1"/>
  <c r="B26"/>
  <c r="F26"/>
  <c r="G26" s="1"/>
  <c r="B27"/>
  <c r="F27"/>
  <c r="G27" s="1"/>
  <c r="B28"/>
  <c r="F28"/>
  <c r="G28" s="1"/>
  <c r="B29"/>
  <c r="F29"/>
  <c r="G29" s="1"/>
  <c r="B30"/>
  <c r="F30"/>
  <c r="G30" s="1"/>
  <c r="B31"/>
  <c r="F31"/>
  <c r="G31"/>
  <c r="B32"/>
  <c r="F32"/>
  <c r="G32" s="1"/>
  <c r="B33"/>
  <c r="F33"/>
  <c r="G33" s="1"/>
  <c r="F35"/>
  <c r="B42"/>
  <c r="B43"/>
  <c r="G54"/>
  <c r="F57"/>
  <c r="G60"/>
  <c r="B67"/>
  <c r="B78"/>
  <c r="F78"/>
  <c r="G78" s="1"/>
  <c r="B79"/>
  <c r="F79"/>
  <c r="G79" s="1"/>
  <c r="B80"/>
  <c r="F80"/>
  <c r="G80"/>
  <c r="B81"/>
  <c r="F81"/>
  <c r="G81" s="1"/>
  <c r="B82"/>
  <c r="F82"/>
  <c r="G82" s="1"/>
  <c r="B83"/>
  <c r="F83"/>
  <c r="G83" s="1"/>
  <c r="B84"/>
  <c r="F84"/>
  <c r="G84" s="1"/>
  <c r="G87" s="1"/>
  <c r="B85"/>
  <c r="F85"/>
  <c r="G85" s="1"/>
  <c r="B86"/>
  <c r="F86"/>
  <c r="G86" s="1"/>
  <c r="F88"/>
  <c r="B95"/>
  <c r="B96"/>
  <c r="G107"/>
  <c r="F110"/>
  <c r="G113"/>
  <c r="B120"/>
  <c r="B131"/>
  <c r="F131"/>
  <c r="G131" s="1"/>
  <c r="B132"/>
  <c r="F132"/>
  <c r="G132" s="1"/>
  <c r="B133"/>
  <c r="F133"/>
  <c r="G133" s="1"/>
  <c r="B134"/>
  <c r="F134"/>
  <c r="G134" s="1"/>
  <c r="B135"/>
  <c r="F135"/>
  <c r="G135" s="1"/>
  <c r="B136"/>
  <c r="F136"/>
  <c r="G136" s="1"/>
  <c r="B137"/>
  <c r="F137"/>
  <c r="G137"/>
  <c r="B138"/>
  <c r="F138"/>
  <c r="G138" s="1"/>
  <c r="B139"/>
  <c r="F139"/>
  <c r="G139" s="1"/>
  <c r="F141"/>
  <c r="B148"/>
  <c r="B149"/>
  <c r="G160"/>
  <c r="F163"/>
  <c r="G166"/>
  <c r="B173"/>
  <c r="B184"/>
  <c r="B185"/>
  <c r="F185"/>
  <c r="G185" s="1"/>
  <c r="B186"/>
  <c r="F186"/>
  <c r="G186" s="1"/>
  <c r="B187"/>
  <c r="F187"/>
  <c r="G187" s="1"/>
  <c r="B188"/>
  <c r="F188"/>
  <c r="G188" s="1"/>
  <c r="B189"/>
  <c r="F189"/>
  <c r="G189" s="1"/>
  <c r="B190"/>
  <c r="F190"/>
  <c r="G190"/>
  <c r="B191"/>
  <c r="F191"/>
  <c r="G191" s="1"/>
  <c r="B192"/>
  <c r="F192"/>
  <c r="G192" s="1"/>
  <c r="F194"/>
  <c r="B201"/>
  <c r="B202"/>
  <c r="G213"/>
  <c r="F216"/>
  <c r="G219"/>
  <c r="B226"/>
  <c r="B237"/>
  <c r="F237"/>
  <c r="G237" s="1"/>
  <c r="B238"/>
  <c r="F238"/>
  <c r="G238" s="1"/>
  <c r="B239"/>
  <c r="F239"/>
  <c r="G239"/>
  <c r="B240"/>
  <c r="F240"/>
  <c r="G240" s="1"/>
  <c r="B241"/>
  <c r="F241"/>
  <c r="G241" s="1"/>
  <c r="B242"/>
  <c r="F242"/>
  <c r="G242" s="1"/>
  <c r="B243"/>
  <c r="F243"/>
  <c r="G243" s="1"/>
  <c r="G246" s="1"/>
  <c r="B244"/>
  <c r="F244"/>
  <c r="G244" s="1"/>
  <c r="B245"/>
  <c r="F245"/>
  <c r="G245" s="1"/>
  <c r="F247"/>
  <c r="B254"/>
  <c r="B255"/>
  <c r="G266"/>
  <c r="F269"/>
  <c r="G272"/>
  <c r="B279"/>
  <c r="B290"/>
  <c r="F290"/>
  <c r="G290" s="1"/>
  <c r="B291"/>
  <c r="F291"/>
  <c r="G291" s="1"/>
  <c r="B292"/>
  <c r="F292"/>
  <c r="G292" s="1"/>
  <c r="G299" s="1"/>
  <c r="B293"/>
  <c r="F293"/>
  <c r="G293" s="1"/>
  <c r="B294"/>
  <c r="F294"/>
  <c r="G294" s="1"/>
  <c r="B295"/>
  <c r="F295"/>
  <c r="G295" s="1"/>
  <c r="B296"/>
  <c r="F296"/>
  <c r="G296"/>
  <c r="B297"/>
  <c r="F297"/>
  <c r="G297" s="1"/>
  <c r="B298"/>
  <c r="F298"/>
  <c r="G298" s="1"/>
  <c r="F300"/>
  <c r="B307"/>
  <c r="B308"/>
  <c r="G319"/>
  <c r="F322"/>
  <c r="G325"/>
  <c r="B332"/>
  <c r="B342"/>
  <c r="F342"/>
  <c r="G342" s="1"/>
  <c r="B343"/>
  <c r="F343"/>
  <c r="G343" s="1"/>
  <c r="B344"/>
  <c r="F344"/>
  <c r="G344"/>
  <c r="B345"/>
  <c r="F345"/>
  <c r="G345" s="1"/>
  <c r="B346"/>
  <c r="F346"/>
  <c r="G346" s="1"/>
  <c r="B347"/>
  <c r="F347"/>
  <c r="G347" s="1"/>
  <c r="B348"/>
  <c r="F348"/>
  <c r="G348" s="1"/>
  <c r="G352" s="1"/>
  <c r="B349"/>
  <c r="F349"/>
  <c r="G349" s="1"/>
  <c r="B350"/>
  <c r="F350"/>
  <c r="G350" s="1"/>
  <c r="B351"/>
  <c r="F351"/>
  <c r="G351" s="1"/>
  <c r="F353"/>
  <c r="B360"/>
  <c r="B361"/>
  <c r="G372"/>
  <c r="F375"/>
  <c r="G378"/>
  <c r="B385"/>
  <c r="B395"/>
  <c r="F395"/>
  <c r="G395" s="1"/>
  <c r="B396"/>
  <c r="F396"/>
  <c r="G396" s="1"/>
  <c r="B397"/>
  <c r="F397"/>
  <c r="G397" s="1"/>
  <c r="B398"/>
  <c r="F398"/>
  <c r="G398" s="1"/>
  <c r="B399"/>
  <c r="F399"/>
  <c r="G399" s="1"/>
  <c r="B400"/>
  <c r="F400"/>
  <c r="G400" s="1"/>
  <c r="B401"/>
  <c r="F401"/>
  <c r="G401" s="1"/>
  <c r="B402"/>
  <c r="F402"/>
  <c r="G402"/>
  <c r="B403"/>
  <c r="F403"/>
  <c r="G403" s="1"/>
  <c r="B404"/>
  <c r="F404"/>
  <c r="G404" s="1"/>
  <c r="F406"/>
  <c r="B413"/>
  <c r="B414"/>
  <c r="G425"/>
  <c r="F428"/>
  <c r="G431"/>
  <c r="B438"/>
  <c r="B449"/>
  <c r="F449"/>
  <c r="G449" s="1"/>
  <c r="B450"/>
  <c r="F450"/>
  <c r="G450" s="1"/>
  <c r="B451"/>
  <c r="F451"/>
  <c r="G451"/>
  <c r="F459"/>
  <c r="B466"/>
  <c r="B467"/>
  <c r="G478"/>
  <c r="F481"/>
  <c r="G484"/>
  <c r="B491"/>
  <c r="B502"/>
  <c r="F502"/>
  <c r="G502"/>
  <c r="B503"/>
  <c r="F503"/>
  <c r="G503" s="1"/>
  <c r="F512"/>
  <c r="B519"/>
  <c r="B520"/>
  <c r="G531"/>
  <c r="F534"/>
  <c r="G537"/>
  <c r="B544"/>
  <c r="B555"/>
  <c r="B556"/>
  <c r="F556"/>
  <c r="G556" s="1"/>
  <c r="F565"/>
  <c r="B572"/>
  <c r="B573"/>
  <c r="G584"/>
  <c r="F587"/>
  <c r="G590"/>
  <c r="B597"/>
  <c r="B608"/>
  <c r="F608"/>
  <c r="G608" s="1"/>
  <c r="G617" s="1"/>
  <c r="F618"/>
  <c r="B625"/>
  <c r="B626"/>
  <c r="G637"/>
  <c r="F640"/>
  <c r="G643"/>
  <c r="B650"/>
  <c r="B661"/>
  <c r="F661"/>
  <c r="G661" s="1"/>
  <c r="G670" s="1"/>
  <c r="F671"/>
  <c r="B678"/>
  <c r="B679"/>
  <c r="G690"/>
  <c r="F693"/>
  <c r="G696"/>
  <c r="B703"/>
  <c r="B714"/>
  <c r="F714"/>
  <c r="G714" s="1"/>
  <c r="B715"/>
  <c r="F715"/>
  <c r="G715" s="1"/>
  <c r="B716"/>
  <c r="F716"/>
  <c r="G716"/>
  <c r="F724"/>
  <c r="B731"/>
  <c r="B732"/>
  <c r="G743"/>
  <c r="F746"/>
  <c r="G749"/>
  <c r="B756"/>
  <c r="B767"/>
  <c r="F767"/>
  <c r="G767"/>
  <c r="G776" s="1"/>
  <c r="F777"/>
  <c r="B784"/>
  <c r="B785"/>
  <c r="G796"/>
  <c r="F799"/>
  <c r="G804"/>
  <c r="B811"/>
  <c r="B822"/>
  <c r="F822"/>
  <c r="G822" s="1"/>
  <c r="G831" s="1"/>
  <c r="F832"/>
  <c r="B839"/>
  <c r="B840"/>
  <c r="G851"/>
  <c r="F854"/>
  <c r="G859"/>
  <c r="B866"/>
  <c r="B877"/>
  <c r="F877"/>
  <c r="G877" s="1"/>
  <c r="G886" s="1"/>
  <c r="G887" s="1"/>
  <c r="F887"/>
  <c r="B894"/>
  <c r="B895"/>
  <c r="G906"/>
  <c r="F909"/>
  <c r="G914"/>
  <c r="B921"/>
  <c r="B932"/>
  <c r="G932"/>
  <c r="G941"/>
  <c r="F942"/>
  <c r="G942" s="1"/>
  <c r="B949"/>
  <c r="B950"/>
  <c r="G961"/>
  <c r="F964"/>
  <c r="G969"/>
  <c r="B976"/>
  <c r="B987"/>
  <c r="F987"/>
  <c r="G987" s="1"/>
  <c r="B988"/>
  <c r="F988"/>
  <c r="G988" s="1"/>
  <c r="F997"/>
  <c r="B1004"/>
  <c r="B1005"/>
  <c r="G1016"/>
  <c r="F1019"/>
  <c r="G1024"/>
  <c r="B1031"/>
  <c r="B1042"/>
  <c r="F1042"/>
  <c r="G1042" s="1"/>
  <c r="B1043"/>
  <c r="F1043"/>
  <c r="G1043" s="1"/>
  <c r="F1052"/>
  <c r="B1059"/>
  <c r="B1060"/>
  <c r="G1071"/>
  <c r="F1074"/>
  <c r="G7" i="24"/>
  <c r="B14"/>
  <c r="B15"/>
  <c r="E15"/>
  <c r="F15"/>
  <c r="G15"/>
  <c r="B16"/>
  <c r="E16"/>
  <c r="F16"/>
  <c r="G16"/>
  <c r="B25"/>
  <c r="F25"/>
  <c r="G25" s="1"/>
  <c r="B26"/>
  <c r="F26"/>
  <c r="G26" s="1"/>
  <c r="B27"/>
  <c r="F27"/>
  <c r="G27" s="1"/>
  <c r="B28"/>
  <c r="F28"/>
  <c r="G28"/>
  <c r="B29"/>
  <c r="F29"/>
  <c r="G29" s="1"/>
  <c r="B30"/>
  <c r="F30"/>
  <c r="G30" s="1"/>
  <c r="B31"/>
  <c r="D31"/>
  <c r="F31"/>
  <c r="G31" s="1"/>
  <c r="F35"/>
  <c r="B42"/>
  <c r="B43"/>
  <c r="G54"/>
  <c r="F57"/>
  <c r="G60"/>
  <c r="B67"/>
  <c r="B68"/>
  <c r="E68"/>
  <c r="F68"/>
  <c r="G68"/>
  <c r="B69"/>
  <c r="E69"/>
  <c r="F69"/>
  <c r="G69"/>
  <c r="B78"/>
  <c r="F78"/>
  <c r="G78" s="1"/>
  <c r="B79"/>
  <c r="F79"/>
  <c r="G79" s="1"/>
  <c r="B80"/>
  <c r="F80"/>
  <c r="G80" s="1"/>
  <c r="G86" s="1"/>
  <c r="G87" s="1"/>
  <c r="G88" s="1"/>
  <c r="B81"/>
  <c r="F81"/>
  <c r="G81" s="1"/>
  <c r="B82"/>
  <c r="F82"/>
  <c r="G82" s="1"/>
  <c r="B83"/>
  <c r="F83"/>
  <c r="G83" s="1"/>
  <c r="B84"/>
  <c r="D84"/>
  <c r="F84"/>
  <c r="G84" s="1"/>
  <c r="F87"/>
  <c r="B94"/>
  <c r="B95"/>
  <c r="G106"/>
  <c r="F109"/>
  <c r="G112"/>
  <c r="B119"/>
  <c r="B120"/>
  <c r="E120"/>
  <c r="F120"/>
  <c r="B121"/>
  <c r="E121"/>
  <c r="F121"/>
  <c r="B130"/>
  <c r="F130"/>
  <c r="G130" s="1"/>
  <c r="B131"/>
  <c r="F131"/>
  <c r="G131"/>
  <c r="B132"/>
  <c r="F132"/>
  <c r="G132" s="1"/>
  <c r="B133"/>
  <c r="F133"/>
  <c r="G133" s="1"/>
  <c r="B134"/>
  <c r="F134"/>
  <c r="G134" s="1"/>
  <c r="B135"/>
  <c r="F135"/>
  <c r="G135" s="1"/>
  <c r="B136"/>
  <c r="D136"/>
  <c r="F136"/>
  <c r="G136" s="1"/>
  <c r="F140"/>
  <c r="B147"/>
  <c r="B148"/>
  <c r="G159"/>
  <c r="F162"/>
  <c r="G165"/>
  <c r="B172"/>
  <c r="B173"/>
  <c r="E173"/>
  <c r="F173"/>
  <c r="B174"/>
  <c r="E174"/>
  <c r="F174"/>
  <c r="B183"/>
  <c r="F183"/>
  <c r="G183"/>
  <c r="B184"/>
  <c r="F184"/>
  <c r="G184" s="1"/>
  <c r="B185"/>
  <c r="F185"/>
  <c r="G185" s="1"/>
  <c r="B186"/>
  <c r="F186"/>
  <c r="G186" s="1"/>
  <c r="B187"/>
  <c r="F187"/>
  <c r="G187" s="1"/>
  <c r="B188"/>
  <c r="F188"/>
  <c r="G188" s="1"/>
  <c r="B189"/>
  <c r="D189"/>
  <c r="F189"/>
  <c r="G189" s="1"/>
  <c r="F193"/>
  <c r="B200"/>
  <c r="B201"/>
  <c r="G212"/>
  <c r="F215"/>
  <c r="G218"/>
  <c r="B225"/>
  <c r="B226"/>
  <c r="E226"/>
  <c r="F226"/>
  <c r="B227"/>
  <c r="E227"/>
  <c r="F227"/>
  <c r="B236"/>
  <c r="F236"/>
  <c r="G236" s="1"/>
  <c r="B237"/>
  <c r="F237"/>
  <c r="G237"/>
  <c r="B238"/>
  <c r="F238"/>
  <c r="G238" s="1"/>
  <c r="B239"/>
  <c r="F239"/>
  <c r="G239" s="1"/>
  <c r="B240"/>
  <c r="F240"/>
  <c r="G240" s="1"/>
  <c r="B241"/>
  <c r="F241"/>
  <c r="G241" s="1"/>
  <c r="G245" s="1"/>
  <c r="B242"/>
  <c r="F242"/>
  <c r="G242" s="1"/>
  <c r="F246"/>
  <c r="B253"/>
  <c r="B254"/>
  <c r="G265"/>
  <c r="F268"/>
  <c r="G271"/>
  <c r="B278"/>
  <c r="B279"/>
  <c r="E279"/>
  <c r="F279"/>
  <c r="B280"/>
  <c r="E280"/>
  <c r="F280"/>
  <c r="B289"/>
  <c r="F289"/>
  <c r="G289" s="1"/>
  <c r="B290"/>
  <c r="F290"/>
  <c r="G290" s="1"/>
  <c r="G298" s="1"/>
  <c r="B291"/>
  <c r="F291"/>
  <c r="G291" s="1"/>
  <c r="B292"/>
  <c r="F292"/>
  <c r="G292" s="1"/>
  <c r="B293"/>
  <c r="F293"/>
  <c r="G293" s="1"/>
  <c r="B294"/>
  <c r="F294"/>
  <c r="G294"/>
  <c r="B295"/>
  <c r="F295"/>
  <c r="G295" s="1"/>
  <c r="F299"/>
  <c r="B306"/>
  <c r="B307"/>
  <c r="G318"/>
  <c r="F321"/>
  <c r="G7" i="27"/>
  <c r="B14"/>
  <c r="B15"/>
  <c r="E15"/>
  <c r="G15" s="1"/>
  <c r="B16"/>
  <c r="E16"/>
  <c r="G16" s="1"/>
  <c r="B25"/>
  <c r="F25"/>
  <c r="G25" s="1"/>
  <c r="B26"/>
  <c r="F26"/>
  <c r="G26" s="1"/>
  <c r="B27"/>
  <c r="F27"/>
  <c r="G27" s="1"/>
  <c r="B28"/>
  <c r="F28"/>
  <c r="G28"/>
  <c r="F35"/>
  <c r="B42"/>
  <c r="B43"/>
  <c r="G54"/>
  <c r="F57"/>
  <c r="G60"/>
  <c r="B67"/>
  <c r="B68"/>
  <c r="E68"/>
  <c r="G68" s="1"/>
  <c r="B69"/>
  <c r="E69"/>
  <c r="G69" s="1"/>
  <c r="B78"/>
  <c r="F78"/>
  <c r="G78" s="1"/>
  <c r="B79"/>
  <c r="F79"/>
  <c r="G79" s="1"/>
  <c r="B80"/>
  <c r="F80"/>
  <c r="G80"/>
  <c r="B81"/>
  <c r="F81"/>
  <c r="G81" s="1"/>
  <c r="F88"/>
  <c r="B95"/>
  <c r="B96"/>
  <c r="G107"/>
  <c r="F110"/>
  <c r="G113"/>
  <c r="B120"/>
  <c r="B121"/>
  <c r="E121"/>
  <c r="G121" s="1"/>
  <c r="B122"/>
  <c r="E122"/>
  <c r="G122"/>
  <c r="B131"/>
  <c r="F131"/>
  <c r="G131" s="1"/>
  <c r="B132"/>
  <c r="F132"/>
  <c r="G132" s="1"/>
  <c r="B133"/>
  <c r="F133"/>
  <c r="G133" s="1"/>
  <c r="B134"/>
  <c r="F134"/>
  <c r="G134" s="1"/>
  <c r="F141"/>
  <c r="B148"/>
  <c r="B149"/>
  <c r="G160"/>
  <c r="F163"/>
  <c r="G166"/>
  <c r="B173"/>
  <c r="B174"/>
  <c r="E174"/>
  <c r="G174" s="1"/>
  <c r="B175"/>
  <c r="E175"/>
  <c r="G175" s="1"/>
  <c r="B184"/>
  <c r="F184"/>
  <c r="G184" s="1"/>
  <c r="B185"/>
  <c r="F185"/>
  <c r="G185" s="1"/>
  <c r="B186"/>
  <c r="F186"/>
  <c r="G186" s="1"/>
  <c r="G193" s="1"/>
  <c r="B187"/>
  <c r="F187"/>
  <c r="G187" s="1"/>
  <c r="F194"/>
  <c r="B201"/>
  <c r="B202"/>
  <c r="G213"/>
  <c r="F216"/>
  <c r="G219"/>
  <c r="B226"/>
  <c r="B227"/>
  <c r="E227"/>
  <c r="G227" s="1"/>
  <c r="B228"/>
  <c r="E228"/>
  <c r="G228" s="1"/>
  <c r="B237"/>
  <c r="F237"/>
  <c r="G237" s="1"/>
  <c r="B238"/>
  <c r="F238"/>
  <c r="G238" s="1"/>
  <c r="B239"/>
  <c r="F239"/>
  <c r="G239" s="1"/>
  <c r="B240"/>
  <c r="F240"/>
  <c r="G240" s="1"/>
  <c r="F247"/>
  <c r="B254"/>
  <c r="B255"/>
  <c r="G266"/>
  <c r="F269"/>
  <c r="G272"/>
  <c r="B279"/>
  <c r="B280"/>
  <c r="E280"/>
  <c r="G280" s="1"/>
  <c r="B281"/>
  <c r="E281"/>
  <c r="G281" s="1"/>
  <c r="B290"/>
  <c r="F290"/>
  <c r="G290" s="1"/>
  <c r="B291"/>
  <c r="F291"/>
  <c r="G291" s="1"/>
  <c r="B292"/>
  <c r="F292"/>
  <c r="G292" s="1"/>
  <c r="G299" s="1"/>
  <c r="B293"/>
  <c r="F293"/>
  <c r="G293" s="1"/>
  <c r="F300"/>
  <c r="B307"/>
  <c r="B308"/>
  <c r="G319"/>
  <c r="F322"/>
  <c r="G325"/>
  <c r="B332"/>
  <c r="B333"/>
  <c r="E333"/>
  <c r="G333" s="1"/>
  <c r="B334"/>
  <c r="E334"/>
  <c r="G334" s="1"/>
  <c r="B343"/>
  <c r="F343"/>
  <c r="G343" s="1"/>
  <c r="B344"/>
  <c r="F344"/>
  <c r="G344" s="1"/>
  <c r="B345"/>
  <c r="F345"/>
  <c r="G345" s="1"/>
  <c r="B346"/>
  <c r="F346"/>
  <c r="G346"/>
  <c r="F353"/>
  <c r="B360"/>
  <c r="B361"/>
  <c r="G372"/>
  <c r="F375"/>
  <c r="G378"/>
  <c r="B385"/>
  <c r="B386"/>
  <c r="E386"/>
  <c r="G386" s="1"/>
  <c r="B387"/>
  <c r="E387"/>
  <c r="G387" s="1"/>
  <c r="B396"/>
  <c r="F396"/>
  <c r="G396" s="1"/>
  <c r="B397"/>
  <c r="F397"/>
  <c r="G397" s="1"/>
  <c r="B398"/>
  <c r="F398"/>
  <c r="G398"/>
  <c r="B399"/>
  <c r="F399"/>
  <c r="G399" s="1"/>
  <c r="F406"/>
  <c r="B413"/>
  <c r="B414"/>
  <c r="G425"/>
  <c r="F428"/>
  <c r="G431"/>
  <c r="B438"/>
  <c r="B439"/>
  <c r="E439"/>
  <c r="G439" s="1"/>
  <c r="B440"/>
  <c r="E440"/>
  <c r="G440" s="1"/>
  <c r="B449"/>
  <c r="F449"/>
  <c r="G449" s="1"/>
  <c r="B450"/>
  <c r="F450"/>
  <c r="G450" s="1"/>
  <c r="B451"/>
  <c r="F451"/>
  <c r="G451" s="1"/>
  <c r="B452"/>
  <c r="F452"/>
  <c r="G452" s="1"/>
  <c r="F459"/>
  <c r="B466"/>
  <c r="B467"/>
  <c r="G478"/>
  <c r="F481"/>
  <c r="G484"/>
  <c r="B491"/>
  <c r="B492"/>
  <c r="E492"/>
  <c r="G492" s="1"/>
  <c r="B493"/>
  <c r="E493"/>
  <c r="G493" s="1"/>
  <c r="B502"/>
  <c r="F502"/>
  <c r="G502" s="1"/>
  <c r="B503"/>
  <c r="F503"/>
  <c r="G503" s="1"/>
  <c r="B504"/>
  <c r="F504"/>
  <c r="G504" s="1"/>
  <c r="B505"/>
  <c r="F505"/>
  <c r="G505" s="1"/>
  <c r="F512"/>
  <c r="B519"/>
  <c r="B520"/>
  <c r="G531"/>
  <c r="F534"/>
  <c r="G537"/>
  <c r="B544"/>
  <c r="B545"/>
  <c r="E545"/>
  <c r="G545" s="1"/>
  <c r="B546"/>
  <c r="E546"/>
  <c r="G546" s="1"/>
  <c r="B555"/>
  <c r="F555"/>
  <c r="G555" s="1"/>
  <c r="G564" s="1"/>
  <c r="B556"/>
  <c r="F556"/>
  <c r="G556" s="1"/>
  <c r="B557"/>
  <c r="F557"/>
  <c r="G557" s="1"/>
  <c r="B558"/>
  <c r="F558"/>
  <c r="G558" s="1"/>
  <c r="F565"/>
  <c r="B572"/>
  <c r="B573"/>
  <c r="G584"/>
  <c r="F587"/>
  <c r="G590"/>
  <c r="B597"/>
  <c r="B598"/>
  <c r="E598"/>
  <c r="G598" s="1"/>
  <c r="B599"/>
  <c r="E599"/>
  <c r="G599" s="1"/>
  <c r="B608"/>
  <c r="F608"/>
  <c r="G608" s="1"/>
  <c r="B609"/>
  <c r="F609"/>
  <c r="G609" s="1"/>
  <c r="G617" s="1"/>
  <c r="B610"/>
  <c r="F610"/>
  <c r="G610" s="1"/>
  <c r="B611"/>
  <c r="F611"/>
  <c r="G611" s="1"/>
  <c r="F618"/>
  <c r="B625"/>
  <c r="B626"/>
  <c r="G637"/>
  <c r="F640"/>
  <c r="G643"/>
  <c r="B650"/>
  <c r="B651"/>
  <c r="E651"/>
  <c r="G651" s="1"/>
  <c r="B652"/>
  <c r="E652"/>
  <c r="G652" s="1"/>
  <c r="B661"/>
  <c r="F661"/>
  <c r="G661" s="1"/>
  <c r="G670" s="1"/>
  <c r="G671" s="1"/>
  <c r="G672" s="1"/>
  <c r="B662"/>
  <c r="F662"/>
  <c r="G662" s="1"/>
  <c r="B663"/>
  <c r="F663"/>
  <c r="G663" s="1"/>
  <c r="B664"/>
  <c r="F664"/>
  <c r="G664" s="1"/>
  <c r="F671"/>
  <c r="B678"/>
  <c r="B679"/>
  <c r="G690"/>
  <c r="F693"/>
  <c r="G696"/>
  <c r="B703"/>
  <c r="B704"/>
  <c r="E704"/>
  <c r="G704" s="1"/>
  <c r="B705"/>
  <c r="E705"/>
  <c r="G705" s="1"/>
  <c r="B714"/>
  <c r="F714"/>
  <c r="G714" s="1"/>
  <c r="B715"/>
  <c r="F715"/>
  <c r="G715" s="1"/>
  <c r="G723" s="1"/>
  <c r="G724" s="1"/>
  <c r="B716"/>
  <c r="F716"/>
  <c r="G716" s="1"/>
  <c r="B717"/>
  <c r="F717"/>
  <c r="G717" s="1"/>
  <c r="F724"/>
  <c r="B731"/>
  <c r="B732"/>
  <c r="G743"/>
  <c r="F746"/>
  <c r="G749"/>
  <c r="B756"/>
  <c r="B757"/>
  <c r="E757"/>
  <c r="G757" s="1"/>
  <c r="B758"/>
  <c r="E758"/>
  <c r="G758" s="1"/>
  <c r="B767"/>
  <c r="F767"/>
  <c r="G767" s="1"/>
  <c r="B768"/>
  <c r="F768"/>
  <c r="G768" s="1"/>
  <c r="B769"/>
  <c r="F769"/>
  <c r="G769" s="1"/>
  <c r="B770"/>
  <c r="F770"/>
  <c r="G770" s="1"/>
  <c r="F777"/>
  <c r="B784"/>
  <c r="B785"/>
  <c r="G796"/>
  <c r="F799"/>
  <c r="G802"/>
  <c r="B809"/>
  <c r="B810"/>
  <c r="E810"/>
  <c r="G810" s="1"/>
  <c r="B811"/>
  <c r="E811"/>
  <c r="G811" s="1"/>
  <c r="B820"/>
  <c r="F820"/>
  <c r="G820" s="1"/>
  <c r="B821"/>
  <c r="F821"/>
  <c r="G821" s="1"/>
  <c r="B822"/>
  <c r="F822"/>
  <c r="G822" s="1"/>
  <c r="B823"/>
  <c r="F823"/>
  <c r="G823" s="1"/>
  <c r="F830"/>
  <c r="B837"/>
  <c r="B838"/>
  <c r="G849"/>
  <c r="F852"/>
  <c r="G855"/>
  <c r="B862"/>
  <c r="B863"/>
  <c r="E863"/>
  <c r="G863" s="1"/>
  <c r="B864"/>
  <c r="E864"/>
  <c r="G864" s="1"/>
  <c r="B873"/>
  <c r="F873"/>
  <c r="G873" s="1"/>
  <c r="B874"/>
  <c r="F874"/>
  <c r="G874" s="1"/>
  <c r="B875"/>
  <c r="F875"/>
  <c r="G875" s="1"/>
  <c r="B876"/>
  <c r="F876"/>
  <c r="G876" s="1"/>
  <c r="F883"/>
  <c r="B890"/>
  <c r="B891"/>
  <c r="G902"/>
  <c r="F905"/>
  <c r="G908"/>
  <c r="B915"/>
  <c r="B916"/>
  <c r="E916"/>
  <c r="G916" s="1"/>
  <c r="B917"/>
  <c r="E917"/>
  <c r="G917" s="1"/>
  <c r="B926"/>
  <c r="F926"/>
  <c r="G926" s="1"/>
  <c r="B927"/>
  <c r="F927"/>
  <c r="G927" s="1"/>
  <c r="B928"/>
  <c r="F928"/>
  <c r="G928" s="1"/>
  <c r="B929"/>
  <c r="F929"/>
  <c r="G929" s="1"/>
  <c r="F936"/>
  <c r="B943"/>
  <c r="B944"/>
  <c r="G955"/>
  <c r="F958"/>
  <c r="G961"/>
  <c r="B968"/>
  <c r="B969"/>
  <c r="E969"/>
  <c r="G969" s="1"/>
  <c r="B970"/>
  <c r="E970"/>
  <c r="G970" s="1"/>
  <c r="B979"/>
  <c r="F979"/>
  <c r="G979" s="1"/>
  <c r="B980"/>
  <c r="B981"/>
  <c r="F981"/>
  <c r="G981" s="1"/>
  <c r="B982"/>
  <c r="F982"/>
  <c r="G982" s="1"/>
  <c r="F989"/>
  <c r="B996"/>
  <c r="B997"/>
  <c r="G1008"/>
  <c r="F1011"/>
  <c r="G1014"/>
  <c r="B1021"/>
  <c r="B1022"/>
  <c r="E1022"/>
  <c r="G1022" s="1"/>
  <c r="B1023"/>
  <c r="E1023"/>
  <c r="G1023" s="1"/>
  <c r="B1032"/>
  <c r="F1032"/>
  <c r="G1032" s="1"/>
  <c r="B1033"/>
  <c r="F1033"/>
  <c r="G1033" s="1"/>
  <c r="B1034"/>
  <c r="F1034"/>
  <c r="G1034" s="1"/>
  <c r="F1042"/>
  <c r="B1049"/>
  <c r="B1050"/>
  <c r="G1061"/>
  <c r="F1064"/>
  <c r="G1067"/>
  <c r="B1074"/>
  <c r="B1075"/>
  <c r="E1075"/>
  <c r="G1075" s="1"/>
  <c r="B1076"/>
  <c r="E1076"/>
  <c r="G1076" s="1"/>
  <c r="B1085"/>
  <c r="F1085"/>
  <c r="G1085" s="1"/>
  <c r="B1086"/>
  <c r="F1086"/>
  <c r="G1086"/>
  <c r="F1095"/>
  <c r="B1102"/>
  <c r="B1103"/>
  <c r="G1114"/>
  <c r="F1117"/>
  <c r="G1120"/>
  <c r="B1127"/>
  <c r="B1128"/>
  <c r="E1128"/>
  <c r="G1128" s="1"/>
  <c r="B1129"/>
  <c r="E1129"/>
  <c r="G1129" s="1"/>
  <c r="B1138"/>
  <c r="F1138"/>
  <c r="G1138" s="1"/>
  <c r="B1139"/>
  <c r="F1139"/>
  <c r="G1139" s="1"/>
  <c r="F1148"/>
  <c r="B1155"/>
  <c r="B1156"/>
  <c r="G1167"/>
  <c r="F1170"/>
  <c r="G1173"/>
  <c r="B1180"/>
  <c r="B1181"/>
  <c r="E1181"/>
  <c r="G1181" s="1"/>
  <c r="B1182"/>
  <c r="E1182"/>
  <c r="G1182" s="1"/>
  <c r="B1191"/>
  <c r="F1191"/>
  <c r="G1191" s="1"/>
  <c r="B1192"/>
  <c r="F1192"/>
  <c r="G1192" s="1"/>
  <c r="G1200" s="1"/>
  <c r="F1201"/>
  <c r="B1208"/>
  <c r="B1209"/>
  <c r="G1220"/>
  <c r="F1223"/>
  <c r="G1226"/>
  <c r="B1233"/>
  <c r="B1234"/>
  <c r="E1234"/>
  <c r="G1234" s="1"/>
  <c r="B1235"/>
  <c r="E1235"/>
  <c r="G1235" s="1"/>
  <c r="B1244"/>
  <c r="F1244"/>
  <c r="G1244" s="1"/>
  <c r="B1245"/>
  <c r="F1245"/>
  <c r="G1245" s="1"/>
  <c r="F1254"/>
  <c r="B1261"/>
  <c r="B1262"/>
  <c r="G1273"/>
  <c r="F1276"/>
  <c r="G1279"/>
  <c r="B1286"/>
  <c r="B1287"/>
  <c r="E1287"/>
  <c r="G1287" s="1"/>
  <c r="B1288"/>
  <c r="E1288"/>
  <c r="G1288" s="1"/>
  <c r="B1297"/>
  <c r="F1297"/>
  <c r="G1297" s="1"/>
  <c r="B1298"/>
  <c r="F1298"/>
  <c r="G1298"/>
  <c r="F1307"/>
  <c r="B1314"/>
  <c r="B1315"/>
  <c r="G1326"/>
  <c r="F1329"/>
  <c r="G1332"/>
  <c r="B1339"/>
  <c r="B1340"/>
  <c r="E1340"/>
  <c r="G1340" s="1"/>
  <c r="B1341"/>
  <c r="E1341"/>
  <c r="G1341" s="1"/>
  <c r="B1350"/>
  <c r="F1350"/>
  <c r="G1350" s="1"/>
  <c r="B1351"/>
  <c r="F1351"/>
  <c r="G1351" s="1"/>
  <c r="F1360"/>
  <c r="B1367"/>
  <c r="B1368"/>
  <c r="G1379"/>
  <c r="F1382"/>
  <c r="G1385"/>
  <c r="B1392"/>
  <c r="B1393"/>
  <c r="E1393"/>
  <c r="G1393" s="1"/>
  <c r="B1394"/>
  <c r="E1394"/>
  <c r="G1394" s="1"/>
  <c r="B1403"/>
  <c r="F1403"/>
  <c r="G1403" s="1"/>
  <c r="B1404"/>
  <c r="F1404"/>
  <c r="G1404" s="1"/>
  <c r="G1412" s="1"/>
  <c r="G1413" s="1"/>
  <c r="G1414" s="1"/>
  <c r="B1405"/>
  <c r="F1405"/>
  <c r="G1405" s="1"/>
  <c r="F1413"/>
  <c r="B1420"/>
  <c r="B1421"/>
  <c r="G1432"/>
  <c r="F1435"/>
  <c r="G1439"/>
  <c r="B1446"/>
  <c r="B1457"/>
  <c r="F1457"/>
  <c r="G1457" s="1"/>
  <c r="B1458"/>
  <c r="F1458"/>
  <c r="G1458" s="1"/>
  <c r="G1466" s="1"/>
  <c r="G1467" s="1"/>
  <c r="B1459"/>
  <c r="F1459"/>
  <c r="G1459" s="1"/>
  <c r="F1467"/>
  <c r="B1474"/>
  <c r="B1475"/>
  <c r="G1486"/>
  <c r="F1489"/>
  <c r="G1493"/>
  <c r="B1500"/>
  <c r="B1501"/>
  <c r="E1501"/>
  <c r="G1501" s="1"/>
  <c r="B1511"/>
  <c r="F1511"/>
  <c r="G1511" s="1"/>
  <c r="G1520" s="1"/>
  <c r="B1512"/>
  <c r="F1512"/>
  <c r="G1512" s="1"/>
  <c r="B1513"/>
  <c r="F1513"/>
  <c r="G1513" s="1"/>
  <c r="F1521"/>
  <c r="B1528"/>
  <c r="B1529"/>
  <c r="G1540"/>
  <c r="F1543"/>
  <c r="G7" i="25"/>
  <c r="B14"/>
  <c r="B25"/>
  <c r="B26"/>
  <c r="F26"/>
  <c r="G26" s="1"/>
  <c r="B27"/>
  <c r="F27"/>
  <c r="G27"/>
  <c r="B28"/>
  <c r="F28"/>
  <c r="G28" s="1"/>
  <c r="F35"/>
  <c r="B42"/>
  <c r="B43"/>
  <c r="G54"/>
  <c r="F57"/>
  <c r="G60"/>
  <c r="B67"/>
  <c r="B78"/>
  <c r="B79"/>
  <c r="F79"/>
  <c r="G79" s="1"/>
  <c r="B80"/>
  <c r="F80"/>
  <c r="G80" s="1"/>
  <c r="F88"/>
  <c r="B95"/>
  <c r="B96"/>
  <c r="G107"/>
  <c r="F110"/>
  <c r="G113"/>
  <c r="B120"/>
  <c r="B131"/>
  <c r="B132"/>
  <c r="F132"/>
  <c r="G132" s="1"/>
  <c r="B133"/>
  <c r="F133"/>
  <c r="G133" s="1"/>
  <c r="F141"/>
  <c r="B148"/>
  <c r="B149"/>
  <c r="G160"/>
  <c r="F163"/>
  <c r="G166"/>
  <c r="B173"/>
  <c r="B184"/>
  <c r="G185"/>
  <c r="F194"/>
  <c r="B201"/>
  <c r="B202"/>
  <c r="G213"/>
  <c r="F216"/>
  <c r="G219"/>
  <c r="B226"/>
  <c r="B237"/>
  <c r="B238"/>
  <c r="F238"/>
  <c r="G238" s="1"/>
  <c r="F247"/>
  <c r="B254"/>
  <c r="B255"/>
  <c r="G266"/>
  <c r="F269"/>
  <c r="G272"/>
  <c r="B279"/>
  <c r="B290"/>
  <c r="B291"/>
  <c r="F291"/>
  <c r="G291" s="1"/>
  <c r="F300"/>
  <c r="B307"/>
  <c r="B308"/>
  <c r="G319"/>
  <c r="F322"/>
  <c r="G325"/>
  <c r="B332"/>
  <c r="B333"/>
  <c r="B334"/>
  <c r="E334"/>
  <c r="G334" s="1"/>
  <c r="B343"/>
  <c r="F353"/>
  <c r="B360"/>
  <c r="B361"/>
  <c r="G372"/>
  <c r="F375"/>
  <c r="G378"/>
  <c r="B385"/>
  <c r="B396"/>
  <c r="B397"/>
  <c r="F397"/>
  <c r="G397" s="1"/>
  <c r="F406"/>
  <c r="B413"/>
  <c r="B414"/>
  <c r="G425"/>
  <c r="F428"/>
  <c r="G431"/>
  <c r="B438"/>
  <c r="B449"/>
  <c r="B450"/>
  <c r="F450"/>
  <c r="G450" s="1"/>
  <c r="F459"/>
  <c r="B466"/>
  <c r="B467"/>
  <c r="G478"/>
  <c r="F481"/>
  <c r="G484"/>
  <c r="B491"/>
  <c r="B502"/>
  <c r="B503"/>
  <c r="F503"/>
  <c r="G503" s="1"/>
  <c r="F512"/>
  <c r="B519"/>
  <c r="B520"/>
  <c r="G531"/>
  <c r="F534"/>
  <c r="G537"/>
  <c r="B544"/>
  <c r="B555"/>
  <c r="F555"/>
  <c r="G555" s="1"/>
  <c r="B556"/>
  <c r="B557"/>
  <c r="F557"/>
  <c r="G557" s="1"/>
  <c r="B558"/>
  <c r="F558"/>
  <c r="G558" s="1"/>
  <c r="B559"/>
  <c r="F559"/>
  <c r="G559" s="1"/>
  <c r="F565"/>
  <c r="B572"/>
  <c r="B573"/>
  <c r="G584"/>
  <c r="F587"/>
  <c r="G590"/>
  <c r="B597"/>
  <c r="B608"/>
  <c r="F608"/>
  <c r="G608" s="1"/>
  <c r="B609"/>
  <c r="B610"/>
  <c r="F610"/>
  <c r="G610" s="1"/>
  <c r="B611"/>
  <c r="F611"/>
  <c r="G611"/>
  <c r="B612"/>
  <c r="F612"/>
  <c r="G612" s="1"/>
  <c r="F618"/>
  <c r="B625"/>
  <c r="B626"/>
  <c r="G637"/>
  <c r="F640"/>
  <c r="G643"/>
  <c r="B650"/>
  <c r="B661"/>
  <c r="F661"/>
  <c r="G661" s="1"/>
  <c r="B662"/>
  <c r="B663"/>
  <c r="F663"/>
  <c r="G663" s="1"/>
  <c r="B664"/>
  <c r="F664"/>
  <c r="G664" s="1"/>
  <c r="B665"/>
  <c r="F665"/>
  <c r="G665" s="1"/>
  <c r="F671"/>
  <c r="B678"/>
  <c r="B679"/>
  <c r="G690"/>
  <c r="F693"/>
  <c r="G696"/>
  <c r="B703"/>
  <c r="B714"/>
  <c r="F714"/>
  <c r="G714" s="1"/>
  <c r="B715"/>
  <c r="B716"/>
  <c r="F716"/>
  <c r="G716" s="1"/>
  <c r="B717"/>
  <c r="F717"/>
  <c r="G717" s="1"/>
  <c r="B718"/>
  <c r="F718"/>
  <c r="G718" s="1"/>
  <c r="F724"/>
  <c r="B731"/>
  <c r="B732"/>
  <c r="G743"/>
  <c r="F746"/>
  <c r="G749"/>
  <c r="B756"/>
  <c r="B767"/>
  <c r="F767"/>
  <c r="G767" s="1"/>
  <c r="B768"/>
  <c r="B769"/>
  <c r="F769"/>
  <c r="G769" s="1"/>
  <c r="B770"/>
  <c r="F770"/>
  <c r="G770" s="1"/>
  <c r="F777"/>
  <c r="B784"/>
  <c r="B785"/>
  <c r="G796"/>
  <c r="F799"/>
  <c r="G802"/>
  <c r="G810"/>
  <c r="G820"/>
  <c r="G821"/>
  <c r="G822"/>
  <c r="G849"/>
  <c r="G855"/>
  <c r="B862"/>
  <c r="B873"/>
  <c r="F873"/>
  <c r="G873" s="1"/>
  <c r="B874"/>
  <c r="B875"/>
  <c r="F875"/>
  <c r="G875" s="1"/>
  <c r="B876"/>
  <c r="F876"/>
  <c r="G876" s="1"/>
  <c r="F883"/>
  <c r="B890"/>
  <c r="B891"/>
  <c r="G902"/>
  <c r="F905"/>
  <c r="G908"/>
  <c r="G916"/>
  <c r="G926"/>
  <c r="G928"/>
  <c r="G929"/>
  <c r="G930"/>
  <c r="G931"/>
  <c r="G932"/>
  <c r="G955"/>
  <c r="G961"/>
  <c r="B968"/>
  <c r="B979"/>
  <c r="F979"/>
  <c r="G979" s="1"/>
  <c r="B980"/>
  <c r="B981"/>
  <c r="F981"/>
  <c r="G981" s="1"/>
  <c r="B982"/>
  <c r="F982"/>
  <c r="G982" s="1"/>
  <c r="B983"/>
  <c r="F983"/>
  <c r="G983" s="1"/>
  <c r="F989"/>
  <c r="B996"/>
  <c r="B997"/>
  <c r="G1008"/>
  <c r="F1011"/>
  <c r="G1014"/>
  <c r="B1021"/>
  <c r="B1032"/>
  <c r="F1032"/>
  <c r="G1032" s="1"/>
  <c r="B1033"/>
  <c r="F1033"/>
  <c r="G1033" s="1"/>
  <c r="B1034"/>
  <c r="B1035"/>
  <c r="F1035"/>
  <c r="G1035" s="1"/>
  <c r="B1036"/>
  <c r="F1036"/>
  <c r="G1036" s="1"/>
  <c r="B1037"/>
  <c r="F1037"/>
  <c r="G1037" s="1"/>
  <c r="B1038"/>
  <c r="F1038"/>
  <c r="G1038" s="1"/>
  <c r="B1039"/>
  <c r="F1039"/>
  <c r="G1039" s="1"/>
  <c r="F1042"/>
  <c r="B1049"/>
  <c r="B1050"/>
  <c r="G1061"/>
  <c r="F1064"/>
  <c r="G1067"/>
  <c r="B1074"/>
  <c r="B1085"/>
  <c r="F1085"/>
  <c r="G1085" s="1"/>
  <c r="B1086"/>
  <c r="F1086"/>
  <c r="G1086" s="1"/>
  <c r="B1087"/>
  <c r="B1088"/>
  <c r="F1088"/>
  <c r="G1088" s="1"/>
  <c r="B1089"/>
  <c r="F1089"/>
  <c r="G1089" s="1"/>
  <c r="F1095"/>
  <c r="B1102"/>
  <c r="B1103"/>
  <c r="G1114"/>
  <c r="F1117"/>
  <c r="G1120"/>
  <c r="B1127"/>
  <c r="B1138"/>
  <c r="F1138"/>
  <c r="G1138" s="1"/>
  <c r="B1139"/>
  <c r="F1139"/>
  <c r="G1139" s="1"/>
  <c r="B1140"/>
  <c r="B1141"/>
  <c r="F1141"/>
  <c r="G1141" s="1"/>
  <c r="B1142"/>
  <c r="F1142"/>
  <c r="G1142" s="1"/>
  <c r="F1148"/>
  <c r="B1155"/>
  <c r="B1156"/>
  <c r="G1167"/>
  <c r="F1170"/>
  <c r="G1173"/>
  <c r="B1180"/>
  <c r="B1191"/>
  <c r="F1191"/>
  <c r="G1191" s="1"/>
  <c r="B1192"/>
  <c r="F1192"/>
  <c r="G1192" s="1"/>
  <c r="B1193"/>
  <c r="B1194"/>
  <c r="F1194"/>
  <c r="G1194" s="1"/>
  <c r="B1195"/>
  <c r="F1195"/>
  <c r="G1195" s="1"/>
  <c r="F1201"/>
  <c r="B1208"/>
  <c r="B1209"/>
  <c r="G1220"/>
  <c r="F1223"/>
  <c r="G1226"/>
  <c r="B1233"/>
  <c r="B1244"/>
  <c r="F1244"/>
  <c r="G1244" s="1"/>
  <c r="B1245"/>
  <c r="F1245"/>
  <c r="G1245" s="1"/>
  <c r="B1246"/>
  <c r="B1247"/>
  <c r="F1247"/>
  <c r="G1247" s="1"/>
  <c r="B1248"/>
  <c r="F1248"/>
  <c r="G1248" s="1"/>
  <c r="F1254"/>
  <c r="B1261"/>
  <c r="B1262"/>
  <c r="G1273"/>
  <c r="F1276"/>
  <c r="G1279"/>
  <c r="G1297"/>
  <c r="G1298"/>
  <c r="G1299"/>
  <c r="G1300"/>
  <c r="G1325"/>
  <c r="G1331"/>
  <c r="B1338"/>
  <c r="B1349"/>
  <c r="F1349"/>
  <c r="G1349" s="1"/>
  <c r="B1350"/>
  <c r="F1350"/>
  <c r="G1350" s="1"/>
  <c r="B1351"/>
  <c r="B1352"/>
  <c r="F1352"/>
  <c r="G1352" s="1"/>
  <c r="B1353"/>
  <c r="F1353"/>
  <c r="G1353" s="1"/>
  <c r="F1359"/>
  <c r="B1366"/>
  <c r="B1367"/>
  <c r="G1378"/>
  <c r="F1381"/>
  <c r="G1384"/>
  <c r="B1391"/>
  <c r="B1402"/>
  <c r="F1402"/>
  <c r="G1402" s="1"/>
  <c r="B1403"/>
  <c r="F1403"/>
  <c r="G1403" s="1"/>
  <c r="B1404"/>
  <c r="B1405"/>
  <c r="F1405"/>
  <c r="G1405" s="1"/>
  <c r="B1406"/>
  <c r="F1406"/>
  <c r="G1406" s="1"/>
  <c r="F1412"/>
  <c r="B1419"/>
  <c r="B1420"/>
  <c r="G1431"/>
  <c r="F1434"/>
  <c r="G1437"/>
  <c r="B1444"/>
  <c r="B1455"/>
  <c r="F1455"/>
  <c r="G1455" s="1"/>
  <c r="B1456"/>
  <c r="F1456"/>
  <c r="G1456" s="1"/>
  <c r="B1457"/>
  <c r="B1458"/>
  <c r="F1458"/>
  <c r="G1458" s="1"/>
  <c r="B1459"/>
  <c r="F1459"/>
  <c r="G1459" s="1"/>
  <c r="F1465"/>
  <c r="B1472"/>
  <c r="B1473"/>
  <c r="G1484"/>
  <c r="F1487"/>
  <c r="G1490"/>
  <c r="B1497"/>
  <c r="B1508"/>
  <c r="F1508"/>
  <c r="G1508" s="1"/>
  <c r="B1509"/>
  <c r="B1510"/>
  <c r="F1510"/>
  <c r="G1510" s="1"/>
  <c r="B1511"/>
  <c r="F1511"/>
  <c r="G1511" s="1"/>
  <c r="F1518"/>
  <c r="B1525"/>
  <c r="B1526"/>
  <c r="G1537"/>
  <c r="F1540"/>
  <c r="G1543"/>
  <c r="B1550"/>
  <c r="B1561"/>
  <c r="F1561"/>
  <c r="G1561" s="1"/>
  <c r="B1562"/>
  <c r="B1563"/>
  <c r="F1563"/>
  <c r="G1563" s="1"/>
  <c r="B1564"/>
  <c r="F1564"/>
  <c r="G1564" s="1"/>
  <c r="F1571"/>
  <c r="B1578"/>
  <c r="B1579"/>
  <c r="G1590"/>
  <c r="F1593"/>
  <c r="G1596"/>
  <c r="B1603"/>
  <c r="B1614"/>
  <c r="F1614"/>
  <c r="G1614" s="1"/>
  <c r="B1615"/>
  <c r="B1616"/>
  <c r="F1616"/>
  <c r="G1616" s="1"/>
  <c r="B1617"/>
  <c r="F1617"/>
  <c r="G1617"/>
  <c r="F1624"/>
  <c r="B1631"/>
  <c r="B1632"/>
  <c r="G1643"/>
  <c r="F1646"/>
  <c r="G1649"/>
  <c r="B1656"/>
  <c r="B1667"/>
  <c r="F1667"/>
  <c r="G1667"/>
  <c r="B1668"/>
  <c r="B1669"/>
  <c r="F1669"/>
  <c r="G1669"/>
  <c r="B1670"/>
  <c r="F1670"/>
  <c r="G1670" s="1"/>
  <c r="F1677"/>
  <c r="B1684"/>
  <c r="B1685"/>
  <c r="G1696"/>
  <c r="F1699"/>
  <c r="G1702"/>
  <c r="B1709"/>
  <c r="B1720"/>
  <c r="F1720"/>
  <c r="G1720" s="1"/>
  <c r="B1721"/>
  <c r="B1722"/>
  <c r="F1722"/>
  <c r="G1722" s="1"/>
  <c r="B1723"/>
  <c r="F1723"/>
  <c r="G1723" s="1"/>
  <c r="F1730"/>
  <c r="B1737"/>
  <c r="B1738"/>
  <c r="G1749"/>
  <c r="F1752"/>
  <c r="G1755"/>
  <c r="B1762"/>
  <c r="B1773"/>
  <c r="F1773"/>
  <c r="G1773" s="1"/>
  <c r="B1774"/>
  <c r="F1774"/>
  <c r="G1774" s="1"/>
  <c r="B1775"/>
  <c r="F1775"/>
  <c r="G1775"/>
  <c r="B1776"/>
  <c r="F1776"/>
  <c r="G1776" s="1"/>
  <c r="F1782"/>
  <c r="B1789"/>
  <c r="B1790"/>
  <c r="G1801"/>
  <c r="F1804"/>
  <c r="G7" i="26"/>
  <c r="B14"/>
  <c r="B15"/>
  <c r="E15"/>
  <c r="G15" s="1"/>
  <c r="B16"/>
  <c r="E16"/>
  <c r="G16" s="1"/>
  <c r="B25"/>
  <c r="F25"/>
  <c r="G25" s="1"/>
  <c r="B26"/>
  <c r="F26"/>
  <c r="G26" s="1"/>
  <c r="F35"/>
  <c r="B42"/>
  <c r="B43"/>
  <c r="G54"/>
  <c r="F57"/>
  <c r="G60"/>
  <c r="B67"/>
  <c r="B68"/>
  <c r="E68"/>
  <c r="G68" s="1"/>
  <c r="B69"/>
  <c r="E69"/>
  <c r="G69" s="1"/>
  <c r="B78"/>
  <c r="B79"/>
  <c r="F79"/>
  <c r="G79" s="1"/>
  <c r="B80"/>
  <c r="F80"/>
  <c r="G80" s="1"/>
  <c r="F88"/>
  <c r="B95"/>
  <c r="B96"/>
  <c r="G107"/>
  <c r="F110"/>
  <c r="G113"/>
  <c r="B120"/>
  <c r="B121"/>
  <c r="E121"/>
  <c r="G121" s="1"/>
  <c r="B122"/>
  <c r="E122"/>
  <c r="G122" s="1"/>
  <c r="B131"/>
  <c r="B132"/>
  <c r="F132"/>
  <c r="G132"/>
  <c r="B133"/>
  <c r="F133"/>
  <c r="G133" s="1"/>
  <c r="F141"/>
  <c r="B148"/>
  <c r="B149"/>
  <c r="G160"/>
  <c r="F163"/>
  <c r="G166"/>
  <c r="B173"/>
  <c r="B174"/>
  <c r="E174"/>
  <c r="G174" s="1"/>
  <c r="B175"/>
  <c r="E175"/>
  <c r="G175" s="1"/>
  <c r="B184"/>
  <c r="F184"/>
  <c r="G184" s="1"/>
  <c r="B185"/>
  <c r="F185"/>
  <c r="G185" s="1"/>
  <c r="F194"/>
  <c r="B201"/>
  <c r="B202"/>
  <c r="G213"/>
  <c r="F216"/>
  <c r="G219"/>
  <c r="B226"/>
  <c r="B227"/>
  <c r="E227"/>
  <c r="G227" s="1"/>
  <c r="B228"/>
  <c r="E228"/>
  <c r="G228" s="1"/>
  <c r="B237"/>
  <c r="B238"/>
  <c r="F238"/>
  <c r="G238" s="1"/>
  <c r="B239"/>
  <c r="F239"/>
  <c r="G239" s="1"/>
  <c r="B254"/>
  <c r="B255"/>
  <c r="G266"/>
  <c r="F269"/>
  <c r="G272"/>
  <c r="B279"/>
  <c r="B280"/>
  <c r="E280"/>
  <c r="G280" s="1"/>
  <c r="B281"/>
  <c r="E281"/>
  <c r="G281"/>
  <c r="B290"/>
  <c r="B291"/>
  <c r="F291"/>
  <c r="G291"/>
  <c r="B292"/>
  <c r="F292"/>
  <c r="G292" s="1"/>
  <c r="B307"/>
  <c r="B308"/>
  <c r="G319"/>
  <c r="F322"/>
  <c r="G325"/>
  <c r="B332"/>
  <c r="B333"/>
  <c r="E333"/>
  <c r="G333" s="1"/>
  <c r="B334"/>
  <c r="E334"/>
  <c r="G334" s="1"/>
  <c r="B343"/>
  <c r="B344"/>
  <c r="F344"/>
  <c r="G344" s="1"/>
  <c r="B345"/>
  <c r="F345"/>
  <c r="G345" s="1"/>
  <c r="B360"/>
  <c r="B361"/>
  <c r="G372"/>
  <c r="F375"/>
  <c r="G378"/>
  <c r="B385"/>
  <c r="B386"/>
  <c r="E386"/>
  <c r="G386" s="1"/>
  <c r="B387"/>
  <c r="E387"/>
  <c r="G387"/>
  <c r="B396"/>
  <c r="B397"/>
  <c r="F397"/>
  <c r="G397"/>
  <c r="B398"/>
  <c r="F398"/>
  <c r="G398" s="1"/>
  <c r="B413"/>
  <c r="B414"/>
  <c r="G425"/>
  <c r="F428"/>
  <c r="G431"/>
  <c r="B438"/>
  <c r="B439"/>
  <c r="E439"/>
  <c r="G439" s="1"/>
  <c r="B440"/>
  <c r="E440"/>
  <c r="G440" s="1"/>
  <c r="B449"/>
  <c r="B450"/>
  <c r="F450"/>
  <c r="G450" s="1"/>
  <c r="B451"/>
  <c r="F451"/>
  <c r="G451" s="1"/>
  <c r="B452"/>
  <c r="F452"/>
  <c r="G452" s="1"/>
  <c r="B466"/>
  <c r="B467"/>
  <c r="G478"/>
  <c r="F481"/>
  <c r="G484"/>
  <c r="G492"/>
  <c r="G493"/>
  <c r="G503"/>
  <c r="G504"/>
  <c r="G531"/>
  <c r="F534"/>
  <c r="G537"/>
  <c r="B544"/>
  <c r="B545"/>
  <c r="E545"/>
  <c r="G545" s="1"/>
  <c r="B546"/>
  <c r="E546"/>
  <c r="G546" s="1"/>
  <c r="B555"/>
  <c r="B556"/>
  <c r="F556"/>
  <c r="G556" s="1"/>
  <c r="B557"/>
  <c r="F557"/>
  <c r="G557" s="1"/>
  <c r="B572"/>
  <c r="B573"/>
  <c r="G584"/>
  <c r="F587"/>
  <c r="G590"/>
  <c r="B597"/>
  <c r="B598"/>
  <c r="E598"/>
  <c r="G598"/>
  <c r="B599"/>
  <c r="E599"/>
  <c r="G599" s="1"/>
  <c r="B608"/>
  <c r="B609"/>
  <c r="F609"/>
  <c r="G609" s="1"/>
  <c r="B610"/>
  <c r="F610"/>
  <c r="G610"/>
  <c r="B625"/>
  <c r="B626"/>
  <c r="G637"/>
  <c r="F640"/>
  <c r="G643"/>
  <c r="B650"/>
  <c r="B651"/>
  <c r="E651"/>
  <c r="G651" s="1"/>
  <c r="B652"/>
  <c r="E652"/>
  <c r="G652" s="1"/>
  <c r="B661"/>
  <c r="B662"/>
  <c r="F662"/>
  <c r="G662" s="1"/>
  <c r="B663"/>
  <c r="F663"/>
  <c r="G663" s="1"/>
  <c r="B678"/>
  <c r="B679"/>
  <c r="G690"/>
  <c r="F693"/>
  <c r="G696"/>
  <c r="B703"/>
  <c r="B704"/>
  <c r="E704"/>
  <c r="G704"/>
  <c r="B705"/>
  <c r="E705"/>
  <c r="G705" s="1"/>
  <c r="B714"/>
  <c r="B715"/>
  <c r="F715"/>
  <c r="G715" s="1"/>
  <c r="B716"/>
  <c r="F716"/>
  <c r="G716"/>
  <c r="B731"/>
  <c r="B732"/>
  <c r="G743"/>
  <c r="F746"/>
  <c r="G749"/>
  <c r="B756"/>
  <c r="B757"/>
  <c r="E757"/>
  <c r="G757" s="1"/>
  <c r="B758"/>
  <c r="E758"/>
  <c r="G758" s="1"/>
  <c r="B767"/>
  <c r="B768"/>
  <c r="F768"/>
  <c r="G768" s="1"/>
  <c r="B769"/>
  <c r="F769"/>
  <c r="G769" s="1"/>
  <c r="B784"/>
  <c r="B785"/>
  <c r="G796"/>
  <c r="F799"/>
  <c r="G802"/>
  <c r="B809"/>
  <c r="B810"/>
  <c r="E810"/>
  <c r="G810"/>
  <c r="B811"/>
  <c r="E811"/>
  <c r="G811" s="1"/>
  <c r="B820"/>
  <c r="B821"/>
  <c r="F821"/>
  <c r="G821" s="1"/>
  <c r="B822"/>
  <c r="F822"/>
  <c r="G822"/>
  <c r="B837"/>
  <c r="B838"/>
  <c r="G849"/>
  <c r="F852"/>
  <c r="G855"/>
  <c r="B862"/>
  <c r="B863"/>
  <c r="E863"/>
  <c r="G863" s="1"/>
  <c r="B864"/>
  <c r="E864"/>
  <c r="G864" s="1"/>
  <c r="B873"/>
  <c r="B874"/>
  <c r="F874"/>
  <c r="G874" s="1"/>
  <c r="B875"/>
  <c r="F875"/>
  <c r="G875" s="1"/>
  <c r="B890"/>
  <c r="B891"/>
  <c r="G902"/>
  <c r="F905"/>
  <c r="G7" i="28"/>
  <c r="B14"/>
  <c r="B25"/>
  <c r="B26"/>
  <c r="B27"/>
  <c r="F27"/>
  <c r="G27"/>
  <c r="B28"/>
  <c r="F28"/>
  <c r="G28" s="1"/>
  <c r="B29"/>
  <c r="B30"/>
  <c r="F30"/>
  <c r="G30" s="1"/>
  <c r="B31"/>
  <c r="F31"/>
  <c r="G31"/>
  <c r="F35"/>
  <c r="B42"/>
  <c r="B43"/>
  <c r="G54"/>
  <c r="F57"/>
  <c r="G60"/>
  <c r="B67"/>
  <c r="B78"/>
  <c r="B79"/>
  <c r="B80"/>
  <c r="F80"/>
  <c r="G80"/>
  <c r="B81"/>
  <c r="F81"/>
  <c r="G81" s="1"/>
  <c r="B82"/>
  <c r="B83"/>
  <c r="F83"/>
  <c r="G83" s="1"/>
  <c r="B84"/>
  <c r="F84"/>
  <c r="G84"/>
  <c r="F88"/>
  <c r="B95"/>
  <c r="B96"/>
  <c r="G107"/>
  <c r="F110"/>
  <c r="G113"/>
  <c r="B120"/>
  <c r="B131"/>
  <c r="F131"/>
  <c r="G131"/>
  <c r="B132"/>
  <c r="B133"/>
  <c r="F133"/>
  <c r="G133"/>
  <c r="B134"/>
  <c r="F134"/>
  <c r="G134" s="1"/>
  <c r="F141"/>
  <c r="B148"/>
  <c r="B149"/>
  <c r="G160"/>
  <c r="F163"/>
  <c r="G166"/>
  <c r="B173"/>
  <c r="B184"/>
  <c r="F184"/>
  <c r="G184" s="1"/>
  <c r="B185"/>
  <c r="B186"/>
  <c r="F186"/>
  <c r="G186" s="1"/>
  <c r="B187"/>
  <c r="F187"/>
  <c r="G187" s="1"/>
  <c r="F194"/>
  <c r="B201"/>
  <c r="B202"/>
  <c r="G213"/>
  <c r="F216"/>
  <c r="G219"/>
  <c r="B226"/>
  <c r="B236"/>
  <c r="F236"/>
  <c r="G236" s="1"/>
  <c r="B237"/>
  <c r="B238"/>
  <c r="F238"/>
  <c r="G238" s="1"/>
  <c r="B239"/>
  <c r="F239"/>
  <c r="G239" s="1"/>
  <c r="F246"/>
  <c r="B253"/>
  <c r="B254"/>
  <c r="G265"/>
  <c r="F268"/>
  <c r="G271"/>
  <c r="B278"/>
  <c r="B289"/>
  <c r="F289"/>
  <c r="G289" s="1"/>
  <c r="B290"/>
  <c r="B291"/>
  <c r="F291"/>
  <c r="G291" s="1"/>
  <c r="B292"/>
  <c r="F292"/>
  <c r="G292" s="1"/>
  <c r="F299"/>
  <c r="B306"/>
  <c r="B307"/>
  <c r="G318"/>
  <c r="F321"/>
  <c r="G324"/>
  <c r="B331"/>
  <c r="B342"/>
  <c r="F342"/>
  <c r="G342" s="1"/>
  <c r="B343"/>
  <c r="B344"/>
  <c r="F344"/>
  <c r="G344" s="1"/>
  <c r="B345"/>
  <c r="F345"/>
  <c r="G345" s="1"/>
  <c r="F352"/>
  <c r="B359"/>
  <c r="B360"/>
  <c r="G371"/>
  <c r="F374"/>
  <c r="G377"/>
  <c r="B384"/>
  <c r="B395"/>
  <c r="F395"/>
  <c r="G395" s="1"/>
  <c r="B396"/>
  <c r="B397"/>
  <c r="F397"/>
  <c r="G397" s="1"/>
  <c r="B398"/>
  <c r="F398"/>
  <c r="G398" s="1"/>
  <c r="F405"/>
  <c r="B412"/>
  <c r="B413"/>
  <c r="G424"/>
  <c r="F427"/>
  <c r="G430"/>
  <c r="B437"/>
  <c r="B448"/>
  <c r="F448"/>
  <c r="G448" s="1"/>
  <c r="B449"/>
  <c r="B450"/>
  <c r="F450"/>
  <c r="G450" s="1"/>
  <c r="B451"/>
  <c r="F451"/>
  <c r="G451" s="1"/>
  <c r="F458"/>
  <c r="B465"/>
  <c r="B466"/>
  <c r="G477"/>
  <c r="F480"/>
  <c r="G483"/>
  <c r="B490"/>
  <c r="B501"/>
  <c r="F501"/>
  <c r="G501" s="1"/>
  <c r="B502"/>
  <c r="B503"/>
  <c r="F503"/>
  <c r="G503" s="1"/>
  <c r="B504"/>
  <c r="F504"/>
  <c r="G504"/>
  <c r="F511"/>
  <c r="B518"/>
  <c r="B519"/>
  <c r="G530"/>
  <c r="F533"/>
  <c r="G536"/>
  <c r="B543"/>
  <c r="B554"/>
  <c r="F554"/>
  <c r="G554"/>
  <c r="B555"/>
  <c r="B556"/>
  <c r="F556"/>
  <c r="G556"/>
  <c r="B557"/>
  <c r="F557"/>
  <c r="G557" s="1"/>
  <c r="F564"/>
  <c r="B571"/>
  <c r="B572"/>
  <c r="G583"/>
  <c r="F586"/>
  <c r="G589"/>
  <c r="B596"/>
  <c r="B607"/>
  <c r="F607"/>
  <c r="G607" s="1"/>
  <c r="B608"/>
  <c r="B609"/>
  <c r="F609"/>
  <c r="G609" s="1"/>
  <c r="B610"/>
  <c r="F610"/>
  <c r="G610" s="1"/>
  <c r="F617"/>
  <c r="B624"/>
  <c r="B625"/>
  <c r="G636"/>
  <c r="F639"/>
  <c r="G642"/>
  <c r="B649"/>
  <c r="B660"/>
  <c r="F660"/>
  <c r="G660" s="1"/>
  <c r="B661"/>
  <c r="B662"/>
  <c r="F662"/>
  <c r="G662" s="1"/>
  <c r="B663"/>
  <c r="F663"/>
  <c r="G663" s="1"/>
  <c r="F670"/>
  <c r="B677"/>
  <c r="B678"/>
  <c r="G689"/>
  <c r="F692"/>
  <c r="G695"/>
  <c r="B702"/>
  <c r="B713"/>
  <c r="F713"/>
  <c r="G713" s="1"/>
  <c r="B714"/>
  <c r="B715"/>
  <c r="F715"/>
  <c r="G715" s="1"/>
  <c r="B716"/>
  <c r="F716"/>
  <c r="G716" s="1"/>
  <c r="F723"/>
  <c r="B730"/>
  <c r="B731"/>
  <c r="G742"/>
  <c r="F745"/>
  <c r="G748"/>
  <c r="B755"/>
  <c r="B766"/>
  <c r="F766"/>
  <c r="G766" s="1"/>
  <c r="B767"/>
  <c r="B768"/>
  <c r="F768"/>
  <c r="G768" s="1"/>
  <c r="B769"/>
  <c r="F769"/>
  <c r="G769" s="1"/>
  <c r="F776"/>
  <c r="B783"/>
  <c r="B784"/>
  <c r="G795"/>
  <c r="F798"/>
  <c r="G801"/>
  <c r="B808"/>
  <c r="B819"/>
  <c r="F819"/>
  <c r="G819" s="1"/>
  <c r="B820"/>
  <c r="B821"/>
  <c r="F821"/>
  <c r="G821" s="1"/>
  <c r="B822"/>
  <c r="F822"/>
  <c r="G822" s="1"/>
  <c r="F829"/>
  <c r="B836"/>
  <c r="B837"/>
  <c r="G848"/>
  <c r="F851"/>
  <c r="G854"/>
  <c r="B861"/>
  <c r="B872"/>
  <c r="F872"/>
  <c r="G872" s="1"/>
  <c r="B873"/>
  <c r="B874"/>
  <c r="F874"/>
  <c r="G874" s="1"/>
  <c r="B875"/>
  <c r="F875"/>
  <c r="G875" s="1"/>
  <c r="F882"/>
  <c r="B889"/>
  <c r="B890"/>
  <c r="G901"/>
  <c r="F904"/>
  <c r="G907"/>
  <c r="B914"/>
  <c r="B925"/>
  <c r="F925"/>
  <c r="G925" s="1"/>
  <c r="B926"/>
  <c r="B927"/>
  <c r="F927"/>
  <c r="G927" s="1"/>
  <c r="B928"/>
  <c r="F928"/>
  <c r="G928"/>
  <c r="F935"/>
  <c r="B942"/>
  <c r="B943"/>
  <c r="G954"/>
  <c r="F957"/>
  <c r="G960"/>
  <c r="B967"/>
  <c r="B978"/>
  <c r="F978"/>
  <c r="G978"/>
  <c r="B979"/>
  <c r="B980"/>
  <c r="F980"/>
  <c r="G980"/>
  <c r="B981"/>
  <c r="F981"/>
  <c r="G981" s="1"/>
  <c r="F988"/>
  <c r="B995"/>
  <c r="B996"/>
  <c r="G1007"/>
  <c r="F1010"/>
  <c r="G1013"/>
  <c r="B1020"/>
  <c r="B1031"/>
  <c r="F1031"/>
  <c r="G1031" s="1"/>
  <c r="B1032"/>
  <c r="B1033"/>
  <c r="F1033"/>
  <c r="G1033" s="1"/>
  <c r="B1034"/>
  <c r="F1034"/>
  <c r="G1034" s="1"/>
  <c r="F1041"/>
  <c r="B1048"/>
  <c r="B1049"/>
  <c r="G1060"/>
  <c r="F1063"/>
  <c r="G1066"/>
  <c r="B1073"/>
  <c r="B1084"/>
  <c r="F1084"/>
  <c r="G1084" s="1"/>
  <c r="B1085"/>
  <c r="B1086"/>
  <c r="F1086"/>
  <c r="G1086" s="1"/>
  <c r="B1087"/>
  <c r="F1087"/>
  <c r="G1087" s="1"/>
  <c r="F1094"/>
  <c r="B1101"/>
  <c r="B1102"/>
  <c r="G1113"/>
  <c r="F1116"/>
  <c r="G1119"/>
  <c r="B1126"/>
  <c r="B1137"/>
  <c r="F1137"/>
  <c r="G1137" s="1"/>
  <c r="B1138"/>
  <c r="B1139"/>
  <c r="F1139"/>
  <c r="G1139" s="1"/>
  <c r="B1140"/>
  <c r="F1140"/>
  <c r="G1140" s="1"/>
  <c r="F1147"/>
  <c r="B1154"/>
  <c r="B1155"/>
  <c r="G1166"/>
  <c r="F1169"/>
  <c r="G1172"/>
  <c r="B1179"/>
  <c r="B1190"/>
  <c r="F1190"/>
  <c r="G1190" s="1"/>
  <c r="B1191"/>
  <c r="B1192"/>
  <c r="F1192"/>
  <c r="G1192" s="1"/>
  <c r="B1193"/>
  <c r="F1193"/>
  <c r="G1193" s="1"/>
  <c r="F1200"/>
  <c r="B1207"/>
  <c r="B1208"/>
  <c r="G1219"/>
  <c r="F1222"/>
  <c r="G7" i="29"/>
  <c r="B14"/>
  <c r="G25"/>
  <c r="G26"/>
  <c r="G27"/>
  <c r="G28"/>
  <c r="F35"/>
  <c r="B42"/>
  <c r="B43"/>
  <c r="G44"/>
  <c r="G54"/>
  <c r="F57"/>
  <c r="G60"/>
  <c r="B67"/>
  <c r="G78"/>
  <c r="G79"/>
  <c r="G80"/>
  <c r="G81"/>
  <c r="G82"/>
  <c r="F88"/>
  <c r="B95"/>
  <c r="B96"/>
  <c r="G107"/>
  <c r="F110"/>
  <c r="G113"/>
  <c r="B120"/>
  <c r="G131"/>
  <c r="G140" s="1"/>
  <c r="F141"/>
  <c r="B148"/>
  <c r="B149"/>
  <c r="G160"/>
  <c r="F163"/>
  <c r="G166"/>
  <c r="B173"/>
  <c r="G184"/>
  <c r="G185"/>
  <c r="G186"/>
  <c r="G187"/>
  <c r="G188"/>
  <c r="G189"/>
  <c r="G193"/>
  <c r="F194"/>
  <c r="B201"/>
  <c r="B202"/>
  <c r="G213"/>
  <c r="F216"/>
  <c r="G219"/>
  <c r="B226"/>
  <c r="G237"/>
  <c r="G238"/>
  <c r="G239"/>
  <c r="G240"/>
  <c r="G241"/>
  <c r="G242"/>
  <c r="G246"/>
  <c r="F247"/>
  <c r="G247" s="1"/>
  <c r="G248" s="1"/>
  <c r="B254"/>
  <c r="B255"/>
  <c r="G266"/>
  <c r="F269"/>
  <c r="G272"/>
  <c r="B279"/>
  <c r="G290"/>
  <c r="G291"/>
  <c r="G292"/>
  <c r="G293"/>
  <c r="G294"/>
  <c r="G295"/>
  <c r="F300"/>
  <c r="B307"/>
  <c r="B308"/>
  <c r="G319"/>
  <c r="F322"/>
  <c r="G325"/>
  <c r="B332"/>
  <c r="G343"/>
  <c r="G344"/>
  <c r="G345"/>
  <c r="G346"/>
  <c r="G347"/>
  <c r="G348"/>
  <c r="G349"/>
  <c r="F353"/>
  <c r="B360"/>
  <c r="B361"/>
  <c r="G372"/>
  <c r="F375"/>
  <c r="G378"/>
  <c r="B385"/>
  <c r="G396"/>
  <c r="G397"/>
  <c r="G398"/>
  <c r="G399"/>
  <c r="G400"/>
  <c r="G401"/>
  <c r="F406"/>
  <c r="B413"/>
  <c r="B414"/>
  <c r="G425"/>
  <c r="F428"/>
  <c r="G431"/>
  <c r="B438"/>
  <c r="B449"/>
  <c r="F449"/>
  <c r="G449" s="1"/>
  <c r="B450"/>
  <c r="F450"/>
  <c r="G450"/>
  <c r="B451"/>
  <c r="F451"/>
  <c r="G451" s="1"/>
  <c r="B452"/>
  <c r="F452"/>
  <c r="G452" s="1"/>
  <c r="B453"/>
  <c r="F453"/>
  <c r="G453" s="1"/>
  <c r="B454"/>
  <c r="F454"/>
  <c r="G454" s="1"/>
  <c r="G458" s="1"/>
  <c r="F459"/>
  <c r="B466"/>
  <c r="B467"/>
  <c r="G478"/>
  <c r="F481"/>
  <c r="G484"/>
  <c r="B491"/>
  <c r="B501"/>
  <c r="F501"/>
  <c r="G501" s="1"/>
  <c r="B502"/>
  <c r="F502"/>
  <c r="G502" s="1"/>
  <c r="B503"/>
  <c r="F503"/>
  <c r="G503" s="1"/>
  <c r="B504"/>
  <c r="F504"/>
  <c r="G504" s="1"/>
  <c r="B505"/>
  <c r="F505"/>
  <c r="G505"/>
  <c r="B506"/>
  <c r="F506"/>
  <c r="G506" s="1"/>
  <c r="B507"/>
  <c r="F507"/>
  <c r="G507" s="1"/>
  <c r="B508"/>
  <c r="F508"/>
  <c r="G508" s="1"/>
  <c r="F511"/>
  <c r="B518"/>
  <c r="B519"/>
  <c r="G530"/>
  <c r="F533"/>
  <c r="G536"/>
  <c r="B543"/>
  <c r="B553"/>
  <c r="F553"/>
  <c r="G553" s="1"/>
  <c r="B554"/>
  <c r="F554"/>
  <c r="G554" s="1"/>
  <c r="B555"/>
  <c r="F555"/>
  <c r="G555" s="1"/>
  <c r="B556"/>
  <c r="F556"/>
  <c r="G556"/>
  <c r="F563"/>
  <c r="B570"/>
  <c r="B571"/>
  <c r="G582"/>
  <c r="F585"/>
  <c r="G588"/>
  <c r="B595"/>
  <c r="B605"/>
  <c r="F605"/>
  <c r="G605"/>
  <c r="B606"/>
  <c r="F606"/>
  <c r="G606" s="1"/>
  <c r="B607"/>
  <c r="F607"/>
  <c r="G607" s="1"/>
  <c r="B608"/>
  <c r="F608"/>
  <c r="G608" s="1"/>
  <c r="F615"/>
  <c r="B622"/>
  <c r="B623"/>
  <c r="G634"/>
  <c r="F637"/>
  <c r="G640"/>
  <c r="B647"/>
  <c r="B657"/>
  <c r="F657"/>
  <c r="G657" s="1"/>
  <c r="B658"/>
  <c r="F658"/>
  <c r="G658" s="1"/>
  <c r="B659"/>
  <c r="F659"/>
  <c r="G659" s="1"/>
  <c r="B660"/>
  <c r="F660"/>
  <c r="G660"/>
  <c r="F667"/>
  <c r="B674"/>
  <c r="B675"/>
  <c r="G686"/>
  <c r="F689"/>
  <c r="G692"/>
  <c r="B699"/>
  <c r="B709"/>
  <c r="F709"/>
  <c r="G709"/>
  <c r="B710"/>
  <c r="F710"/>
  <c r="G710" s="1"/>
  <c r="B711"/>
  <c r="F711"/>
  <c r="G711" s="1"/>
  <c r="B712"/>
  <c r="F712"/>
  <c r="G712" s="1"/>
  <c r="F719"/>
  <c r="B726"/>
  <c r="B727"/>
  <c r="G738"/>
  <c r="F741"/>
  <c r="G744"/>
  <c r="B751"/>
  <c r="B761"/>
  <c r="F761"/>
  <c r="G761" s="1"/>
  <c r="B762"/>
  <c r="F762"/>
  <c r="G762" s="1"/>
  <c r="B763"/>
  <c r="F763"/>
  <c r="G763" s="1"/>
  <c r="B764"/>
  <c r="F764"/>
  <c r="G764"/>
  <c r="F771"/>
  <c r="B778"/>
  <c r="B779"/>
  <c r="G790"/>
  <c r="F793"/>
  <c r="G796"/>
  <c r="B803"/>
  <c r="B813"/>
  <c r="F813"/>
  <c r="G813"/>
  <c r="B814"/>
  <c r="F814"/>
  <c r="G814" s="1"/>
  <c r="F823"/>
  <c r="B830"/>
  <c r="B831"/>
  <c r="G842"/>
  <c r="F845"/>
  <c r="G848"/>
  <c r="B855"/>
  <c r="B866"/>
  <c r="F866"/>
  <c r="G866" s="1"/>
  <c r="B867"/>
  <c r="F867"/>
  <c r="G867"/>
  <c r="F876"/>
  <c r="B883"/>
  <c r="B884"/>
  <c r="G895"/>
  <c r="F898"/>
  <c r="G901"/>
  <c r="B908"/>
  <c r="B919"/>
  <c r="F919"/>
  <c r="G919"/>
  <c r="B920"/>
  <c r="F920"/>
  <c r="G920" s="1"/>
  <c r="F929"/>
  <c r="B936"/>
  <c r="B937"/>
  <c r="G948"/>
  <c r="F951"/>
  <c r="G954"/>
  <c r="B961"/>
  <c r="B971"/>
  <c r="F971"/>
  <c r="G971" s="1"/>
  <c r="B972"/>
  <c r="F972"/>
  <c r="G972"/>
  <c r="F981"/>
  <c r="B988"/>
  <c r="B989"/>
  <c r="G1000"/>
  <c r="F1003"/>
  <c r="G1006"/>
  <c r="B1013"/>
  <c r="B1023"/>
  <c r="F1023"/>
  <c r="G1023"/>
  <c r="B1024"/>
  <c r="F1024"/>
  <c r="G1024" s="1"/>
  <c r="F1033"/>
  <c r="B1040"/>
  <c r="B1041"/>
  <c r="G1052"/>
  <c r="F1055"/>
  <c r="G1058"/>
  <c r="B1065"/>
  <c r="B1075"/>
  <c r="F1075"/>
  <c r="G1075" s="1"/>
  <c r="B1076"/>
  <c r="F1076"/>
  <c r="G1076"/>
  <c r="F1085"/>
  <c r="B1092"/>
  <c r="B1093"/>
  <c r="G1104"/>
  <c r="F1107"/>
  <c r="G1110"/>
  <c r="B1117"/>
  <c r="B1127"/>
  <c r="F1127"/>
  <c r="G1127"/>
  <c r="B1128"/>
  <c r="F1128"/>
  <c r="G1128" s="1"/>
  <c r="F1137"/>
  <c r="B1144"/>
  <c r="B1145"/>
  <c r="G1156"/>
  <c r="F1159"/>
  <c r="G1162"/>
  <c r="B1169"/>
  <c r="B1179"/>
  <c r="F1179"/>
  <c r="G1179" s="1"/>
  <c r="B1180"/>
  <c r="F1180"/>
  <c r="G1180"/>
  <c r="F1189"/>
  <c r="B1196"/>
  <c r="B1197"/>
  <c r="G1208"/>
  <c r="F1211"/>
  <c r="G1215"/>
  <c r="B1222"/>
  <c r="B1231"/>
  <c r="F1231"/>
  <c r="G1231"/>
  <c r="B1232"/>
  <c r="F1232"/>
  <c r="G1232" s="1"/>
  <c r="B1233"/>
  <c r="F1233"/>
  <c r="G1233" s="1"/>
  <c r="B1234"/>
  <c r="F1234"/>
  <c r="G1234" s="1"/>
  <c r="B1235"/>
  <c r="F1235"/>
  <c r="G1235" s="1"/>
  <c r="B1236"/>
  <c r="F1236"/>
  <c r="G1236" s="1"/>
  <c r="B1237"/>
  <c r="F1237"/>
  <c r="G1237" s="1"/>
  <c r="B1238"/>
  <c r="F1238"/>
  <c r="G1238" s="1"/>
  <c r="B1239"/>
  <c r="F1239"/>
  <c r="G1239"/>
  <c r="B1240"/>
  <c r="F1240"/>
  <c r="G1240" s="1"/>
  <c r="B1241"/>
  <c r="F1241"/>
  <c r="G1241" s="1"/>
  <c r="F1243"/>
  <c r="B1250"/>
  <c r="B1251"/>
  <c r="G1262"/>
  <c r="F1265"/>
  <c r="G1268"/>
  <c r="B1275"/>
  <c r="B1285"/>
  <c r="F1285"/>
  <c r="G1285" s="1"/>
  <c r="B1286"/>
  <c r="F1286"/>
  <c r="G1286" s="1"/>
  <c r="B1287"/>
  <c r="F1287"/>
  <c r="G1287"/>
  <c r="B1288"/>
  <c r="F1288"/>
  <c r="G1288" s="1"/>
  <c r="F1295"/>
  <c r="B1302"/>
  <c r="B1303"/>
  <c r="G1314"/>
  <c r="F1317"/>
  <c r="G1320"/>
  <c r="B1327"/>
  <c r="B1337"/>
  <c r="F1337"/>
  <c r="G1337" s="1"/>
  <c r="B1338"/>
  <c r="F1338"/>
  <c r="G1338"/>
  <c r="B1339"/>
  <c r="F1339"/>
  <c r="G1339" s="1"/>
  <c r="B1340"/>
  <c r="F1340"/>
  <c r="G1340" s="1"/>
  <c r="B1341"/>
  <c r="F1341"/>
  <c r="G1341" s="1"/>
  <c r="B1342"/>
  <c r="F1342"/>
  <c r="G1342" s="1"/>
  <c r="B1343"/>
  <c r="F1343"/>
  <c r="G1343" s="1"/>
  <c r="F1347"/>
  <c r="B1354"/>
  <c r="B1355"/>
  <c r="G1366"/>
  <c r="F1369"/>
  <c r="G1372"/>
  <c r="B1379"/>
  <c r="B1389"/>
  <c r="F1389"/>
  <c r="G1389" s="1"/>
  <c r="B1390"/>
  <c r="F1390"/>
  <c r="G1390" s="1"/>
  <c r="B1391"/>
  <c r="F1391"/>
  <c r="G1391" s="1"/>
  <c r="B1392"/>
  <c r="F1392"/>
  <c r="G1392" s="1"/>
  <c r="B1393"/>
  <c r="F1393"/>
  <c r="G1393" s="1"/>
  <c r="B1394"/>
  <c r="F1394"/>
  <c r="G1394"/>
  <c r="B1395"/>
  <c r="F1395"/>
  <c r="G1395" s="1"/>
  <c r="F1399"/>
  <c r="B1406"/>
  <c r="B1407"/>
  <c r="G1418"/>
  <c r="F1421"/>
  <c r="G1424"/>
  <c r="B1431"/>
  <c r="B1439"/>
  <c r="F1439"/>
  <c r="G1439" s="1"/>
  <c r="B1440"/>
  <c r="F1440"/>
  <c r="G1440"/>
  <c r="B1441"/>
  <c r="F1441"/>
  <c r="G1441" s="1"/>
  <c r="B1442"/>
  <c r="F1442"/>
  <c r="G1442" s="1"/>
  <c r="B1443"/>
  <c r="F1443"/>
  <c r="G1443" s="1"/>
  <c r="B1444"/>
  <c r="F1444"/>
  <c r="G1444" s="1"/>
  <c r="B1445"/>
  <c r="F1445"/>
  <c r="G1445" s="1"/>
  <c r="B1446"/>
  <c r="F1446"/>
  <c r="G1446" s="1"/>
  <c r="B1447"/>
  <c r="F1447"/>
  <c r="G1447" s="1"/>
  <c r="B1448"/>
  <c r="F1448"/>
  <c r="G1448"/>
  <c r="B1449"/>
  <c r="F1449"/>
  <c r="G1449" s="1"/>
  <c r="F1451"/>
  <c r="B1458"/>
  <c r="B1459"/>
  <c r="G1470"/>
  <c r="F1473"/>
  <c r="G1476"/>
  <c r="B1483"/>
  <c r="B1492"/>
  <c r="F1492"/>
  <c r="G1492" s="1"/>
  <c r="B1493"/>
  <c r="F1493"/>
  <c r="G1493"/>
  <c r="B1494"/>
  <c r="F1494"/>
  <c r="G1494" s="1"/>
  <c r="B1495"/>
  <c r="F1495"/>
  <c r="G1495" s="1"/>
  <c r="B1496"/>
  <c r="F1496"/>
  <c r="G1496" s="1"/>
  <c r="B1497"/>
  <c r="F1497"/>
  <c r="G1497" s="1"/>
  <c r="B1498"/>
  <c r="F1498"/>
  <c r="G1498" s="1"/>
  <c r="B1499"/>
  <c r="F1499"/>
  <c r="G1499" s="1"/>
  <c r="B1500"/>
  <c r="F1500"/>
  <c r="G1500" s="1"/>
  <c r="B1501"/>
  <c r="F1501"/>
  <c r="G1501"/>
  <c r="F1503"/>
  <c r="B1510"/>
  <c r="B1511"/>
  <c r="G1522"/>
  <c r="F1525"/>
  <c r="G1528"/>
  <c r="B1535"/>
  <c r="B1546"/>
  <c r="F1546"/>
  <c r="G1546"/>
  <c r="B1547"/>
  <c r="F1547"/>
  <c r="G1547" s="1"/>
  <c r="B1548"/>
  <c r="F1548"/>
  <c r="G1548" s="1"/>
  <c r="B1549"/>
  <c r="F1549"/>
  <c r="G1549" s="1"/>
  <c r="B1550"/>
  <c r="F1550"/>
  <c r="G1550" s="1"/>
  <c r="B1551"/>
  <c r="F1551"/>
  <c r="G1551" s="1"/>
  <c r="F1556"/>
  <c r="B1563"/>
  <c r="B1564"/>
  <c r="G1575"/>
  <c r="F1578"/>
  <c r="G1581"/>
  <c r="B1588"/>
  <c r="B1599"/>
  <c r="F1599"/>
  <c r="G1599" s="1"/>
  <c r="B1600"/>
  <c r="F1600"/>
  <c r="G1600" s="1"/>
  <c r="B1601"/>
  <c r="F1601"/>
  <c r="G1601" s="1"/>
  <c r="B1602"/>
  <c r="F1602"/>
  <c r="G1602" s="1"/>
  <c r="B1603"/>
  <c r="F1603"/>
  <c r="G1603" s="1"/>
  <c r="B1604"/>
  <c r="F1604"/>
  <c r="G1604"/>
  <c r="B1605"/>
  <c r="F1605"/>
  <c r="G1605" s="1"/>
  <c r="F1609"/>
  <c r="B1616"/>
  <c r="B1617"/>
  <c r="G1628"/>
  <c r="F1631"/>
  <c r="G1634"/>
  <c r="B1641"/>
  <c r="B1650"/>
  <c r="F1650"/>
  <c r="G1650" s="1"/>
  <c r="B1651"/>
  <c r="F1651"/>
  <c r="G1651"/>
  <c r="B1652"/>
  <c r="F1652"/>
  <c r="G1652" s="1"/>
  <c r="B1653"/>
  <c r="F1653"/>
  <c r="G1653" s="1"/>
  <c r="B1654"/>
  <c r="F1654"/>
  <c r="G1654" s="1"/>
  <c r="B1655"/>
  <c r="F1655"/>
  <c r="G1655" s="1"/>
  <c r="B1656"/>
  <c r="F1656"/>
  <c r="G1656" s="1"/>
  <c r="B1657"/>
  <c r="F1657"/>
  <c r="G1657" s="1"/>
  <c r="B1658"/>
  <c r="F1658"/>
  <c r="G1658" s="1"/>
  <c r="B1659"/>
  <c r="F1659"/>
  <c r="G1659"/>
  <c r="F1661"/>
  <c r="B1668"/>
  <c r="B1669"/>
  <c r="G1680"/>
  <c r="F1683"/>
  <c r="G1686"/>
  <c r="B1693"/>
  <c r="B1704"/>
  <c r="F1704"/>
  <c r="G1704"/>
  <c r="B1705"/>
  <c r="F1705"/>
  <c r="G1705" s="1"/>
  <c r="B1706"/>
  <c r="F1706"/>
  <c r="G1706" s="1"/>
  <c r="B1707"/>
  <c r="F1707"/>
  <c r="G1707" s="1"/>
  <c r="B1708"/>
  <c r="F1708"/>
  <c r="G1708" s="1"/>
  <c r="G1713" s="1"/>
  <c r="G1714" s="1"/>
  <c r="B1709"/>
  <c r="F1709"/>
  <c r="G1709" s="1"/>
  <c r="F1714"/>
  <c r="B1721"/>
  <c r="B1722"/>
  <c r="G1733"/>
  <c r="F1736"/>
  <c r="G1739"/>
  <c r="B1746"/>
  <c r="B1756"/>
  <c r="F1756"/>
  <c r="G1756" s="1"/>
  <c r="B1757"/>
  <c r="F1757"/>
  <c r="G1757" s="1"/>
  <c r="B1758"/>
  <c r="F1758"/>
  <c r="G1758" s="1"/>
  <c r="B1759"/>
  <c r="F1759"/>
  <c r="G1759" s="1"/>
  <c r="B1760"/>
  <c r="F1760"/>
  <c r="G1760" s="1"/>
  <c r="B1761"/>
  <c r="F1761"/>
  <c r="G1761"/>
  <c r="F1766"/>
  <c r="B1773"/>
  <c r="B1774"/>
  <c r="G1785"/>
  <c r="F1788"/>
  <c r="G1791"/>
  <c r="B1798"/>
  <c r="B1808"/>
  <c r="F1808"/>
  <c r="G1808"/>
  <c r="B1809"/>
  <c r="F1809"/>
  <c r="G1809" s="1"/>
  <c r="B1810"/>
  <c r="F1810"/>
  <c r="G1810" s="1"/>
  <c r="B1811"/>
  <c r="F1811"/>
  <c r="G1811" s="1"/>
  <c r="B1812"/>
  <c r="F1812"/>
  <c r="G1812" s="1"/>
  <c r="B1813"/>
  <c r="F1813"/>
  <c r="G1813" s="1"/>
  <c r="B1814"/>
  <c r="F1814"/>
  <c r="G1814" s="1"/>
  <c r="B1815"/>
  <c r="F1815"/>
  <c r="G1815" s="1"/>
  <c r="F1818"/>
  <c r="B1825"/>
  <c r="B1826"/>
  <c r="G1837"/>
  <c r="F1840"/>
  <c r="G1843"/>
  <c r="B1850"/>
  <c r="B1859"/>
  <c r="F1859"/>
  <c r="G1859" s="1"/>
  <c r="B1860"/>
  <c r="F1860"/>
  <c r="G1860" s="1"/>
  <c r="B1861"/>
  <c r="F1861"/>
  <c r="G1861" s="1"/>
  <c r="B1862"/>
  <c r="F1862"/>
  <c r="G1862" s="1"/>
  <c r="B1863"/>
  <c r="F1863"/>
  <c r="G1863" s="1"/>
  <c r="B1864"/>
  <c r="F1864"/>
  <c r="G1864" s="1"/>
  <c r="B1865"/>
  <c r="F1865"/>
  <c r="G1865" s="1"/>
  <c r="B1866"/>
  <c r="F1866"/>
  <c r="G1866"/>
  <c r="B1867"/>
  <c r="F1867"/>
  <c r="G1867" s="1"/>
  <c r="B1868"/>
  <c r="F1868"/>
  <c r="G1868" s="1"/>
  <c r="F1870"/>
  <c r="B1877"/>
  <c r="B1878"/>
  <c r="G1889"/>
  <c r="F1892"/>
  <c r="G1895"/>
  <c r="B1902"/>
  <c r="B1911"/>
  <c r="F1911"/>
  <c r="G1911" s="1"/>
  <c r="B1912"/>
  <c r="F1912"/>
  <c r="G1912" s="1"/>
  <c r="B1913"/>
  <c r="F1913"/>
  <c r="G1913"/>
  <c r="B1914"/>
  <c r="F1914"/>
  <c r="G1914" s="1"/>
  <c r="B1915"/>
  <c r="F1915"/>
  <c r="G1915" s="1"/>
  <c r="B1916"/>
  <c r="F1916"/>
  <c r="G1916" s="1"/>
  <c r="B1917"/>
  <c r="F1917"/>
  <c r="G1917" s="1"/>
  <c r="B1918"/>
  <c r="F1918"/>
  <c r="G1918" s="1"/>
  <c r="B1919"/>
  <c r="F1919"/>
  <c r="G1919" s="1"/>
  <c r="B1920"/>
  <c r="F1920"/>
  <c r="G1920" s="1"/>
  <c r="F1922"/>
  <c r="B1929"/>
  <c r="B1930"/>
  <c r="G1941"/>
  <c r="F1944"/>
  <c r="G1947"/>
  <c r="B1954"/>
  <c r="B1963"/>
  <c r="F1963"/>
  <c r="G1963" s="1"/>
  <c r="B1964"/>
  <c r="F1964"/>
  <c r="G1964" s="1"/>
  <c r="B1965"/>
  <c r="F1965"/>
  <c r="G1965" s="1"/>
  <c r="B1966"/>
  <c r="F1966"/>
  <c r="G1966" s="1"/>
  <c r="G1973" s="1"/>
  <c r="G1974" s="1"/>
  <c r="B1967"/>
  <c r="F1967"/>
  <c r="G1967" s="1"/>
  <c r="B1968"/>
  <c r="F1968"/>
  <c r="G1968" s="1"/>
  <c r="B1969"/>
  <c r="F1969"/>
  <c r="G1969" s="1"/>
  <c r="F1974"/>
  <c r="B1981"/>
  <c r="B1982"/>
  <c r="G1993"/>
  <c r="F1996"/>
  <c r="G1999"/>
  <c r="B2006"/>
  <c r="B2014"/>
  <c r="F2014"/>
  <c r="G2014" s="1"/>
  <c r="B2015"/>
  <c r="F2015"/>
  <c r="G2015" s="1"/>
  <c r="B2016"/>
  <c r="F2016"/>
  <c r="G2016" s="1"/>
  <c r="B2017"/>
  <c r="F2017"/>
  <c r="G2017" s="1"/>
  <c r="G2024" s="1"/>
  <c r="B2018"/>
  <c r="F2018"/>
  <c r="G2018" s="1"/>
  <c r="B2019"/>
  <c r="F2019"/>
  <c r="G2019" s="1"/>
  <c r="B2020"/>
  <c r="F2020"/>
  <c r="G2020" s="1"/>
  <c r="B2021"/>
  <c r="F2021"/>
  <c r="G2021"/>
  <c r="B2022"/>
  <c r="F2022"/>
  <c r="G2022" s="1"/>
  <c r="B2023"/>
  <c r="F2023"/>
  <c r="G2023" s="1"/>
  <c r="F2025"/>
  <c r="B2032"/>
  <c r="B2033"/>
  <c r="G2044"/>
  <c r="F2047"/>
  <c r="G2050"/>
  <c r="B2057"/>
  <c r="B2065"/>
  <c r="F2065"/>
  <c r="G2065" s="1"/>
  <c r="B2066"/>
  <c r="F2066"/>
  <c r="G2066" s="1"/>
  <c r="B2067"/>
  <c r="F2067"/>
  <c r="G2067"/>
  <c r="B2068"/>
  <c r="F2068"/>
  <c r="G2068" s="1"/>
  <c r="B2069"/>
  <c r="F2069"/>
  <c r="G2069" s="1"/>
  <c r="B2070"/>
  <c r="F2070"/>
  <c r="G2070" s="1"/>
  <c r="B2071"/>
  <c r="F2071"/>
  <c r="G2071" s="1"/>
  <c r="B2072"/>
  <c r="F2072"/>
  <c r="G2072" s="1"/>
  <c r="B2073"/>
  <c r="F2073"/>
  <c r="G2073" s="1"/>
  <c r="B2074"/>
  <c r="F2074"/>
  <c r="G2074" s="1"/>
  <c r="F2076"/>
  <c r="B2083"/>
  <c r="B2084"/>
  <c r="G2095"/>
  <c r="F2098"/>
  <c r="G2101"/>
  <c r="B2108"/>
  <c r="G2116"/>
  <c r="G2117"/>
  <c r="G2126" s="1"/>
  <c r="F2127"/>
  <c r="G2127" s="1"/>
  <c r="B2134"/>
  <c r="B2135"/>
  <c r="G2146"/>
  <c r="F2149"/>
  <c r="G2152"/>
  <c r="B2159"/>
  <c r="B2167"/>
  <c r="F2167"/>
  <c r="G2167" s="1"/>
  <c r="B2168"/>
  <c r="B2185"/>
  <c r="B2186"/>
  <c r="G2197"/>
  <c r="F2200"/>
  <c r="G2203"/>
  <c r="B2210"/>
  <c r="B2219"/>
  <c r="F2219"/>
  <c r="G2219" s="1"/>
  <c r="B2220"/>
  <c r="F2220"/>
  <c r="G2220" s="1"/>
  <c r="B2221"/>
  <c r="F2221"/>
  <c r="G2221" s="1"/>
  <c r="B2222"/>
  <c r="F2222"/>
  <c r="G2222" s="1"/>
  <c r="B2223"/>
  <c r="F2223"/>
  <c r="G2223" s="1"/>
  <c r="B2224"/>
  <c r="F2224"/>
  <c r="G2224" s="1"/>
  <c r="B2225"/>
  <c r="F2225"/>
  <c r="G2225"/>
  <c r="B2226"/>
  <c r="F2226"/>
  <c r="G2226" s="1"/>
  <c r="B2227"/>
  <c r="F2227"/>
  <c r="G2227" s="1"/>
  <c r="B2228"/>
  <c r="F2228"/>
  <c r="G2228" s="1"/>
  <c r="F2230"/>
  <c r="B2237"/>
  <c r="B2238"/>
  <c r="G2249"/>
  <c r="F2252"/>
  <c r="G2255"/>
  <c r="B2262"/>
  <c r="G2271"/>
  <c r="G2272"/>
  <c r="G2273"/>
  <c r="G2274"/>
  <c r="G2275"/>
  <c r="G2276"/>
  <c r="G2277"/>
  <c r="G2278"/>
  <c r="G2279"/>
  <c r="G2280"/>
  <c r="F2282"/>
  <c r="B2289"/>
  <c r="B2290"/>
  <c r="G2301"/>
  <c r="F2304"/>
  <c r="G7" i="2"/>
  <c r="B14"/>
  <c r="B25"/>
  <c r="F25"/>
  <c r="G25" s="1"/>
  <c r="B26"/>
  <c r="F26"/>
  <c r="G26" s="1"/>
  <c r="B27"/>
  <c r="F27"/>
  <c r="G27" s="1"/>
  <c r="B28"/>
  <c r="F28"/>
  <c r="G28"/>
  <c r="B29"/>
  <c r="F29"/>
  <c r="G29" s="1"/>
  <c r="B30"/>
  <c r="F30"/>
  <c r="G30" s="1"/>
  <c r="B31"/>
  <c r="F31"/>
  <c r="G31" s="1"/>
  <c r="B32"/>
  <c r="F32"/>
  <c r="G32" s="1"/>
  <c r="F35"/>
  <c r="B42"/>
  <c r="B43"/>
  <c r="G54"/>
  <c r="F57"/>
  <c r="G60"/>
  <c r="B67"/>
  <c r="B78"/>
  <c r="F78"/>
  <c r="G78" s="1"/>
  <c r="B79"/>
  <c r="F79"/>
  <c r="G79" s="1"/>
  <c r="B80"/>
  <c r="F80"/>
  <c r="G80" s="1"/>
  <c r="B81"/>
  <c r="F81"/>
  <c r="G81"/>
  <c r="B82"/>
  <c r="F82"/>
  <c r="G82" s="1"/>
  <c r="B83"/>
  <c r="F83"/>
  <c r="G83" s="1"/>
  <c r="B84"/>
  <c r="F84"/>
  <c r="G84" s="1"/>
  <c r="B85"/>
  <c r="F85"/>
  <c r="G85" s="1"/>
  <c r="F88"/>
  <c r="B95"/>
  <c r="B96"/>
  <c r="G107"/>
  <c r="F110"/>
  <c r="G113"/>
  <c r="B120"/>
  <c r="B131"/>
  <c r="F131"/>
  <c r="G131" s="1"/>
  <c r="B132"/>
  <c r="F132"/>
  <c r="G132" s="1"/>
  <c r="B133"/>
  <c r="F133"/>
  <c r="G133" s="1"/>
  <c r="B134"/>
  <c r="F134"/>
  <c r="G134" s="1"/>
  <c r="B135"/>
  <c r="F135"/>
  <c r="G135"/>
  <c r="B136"/>
  <c r="F136"/>
  <c r="G136" s="1"/>
  <c r="B137"/>
  <c r="F137"/>
  <c r="G137" s="1"/>
  <c r="B138"/>
  <c r="F138"/>
  <c r="G138" s="1"/>
  <c r="F141"/>
  <c r="B148"/>
  <c r="B149"/>
  <c r="G160"/>
  <c r="F163"/>
  <c r="G166"/>
  <c r="B173"/>
  <c r="B184"/>
  <c r="F184"/>
  <c r="G184" s="1"/>
  <c r="B185"/>
  <c r="F185"/>
  <c r="G185" s="1"/>
  <c r="B186"/>
  <c r="F186"/>
  <c r="G186" s="1"/>
  <c r="B187"/>
  <c r="F187"/>
  <c r="G187"/>
  <c r="B188"/>
  <c r="F188"/>
  <c r="G188" s="1"/>
  <c r="B189"/>
  <c r="F189"/>
  <c r="G189" s="1"/>
  <c r="B190"/>
  <c r="F190"/>
  <c r="G190" s="1"/>
  <c r="B191"/>
  <c r="F191"/>
  <c r="G191" s="1"/>
  <c r="F194"/>
  <c r="B201"/>
  <c r="B202"/>
  <c r="G213"/>
  <c r="F216"/>
  <c r="G219"/>
  <c r="B226"/>
  <c r="B237"/>
  <c r="F237"/>
  <c r="G237" s="1"/>
  <c r="B238"/>
  <c r="F238"/>
  <c r="G238" s="1"/>
  <c r="B239"/>
  <c r="F239"/>
  <c r="G239" s="1"/>
  <c r="B240"/>
  <c r="F240"/>
  <c r="G240" s="1"/>
  <c r="B241"/>
  <c r="F241"/>
  <c r="G241"/>
  <c r="B242"/>
  <c r="F242"/>
  <c r="G242" s="1"/>
  <c r="B243"/>
  <c r="F243"/>
  <c r="G243" s="1"/>
  <c r="B244"/>
  <c r="F244"/>
  <c r="G244" s="1"/>
  <c r="F247"/>
  <c r="B254"/>
  <c r="B255"/>
  <c r="G266"/>
  <c r="F269"/>
  <c r="G272"/>
  <c r="B279"/>
  <c r="B290"/>
  <c r="F290"/>
  <c r="G290" s="1"/>
  <c r="B291"/>
  <c r="F291"/>
  <c r="G291" s="1"/>
  <c r="B292"/>
  <c r="F292"/>
  <c r="G292" s="1"/>
  <c r="B293"/>
  <c r="F293"/>
  <c r="G293" s="1"/>
  <c r="B294"/>
  <c r="F294"/>
  <c r="G294"/>
  <c r="B295"/>
  <c r="F295"/>
  <c r="G295" s="1"/>
  <c r="B296"/>
  <c r="F296"/>
  <c r="G296" s="1"/>
  <c r="B297"/>
  <c r="F297"/>
  <c r="G297" s="1"/>
  <c r="F300"/>
  <c r="B307"/>
  <c r="B308"/>
  <c r="G319"/>
  <c r="F322"/>
  <c r="G325"/>
  <c r="B332"/>
  <c r="B343"/>
  <c r="F343"/>
  <c r="G343" s="1"/>
  <c r="B344"/>
  <c r="F344"/>
  <c r="G344" s="1"/>
  <c r="B345"/>
  <c r="F345"/>
  <c r="G345" s="1"/>
  <c r="B346"/>
  <c r="F346"/>
  <c r="G346"/>
  <c r="B347"/>
  <c r="F347"/>
  <c r="G347" s="1"/>
  <c r="B348"/>
  <c r="F348"/>
  <c r="G348" s="1"/>
  <c r="B349"/>
  <c r="F349"/>
  <c r="G349" s="1"/>
  <c r="B350"/>
  <c r="F350"/>
  <c r="G350" s="1"/>
  <c r="F353"/>
  <c r="B360"/>
  <c r="B361"/>
  <c r="G372"/>
  <c r="F375"/>
  <c r="G378"/>
  <c r="B385"/>
  <c r="B396"/>
  <c r="F396"/>
  <c r="G396" s="1"/>
  <c r="B397"/>
  <c r="F397"/>
  <c r="G397" s="1"/>
  <c r="B398"/>
  <c r="F398"/>
  <c r="G398" s="1"/>
  <c r="B399"/>
  <c r="F399"/>
  <c r="G399" s="1"/>
  <c r="B400"/>
  <c r="F400"/>
  <c r="G400" s="1"/>
  <c r="B401"/>
  <c r="F401"/>
  <c r="G401"/>
  <c r="B402"/>
  <c r="F402"/>
  <c r="G402" s="1"/>
  <c r="B403"/>
  <c r="F403"/>
  <c r="G403" s="1"/>
  <c r="F406"/>
  <c r="B413"/>
  <c r="B414"/>
  <c r="G425"/>
  <c r="F428"/>
  <c r="G431"/>
  <c r="B438"/>
  <c r="B449"/>
  <c r="F449"/>
  <c r="G449" s="1"/>
  <c r="B450"/>
  <c r="F450"/>
  <c r="G450" s="1"/>
  <c r="B451"/>
  <c r="F451"/>
  <c r="G451"/>
  <c r="B452"/>
  <c r="F452"/>
  <c r="G452" s="1"/>
  <c r="B453"/>
  <c r="F453"/>
  <c r="G453" s="1"/>
  <c r="B454"/>
  <c r="F454"/>
  <c r="G454" s="1"/>
  <c r="F459"/>
  <c r="B466"/>
  <c r="B467"/>
  <c r="G478"/>
  <c r="F481"/>
  <c r="G484"/>
  <c r="B491"/>
  <c r="B501"/>
  <c r="F501"/>
  <c r="G501" s="1"/>
  <c r="B502"/>
  <c r="F502"/>
  <c r="G502" s="1"/>
  <c r="B503"/>
  <c r="F503"/>
  <c r="G503"/>
  <c r="B504"/>
  <c r="F504"/>
  <c r="G504" s="1"/>
  <c r="B505"/>
  <c r="F505"/>
  <c r="G505" s="1"/>
  <c r="B506"/>
  <c r="F506"/>
  <c r="G506" s="1"/>
  <c r="B507"/>
  <c r="F507"/>
  <c r="G507" s="1"/>
  <c r="B508"/>
  <c r="F508"/>
  <c r="G508" s="1"/>
  <c r="B509"/>
  <c r="F509"/>
  <c r="G509" s="1"/>
  <c r="B510"/>
  <c r="F510"/>
  <c r="G510" s="1"/>
  <c r="F512"/>
  <c r="B519"/>
  <c r="B520"/>
  <c r="G531"/>
  <c r="F534"/>
  <c r="G537"/>
  <c r="B544"/>
  <c r="B554"/>
  <c r="F554"/>
  <c r="G554" s="1"/>
  <c r="B555"/>
  <c r="F555"/>
  <c r="G555" s="1"/>
  <c r="B556"/>
  <c r="F556"/>
  <c r="G556" s="1"/>
  <c r="B557"/>
  <c r="F557"/>
  <c r="G557" s="1"/>
  <c r="B558"/>
  <c r="F558"/>
  <c r="G558" s="1"/>
  <c r="B559"/>
  <c r="F559"/>
  <c r="G559" s="1"/>
  <c r="B560"/>
  <c r="F560"/>
  <c r="G560" s="1"/>
  <c r="B561"/>
  <c r="F561"/>
  <c r="G561" s="1"/>
  <c r="B562"/>
  <c r="F562"/>
  <c r="G562"/>
  <c r="B563"/>
  <c r="F563"/>
  <c r="G563" s="1"/>
  <c r="F565"/>
  <c r="B572"/>
  <c r="B573"/>
  <c r="G584"/>
  <c r="F587"/>
  <c r="G590"/>
  <c r="B597"/>
  <c r="B607"/>
  <c r="F607"/>
  <c r="G607" s="1"/>
  <c r="B608"/>
  <c r="F608"/>
  <c r="G608"/>
  <c r="B609"/>
  <c r="F609"/>
  <c r="G609" s="1"/>
  <c r="B610"/>
  <c r="F610"/>
  <c r="G610" s="1"/>
  <c r="B611"/>
  <c r="F611"/>
  <c r="G611" s="1"/>
  <c r="B612"/>
  <c r="F612"/>
  <c r="G612" s="1"/>
  <c r="B613"/>
  <c r="F613"/>
  <c r="G613" s="1"/>
  <c r="B614"/>
  <c r="F614"/>
  <c r="G614" s="1"/>
  <c r="B615"/>
  <c r="F615"/>
  <c r="G615" s="1"/>
  <c r="B616"/>
  <c r="F616"/>
  <c r="G616"/>
  <c r="F618"/>
  <c r="B625"/>
  <c r="B626"/>
  <c r="G637"/>
  <c r="F640"/>
  <c r="G643"/>
  <c r="B650"/>
  <c r="B660"/>
  <c r="F660"/>
  <c r="G660"/>
  <c r="B661"/>
  <c r="F661"/>
  <c r="G661" s="1"/>
  <c r="B662"/>
  <c r="F662"/>
  <c r="G662" s="1"/>
  <c r="B663"/>
  <c r="F663"/>
  <c r="G663" s="1"/>
  <c r="B664"/>
  <c r="F664"/>
  <c r="G664" s="1"/>
  <c r="B665"/>
  <c r="F665"/>
  <c r="G665" s="1"/>
  <c r="B666"/>
  <c r="F666"/>
  <c r="G666" s="1"/>
  <c r="B667"/>
  <c r="F667"/>
  <c r="G667" s="1"/>
  <c r="B668"/>
  <c r="F668"/>
  <c r="G668"/>
  <c r="B669"/>
  <c r="F669"/>
  <c r="G669" s="1"/>
  <c r="F671"/>
  <c r="B678"/>
  <c r="B679"/>
  <c r="G690"/>
  <c r="F693"/>
  <c r="G696"/>
  <c r="B703"/>
  <c r="B713"/>
  <c r="F713"/>
  <c r="G713" s="1"/>
  <c r="B714"/>
  <c r="F714"/>
  <c r="G714"/>
  <c r="B715"/>
  <c r="F715"/>
  <c r="G715" s="1"/>
  <c r="B716"/>
  <c r="F716"/>
  <c r="G716" s="1"/>
  <c r="B717"/>
  <c r="F717"/>
  <c r="G717" s="1"/>
  <c r="B718"/>
  <c r="F718"/>
  <c r="G718" s="1"/>
  <c r="B719"/>
  <c r="F719"/>
  <c r="G719" s="1"/>
  <c r="B720"/>
  <c r="F720"/>
  <c r="G720" s="1"/>
  <c r="B721"/>
  <c r="F721"/>
  <c r="G721"/>
  <c r="B722"/>
  <c r="F722"/>
  <c r="G722" s="1"/>
  <c r="F724"/>
  <c r="B731"/>
  <c r="B732"/>
  <c r="G743"/>
  <c r="F746"/>
  <c r="G749"/>
  <c r="B756"/>
  <c r="B766"/>
  <c r="F766"/>
  <c r="G766" s="1"/>
  <c r="B767"/>
  <c r="F767"/>
  <c r="G767"/>
  <c r="B768"/>
  <c r="F768"/>
  <c r="G768" s="1"/>
  <c r="B769"/>
  <c r="F769"/>
  <c r="G769" s="1"/>
  <c r="B770"/>
  <c r="F770"/>
  <c r="G770" s="1"/>
  <c r="B771"/>
  <c r="F771"/>
  <c r="G771" s="1"/>
  <c r="B772"/>
  <c r="F772"/>
  <c r="G772" s="1"/>
  <c r="B773"/>
  <c r="F773"/>
  <c r="G773" s="1"/>
  <c r="B774"/>
  <c r="F774"/>
  <c r="G774" s="1"/>
  <c r="B775"/>
  <c r="F775"/>
  <c r="G775"/>
  <c r="F777"/>
  <c r="B784"/>
  <c r="B785"/>
  <c r="G796"/>
  <c r="F799"/>
  <c r="G802"/>
  <c r="B809"/>
  <c r="B819"/>
  <c r="F819"/>
  <c r="G819"/>
  <c r="B820"/>
  <c r="F820"/>
  <c r="G820" s="1"/>
  <c r="B821"/>
  <c r="F821"/>
  <c r="G821" s="1"/>
  <c r="B822"/>
  <c r="F822"/>
  <c r="G822" s="1"/>
  <c r="B823"/>
  <c r="F823"/>
  <c r="G823" s="1"/>
  <c r="B824"/>
  <c r="F824"/>
  <c r="G824" s="1"/>
  <c r="B825"/>
  <c r="F825"/>
  <c r="G825" s="1"/>
  <c r="B826"/>
  <c r="F826"/>
  <c r="G826" s="1"/>
  <c r="F829"/>
  <c r="B836"/>
  <c r="B837"/>
  <c r="G848"/>
  <c r="F851"/>
  <c r="G854"/>
  <c r="B861"/>
  <c r="B871"/>
  <c r="F871"/>
  <c r="G871" s="1"/>
  <c r="B872"/>
  <c r="F872"/>
  <c r="G872" s="1"/>
  <c r="B873"/>
  <c r="F873"/>
  <c r="G873" s="1"/>
  <c r="B874"/>
  <c r="F874"/>
  <c r="G874" s="1"/>
  <c r="B875"/>
  <c r="F875"/>
  <c r="G875" s="1"/>
  <c r="B876"/>
  <c r="F876"/>
  <c r="G876" s="1"/>
  <c r="B877"/>
  <c r="E877"/>
  <c r="F877"/>
  <c r="F882"/>
  <c r="B889"/>
  <c r="B890"/>
  <c r="G901"/>
  <c r="F904"/>
  <c r="G907"/>
  <c r="B914"/>
  <c r="B924"/>
  <c r="F924"/>
  <c r="G924" s="1"/>
  <c r="B925"/>
  <c r="F925"/>
  <c r="G925" s="1"/>
  <c r="B926"/>
  <c r="F926"/>
  <c r="G926" s="1"/>
  <c r="B927"/>
  <c r="F927"/>
  <c r="G927"/>
  <c r="B928"/>
  <c r="F928"/>
  <c r="G928" s="1"/>
  <c r="B929"/>
  <c r="F929"/>
  <c r="G929" s="1"/>
  <c r="B930"/>
  <c r="E930"/>
  <c r="F930"/>
  <c r="G930" s="1"/>
  <c r="B931"/>
  <c r="F931"/>
  <c r="G931" s="1"/>
  <c r="B932"/>
  <c r="F932"/>
  <c r="G932"/>
  <c r="F935"/>
  <c r="B942"/>
  <c r="B943"/>
  <c r="G954"/>
  <c r="F957"/>
  <c r="G960"/>
  <c r="B967"/>
  <c r="B977"/>
  <c r="F977"/>
  <c r="G977"/>
  <c r="B978"/>
  <c r="F978"/>
  <c r="G978" s="1"/>
  <c r="B979"/>
  <c r="F979"/>
  <c r="G979" s="1"/>
  <c r="B980"/>
  <c r="F980"/>
  <c r="G980" s="1"/>
  <c r="B981"/>
  <c r="F981"/>
  <c r="G981" s="1"/>
  <c r="B982"/>
  <c r="F982"/>
  <c r="G982" s="1"/>
  <c r="B983"/>
  <c r="E983"/>
  <c r="F983"/>
  <c r="B984"/>
  <c r="F984"/>
  <c r="G984" s="1"/>
  <c r="B985"/>
  <c r="F985"/>
  <c r="G985" s="1"/>
  <c r="F988"/>
  <c r="B995"/>
  <c r="B996"/>
  <c r="G1007"/>
  <c r="F1010"/>
  <c r="G1013"/>
  <c r="B1020"/>
  <c r="B1031"/>
  <c r="F1031"/>
  <c r="G1031" s="1"/>
  <c r="B1032"/>
  <c r="F1032"/>
  <c r="G1032" s="1"/>
  <c r="B1033"/>
  <c r="F1033"/>
  <c r="G1033" s="1"/>
  <c r="F1041"/>
  <c r="B1048"/>
  <c r="B1049"/>
  <c r="G1060"/>
  <c r="F1063"/>
  <c r="G1066"/>
  <c r="B1073"/>
  <c r="B1084"/>
  <c r="F1084"/>
  <c r="G1084" s="1"/>
  <c r="B1085"/>
  <c r="F1085"/>
  <c r="G1085" s="1"/>
  <c r="B1086"/>
  <c r="F1086"/>
  <c r="G1086" s="1"/>
  <c r="F1094"/>
  <c r="B1101"/>
  <c r="B1102"/>
  <c r="G1113"/>
  <c r="F1116"/>
  <c r="G1119"/>
  <c r="B1126"/>
  <c r="B1137"/>
  <c r="F1137"/>
  <c r="G1137" s="1"/>
  <c r="B1138"/>
  <c r="F1138"/>
  <c r="G1138" s="1"/>
  <c r="G1146" s="1"/>
  <c r="B1139"/>
  <c r="F1139"/>
  <c r="G1139" s="1"/>
  <c r="F1147"/>
  <c r="B1154"/>
  <c r="B1155"/>
  <c r="G1166"/>
  <c r="F1169"/>
  <c r="G1172"/>
  <c r="B1179"/>
  <c r="B1190"/>
  <c r="F1190"/>
  <c r="G1190" s="1"/>
  <c r="B1191"/>
  <c r="F1191"/>
  <c r="G1191" s="1"/>
  <c r="B1192"/>
  <c r="F1192"/>
  <c r="G1192" s="1"/>
  <c r="F1200"/>
  <c r="B1207"/>
  <c r="B1208"/>
  <c r="G1219"/>
  <c r="F1222"/>
  <c r="G1225"/>
  <c r="B1232"/>
  <c r="B1243"/>
  <c r="F1243"/>
  <c r="G1243" s="1"/>
  <c r="B1244"/>
  <c r="F1244"/>
  <c r="G1244" s="1"/>
  <c r="B1245"/>
  <c r="F1245"/>
  <c r="G1245" s="1"/>
  <c r="F1253"/>
  <c r="B1260"/>
  <c r="B1261"/>
  <c r="G1272"/>
  <c r="F1275"/>
  <c r="G1279"/>
  <c r="B1286"/>
  <c r="B1297"/>
  <c r="F1297"/>
  <c r="G1297" s="1"/>
  <c r="G1298"/>
  <c r="G1299"/>
  <c r="F1307"/>
  <c r="B1314"/>
  <c r="B1315"/>
  <c r="G1326"/>
  <c r="F1329"/>
  <c r="G1333"/>
  <c r="B1340"/>
  <c r="B1351"/>
  <c r="F1351"/>
  <c r="G1351" s="1"/>
  <c r="B1352"/>
  <c r="F1352"/>
  <c r="G1352" s="1"/>
  <c r="G1353"/>
  <c r="F1361"/>
  <c r="B1368"/>
  <c r="B1369"/>
  <c r="G1380"/>
  <c r="F1383"/>
  <c r="G7" i="1"/>
  <c r="B14"/>
  <c r="B25"/>
  <c r="F25"/>
  <c r="G25" s="1"/>
  <c r="B26"/>
  <c r="F26"/>
  <c r="G26"/>
  <c r="B27"/>
  <c r="F27"/>
  <c r="G27" s="1"/>
  <c r="F35"/>
  <c r="B42"/>
  <c r="B43"/>
  <c r="G54"/>
  <c r="F57"/>
  <c r="G60"/>
  <c r="B67"/>
  <c r="B78"/>
  <c r="F78"/>
  <c r="G78" s="1"/>
  <c r="B79"/>
  <c r="F79"/>
  <c r="G79"/>
  <c r="B80"/>
  <c r="F80"/>
  <c r="G80" s="1"/>
  <c r="F88"/>
  <c r="B95"/>
  <c r="B96"/>
  <c r="G107"/>
  <c r="F110"/>
  <c r="G113"/>
  <c r="B120"/>
  <c r="B131"/>
  <c r="F131"/>
  <c r="G131" s="1"/>
  <c r="B132"/>
  <c r="F132"/>
  <c r="G132"/>
  <c r="B133"/>
  <c r="F133"/>
  <c r="G133" s="1"/>
  <c r="F141"/>
  <c r="B148"/>
  <c r="B149"/>
  <c r="G160"/>
  <c r="F163"/>
  <c r="G166"/>
  <c r="B173"/>
  <c r="B184"/>
  <c r="F184"/>
  <c r="G184" s="1"/>
  <c r="B185"/>
  <c r="F185"/>
  <c r="G185" s="1"/>
  <c r="B186"/>
  <c r="F186"/>
  <c r="G186"/>
  <c r="F194"/>
  <c r="B201"/>
  <c r="B202"/>
  <c r="G213"/>
  <c r="F216"/>
  <c r="G219"/>
  <c r="B226"/>
  <c r="B237"/>
  <c r="F237"/>
  <c r="G237"/>
  <c r="B238"/>
  <c r="F238"/>
  <c r="G238" s="1"/>
  <c r="B239"/>
  <c r="F239"/>
  <c r="G239" s="1"/>
  <c r="F247"/>
  <c r="B254"/>
  <c r="B255"/>
  <c r="G266"/>
  <c r="F269"/>
  <c r="G272"/>
  <c r="B279"/>
  <c r="B290"/>
  <c r="F290"/>
  <c r="G290" s="1"/>
  <c r="B291"/>
  <c r="F291"/>
  <c r="G291" s="1"/>
  <c r="B292"/>
  <c r="F292"/>
  <c r="G292"/>
  <c r="F300"/>
  <c r="B307"/>
  <c r="B308"/>
  <c r="G319"/>
  <c r="F322"/>
  <c r="G325"/>
  <c r="B332"/>
  <c r="B343"/>
  <c r="F343"/>
  <c r="G343"/>
  <c r="B344"/>
  <c r="F344"/>
  <c r="G344" s="1"/>
  <c r="B345"/>
  <c r="F345"/>
  <c r="G345" s="1"/>
  <c r="F353"/>
  <c r="B360"/>
  <c r="B361"/>
  <c r="G372"/>
  <c r="F375"/>
  <c r="G378"/>
  <c r="B385"/>
  <c r="B396"/>
  <c r="F396"/>
  <c r="G396" s="1"/>
  <c r="B397"/>
  <c r="F397"/>
  <c r="G397" s="1"/>
  <c r="B398"/>
  <c r="F398"/>
  <c r="G398"/>
  <c r="B399"/>
  <c r="F399"/>
  <c r="G399" s="1"/>
  <c r="B400"/>
  <c r="F400"/>
  <c r="G400" s="1"/>
  <c r="F406"/>
  <c r="B413"/>
  <c r="B414"/>
  <c r="G425"/>
  <c r="F428"/>
  <c r="G431"/>
  <c r="B438"/>
  <c r="B449"/>
  <c r="F449"/>
  <c r="G449" s="1"/>
  <c r="B450"/>
  <c r="F450"/>
  <c r="G450"/>
  <c r="B451"/>
  <c r="F451"/>
  <c r="G451" s="1"/>
  <c r="F459"/>
  <c r="B466"/>
  <c r="B467"/>
  <c r="G478"/>
  <c r="F481"/>
  <c r="G484"/>
  <c r="B491"/>
  <c r="B502"/>
  <c r="F502"/>
  <c r="G502" s="1"/>
  <c r="B503"/>
  <c r="F503"/>
  <c r="G503" s="1"/>
  <c r="B504"/>
  <c r="F504"/>
  <c r="G504"/>
  <c r="F512"/>
  <c r="B519"/>
  <c r="B520"/>
  <c r="G531"/>
  <c r="F534"/>
  <c r="G537"/>
  <c r="B544"/>
  <c r="B555"/>
  <c r="F555"/>
  <c r="G555"/>
  <c r="B556"/>
  <c r="F556"/>
  <c r="G556" s="1"/>
  <c r="B557"/>
  <c r="F557"/>
  <c r="G557" s="1"/>
  <c r="F565"/>
  <c r="B572"/>
  <c r="B573"/>
  <c r="G584"/>
  <c r="F587"/>
  <c r="G590"/>
  <c r="B597"/>
  <c r="B608"/>
  <c r="F608"/>
  <c r="G608" s="1"/>
  <c r="B609"/>
  <c r="F609"/>
  <c r="G609" s="1"/>
  <c r="B610"/>
  <c r="F610"/>
  <c r="G610"/>
  <c r="F618"/>
  <c r="B625"/>
  <c r="B626"/>
  <c r="G637"/>
  <c r="F640"/>
  <c r="G643"/>
  <c r="B661"/>
  <c r="F661"/>
  <c r="G661" s="1"/>
  <c r="G670" s="1"/>
  <c r="G671" s="1"/>
  <c r="F671"/>
  <c r="G690"/>
  <c r="F693"/>
  <c r="G7" i="3"/>
  <c r="B14"/>
  <c r="B15"/>
  <c r="E15"/>
  <c r="G15" s="1"/>
  <c r="B16"/>
  <c r="E16"/>
  <c r="F16"/>
  <c r="G16" s="1"/>
  <c r="B17"/>
  <c r="E17"/>
  <c r="G17" s="1"/>
  <c r="F17"/>
  <c r="B18"/>
  <c r="E18"/>
  <c r="F18"/>
  <c r="B25"/>
  <c r="B26"/>
  <c r="E26"/>
  <c r="F26"/>
  <c r="G26" s="1"/>
  <c r="B27"/>
  <c r="E27"/>
  <c r="F27"/>
  <c r="B28"/>
  <c r="F28"/>
  <c r="G28"/>
  <c r="B29"/>
  <c r="E29"/>
  <c r="F29"/>
  <c r="G29"/>
  <c r="B30"/>
  <c r="E30"/>
  <c r="G30" s="1"/>
  <c r="F30"/>
  <c r="B31"/>
  <c r="F31"/>
  <c r="G31"/>
  <c r="F35"/>
  <c r="B42"/>
  <c r="B43"/>
  <c r="G54"/>
  <c r="F57"/>
  <c r="G60"/>
  <c r="B67"/>
  <c r="B68"/>
  <c r="E68"/>
  <c r="G68"/>
  <c r="B69"/>
  <c r="E69"/>
  <c r="F69"/>
  <c r="G69"/>
  <c r="B70"/>
  <c r="E70"/>
  <c r="G70" s="1"/>
  <c r="F70"/>
  <c r="B71"/>
  <c r="E71"/>
  <c r="F71"/>
  <c r="G71" s="1"/>
  <c r="B78"/>
  <c r="B79"/>
  <c r="E79"/>
  <c r="F79"/>
  <c r="G79" s="1"/>
  <c r="B80"/>
  <c r="E80"/>
  <c r="F80"/>
  <c r="B81"/>
  <c r="F81"/>
  <c r="G81" s="1"/>
  <c r="B82"/>
  <c r="E82"/>
  <c r="F82"/>
  <c r="B83"/>
  <c r="E83"/>
  <c r="F83"/>
  <c r="G83" s="1"/>
  <c r="B84"/>
  <c r="F84"/>
  <c r="G84" s="1"/>
  <c r="F88"/>
  <c r="B95"/>
  <c r="B96"/>
  <c r="G107"/>
  <c r="F110"/>
  <c r="G113"/>
  <c r="B120"/>
  <c r="B121"/>
  <c r="E121"/>
  <c r="G121" s="1"/>
  <c r="B122"/>
  <c r="E122"/>
  <c r="F122"/>
  <c r="B123"/>
  <c r="E123"/>
  <c r="G123" s="1"/>
  <c r="F123"/>
  <c r="B124"/>
  <c r="E124"/>
  <c r="F124"/>
  <c r="B131"/>
  <c r="B132"/>
  <c r="E132"/>
  <c r="F132"/>
  <c r="B133"/>
  <c r="E133"/>
  <c r="F133"/>
  <c r="B134"/>
  <c r="F134"/>
  <c r="G134" s="1"/>
  <c r="B135"/>
  <c r="E135"/>
  <c r="F135"/>
  <c r="G135" s="1"/>
  <c r="B136"/>
  <c r="E136"/>
  <c r="F136"/>
  <c r="B137"/>
  <c r="F137"/>
  <c r="G137" s="1"/>
  <c r="F141"/>
  <c r="B148"/>
  <c r="B149"/>
  <c r="G160"/>
  <c r="F163"/>
  <c r="G166"/>
  <c r="B173"/>
  <c r="B174"/>
  <c r="E174"/>
  <c r="G174" s="1"/>
  <c r="B175"/>
  <c r="E175"/>
  <c r="F175"/>
  <c r="G175"/>
  <c r="B176"/>
  <c r="E176"/>
  <c r="G176" s="1"/>
  <c r="F176"/>
  <c r="B177"/>
  <c r="E177"/>
  <c r="F177"/>
  <c r="B184"/>
  <c r="B185"/>
  <c r="E185"/>
  <c r="F185"/>
  <c r="B186"/>
  <c r="E186"/>
  <c r="F186"/>
  <c r="G186" s="1"/>
  <c r="B187"/>
  <c r="F187"/>
  <c r="G187" s="1"/>
  <c r="B188"/>
  <c r="F188"/>
  <c r="G188" s="1"/>
  <c r="B189"/>
  <c r="F189"/>
  <c r="G189"/>
  <c r="B190"/>
  <c r="F190"/>
  <c r="G190" s="1"/>
  <c r="F194"/>
  <c r="B201"/>
  <c r="B202"/>
  <c r="G213"/>
  <c r="F216"/>
  <c r="G219"/>
  <c r="B226"/>
  <c r="B227"/>
  <c r="E227"/>
  <c r="G227" s="1"/>
  <c r="B228"/>
  <c r="E228"/>
  <c r="F228"/>
  <c r="B229"/>
  <c r="E229"/>
  <c r="G229" s="1"/>
  <c r="F229"/>
  <c r="B230"/>
  <c r="E230"/>
  <c r="G230" s="1"/>
  <c r="F230"/>
  <c r="B237"/>
  <c r="B238"/>
  <c r="E238"/>
  <c r="F238"/>
  <c r="G238" s="1"/>
  <c r="B239"/>
  <c r="E239"/>
  <c r="F239"/>
  <c r="B240"/>
  <c r="F240"/>
  <c r="G240"/>
  <c r="B241"/>
  <c r="E241"/>
  <c r="F241"/>
  <c r="G241"/>
  <c r="B242"/>
  <c r="F242"/>
  <c r="G242" s="1"/>
  <c r="B243"/>
  <c r="F243"/>
  <c r="G243" s="1"/>
  <c r="B244"/>
  <c r="E244"/>
  <c r="F244"/>
  <c r="G244" s="1"/>
  <c r="F247"/>
  <c r="B254"/>
  <c r="B255"/>
  <c r="G266"/>
  <c r="F269"/>
  <c r="G272"/>
  <c r="B279"/>
  <c r="B280"/>
  <c r="E280"/>
  <c r="G280" s="1"/>
  <c r="B281"/>
  <c r="E281"/>
  <c r="F281"/>
  <c r="B282"/>
  <c r="E282"/>
  <c r="F282"/>
  <c r="B283"/>
  <c r="E283"/>
  <c r="F283"/>
  <c r="G283"/>
  <c r="B290"/>
  <c r="B291"/>
  <c r="E291"/>
  <c r="F291"/>
  <c r="B292"/>
  <c r="E292"/>
  <c r="G292" s="1"/>
  <c r="F292"/>
  <c r="B293"/>
  <c r="F293"/>
  <c r="G293"/>
  <c r="B294"/>
  <c r="E294"/>
  <c r="G294" s="1"/>
  <c r="F294"/>
  <c r="B295"/>
  <c r="F295"/>
  <c r="G295"/>
  <c r="B296"/>
  <c r="F296"/>
  <c r="G296" s="1"/>
  <c r="B297"/>
  <c r="E297"/>
  <c r="F297"/>
  <c r="F300"/>
  <c r="B307"/>
  <c r="B308"/>
  <c r="G319"/>
  <c r="F322"/>
  <c r="G325"/>
  <c r="B332"/>
  <c r="B333"/>
  <c r="E333"/>
  <c r="G333" s="1"/>
  <c r="B334"/>
  <c r="E334"/>
  <c r="F334"/>
  <c r="B335"/>
  <c r="E335"/>
  <c r="G335" s="1"/>
  <c r="F335"/>
  <c r="B336"/>
  <c r="E336"/>
  <c r="F336"/>
  <c r="B343"/>
  <c r="B344"/>
  <c r="E344"/>
  <c r="F344"/>
  <c r="G344" s="1"/>
  <c r="B345"/>
  <c r="E345"/>
  <c r="F345"/>
  <c r="B346"/>
  <c r="F346"/>
  <c r="G346" s="1"/>
  <c r="B347"/>
  <c r="E347"/>
  <c r="F347"/>
  <c r="G347" s="1"/>
  <c r="B348"/>
  <c r="F348"/>
  <c r="G348" s="1"/>
  <c r="B349"/>
  <c r="F349"/>
  <c r="G349" s="1"/>
  <c r="F353"/>
  <c r="B360"/>
  <c r="B361"/>
  <c r="G372"/>
  <c r="F375"/>
  <c r="G378"/>
  <c r="B385"/>
  <c r="B386"/>
  <c r="E386"/>
  <c r="G386" s="1"/>
  <c r="B387"/>
  <c r="E387"/>
  <c r="F387"/>
  <c r="B388"/>
  <c r="E388"/>
  <c r="G388" s="1"/>
  <c r="F388"/>
  <c r="B389"/>
  <c r="E389"/>
  <c r="F389"/>
  <c r="B396"/>
  <c r="B397"/>
  <c r="E397"/>
  <c r="F397"/>
  <c r="B398"/>
  <c r="E398"/>
  <c r="F398"/>
  <c r="B399"/>
  <c r="F399"/>
  <c r="G399" s="1"/>
  <c r="B400"/>
  <c r="E400"/>
  <c r="F400"/>
  <c r="G400" s="1"/>
  <c r="B401"/>
  <c r="F401"/>
  <c r="G401" s="1"/>
  <c r="B402"/>
  <c r="F402"/>
  <c r="G402" s="1"/>
  <c r="F406"/>
  <c r="B413"/>
  <c r="B414"/>
  <c r="G425"/>
  <c r="F428"/>
  <c r="G431"/>
  <c r="B438"/>
  <c r="B439"/>
  <c r="E439"/>
  <c r="G439" s="1"/>
  <c r="B440"/>
  <c r="E440"/>
  <c r="F440"/>
  <c r="B441"/>
  <c r="E441"/>
  <c r="F441"/>
  <c r="B442"/>
  <c r="E442"/>
  <c r="F442"/>
  <c r="B449"/>
  <c r="E449"/>
  <c r="B450"/>
  <c r="E450"/>
  <c r="F450"/>
  <c r="B451"/>
  <c r="E451"/>
  <c r="F451"/>
  <c r="G451" s="1"/>
  <c r="B452"/>
  <c r="E452"/>
  <c r="F452"/>
  <c r="B453"/>
  <c r="F453"/>
  <c r="G453" s="1"/>
  <c r="B454"/>
  <c r="E454"/>
  <c r="F454"/>
  <c r="G454" s="1"/>
  <c r="B455"/>
  <c r="F455"/>
  <c r="G455" s="1"/>
  <c r="B456"/>
  <c r="F456"/>
  <c r="G456" s="1"/>
  <c r="F459"/>
  <c r="B466"/>
  <c r="B467"/>
  <c r="G478"/>
  <c r="F481"/>
  <c r="G484"/>
  <c r="B491"/>
  <c r="B492"/>
  <c r="E492"/>
  <c r="G492" s="1"/>
  <c r="B493"/>
  <c r="E493"/>
  <c r="F493"/>
  <c r="B494"/>
  <c r="E494"/>
  <c r="G494" s="1"/>
  <c r="F494"/>
  <c r="B495"/>
  <c r="E495"/>
  <c r="F495"/>
  <c r="B502"/>
  <c r="B503"/>
  <c r="E503"/>
  <c r="F503"/>
  <c r="B504"/>
  <c r="E504"/>
  <c r="F504"/>
  <c r="B505"/>
  <c r="F505"/>
  <c r="G505" s="1"/>
  <c r="B506"/>
  <c r="E506"/>
  <c r="F506"/>
  <c r="G506" s="1"/>
  <c r="B507"/>
  <c r="F507"/>
  <c r="G507" s="1"/>
  <c r="B508"/>
  <c r="F508"/>
  <c r="G508" s="1"/>
  <c r="B509"/>
  <c r="F509"/>
  <c r="G509"/>
  <c r="B510"/>
  <c r="E510"/>
  <c r="F510"/>
  <c r="G510"/>
  <c r="F512"/>
  <c r="B519"/>
  <c r="B520"/>
  <c r="G531"/>
  <c r="F534"/>
  <c r="G537"/>
  <c r="B544"/>
  <c r="B545"/>
  <c r="E545"/>
  <c r="G545" s="1"/>
  <c r="B546"/>
  <c r="E546"/>
  <c r="F546"/>
  <c r="G546"/>
  <c r="B547"/>
  <c r="E547"/>
  <c r="G547" s="1"/>
  <c r="F547"/>
  <c r="B548"/>
  <c r="E548"/>
  <c r="F548"/>
  <c r="B555"/>
  <c r="B556"/>
  <c r="E556"/>
  <c r="F556"/>
  <c r="G556"/>
  <c r="B557"/>
  <c r="E557"/>
  <c r="F557"/>
  <c r="G557"/>
  <c r="B558"/>
  <c r="F558"/>
  <c r="G558" s="1"/>
  <c r="B559"/>
  <c r="E559"/>
  <c r="F559"/>
  <c r="B560"/>
  <c r="F560"/>
  <c r="G560"/>
  <c r="B561"/>
  <c r="F561"/>
  <c r="G561" s="1"/>
  <c r="B562"/>
  <c r="F562"/>
  <c r="G562" s="1"/>
  <c r="B563"/>
  <c r="E563"/>
  <c r="F563"/>
  <c r="G563" s="1"/>
  <c r="F565"/>
  <c r="B572"/>
  <c r="B573"/>
  <c r="G584"/>
  <c r="F587"/>
  <c r="G590"/>
  <c r="B597"/>
  <c r="B598"/>
  <c r="E598"/>
  <c r="G598" s="1"/>
  <c r="B599"/>
  <c r="E599"/>
  <c r="F599"/>
  <c r="B600"/>
  <c r="E600"/>
  <c r="F600"/>
  <c r="B601"/>
  <c r="E601"/>
  <c r="F601"/>
  <c r="B602"/>
  <c r="E602"/>
  <c r="G602" s="1"/>
  <c r="F602"/>
  <c r="B608"/>
  <c r="B609"/>
  <c r="E609"/>
  <c r="F609"/>
  <c r="G609" s="1"/>
  <c r="B610"/>
  <c r="E610"/>
  <c r="F610"/>
  <c r="B611"/>
  <c r="F611"/>
  <c r="G611" s="1"/>
  <c r="B612"/>
  <c r="E612"/>
  <c r="F612"/>
  <c r="G612" s="1"/>
  <c r="B613"/>
  <c r="E613"/>
  <c r="F613"/>
  <c r="G613" s="1"/>
  <c r="B614"/>
  <c r="F614"/>
  <c r="G614" s="1"/>
  <c r="B615"/>
  <c r="E615"/>
  <c r="F615"/>
  <c r="F618"/>
  <c r="B625"/>
  <c r="B626"/>
  <c r="G637"/>
  <c r="F640"/>
  <c r="G643"/>
  <c r="B650"/>
  <c r="B651"/>
  <c r="E651"/>
  <c r="G651" s="1"/>
  <c r="B652"/>
  <c r="E652"/>
  <c r="G652" s="1"/>
  <c r="F652"/>
  <c r="B653"/>
  <c r="E653"/>
  <c r="F653"/>
  <c r="B654"/>
  <c r="E654"/>
  <c r="G654" s="1"/>
  <c r="F654"/>
  <c r="B655"/>
  <c r="E655"/>
  <c r="F655"/>
  <c r="B661"/>
  <c r="E661"/>
  <c r="B662"/>
  <c r="E662"/>
  <c r="F662"/>
  <c r="B663"/>
  <c r="E663"/>
  <c r="F663"/>
  <c r="G663" s="1"/>
  <c r="B664"/>
  <c r="F664"/>
  <c r="G664" s="1"/>
  <c r="B665"/>
  <c r="E665"/>
  <c r="F665"/>
  <c r="G665" s="1"/>
  <c r="B666"/>
  <c r="E666"/>
  <c r="F666"/>
  <c r="G666" s="1"/>
  <c r="B667"/>
  <c r="F667"/>
  <c r="G667" s="1"/>
  <c r="B668"/>
  <c r="E668"/>
  <c r="F668"/>
  <c r="G668" s="1"/>
  <c r="F671"/>
  <c r="B678"/>
  <c r="B679"/>
  <c r="G690"/>
  <c r="F693"/>
  <c r="G696"/>
  <c r="B703"/>
  <c r="B704"/>
  <c r="E704"/>
  <c r="G704" s="1"/>
  <c r="B705"/>
  <c r="E705"/>
  <c r="G705"/>
  <c r="B706"/>
  <c r="E706"/>
  <c r="G706" s="1"/>
  <c r="B707"/>
  <c r="B708"/>
  <c r="E708"/>
  <c r="G708" s="1"/>
  <c r="B714"/>
  <c r="B715"/>
  <c r="E715"/>
  <c r="G715" s="1"/>
  <c r="F715"/>
  <c r="B716"/>
  <c r="E716"/>
  <c r="F716"/>
  <c r="G716" s="1"/>
  <c r="B717"/>
  <c r="E717"/>
  <c r="F717"/>
  <c r="G717"/>
  <c r="B718"/>
  <c r="E718"/>
  <c r="F718"/>
  <c r="G718"/>
  <c r="B719"/>
  <c r="F719"/>
  <c r="G719" s="1"/>
  <c r="B720"/>
  <c r="F720"/>
  <c r="G720" s="1"/>
  <c r="F724"/>
  <c r="B731"/>
  <c r="B732"/>
  <c r="G743"/>
  <c r="F746"/>
  <c r="G749"/>
  <c r="B756"/>
  <c r="B757"/>
  <c r="E757"/>
  <c r="G757" s="1"/>
  <c r="B758"/>
  <c r="E758"/>
  <c r="G758" s="1"/>
  <c r="B759"/>
  <c r="E759"/>
  <c r="G759"/>
  <c r="B760"/>
  <c r="B761"/>
  <c r="E761"/>
  <c r="G761"/>
  <c r="B767"/>
  <c r="B768"/>
  <c r="E768"/>
  <c r="F768"/>
  <c r="G768" s="1"/>
  <c r="B769"/>
  <c r="E769"/>
  <c r="F769"/>
  <c r="B770"/>
  <c r="E770"/>
  <c r="F770"/>
  <c r="G770" s="1"/>
  <c r="B771"/>
  <c r="E771"/>
  <c r="F771"/>
  <c r="B772"/>
  <c r="F772"/>
  <c r="G772"/>
  <c r="B773"/>
  <c r="F773"/>
  <c r="G773" s="1"/>
  <c r="F777"/>
  <c r="B784"/>
  <c r="B785"/>
  <c r="G796"/>
  <c r="F799"/>
  <c r="G802"/>
  <c r="B809"/>
  <c r="B810"/>
  <c r="E810"/>
  <c r="G810" s="1"/>
  <c r="B811"/>
  <c r="E811"/>
  <c r="G811"/>
  <c r="B812"/>
  <c r="E812"/>
  <c r="G812" s="1"/>
  <c r="B813"/>
  <c r="B814"/>
  <c r="E814"/>
  <c r="G814" s="1"/>
  <c r="B820"/>
  <c r="B821"/>
  <c r="E821"/>
  <c r="F821"/>
  <c r="G821"/>
  <c r="B822"/>
  <c r="E822"/>
  <c r="F822"/>
  <c r="G822"/>
  <c r="B823"/>
  <c r="E823"/>
  <c r="F823"/>
  <c r="G823"/>
  <c r="B824"/>
  <c r="F824"/>
  <c r="G824" s="1"/>
  <c r="B825"/>
  <c r="E825"/>
  <c r="F825"/>
  <c r="B826"/>
  <c r="E826"/>
  <c r="F826"/>
  <c r="G826" s="1"/>
  <c r="F830"/>
  <c r="B837"/>
  <c r="B838"/>
  <c r="G849"/>
  <c r="F852"/>
  <c r="G855"/>
  <c r="B862"/>
  <c r="B863"/>
  <c r="E863"/>
  <c r="G863" s="1"/>
  <c r="B864"/>
  <c r="E864"/>
  <c r="G864"/>
  <c r="B865"/>
  <c r="E865"/>
  <c r="G865" s="1"/>
  <c r="B866"/>
  <c r="B867"/>
  <c r="E867"/>
  <c r="G867" s="1"/>
  <c r="B873"/>
  <c r="B874"/>
  <c r="E874"/>
  <c r="F874"/>
  <c r="G874"/>
  <c r="B875"/>
  <c r="E875"/>
  <c r="F875"/>
  <c r="B876"/>
  <c r="E876"/>
  <c r="F876"/>
  <c r="G876" s="1"/>
  <c r="B877"/>
  <c r="F877"/>
  <c r="G877" s="1"/>
  <c r="B878"/>
  <c r="E878"/>
  <c r="F878"/>
  <c r="G878" s="1"/>
  <c r="B879"/>
  <c r="E879"/>
  <c r="F879"/>
  <c r="G879" s="1"/>
  <c r="F883"/>
  <c r="B890"/>
  <c r="B891"/>
  <c r="G902"/>
  <c r="F905"/>
  <c r="G908"/>
  <c r="B915"/>
  <c r="B916"/>
  <c r="E916"/>
  <c r="G916" s="1"/>
  <c r="B926"/>
  <c r="B927"/>
  <c r="E927"/>
  <c r="F927"/>
  <c r="B928"/>
  <c r="E928"/>
  <c r="F928"/>
  <c r="G928" s="1"/>
  <c r="B929"/>
  <c r="E929"/>
  <c r="F929"/>
  <c r="B930"/>
  <c r="E930"/>
  <c r="F930"/>
  <c r="G930" s="1"/>
  <c r="B931"/>
  <c r="E931"/>
  <c r="F931"/>
  <c r="G931"/>
  <c r="B932"/>
  <c r="F932"/>
  <c r="G932" s="1"/>
  <c r="F936"/>
  <c r="B943"/>
  <c r="B944"/>
  <c r="G955"/>
  <c r="F958"/>
  <c r="G961"/>
  <c r="B968"/>
  <c r="B969"/>
  <c r="E969"/>
  <c r="G969" s="1"/>
  <c r="B979"/>
  <c r="B980"/>
  <c r="E980"/>
  <c r="F980"/>
  <c r="G980"/>
  <c r="B981"/>
  <c r="E981"/>
  <c r="F981"/>
  <c r="G981"/>
  <c r="B982"/>
  <c r="E982"/>
  <c r="F982"/>
  <c r="G982"/>
  <c r="B983"/>
  <c r="F983"/>
  <c r="G983" s="1"/>
  <c r="B984"/>
  <c r="E984"/>
  <c r="F984"/>
  <c r="B985"/>
  <c r="E985"/>
  <c r="F985"/>
  <c r="G985" s="1"/>
  <c r="F989"/>
  <c r="B996"/>
  <c r="B997"/>
  <c r="G1008"/>
  <c r="F1011"/>
  <c r="G1022"/>
  <c r="E1033"/>
  <c r="G1033"/>
  <c r="E1034"/>
  <c r="G1034"/>
  <c r="E1035"/>
  <c r="G1035"/>
  <c r="G1036"/>
  <c r="E1037"/>
  <c r="E1038"/>
  <c r="G1038"/>
  <c r="G1061"/>
  <c r="G1067"/>
  <c r="B1074"/>
  <c r="B1075"/>
  <c r="E1075"/>
  <c r="G1075" s="1"/>
  <c r="B1076"/>
  <c r="E1076"/>
  <c r="G1076"/>
  <c r="F1076"/>
  <c r="B1077"/>
  <c r="E1077"/>
  <c r="F1077"/>
  <c r="G1077" s="1"/>
  <c r="B1085"/>
  <c r="B1086"/>
  <c r="E1086"/>
  <c r="F1086"/>
  <c r="G1086" s="1"/>
  <c r="B1087"/>
  <c r="F1087"/>
  <c r="G1087" s="1"/>
  <c r="B1088"/>
  <c r="F1088"/>
  <c r="G1088" s="1"/>
  <c r="B1089"/>
  <c r="F1089"/>
  <c r="G1089" s="1"/>
  <c r="B1090"/>
  <c r="B1091"/>
  <c r="F1095"/>
  <c r="B1102"/>
  <c r="B1103"/>
  <c r="G1114"/>
  <c r="F1117"/>
  <c r="G1120"/>
  <c r="B1127"/>
  <c r="B1128"/>
  <c r="E1128"/>
  <c r="G1128" s="1"/>
  <c r="B1129"/>
  <c r="E1129"/>
  <c r="F1129"/>
  <c r="G1129"/>
  <c r="B1130"/>
  <c r="E1130"/>
  <c r="F1130"/>
  <c r="G1130"/>
  <c r="B1138"/>
  <c r="E1138"/>
  <c r="B1139"/>
  <c r="E1139"/>
  <c r="F1139"/>
  <c r="B1140"/>
  <c r="F1140"/>
  <c r="G1140" s="1"/>
  <c r="B1141"/>
  <c r="F1141"/>
  <c r="G1141"/>
  <c r="B1142"/>
  <c r="F1142"/>
  <c r="G1142" s="1"/>
  <c r="B1143"/>
  <c r="E1143"/>
  <c r="F1143"/>
  <c r="B1144"/>
  <c r="E1144"/>
  <c r="F1148"/>
  <c r="B1155"/>
  <c r="B1156"/>
  <c r="G1167"/>
  <c r="F1170"/>
  <c r="G1173"/>
  <c r="B1180"/>
  <c r="B1181"/>
  <c r="E1181"/>
  <c r="G1181" s="1"/>
  <c r="B1182"/>
  <c r="E1182"/>
  <c r="G1182" s="1"/>
  <c r="B1183"/>
  <c r="B1184"/>
  <c r="E1184"/>
  <c r="G1184" s="1"/>
  <c r="B1185"/>
  <c r="E1185"/>
  <c r="G1185"/>
  <c r="B1186"/>
  <c r="B1192"/>
  <c r="B1193"/>
  <c r="E1193"/>
  <c r="B1194"/>
  <c r="E1194"/>
  <c r="B1195"/>
  <c r="E1195"/>
  <c r="F1195"/>
  <c r="G1195"/>
  <c r="B1196"/>
  <c r="E1196"/>
  <c r="F1196"/>
  <c r="G1196"/>
  <c r="B1197"/>
  <c r="F1197"/>
  <c r="G1197" s="1"/>
  <c r="F1200"/>
  <c r="B1207"/>
  <c r="F1207"/>
  <c r="F1182"/>
  <c r="B1208"/>
  <c r="F1208"/>
  <c r="G1219"/>
  <c r="F1222"/>
  <c r="G1225"/>
  <c r="B1232"/>
  <c r="B1233"/>
  <c r="E1233"/>
  <c r="G1233" s="1"/>
  <c r="B1234"/>
  <c r="E1234"/>
  <c r="F1234"/>
  <c r="B1235"/>
  <c r="B1236"/>
  <c r="E1236"/>
  <c r="G1236" s="1"/>
  <c r="B1237"/>
  <c r="E1237"/>
  <c r="G1237" s="1"/>
  <c r="B1238"/>
  <c r="B1244"/>
  <c r="B1245"/>
  <c r="E1245"/>
  <c r="B1246"/>
  <c r="E1246"/>
  <c r="B1247"/>
  <c r="E1247"/>
  <c r="F1247"/>
  <c r="G1247"/>
  <c r="B1248"/>
  <c r="E1248"/>
  <c r="F1248"/>
  <c r="G1248"/>
  <c r="B1249"/>
  <c r="F1249"/>
  <c r="G1249" s="1"/>
  <c r="F1252"/>
  <c r="B1259"/>
  <c r="B1260"/>
  <c r="F1260"/>
  <c r="G1271"/>
  <c r="F1274"/>
  <c r="G1277"/>
  <c r="B1284"/>
  <c r="B1285"/>
  <c r="E1285"/>
  <c r="G1285" s="1"/>
  <c r="B1286"/>
  <c r="E1286"/>
  <c r="G1286" s="1"/>
  <c r="B1287"/>
  <c r="E1287"/>
  <c r="G1287" s="1"/>
  <c r="B1288"/>
  <c r="E1288"/>
  <c r="G1288" s="1"/>
  <c r="B1289"/>
  <c r="E1289"/>
  <c r="G1289" s="1"/>
  <c r="B1295"/>
  <c r="B1296"/>
  <c r="E1296"/>
  <c r="F1296"/>
  <c r="B1297"/>
  <c r="E1297"/>
  <c r="F1297"/>
  <c r="G1297" s="1"/>
  <c r="B1298"/>
  <c r="E1298"/>
  <c r="F1298"/>
  <c r="B1299"/>
  <c r="E1299"/>
  <c r="F1299"/>
  <c r="G1299" s="1"/>
  <c r="B1300"/>
  <c r="F1300"/>
  <c r="G1300" s="1"/>
  <c r="B1301"/>
  <c r="F1301"/>
  <c r="G1301" s="1"/>
  <c r="F1305"/>
  <c r="B1312"/>
  <c r="B1313"/>
  <c r="G1324"/>
  <c r="F1327"/>
  <c r="G1330"/>
  <c r="B1337"/>
  <c r="B1338"/>
  <c r="E1338"/>
  <c r="G1338" s="1"/>
  <c r="B1349"/>
  <c r="B1350"/>
  <c r="B1351"/>
  <c r="F1351"/>
  <c r="G1351" s="1"/>
  <c r="G1352"/>
  <c r="B1353"/>
  <c r="F1360"/>
  <c r="B1367"/>
  <c r="B1368"/>
  <c r="G1379"/>
  <c r="F1382"/>
  <c r="G1385"/>
  <c r="B1392"/>
  <c r="B1393"/>
  <c r="E1393"/>
  <c r="G1393" s="1"/>
  <c r="B1394"/>
  <c r="E1394"/>
  <c r="G1394" s="1"/>
  <c r="F1394"/>
  <c r="B1395"/>
  <c r="E1395"/>
  <c r="F1395"/>
  <c r="B1396"/>
  <c r="E1396"/>
  <c r="F1396"/>
  <c r="B1403"/>
  <c r="B1404"/>
  <c r="E1404"/>
  <c r="F1404"/>
  <c r="B1405"/>
  <c r="E1405"/>
  <c r="G1405" s="1"/>
  <c r="F1405"/>
  <c r="B1406"/>
  <c r="F1406"/>
  <c r="G1406" s="1"/>
  <c r="B1407"/>
  <c r="E1407"/>
  <c r="F1407"/>
  <c r="G1407" s="1"/>
  <c r="B1408"/>
  <c r="F1408"/>
  <c r="G1408" s="1"/>
  <c r="B1409"/>
  <c r="F1409"/>
  <c r="G1409" s="1"/>
  <c r="F1413"/>
  <c r="B1420"/>
  <c r="B1421"/>
  <c r="G1432"/>
  <c r="F1435"/>
  <c r="G1438"/>
  <c r="B1445"/>
  <c r="B1456"/>
  <c r="F1466"/>
  <c r="B1473"/>
  <c r="B1474"/>
  <c r="G1485"/>
  <c r="F1488"/>
  <c r="G1492"/>
  <c r="B1510"/>
  <c r="G1511"/>
  <c r="F1520"/>
  <c r="G1537"/>
  <c r="F1540"/>
  <c r="G7" i="19"/>
  <c r="B14"/>
  <c r="B25"/>
  <c r="B26"/>
  <c r="F26"/>
  <c r="G26" s="1"/>
  <c r="F35"/>
  <c r="B42"/>
  <c r="B43"/>
  <c r="G54"/>
  <c r="F57"/>
  <c r="G60"/>
  <c r="B67"/>
  <c r="B78"/>
  <c r="B79"/>
  <c r="F79"/>
  <c r="G79" s="1"/>
  <c r="F88"/>
  <c r="B95"/>
  <c r="B96"/>
  <c r="G107"/>
  <c r="F110"/>
  <c r="G113"/>
  <c r="B120"/>
  <c r="B131"/>
  <c r="B132"/>
  <c r="F132"/>
  <c r="G132" s="1"/>
  <c r="F141"/>
  <c r="B148"/>
  <c r="B149"/>
  <c r="G160"/>
  <c r="F163"/>
  <c r="G166"/>
  <c r="B173"/>
  <c r="B184"/>
  <c r="B185"/>
  <c r="F185"/>
  <c r="G185" s="1"/>
  <c r="F194"/>
  <c r="B201"/>
  <c r="B202"/>
  <c r="G213"/>
  <c r="F216"/>
  <c r="G219"/>
  <c r="B226"/>
  <c r="B237"/>
  <c r="B238"/>
  <c r="F238"/>
  <c r="G238" s="1"/>
  <c r="F247"/>
  <c r="B254"/>
  <c r="B255"/>
  <c r="G266"/>
  <c r="F269"/>
  <c r="G272"/>
  <c r="B279"/>
  <c r="B290"/>
  <c r="B291"/>
  <c r="F291"/>
  <c r="G291" s="1"/>
  <c r="F300"/>
  <c r="B307"/>
  <c r="B308"/>
  <c r="G319"/>
  <c r="F322"/>
  <c r="G325"/>
  <c r="B332"/>
  <c r="B343"/>
  <c r="B344"/>
  <c r="F344"/>
  <c r="G344" s="1"/>
  <c r="F353"/>
  <c r="B360"/>
  <c r="B361"/>
  <c r="G372"/>
  <c r="F375"/>
  <c r="G378"/>
  <c r="B385"/>
  <c r="B396"/>
  <c r="B397"/>
  <c r="F397"/>
  <c r="G397"/>
  <c r="F406"/>
  <c r="B413"/>
  <c r="B414"/>
  <c r="G425"/>
  <c r="F428"/>
  <c r="G431"/>
  <c r="B438"/>
  <c r="B449"/>
  <c r="B450"/>
  <c r="F450"/>
  <c r="G450" s="1"/>
  <c r="F459"/>
  <c r="B466"/>
  <c r="B467"/>
  <c r="G478"/>
  <c r="F481"/>
  <c r="G484"/>
  <c r="B491"/>
  <c r="B502"/>
  <c r="B503"/>
  <c r="F503"/>
  <c r="G503" s="1"/>
  <c r="F512"/>
  <c r="B519"/>
  <c r="B520"/>
  <c r="G531"/>
  <c r="F534"/>
  <c r="G537"/>
  <c r="B544"/>
  <c r="B555"/>
  <c r="E555"/>
  <c r="B556"/>
  <c r="E556"/>
  <c r="B557"/>
  <c r="E557"/>
  <c r="B558"/>
  <c r="F558"/>
  <c r="G558" s="1"/>
  <c r="B559"/>
  <c r="E559"/>
  <c r="F559"/>
  <c r="G559" s="1"/>
  <c r="B560"/>
  <c r="E560"/>
  <c r="B561"/>
  <c r="E561"/>
  <c r="B562"/>
  <c r="E562"/>
  <c r="F564"/>
  <c r="B571"/>
  <c r="B572"/>
  <c r="G583"/>
  <c r="F586"/>
  <c r="G589"/>
  <c r="B596"/>
  <c r="B607"/>
  <c r="E607"/>
  <c r="B608"/>
  <c r="E608"/>
  <c r="B609"/>
  <c r="E609"/>
  <c r="B610"/>
  <c r="F610"/>
  <c r="G610" s="1"/>
  <c r="B611"/>
  <c r="E611"/>
  <c r="F611"/>
  <c r="G611" s="1"/>
  <c r="B612"/>
  <c r="E612"/>
  <c r="B613"/>
  <c r="E613"/>
  <c r="B614"/>
  <c r="F616"/>
  <c r="B623"/>
  <c r="B624"/>
  <c r="G635"/>
  <c r="F638"/>
  <c r="G641"/>
  <c r="B648"/>
  <c r="B659"/>
  <c r="E659"/>
  <c r="B660"/>
  <c r="E660"/>
  <c r="B661"/>
  <c r="E661"/>
  <c r="B662"/>
  <c r="F662"/>
  <c r="G662" s="1"/>
  <c r="B663"/>
  <c r="E663"/>
  <c r="F663"/>
  <c r="G663" s="1"/>
  <c r="B664"/>
  <c r="E664"/>
  <c r="B665"/>
  <c r="E665"/>
  <c r="B666"/>
  <c r="E666"/>
  <c r="F668"/>
  <c r="B675"/>
  <c r="B676"/>
  <c r="G687"/>
  <c r="F690"/>
  <c r="G693"/>
  <c r="B700"/>
  <c r="B711"/>
  <c r="E711"/>
  <c r="B712"/>
  <c r="E712"/>
  <c r="B713"/>
  <c r="E713"/>
  <c r="B714"/>
  <c r="F714"/>
  <c r="G714" s="1"/>
  <c r="B715"/>
  <c r="E715"/>
  <c r="F715"/>
  <c r="G715" s="1"/>
  <c r="B716"/>
  <c r="E716"/>
  <c r="B717"/>
  <c r="E717"/>
  <c r="B718"/>
  <c r="E718"/>
  <c r="F720"/>
  <c r="B727"/>
  <c r="B728"/>
  <c r="G739"/>
  <c r="F742"/>
  <c r="G745"/>
  <c r="B752"/>
  <c r="B763"/>
  <c r="E763"/>
  <c r="B764"/>
  <c r="E764"/>
  <c r="B765"/>
  <c r="B766"/>
  <c r="F766"/>
  <c r="G766" s="1"/>
  <c r="B767"/>
  <c r="F767"/>
  <c r="G767" s="1"/>
  <c r="B768"/>
  <c r="E768"/>
  <c r="F770"/>
  <c r="B777"/>
  <c r="B778"/>
  <c r="G789"/>
  <c r="F792"/>
  <c r="G795"/>
  <c r="B802"/>
  <c r="B813"/>
  <c r="E813"/>
  <c r="B814"/>
  <c r="E814"/>
  <c r="B815"/>
  <c r="E815"/>
  <c r="B816"/>
  <c r="F816"/>
  <c r="G816" s="1"/>
  <c r="B817"/>
  <c r="E817"/>
  <c r="F817"/>
  <c r="B818"/>
  <c r="E818"/>
  <c r="B819"/>
  <c r="E819"/>
  <c r="B820"/>
  <c r="E820"/>
  <c r="F822"/>
  <c r="B829"/>
  <c r="B830"/>
  <c r="G840"/>
  <c r="F843"/>
  <c r="G846"/>
  <c r="B853"/>
  <c r="B864"/>
  <c r="E864"/>
  <c r="B865"/>
  <c r="E865"/>
  <c r="B866"/>
  <c r="B867"/>
  <c r="F867"/>
  <c r="G867"/>
  <c r="B868"/>
  <c r="F868"/>
  <c r="G868" s="1"/>
  <c r="B869"/>
  <c r="E869"/>
  <c r="F871"/>
  <c r="B878"/>
  <c r="B879"/>
  <c r="G890"/>
  <c r="F893"/>
  <c r="G896"/>
  <c r="B903"/>
  <c r="B914"/>
  <c r="E914"/>
  <c r="B915"/>
  <c r="E915"/>
  <c r="B916"/>
  <c r="E916"/>
  <c r="B917"/>
  <c r="F917"/>
  <c r="G917" s="1"/>
  <c r="B918"/>
  <c r="E918"/>
  <c r="F918"/>
  <c r="G918" s="1"/>
  <c r="B919"/>
  <c r="E919"/>
  <c r="B920"/>
  <c r="E920"/>
  <c r="B921"/>
  <c r="E921"/>
  <c r="F923"/>
  <c r="B930"/>
  <c r="B931"/>
  <c r="G942"/>
  <c r="F945"/>
  <c r="G948"/>
  <c r="B955"/>
  <c r="B966"/>
  <c r="E966"/>
  <c r="B967"/>
  <c r="E967"/>
  <c r="B968"/>
  <c r="B969"/>
  <c r="F969"/>
  <c r="G969" s="1"/>
  <c r="B970"/>
  <c r="E970"/>
  <c r="F970"/>
  <c r="G970" s="1"/>
  <c r="B971"/>
  <c r="E971"/>
  <c r="F973"/>
  <c r="B980"/>
  <c r="B981"/>
  <c r="G992"/>
  <c r="F995"/>
  <c r="G998"/>
  <c r="B1005"/>
  <c r="B1016"/>
  <c r="F1016"/>
  <c r="G1016" s="1"/>
  <c r="B1017"/>
  <c r="F1017"/>
  <c r="G1017" s="1"/>
  <c r="B1018"/>
  <c r="F1018"/>
  <c r="G1018" s="1"/>
  <c r="B1019"/>
  <c r="F1019"/>
  <c r="G1019" s="1"/>
  <c r="B1020"/>
  <c r="F1026"/>
  <c r="B1033"/>
  <c r="B1034"/>
  <c r="G1045"/>
  <c r="F1048"/>
  <c r="G1051"/>
  <c r="B1058"/>
  <c r="B1069"/>
  <c r="F1069"/>
  <c r="G1069" s="1"/>
  <c r="B1070"/>
  <c r="F1070"/>
  <c r="G1070" s="1"/>
  <c r="B1071"/>
  <c r="F1079"/>
  <c r="B1086"/>
  <c r="B1087"/>
  <c r="G1098"/>
  <c r="F1101"/>
  <c r="G1104"/>
  <c r="B1111"/>
  <c r="B1122"/>
  <c r="F1122"/>
  <c r="G1122"/>
  <c r="B1123"/>
  <c r="F1123"/>
  <c r="G1123" s="1"/>
  <c r="B1124"/>
  <c r="F1132"/>
  <c r="B1139"/>
  <c r="B1140"/>
  <c r="G1151"/>
  <c r="F1154"/>
  <c r="G7" i="18"/>
  <c r="B14"/>
  <c r="B25"/>
  <c r="F35"/>
  <c r="B42"/>
  <c r="B43"/>
  <c r="G54"/>
  <c r="F57"/>
  <c r="G60"/>
  <c r="B67"/>
  <c r="B78"/>
  <c r="B79"/>
  <c r="F79"/>
  <c r="G79" s="1"/>
  <c r="B80"/>
  <c r="F80"/>
  <c r="G80"/>
  <c r="F88"/>
  <c r="B95"/>
  <c r="B96"/>
  <c r="G107"/>
  <c r="F110"/>
  <c r="G113"/>
  <c r="G121"/>
  <c r="E131"/>
  <c r="G132"/>
  <c r="G133"/>
  <c r="G134"/>
  <c r="G136"/>
  <c r="G137"/>
  <c r="E138"/>
  <c r="G160"/>
  <c r="G166"/>
  <c r="B173"/>
  <c r="B174"/>
  <c r="E174"/>
  <c r="G174" s="1"/>
  <c r="B183"/>
  <c r="B184"/>
  <c r="E184"/>
  <c r="F184"/>
  <c r="G184" s="1"/>
  <c r="B185"/>
  <c r="F185"/>
  <c r="G185" s="1"/>
  <c r="B186"/>
  <c r="E186"/>
  <c r="F186"/>
  <c r="G186" s="1"/>
  <c r="B187"/>
  <c r="E187"/>
  <c r="B188"/>
  <c r="E188"/>
  <c r="B189"/>
  <c r="E189"/>
  <c r="F189"/>
  <c r="B190"/>
  <c r="E190"/>
  <c r="F190"/>
  <c r="G190" s="1"/>
  <c r="F193"/>
  <c r="B200"/>
  <c r="B201"/>
  <c r="G212"/>
  <c r="F215"/>
  <c r="G218"/>
  <c r="B225"/>
  <c r="B226"/>
  <c r="E226"/>
  <c r="G226" s="1"/>
  <c r="B235"/>
  <c r="B236"/>
  <c r="E236"/>
  <c r="F236"/>
  <c r="G236"/>
  <c r="B237"/>
  <c r="F237"/>
  <c r="G237" s="1"/>
  <c r="B238"/>
  <c r="E238"/>
  <c r="F238"/>
  <c r="B239"/>
  <c r="B240"/>
  <c r="E240"/>
  <c r="F240"/>
  <c r="G240"/>
  <c r="B241"/>
  <c r="E241"/>
  <c r="F241"/>
  <c r="G241"/>
  <c r="B242"/>
  <c r="E242"/>
  <c r="F242"/>
  <c r="G242"/>
  <c r="F245"/>
  <c r="B252"/>
  <c r="B253"/>
  <c r="G264"/>
  <c r="F267"/>
  <c r="G270"/>
  <c r="B277"/>
  <c r="B278"/>
  <c r="E278"/>
  <c r="G278" s="1"/>
  <c r="B287"/>
  <c r="B288"/>
  <c r="E288"/>
  <c r="F288"/>
  <c r="G288" s="1"/>
  <c r="B289"/>
  <c r="F289"/>
  <c r="G289" s="1"/>
  <c r="B290"/>
  <c r="E290"/>
  <c r="F290"/>
  <c r="G290" s="1"/>
  <c r="B291"/>
  <c r="B292"/>
  <c r="E292"/>
  <c r="F292"/>
  <c r="B293"/>
  <c r="E293"/>
  <c r="F293"/>
  <c r="G293" s="1"/>
  <c r="B294"/>
  <c r="E294"/>
  <c r="F294"/>
  <c r="F297"/>
  <c r="B304"/>
  <c r="B305"/>
  <c r="G316"/>
  <c r="F319"/>
  <c r="G322"/>
  <c r="B329"/>
  <c r="B340"/>
  <c r="F340"/>
  <c r="G340" s="1"/>
  <c r="B341"/>
  <c r="B342"/>
  <c r="F342"/>
  <c r="G342" s="1"/>
  <c r="B343"/>
  <c r="F343"/>
  <c r="G343" s="1"/>
  <c r="B344"/>
  <c r="F344"/>
  <c r="G344" s="1"/>
  <c r="F350"/>
  <c r="B357"/>
  <c r="B358"/>
  <c r="G369"/>
  <c r="F372"/>
  <c r="G375"/>
  <c r="B382"/>
  <c r="B393"/>
  <c r="F393"/>
  <c r="G393" s="1"/>
  <c r="B394"/>
  <c r="B395"/>
  <c r="F395"/>
  <c r="G395" s="1"/>
  <c r="B396"/>
  <c r="F396"/>
  <c r="G396" s="1"/>
  <c r="B397"/>
  <c r="F397"/>
  <c r="G397" s="1"/>
  <c r="F403"/>
  <c r="B410"/>
  <c r="B411"/>
  <c r="G422"/>
  <c r="F425"/>
  <c r="G428"/>
  <c r="B435"/>
  <c r="B446"/>
  <c r="F446"/>
  <c r="G446" s="1"/>
  <c r="B447"/>
  <c r="B448"/>
  <c r="F448"/>
  <c r="G448" s="1"/>
  <c r="B449"/>
  <c r="F449"/>
  <c r="G449"/>
  <c r="B450"/>
  <c r="F450"/>
  <c r="G450" s="1"/>
  <c r="F456"/>
  <c r="B463"/>
  <c r="B464"/>
  <c r="G475"/>
  <c r="F478"/>
  <c r="G481"/>
  <c r="B488"/>
  <c r="B499"/>
  <c r="F499"/>
  <c r="G499" s="1"/>
  <c r="B500"/>
  <c r="B501"/>
  <c r="F501"/>
  <c r="G501" s="1"/>
  <c r="B502"/>
  <c r="F502"/>
  <c r="G502" s="1"/>
  <c r="B503"/>
  <c r="F503"/>
  <c r="G503" s="1"/>
  <c r="F509"/>
  <c r="B516"/>
  <c r="B517"/>
  <c r="G528"/>
  <c r="F531"/>
  <c r="G534"/>
  <c r="B541"/>
  <c r="B552"/>
  <c r="F552"/>
  <c r="G552" s="1"/>
  <c r="B553"/>
  <c r="B554"/>
  <c r="F554"/>
  <c r="G554" s="1"/>
  <c r="B555"/>
  <c r="E555"/>
  <c r="F555"/>
  <c r="G555" s="1"/>
  <c r="B556"/>
  <c r="F556"/>
  <c r="G556" s="1"/>
  <c r="F562"/>
  <c r="B569"/>
  <c r="B570"/>
  <c r="G581"/>
  <c r="F584"/>
  <c r="G587"/>
  <c r="B594"/>
  <c r="B595"/>
  <c r="E595"/>
  <c r="G595" s="1"/>
  <c r="B605"/>
  <c r="B606"/>
  <c r="F606"/>
  <c r="G606" s="1"/>
  <c r="B607"/>
  <c r="F607"/>
  <c r="G607" s="1"/>
  <c r="B608"/>
  <c r="F608"/>
  <c r="G608"/>
  <c r="B609"/>
  <c r="F609"/>
  <c r="G609" s="1"/>
  <c r="F615"/>
  <c r="B622"/>
  <c r="B623"/>
  <c r="G634"/>
  <c r="F637"/>
  <c r="G640"/>
  <c r="B647"/>
  <c r="B648"/>
  <c r="E648"/>
  <c r="G648" s="1"/>
  <c r="B658"/>
  <c r="B659"/>
  <c r="F659"/>
  <c r="G659" s="1"/>
  <c r="B660"/>
  <c r="F660"/>
  <c r="G660" s="1"/>
  <c r="B661"/>
  <c r="F661"/>
  <c r="G661" s="1"/>
  <c r="B662"/>
  <c r="F662"/>
  <c r="G662" s="1"/>
  <c r="F668"/>
  <c r="B675"/>
  <c r="B676"/>
  <c r="G687"/>
  <c r="F690"/>
  <c r="G693"/>
  <c r="B700"/>
  <c r="B701"/>
  <c r="E701"/>
  <c r="G701" s="1"/>
  <c r="B711"/>
  <c r="E711"/>
  <c r="B712"/>
  <c r="B713"/>
  <c r="F713"/>
  <c r="G713"/>
  <c r="B714"/>
  <c r="F714"/>
  <c r="G714" s="1"/>
  <c r="F721"/>
  <c r="B728"/>
  <c r="B729"/>
  <c r="G740"/>
  <c r="F743"/>
  <c r="G746"/>
  <c r="B753"/>
  <c r="B754"/>
  <c r="E754"/>
  <c r="G754" s="1"/>
  <c r="B764"/>
  <c r="E764"/>
  <c r="B765"/>
  <c r="B766"/>
  <c r="F766"/>
  <c r="G766" s="1"/>
  <c r="B767"/>
  <c r="F767"/>
  <c r="G767" s="1"/>
  <c r="F774"/>
  <c r="B781"/>
  <c r="B782"/>
  <c r="G793"/>
  <c r="F796"/>
  <c r="G799"/>
  <c r="B806"/>
  <c r="B817"/>
  <c r="F817"/>
  <c r="G817" s="1"/>
  <c r="B818"/>
  <c r="B819"/>
  <c r="F819"/>
  <c r="G819" s="1"/>
  <c r="B820"/>
  <c r="F820"/>
  <c r="G820" s="1"/>
  <c r="B821"/>
  <c r="F821"/>
  <c r="G821" s="1"/>
  <c r="F827"/>
  <c r="B834"/>
  <c r="B835"/>
  <c r="G846"/>
  <c r="F849"/>
  <c r="G852"/>
  <c r="B859"/>
  <c r="B870"/>
  <c r="F870"/>
  <c r="G870" s="1"/>
  <c r="B871"/>
  <c r="B872"/>
  <c r="F872"/>
  <c r="G872"/>
  <c r="B873"/>
  <c r="F873"/>
  <c r="G873" s="1"/>
  <c r="B874"/>
  <c r="F874"/>
  <c r="G874" s="1"/>
  <c r="F880"/>
  <c r="B887"/>
  <c r="B888"/>
  <c r="G899"/>
  <c r="F902"/>
  <c r="G905"/>
  <c r="B912"/>
  <c r="F923"/>
  <c r="G923"/>
  <c r="G932" s="1"/>
  <c r="F933"/>
  <c r="B940"/>
  <c r="B941"/>
  <c r="G952"/>
  <c r="F955"/>
  <c r="G958"/>
  <c r="B965"/>
  <c r="F976"/>
  <c r="G976"/>
  <c r="G985" s="1"/>
  <c r="F986"/>
  <c r="G986" s="1"/>
  <c r="G987" s="1"/>
  <c r="B993"/>
  <c r="B994"/>
  <c r="G1005"/>
  <c r="F1008"/>
  <c r="G7" i="6"/>
  <c r="B14"/>
  <c r="G34"/>
  <c r="F35"/>
  <c r="G35" s="1"/>
  <c r="B42"/>
  <c r="G54"/>
  <c r="F57"/>
  <c r="G60"/>
  <c r="B67"/>
  <c r="G87"/>
  <c r="F88"/>
  <c r="G88" s="1"/>
  <c r="G89" s="1"/>
  <c r="B95"/>
  <c r="G107"/>
  <c r="F110"/>
  <c r="G113"/>
  <c r="B120"/>
  <c r="G140"/>
  <c r="F141"/>
  <c r="B148"/>
  <c r="G160"/>
  <c r="F163"/>
  <c r="G166"/>
  <c r="B173"/>
  <c r="G193"/>
  <c r="F194"/>
  <c r="G194" s="1"/>
  <c r="G195" s="1"/>
  <c r="B201"/>
  <c r="G213"/>
  <c r="F216"/>
  <c r="G219"/>
  <c r="B226"/>
  <c r="G246"/>
  <c r="F247"/>
  <c r="G247" s="1"/>
  <c r="G248" s="1"/>
  <c r="B254"/>
  <c r="G266"/>
  <c r="F269"/>
  <c r="G272"/>
  <c r="B279"/>
  <c r="G299"/>
  <c r="F300"/>
  <c r="B307"/>
  <c r="G319"/>
  <c r="F322"/>
  <c r="G325"/>
  <c r="B332"/>
  <c r="G352"/>
  <c r="F353"/>
  <c r="G353" s="1"/>
  <c r="G354" s="1"/>
  <c r="B360"/>
  <c r="G372"/>
  <c r="F375"/>
  <c r="G378"/>
  <c r="B385"/>
  <c r="G405"/>
  <c r="F406"/>
  <c r="G406" s="1"/>
  <c r="G407" s="1"/>
  <c r="B413"/>
  <c r="G425"/>
  <c r="F428"/>
  <c r="G431"/>
  <c r="B438"/>
  <c r="G458"/>
  <c r="F459"/>
  <c r="G459" s="1"/>
  <c r="B466"/>
  <c r="G478"/>
  <c r="F481"/>
  <c r="G484"/>
  <c r="B491"/>
  <c r="G511"/>
  <c r="F512"/>
  <c r="B519"/>
  <c r="G531"/>
  <c r="F534"/>
  <c r="G537"/>
  <c r="B544"/>
  <c r="G564"/>
  <c r="F565"/>
  <c r="G565" s="1"/>
  <c r="B572"/>
  <c r="G584"/>
  <c r="F587"/>
  <c r="G590"/>
  <c r="B597"/>
  <c r="G617"/>
  <c r="F618"/>
  <c r="G618" s="1"/>
  <c r="G619" s="1"/>
  <c r="B625"/>
  <c r="G637"/>
  <c r="F640"/>
  <c r="G643"/>
  <c r="B650"/>
  <c r="G670"/>
  <c r="F671"/>
  <c r="G671" s="1"/>
  <c r="G672" s="1"/>
  <c r="B678"/>
  <c r="G690"/>
  <c r="F693"/>
  <c r="G696"/>
  <c r="B703"/>
  <c r="G723"/>
  <c r="F724"/>
  <c r="G724" s="1"/>
  <c r="G725" s="1"/>
  <c r="B731"/>
  <c r="G743"/>
  <c r="F746"/>
  <c r="G749"/>
  <c r="B756"/>
  <c r="G776"/>
  <c r="F777"/>
  <c r="B784"/>
  <c r="G796"/>
  <c r="F799"/>
  <c r="G802"/>
  <c r="B809"/>
  <c r="G829"/>
  <c r="F830"/>
  <c r="G830" s="1"/>
  <c r="G831" s="1"/>
  <c r="B837"/>
  <c r="G849"/>
  <c r="F852"/>
  <c r="G855"/>
  <c r="B862"/>
  <c r="G882"/>
  <c r="F883"/>
  <c r="G883" s="1"/>
  <c r="G884" s="1"/>
  <c r="B890"/>
  <c r="G902"/>
  <c r="F905"/>
  <c r="G908"/>
  <c r="B915"/>
  <c r="G935"/>
  <c r="F936"/>
  <c r="B943"/>
  <c r="G955"/>
  <c r="F958"/>
  <c r="G961"/>
  <c r="B968"/>
  <c r="G988"/>
  <c r="F989"/>
  <c r="G989" s="1"/>
  <c r="G990" s="1"/>
  <c r="B996"/>
  <c r="G1008"/>
  <c r="F1011"/>
  <c r="G1014"/>
  <c r="B1021"/>
  <c r="G1041"/>
  <c r="F1042"/>
  <c r="B1049"/>
  <c r="G1061"/>
  <c r="F1064"/>
  <c r="G1067"/>
  <c r="B1074"/>
  <c r="G1094"/>
  <c r="F1095"/>
  <c r="G1095" s="1"/>
  <c r="B1102"/>
  <c r="G1114"/>
  <c r="F1117"/>
  <c r="G1120"/>
  <c r="B1127"/>
  <c r="G1147"/>
  <c r="F1148"/>
  <c r="B1155"/>
  <c r="G1167"/>
  <c r="F1170"/>
  <c r="G1173"/>
  <c r="B1180"/>
  <c r="G1200"/>
  <c r="F1201"/>
  <c r="G1201"/>
  <c r="B1208"/>
  <c r="G1220"/>
  <c r="F1223"/>
  <c r="G1226"/>
  <c r="B1233"/>
  <c r="G1253"/>
  <c r="F1254"/>
  <c r="G1254"/>
  <c r="G1255" s="1"/>
  <c r="B1261"/>
  <c r="G1273"/>
  <c r="F1276"/>
  <c r="G1279"/>
  <c r="B1286"/>
  <c r="G1306"/>
  <c r="F1307"/>
  <c r="B1314"/>
  <c r="G1326"/>
  <c r="F1329"/>
  <c r="G1332"/>
  <c r="B1339"/>
  <c r="B1340"/>
  <c r="G1358"/>
  <c r="F1359"/>
  <c r="G1359"/>
  <c r="B1366"/>
  <c r="G1378"/>
  <c r="F1381"/>
  <c r="G1384"/>
  <c r="B1391"/>
  <c r="B1392"/>
  <c r="G1410"/>
  <c r="F1411"/>
  <c r="G1411" s="1"/>
  <c r="B1418"/>
  <c r="G1430"/>
  <c r="F1433"/>
  <c r="G1436"/>
  <c r="B1443"/>
  <c r="B1444"/>
  <c r="G1462"/>
  <c r="F1463"/>
  <c r="G1463" s="1"/>
  <c r="B1470"/>
  <c r="G1482"/>
  <c r="F1485"/>
  <c r="G1488"/>
  <c r="B1495"/>
  <c r="B1496"/>
  <c r="G1514"/>
  <c r="F1515"/>
  <c r="G1515" s="1"/>
  <c r="G1516" s="1"/>
  <c r="B1522"/>
  <c r="G1534"/>
  <c r="F1537"/>
  <c r="G1540"/>
  <c r="B1547"/>
  <c r="B1548"/>
  <c r="G1566"/>
  <c r="F1567"/>
  <c r="B1574"/>
  <c r="G1586"/>
  <c r="F1589"/>
  <c r="G1592"/>
  <c r="B1599"/>
  <c r="B1600"/>
  <c r="G1618"/>
  <c r="F1619"/>
  <c r="G1619" s="1"/>
  <c r="G1620" s="1"/>
  <c r="B1626"/>
  <c r="G1638"/>
  <c r="F1641"/>
  <c r="G1644"/>
  <c r="B1651"/>
  <c r="B1652"/>
  <c r="G1670"/>
  <c r="F1671"/>
  <c r="G1671" s="1"/>
  <c r="B1678"/>
  <c r="G1690"/>
  <c r="F1693"/>
  <c r="G1696"/>
  <c r="B1703"/>
  <c r="B1704"/>
  <c r="G1722"/>
  <c r="F1723"/>
  <c r="G1723" s="1"/>
  <c r="B1730"/>
  <c r="G1742"/>
  <c r="F1745"/>
  <c r="G1748"/>
  <c r="B1755"/>
  <c r="B1756"/>
  <c r="G1774"/>
  <c r="F1775"/>
  <c r="G1775" s="1"/>
  <c r="B1782"/>
  <c r="G1794"/>
  <c r="F1797"/>
  <c r="G1800"/>
  <c r="B1807"/>
  <c r="B1808"/>
  <c r="G1826"/>
  <c r="F1827"/>
  <c r="B1834"/>
  <c r="G1846"/>
  <c r="F1849"/>
  <c r="G1852"/>
  <c r="B1859"/>
  <c r="B1860"/>
  <c r="G1878"/>
  <c r="F1879"/>
  <c r="B1886"/>
  <c r="G1898"/>
  <c r="F1901"/>
  <c r="G1904"/>
  <c r="B1911"/>
  <c r="B1912"/>
  <c r="G1930"/>
  <c r="G1931" s="1"/>
  <c r="F1931"/>
  <c r="B1938"/>
  <c r="G1950"/>
  <c r="F1953"/>
  <c r="G1956"/>
  <c r="B1963"/>
  <c r="B1964"/>
  <c r="G1982"/>
  <c r="F1983"/>
  <c r="G1983" s="1"/>
  <c r="B1990"/>
  <c r="G2002"/>
  <c r="F2005"/>
  <c r="G2008"/>
  <c r="B2015"/>
  <c r="B2016"/>
  <c r="G2034"/>
  <c r="F2035"/>
  <c r="B2042"/>
  <c r="G2054"/>
  <c r="F2057"/>
  <c r="G2060"/>
  <c r="B2067"/>
  <c r="B2068"/>
  <c r="G2086"/>
  <c r="F2087"/>
  <c r="G2087" s="1"/>
  <c r="B2094"/>
  <c r="G2106"/>
  <c r="F2109"/>
  <c r="G2112"/>
  <c r="B2119"/>
  <c r="B2120"/>
  <c r="G2138"/>
  <c r="F2139"/>
  <c r="B2146"/>
  <c r="G2158"/>
  <c r="F2161"/>
  <c r="G2164"/>
  <c r="B2171"/>
  <c r="G2191"/>
  <c r="F2192"/>
  <c r="G2192" s="1"/>
  <c r="G2193" s="1"/>
  <c r="B2199"/>
  <c r="G2211"/>
  <c r="F2214"/>
  <c r="G2217"/>
  <c r="B2224"/>
  <c r="G2244"/>
  <c r="F2245"/>
  <c r="G2245" s="1"/>
  <c r="B2252"/>
  <c r="G2264"/>
  <c r="F2267"/>
  <c r="G2270"/>
  <c r="B2277"/>
  <c r="G2297"/>
  <c r="F2298"/>
  <c r="B2305"/>
  <c r="G2317"/>
  <c r="F2320"/>
  <c r="G2323"/>
  <c r="B2330"/>
  <c r="G2350"/>
  <c r="F2351"/>
  <c r="B2358"/>
  <c r="G2370"/>
  <c r="F2373"/>
  <c r="G2376"/>
  <c r="B2383"/>
  <c r="G2403"/>
  <c r="F2404"/>
  <c r="B2411"/>
  <c r="G2423"/>
  <c r="F2426"/>
  <c r="G2429"/>
  <c r="B2436"/>
  <c r="B2437"/>
  <c r="E2437"/>
  <c r="G2437" s="1"/>
  <c r="G2456"/>
  <c r="F2457"/>
  <c r="B2464"/>
  <c r="G2476"/>
  <c r="F2479"/>
  <c r="G2482"/>
  <c r="B2489"/>
  <c r="B2490"/>
  <c r="E2490"/>
  <c r="G2490" s="1"/>
  <c r="B2500"/>
  <c r="D2500"/>
  <c r="F2500"/>
  <c r="G2500" s="1"/>
  <c r="G2509" s="1"/>
  <c r="F2510"/>
  <c r="G2510" s="1"/>
  <c r="G2511" s="1"/>
  <c r="B2517"/>
  <c r="F2532"/>
  <c r="G2535"/>
  <c r="G2543"/>
  <c r="D2553"/>
  <c r="F2585"/>
  <c r="G2588"/>
  <c r="B2595"/>
  <c r="B2596"/>
  <c r="E2596"/>
  <c r="G2596" s="1"/>
  <c r="B2606"/>
  <c r="D2606"/>
  <c r="F2606"/>
  <c r="G2606" s="1"/>
  <c r="G2615" s="1"/>
  <c r="F2616"/>
  <c r="B2623"/>
  <c r="F2638"/>
  <c r="G7" i="12"/>
  <c r="B14"/>
  <c r="B15"/>
  <c r="F15"/>
  <c r="B25"/>
  <c r="D25"/>
  <c r="B26"/>
  <c r="D26"/>
  <c r="F26"/>
  <c r="G26" s="1"/>
  <c r="F35"/>
  <c r="B42"/>
  <c r="B43"/>
  <c r="B44"/>
  <c r="G54"/>
  <c r="F57"/>
  <c r="G60"/>
  <c r="B67"/>
  <c r="B68"/>
  <c r="B69"/>
  <c r="G87"/>
  <c r="F88"/>
  <c r="G88" s="1"/>
  <c r="G100"/>
  <c r="G107"/>
  <c r="F110"/>
  <c r="G113"/>
  <c r="B120"/>
  <c r="B121"/>
  <c r="G140"/>
  <c r="F141"/>
  <c r="G141" s="1"/>
  <c r="G142" s="1"/>
  <c r="B148"/>
  <c r="B149"/>
  <c r="G160"/>
  <c r="F163"/>
  <c r="G166"/>
  <c r="B173"/>
  <c r="B174"/>
  <c r="G193"/>
  <c r="F194"/>
  <c r="G194" s="1"/>
  <c r="B201"/>
  <c r="G213"/>
  <c r="F216"/>
  <c r="G219"/>
  <c r="B226"/>
  <c r="B227"/>
  <c r="B228"/>
  <c r="G246"/>
  <c r="F247"/>
  <c r="B254"/>
  <c r="B255"/>
  <c r="B256"/>
  <c r="G266"/>
  <c r="F269"/>
  <c r="G272"/>
  <c r="B279"/>
  <c r="B280"/>
  <c r="B281"/>
  <c r="B282"/>
  <c r="G299"/>
  <c r="G300" s="1"/>
  <c r="G301" s="1"/>
  <c r="F300"/>
  <c r="B307"/>
  <c r="B308"/>
  <c r="B309"/>
  <c r="G319"/>
  <c r="F322"/>
  <c r="G325"/>
  <c r="B332"/>
  <c r="B333"/>
  <c r="G352"/>
  <c r="G353" s="1"/>
  <c r="F353"/>
  <c r="B360"/>
  <c r="B361"/>
  <c r="G372"/>
  <c r="F375"/>
  <c r="G378"/>
  <c r="B385"/>
  <c r="B386"/>
  <c r="B387"/>
  <c r="B388"/>
  <c r="G405"/>
  <c r="F406"/>
  <c r="G406" s="1"/>
  <c r="B413"/>
  <c r="B414"/>
  <c r="B415"/>
  <c r="G425"/>
  <c r="F428"/>
  <c r="G431"/>
  <c r="G456"/>
  <c r="F457"/>
  <c r="B464"/>
  <c r="B465"/>
  <c r="B466"/>
  <c r="G475"/>
  <c r="F478"/>
  <c r="G481"/>
  <c r="G508"/>
  <c r="G509"/>
  <c r="G510" s="1"/>
  <c r="G528"/>
  <c r="F531"/>
  <c r="G534"/>
  <c r="B541"/>
  <c r="G561"/>
  <c r="F562"/>
  <c r="G562" s="1"/>
  <c r="G563" s="1"/>
  <c r="B569"/>
  <c r="B570"/>
  <c r="G581"/>
  <c r="F584"/>
  <c r="G587"/>
  <c r="B594"/>
  <c r="B595"/>
  <c r="E595"/>
  <c r="G595" s="1"/>
  <c r="B596"/>
  <c r="E596"/>
  <c r="G596" s="1"/>
  <c r="G614"/>
  <c r="F615"/>
  <c r="G615" s="1"/>
  <c r="G616" s="1"/>
  <c r="B622"/>
  <c r="B623"/>
  <c r="G634"/>
  <c r="F637"/>
  <c r="G640"/>
  <c r="G648"/>
  <c r="G649"/>
  <c r="G667"/>
  <c r="G668"/>
  <c r="G669" s="1"/>
  <c r="G687"/>
  <c r="F690"/>
  <c r="G693"/>
  <c r="G701"/>
  <c r="G702"/>
  <c r="G720"/>
  <c r="G721"/>
  <c r="G722" s="1"/>
  <c r="B728"/>
  <c r="B729"/>
  <c r="G740"/>
  <c r="F743"/>
  <c r="G746"/>
  <c r="G773"/>
  <c r="G774"/>
  <c r="G775" s="1"/>
  <c r="G793"/>
  <c r="F796"/>
  <c r="G799"/>
  <c r="B806"/>
  <c r="G826"/>
  <c r="F827"/>
  <c r="G827" s="1"/>
  <c r="G828" s="1"/>
  <c r="B834"/>
  <c r="B835"/>
  <c r="G846"/>
  <c r="F849"/>
  <c r="G852"/>
  <c r="B859"/>
  <c r="G879"/>
  <c r="F880"/>
  <c r="G880" s="1"/>
  <c r="G881" s="1"/>
  <c r="B887"/>
  <c r="B888"/>
  <c r="G899"/>
  <c r="F902"/>
  <c r="G905"/>
  <c r="B912"/>
  <c r="G932"/>
  <c r="F933"/>
  <c r="G933" s="1"/>
  <c r="G934" s="1"/>
  <c r="B940"/>
  <c r="B941"/>
  <c r="G952"/>
  <c r="F955"/>
  <c r="G958"/>
  <c r="B965"/>
  <c r="G985"/>
  <c r="F986"/>
  <c r="G986"/>
  <c r="G987" s="1"/>
  <c r="B993"/>
  <c r="B994"/>
  <c r="G1005"/>
  <c r="F1008"/>
  <c r="G1011"/>
  <c r="B1018"/>
  <c r="B1019"/>
  <c r="G1038"/>
  <c r="F1039"/>
  <c r="B1046"/>
  <c r="B1047"/>
  <c r="G1058"/>
  <c r="F1061"/>
  <c r="G1064"/>
  <c r="B1071"/>
  <c r="G1091"/>
  <c r="G1092" s="1"/>
  <c r="G1093" s="1"/>
  <c r="F1092"/>
  <c r="B1099"/>
  <c r="G1111"/>
  <c r="F1114"/>
  <c r="G1117"/>
  <c r="B1124"/>
  <c r="B1135"/>
  <c r="F1135"/>
  <c r="G1135" s="1"/>
  <c r="B1136"/>
  <c r="F1136"/>
  <c r="G1136" s="1"/>
  <c r="B1137"/>
  <c r="F1137"/>
  <c r="G1137" s="1"/>
  <c r="B1138"/>
  <c r="D1138"/>
  <c r="F1138"/>
  <c r="G1138" s="1"/>
  <c r="B1139"/>
  <c r="B1140"/>
  <c r="F1140"/>
  <c r="G1140" s="1"/>
  <c r="B1141"/>
  <c r="F1141"/>
  <c r="G1141" s="1"/>
  <c r="F1145"/>
  <c r="B1152"/>
  <c r="B1153"/>
  <c r="G1164"/>
  <c r="F1167"/>
  <c r="G1170"/>
  <c r="B1177"/>
  <c r="B1188"/>
  <c r="F1188"/>
  <c r="G1188" s="1"/>
  <c r="G1197" s="1"/>
  <c r="G1198" s="1"/>
  <c r="B1189"/>
  <c r="F1189"/>
  <c r="G1189" s="1"/>
  <c r="B1190"/>
  <c r="F1190"/>
  <c r="G1190" s="1"/>
  <c r="F1198"/>
  <c r="B1205"/>
  <c r="B1206"/>
  <c r="G1217"/>
  <c r="F1220"/>
  <c r="G1223"/>
  <c r="B1230"/>
  <c r="G1250"/>
  <c r="F1251"/>
  <c r="G1251" s="1"/>
  <c r="G1252" s="1"/>
  <c r="B1258"/>
  <c r="B1259"/>
  <c r="G1270"/>
  <c r="F1273"/>
  <c r="G1276"/>
  <c r="B1283"/>
  <c r="G1303"/>
  <c r="F1304"/>
  <c r="G1304" s="1"/>
  <c r="G1305" s="1"/>
  <c r="B1311"/>
  <c r="B1312"/>
  <c r="G1323"/>
  <c r="F1326"/>
  <c r="G1329"/>
  <c r="B1336"/>
  <c r="G1356"/>
  <c r="F1357"/>
  <c r="G1357" s="1"/>
  <c r="G1358" s="1"/>
  <c r="B1364"/>
  <c r="B1365"/>
  <c r="G1376"/>
  <c r="F1379"/>
  <c r="G1382"/>
  <c r="B1389"/>
  <c r="G1409"/>
  <c r="F1410"/>
  <c r="G1410"/>
  <c r="G1411" s="1"/>
  <c r="B1417"/>
  <c r="B1418"/>
  <c r="G1429"/>
  <c r="F1432"/>
  <c r="G1435"/>
  <c r="B1442"/>
  <c r="G1443"/>
  <c r="G1462"/>
  <c r="F1463"/>
  <c r="B1471"/>
  <c r="G1482"/>
  <c r="F1485"/>
  <c r="G1488"/>
  <c r="B1495"/>
  <c r="G1515"/>
  <c r="F1516"/>
  <c r="B1523"/>
  <c r="B1524"/>
  <c r="G1535"/>
  <c r="F1538"/>
  <c r="G1541"/>
  <c r="B1548"/>
  <c r="G1568"/>
  <c r="F1569"/>
  <c r="B1576"/>
  <c r="B1577"/>
  <c r="G1588"/>
  <c r="F1591"/>
  <c r="G1594"/>
  <c r="B1601"/>
  <c r="G1621"/>
  <c r="F1622"/>
  <c r="B1629"/>
  <c r="B1630"/>
  <c r="G1641"/>
  <c r="F1644"/>
  <c r="G1647"/>
  <c r="B1654"/>
  <c r="B1665"/>
  <c r="F1665"/>
  <c r="G1665" s="1"/>
  <c r="B1666"/>
  <c r="F1666"/>
  <c r="G1666" s="1"/>
  <c r="G1674" s="1"/>
  <c r="G1675" s="1"/>
  <c r="F1675"/>
  <c r="B1682"/>
  <c r="B1683"/>
  <c r="G1694"/>
  <c r="F1697"/>
  <c r="G1700"/>
  <c r="B1707"/>
  <c r="G1727"/>
  <c r="F1728"/>
  <c r="G1728" s="1"/>
  <c r="G1729" s="1"/>
  <c r="B1735"/>
  <c r="B1736"/>
  <c r="G1747"/>
  <c r="F1750"/>
  <c r="G1753"/>
  <c r="B1760"/>
  <c r="B1771"/>
  <c r="F1771"/>
  <c r="G1771" s="1"/>
  <c r="B1772"/>
  <c r="F1772"/>
  <c r="G1772" s="1"/>
  <c r="F1781"/>
  <c r="B1788"/>
  <c r="B1789"/>
  <c r="G1800"/>
  <c r="F1803"/>
  <c r="G1806"/>
  <c r="B1813"/>
  <c r="G1833"/>
  <c r="F1834"/>
  <c r="G1834" s="1"/>
  <c r="G1835" s="1"/>
  <c r="B1841"/>
  <c r="B1842"/>
  <c r="G1853"/>
  <c r="F1856"/>
  <c r="G1859"/>
  <c r="B1866"/>
  <c r="G1886"/>
  <c r="F1887"/>
  <c r="G1887" s="1"/>
  <c r="G1888" s="1"/>
  <c r="B1894"/>
  <c r="G1906"/>
  <c r="F1909"/>
  <c r="G1912"/>
  <c r="B1919"/>
  <c r="G1930"/>
  <c r="G1931"/>
  <c r="G1932"/>
  <c r="G1933"/>
  <c r="G1934"/>
  <c r="F1940"/>
  <c r="B1947"/>
  <c r="B1948"/>
  <c r="G1959"/>
  <c r="F1962"/>
  <c r="G1965"/>
  <c r="B1972"/>
  <c r="G1983"/>
  <c r="G1992"/>
  <c r="G1993" s="1"/>
  <c r="G1994" s="1"/>
  <c r="F1993"/>
  <c r="B2000"/>
  <c r="B2001"/>
  <c r="G2012"/>
  <c r="G2018"/>
  <c r="B2025"/>
  <c r="B2036"/>
  <c r="F2036"/>
  <c r="G2036" s="1"/>
  <c r="G2045" s="1"/>
  <c r="F2046"/>
  <c r="B2053"/>
  <c r="B2054"/>
  <c r="G2065"/>
  <c r="G2071"/>
  <c r="B2078"/>
  <c r="B2089"/>
  <c r="F2089"/>
  <c r="G2089" s="1"/>
  <c r="G2098" s="1"/>
  <c r="F2099"/>
  <c r="B2106"/>
  <c r="G2118"/>
  <c r="G7" i="17"/>
  <c r="A8"/>
  <c r="A14"/>
  <c r="B14"/>
  <c r="E14"/>
  <c r="G14" s="1"/>
  <c r="A15"/>
  <c r="B15"/>
  <c r="A25"/>
  <c r="B25"/>
  <c r="A26"/>
  <c r="B26"/>
  <c r="F26"/>
  <c r="G26" s="1"/>
  <c r="A27"/>
  <c r="B27"/>
  <c r="F27"/>
  <c r="G27" s="1"/>
  <c r="A28"/>
  <c r="B28"/>
  <c r="F28"/>
  <c r="G28" s="1"/>
  <c r="F35"/>
  <c r="A42"/>
  <c r="B42"/>
  <c r="A43"/>
  <c r="B43"/>
  <c r="G54"/>
  <c r="G60"/>
  <c r="A61"/>
  <c r="A67"/>
  <c r="B67"/>
  <c r="E67"/>
  <c r="G67" s="1"/>
  <c r="A68"/>
  <c r="B68"/>
  <c r="A78"/>
  <c r="B78"/>
  <c r="A79"/>
  <c r="B79"/>
  <c r="F79"/>
  <c r="G79" s="1"/>
  <c r="A80"/>
  <c r="B80"/>
  <c r="F80"/>
  <c r="G80" s="1"/>
  <c r="A81"/>
  <c r="B81"/>
  <c r="F81"/>
  <c r="G81" s="1"/>
  <c r="F88"/>
  <c r="A95"/>
  <c r="B95"/>
  <c r="A96"/>
  <c r="B96"/>
  <c r="G107"/>
  <c r="G113"/>
  <c r="A114"/>
  <c r="A120"/>
  <c r="B120"/>
  <c r="E120"/>
  <c r="G120" s="1"/>
  <c r="A121"/>
  <c r="B121"/>
  <c r="A131"/>
  <c r="B131"/>
  <c r="A132"/>
  <c r="B132"/>
  <c r="F132"/>
  <c r="G132" s="1"/>
  <c r="A133"/>
  <c r="B133"/>
  <c r="F133"/>
  <c r="G133" s="1"/>
  <c r="A134"/>
  <c r="B134"/>
  <c r="F134"/>
  <c r="G134" s="1"/>
  <c r="F141"/>
  <c r="A148"/>
  <c r="B148"/>
  <c r="A149"/>
  <c r="B149"/>
  <c r="G160"/>
  <c r="G166"/>
  <c r="A167"/>
  <c r="A173"/>
  <c r="B173"/>
  <c r="E173"/>
  <c r="G173" s="1"/>
  <c r="A174"/>
  <c r="B174"/>
  <c r="A184"/>
  <c r="B184"/>
  <c r="A185"/>
  <c r="B185"/>
  <c r="F185"/>
  <c r="G185" s="1"/>
  <c r="A186"/>
  <c r="B186"/>
  <c r="F186"/>
  <c r="G186" s="1"/>
  <c r="A187"/>
  <c r="B187"/>
  <c r="F187"/>
  <c r="G187" s="1"/>
  <c r="F194"/>
  <c r="A201"/>
  <c r="B201"/>
  <c r="A202"/>
  <c r="B202"/>
  <c r="G213"/>
  <c r="G219"/>
  <c r="A220"/>
  <c r="A226"/>
  <c r="B226"/>
  <c r="E226"/>
  <c r="G226" s="1"/>
  <c r="A227"/>
  <c r="B227"/>
  <c r="A237"/>
  <c r="B237"/>
  <c r="A238"/>
  <c r="B238"/>
  <c r="F238"/>
  <c r="G238" s="1"/>
  <c r="A239"/>
  <c r="B239"/>
  <c r="F239"/>
  <c r="G239" s="1"/>
  <c r="F247"/>
  <c r="A254"/>
  <c r="B254"/>
  <c r="A255"/>
  <c r="B255"/>
  <c r="G266"/>
  <c r="G272"/>
  <c r="A273"/>
  <c r="A279"/>
  <c r="B279"/>
  <c r="E279"/>
  <c r="G279" s="1"/>
  <c r="A280"/>
  <c r="B280"/>
  <c r="A290"/>
  <c r="B290"/>
  <c r="A291"/>
  <c r="B291"/>
  <c r="F291"/>
  <c r="G291" s="1"/>
  <c r="A292"/>
  <c r="B292"/>
  <c r="F292"/>
  <c r="G292" s="1"/>
  <c r="A293"/>
  <c r="B293"/>
  <c r="F293"/>
  <c r="G293" s="1"/>
  <c r="F300"/>
  <c r="A307"/>
  <c r="B307"/>
  <c r="A308"/>
  <c r="B308"/>
  <c r="G319"/>
  <c r="G325"/>
  <c r="A326"/>
  <c r="A332"/>
  <c r="B332"/>
  <c r="E332"/>
  <c r="G332" s="1"/>
  <c r="A333"/>
  <c r="B333"/>
  <c r="A343"/>
  <c r="B343"/>
  <c r="A344"/>
  <c r="B344"/>
  <c r="F344"/>
  <c r="G344" s="1"/>
  <c r="A345"/>
  <c r="B345"/>
  <c r="F345"/>
  <c r="G345" s="1"/>
  <c r="F353"/>
  <c r="A360"/>
  <c r="B360"/>
  <c r="A361"/>
  <c r="B361"/>
  <c r="G372"/>
  <c r="G378"/>
  <c r="A379"/>
  <c r="A385"/>
  <c r="G385"/>
  <c r="A386"/>
  <c r="A396"/>
  <c r="A397"/>
  <c r="G397"/>
  <c r="A398"/>
  <c r="G398"/>
  <c r="A399"/>
  <c r="G399"/>
  <c r="A413"/>
  <c r="A414"/>
  <c r="G425"/>
  <c r="G431"/>
  <c r="A432"/>
  <c r="A438"/>
  <c r="B438"/>
  <c r="E438"/>
  <c r="G438" s="1"/>
  <c r="A439"/>
  <c r="B439"/>
  <c r="A449"/>
  <c r="B449"/>
  <c r="A450"/>
  <c r="B450"/>
  <c r="F450"/>
  <c r="G450" s="1"/>
  <c r="A451"/>
  <c r="B451"/>
  <c r="F451"/>
  <c r="G451" s="1"/>
  <c r="F459"/>
  <c r="A466"/>
  <c r="B466"/>
  <c r="A467"/>
  <c r="B467"/>
  <c r="G478"/>
  <c r="G484"/>
  <c r="A485"/>
  <c r="A491"/>
  <c r="B491"/>
  <c r="E491"/>
  <c r="G491" s="1"/>
  <c r="A492"/>
  <c r="B492"/>
  <c r="A502"/>
  <c r="B502"/>
  <c r="A503"/>
  <c r="B503"/>
  <c r="F503"/>
  <c r="G503" s="1"/>
  <c r="A504"/>
  <c r="B504"/>
  <c r="F504"/>
  <c r="G504" s="1"/>
  <c r="F512"/>
  <c r="A519"/>
  <c r="B519"/>
  <c r="A520"/>
  <c r="B520"/>
  <c r="G531"/>
  <c r="G537"/>
  <c r="A538"/>
  <c r="A544"/>
  <c r="B544"/>
  <c r="E544"/>
  <c r="G544" s="1"/>
  <c r="A545"/>
  <c r="B545"/>
  <c r="A555"/>
  <c r="B555"/>
  <c r="A556"/>
  <c r="B556"/>
  <c r="F556"/>
  <c r="G556" s="1"/>
  <c r="A557"/>
  <c r="B557"/>
  <c r="F557"/>
  <c r="G557" s="1"/>
  <c r="F565"/>
  <c r="A572"/>
  <c r="B572"/>
  <c r="A573"/>
  <c r="B573"/>
  <c r="G584"/>
  <c r="G590"/>
  <c r="A591"/>
  <c r="A597"/>
  <c r="B597"/>
  <c r="A608"/>
  <c r="B608"/>
  <c r="F608"/>
  <c r="G608" s="1"/>
  <c r="G617" s="1"/>
  <c r="F618"/>
  <c r="A625"/>
  <c r="B625"/>
  <c r="A626"/>
  <c r="B626"/>
  <c r="G637"/>
  <c r="G643"/>
  <c r="A644"/>
  <c r="A650"/>
  <c r="B650"/>
  <c r="A661"/>
  <c r="B661"/>
  <c r="F661"/>
  <c r="G661"/>
  <c r="G670" s="1"/>
  <c r="F671"/>
  <c r="A678"/>
  <c r="B678"/>
  <c r="A679"/>
  <c r="B679"/>
  <c r="G690"/>
  <c r="C10" i="16"/>
  <c r="C15"/>
  <c r="C11"/>
  <c r="C12"/>
  <c r="C13"/>
  <c r="C14"/>
  <c r="C34" s="1"/>
  <c r="C18"/>
  <c r="C20"/>
  <c r="C22"/>
  <c r="C24"/>
  <c r="C26"/>
  <c r="J29"/>
  <c r="J30"/>
  <c r="J31"/>
  <c r="J32"/>
  <c r="C33"/>
  <c r="J33"/>
  <c r="J34"/>
  <c r="J35"/>
  <c r="C37"/>
  <c r="D44"/>
  <c r="D56"/>
  <c r="D57" s="1"/>
  <c r="M63"/>
  <c r="AD65"/>
  <c r="C16" s="1"/>
  <c r="AH65"/>
  <c r="L67"/>
  <c r="L70"/>
  <c r="N67"/>
  <c r="P67"/>
  <c r="P70" s="1"/>
  <c r="R67"/>
  <c r="T67"/>
  <c r="V67"/>
  <c r="X67"/>
  <c r="Z67"/>
  <c r="Z69"/>
  <c r="Z79" s="1"/>
  <c r="AA79"/>
  <c r="AB67"/>
  <c r="AB70"/>
  <c r="AD67"/>
  <c r="AF67"/>
  <c r="AF70"/>
  <c r="AJ67"/>
  <c r="AJ70"/>
  <c r="AL67"/>
  <c r="AN67"/>
  <c r="AN70"/>
  <c r="L68"/>
  <c r="L69"/>
  <c r="L79" s="1"/>
  <c r="N68"/>
  <c r="N69" s="1"/>
  <c r="N79"/>
  <c r="P68"/>
  <c r="R68"/>
  <c r="T68"/>
  <c r="V68"/>
  <c r="X68"/>
  <c r="Z68"/>
  <c r="J69"/>
  <c r="J79" s="1"/>
  <c r="K79"/>
  <c r="AB69"/>
  <c r="AB79"/>
  <c r="AC79" s="1"/>
  <c r="AD69"/>
  <c r="AF69"/>
  <c r="AJ69"/>
  <c r="AJ79" s="1"/>
  <c r="AN69"/>
  <c r="AN79" s="1"/>
  <c r="J70"/>
  <c r="N70"/>
  <c r="Z70"/>
  <c r="AA73"/>
  <c r="J73"/>
  <c r="O73"/>
  <c r="J78"/>
  <c r="K78" s="1"/>
  <c r="L78"/>
  <c r="N78"/>
  <c r="O78" s="1"/>
  <c r="P78"/>
  <c r="T78"/>
  <c r="X78"/>
  <c r="Y78" s="1"/>
  <c r="Z78"/>
  <c r="AA78"/>
  <c r="AB78"/>
  <c r="AC78"/>
  <c r="AF78"/>
  <c r="AG78"/>
  <c r="AJ78"/>
  <c r="AK78"/>
  <c r="AN78"/>
  <c r="AD79"/>
  <c r="AF79"/>
  <c r="AG79"/>
  <c r="AK79"/>
  <c r="J81"/>
  <c r="K81" s="1"/>
  <c r="L81"/>
  <c r="N81"/>
  <c r="P81"/>
  <c r="R81"/>
  <c r="T81"/>
  <c r="V81"/>
  <c r="X81"/>
  <c r="Z81"/>
  <c r="J82"/>
  <c r="K82" s="1"/>
  <c r="N82"/>
  <c r="O82" s="1"/>
  <c r="J84"/>
  <c r="K84" s="1"/>
  <c r="N84"/>
  <c r="O84" s="1"/>
  <c r="J85"/>
  <c r="K85" s="1"/>
  <c r="J86"/>
  <c r="K86" s="1"/>
  <c r="J88"/>
  <c r="K88" s="1"/>
  <c r="J89"/>
  <c r="K89" s="1"/>
  <c r="L89"/>
  <c r="N89"/>
  <c r="O89" s="1"/>
  <c r="P89"/>
  <c r="R89"/>
  <c r="T89"/>
  <c r="V89"/>
  <c r="X89"/>
  <c r="Z89"/>
  <c r="AA89" s="1"/>
  <c r="AB89"/>
  <c r="AD89"/>
  <c r="AF89"/>
  <c r="AH89"/>
  <c r="AJ89"/>
  <c r="AL89"/>
  <c r="AN89"/>
  <c r="Z91"/>
  <c r="AA91"/>
  <c r="Z92"/>
  <c r="AA92"/>
  <c r="E13" i="31"/>
  <c r="F25" i="17" s="1"/>
  <c r="G25" s="1"/>
  <c r="G34" s="1"/>
  <c r="G35" s="1"/>
  <c r="G36" s="1"/>
  <c r="E24" i="31"/>
  <c r="E25"/>
  <c r="E26"/>
  <c r="G2553" i="6"/>
  <c r="G2562" s="1"/>
  <c r="G2563" s="1"/>
  <c r="E338" i="31"/>
  <c r="E910"/>
  <c r="E911"/>
  <c r="F25" i="12"/>
  <c r="G25" s="1"/>
  <c r="G34" s="1"/>
  <c r="G35" s="1"/>
  <c r="E912" i="31"/>
  <c r="D8" i="14"/>
  <c r="D11"/>
  <c r="D12"/>
  <c r="D14"/>
  <c r="D15"/>
  <c r="D16"/>
  <c r="D17"/>
  <c r="E386" i="12" s="1"/>
  <c r="G386" s="1"/>
  <c r="D18" i="14"/>
  <c r="D19"/>
  <c r="D20"/>
  <c r="D21"/>
  <c r="D22"/>
  <c r="D24"/>
  <c r="E15" i="12" s="1"/>
  <c r="G15" s="1"/>
  <c r="D26" i="14"/>
  <c r="D27"/>
  <c r="E1238" i="3" s="1"/>
  <c r="G1238" s="1"/>
  <c r="D28" i="14"/>
  <c r="E2742" i="6"/>
  <c r="G2742" s="1"/>
  <c r="G2747" s="1"/>
  <c r="D29" i="14"/>
  <c r="D30"/>
  <c r="D31"/>
  <c r="E333" i="25" s="1"/>
  <c r="G333" s="1"/>
  <c r="D32" i="14"/>
  <c r="E228" i="12" s="1"/>
  <c r="G228" s="1"/>
  <c r="D33" i="14"/>
  <c r="D34"/>
  <c r="D35"/>
  <c r="E1444" i="6"/>
  <c r="G1444" s="1"/>
  <c r="D36" i="14"/>
  <c r="D39"/>
  <c r="D40"/>
  <c r="D41"/>
  <c r="D42"/>
  <c r="D44"/>
  <c r="D45"/>
  <c r="D46"/>
  <c r="E1183" i="3" s="1"/>
  <c r="G1183" s="1"/>
  <c r="D48" i="14"/>
  <c r="D49"/>
  <c r="D51"/>
  <c r="D52"/>
  <c r="D56"/>
  <c r="E67" i="12" s="1"/>
  <c r="G67" s="1"/>
  <c r="D57" i="14"/>
  <c r="E68" i="12"/>
  <c r="G68" s="1"/>
  <c r="D58" i="14"/>
  <c r="D59"/>
  <c r="D60"/>
  <c r="D61"/>
  <c r="E173" i="12" s="1"/>
  <c r="G173" s="1"/>
  <c r="D62" i="14"/>
  <c r="E867" i="36" s="1"/>
  <c r="G867" s="1"/>
  <c r="D63" i="14"/>
  <c r="D64"/>
  <c r="E549" i="36" s="1"/>
  <c r="G549" s="1"/>
  <c r="D65" i="14"/>
  <c r="C8" i="34"/>
  <c r="D8"/>
  <c r="C9"/>
  <c r="D9"/>
  <c r="C10"/>
  <c r="D10"/>
  <c r="C11"/>
  <c r="D11"/>
  <c r="C12"/>
  <c r="D12"/>
  <c r="C13"/>
  <c r="D13"/>
  <c r="C14"/>
  <c r="D14"/>
  <c r="C15"/>
  <c r="D15"/>
  <c r="C16"/>
  <c r="D16"/>
  <c r="C17"/>
  <c r="D17"/>
  <c r="C18"/>
  <c r="D18"/>
  <c r="C20"/>
  <c r="D20"/>
  <c r="C21"/>
  <c r="D21"/>
  <c r="C23"/>
  <c r="D23"/>
  <c r="C24"/>
  <c r="D24"/>
  <c r="C25"/>
  <c r="D25"/>
  <c r="C26"/>
  <c r="D26"/>
  <c r="C27"/>
  <c r="D27"/>
  <c r="C28"/>
  <c r="D28"/>
  <c r="C29"/>
  <c r="D29"/>
  <c r="C30"/>
  <c r="D30"/>
  <c r="C31"/>
  <c r="D31"/>
  <c r="C32"/>
  <c r="D32"/>
  <c r="C33"/>
  <c r="D33"/>
  <c r="C34"/>
  <c r="D34"/>
  <c r="C35"/>
  <c r="D35"/>
  <c r="C36"/>
  <c r="D36"/>
  <c r="C37"/>
  <c r="D37"/>
  <c r="C38"/>
  <c r="D38"/>
  <c r="C39"/>
  <c r="D39"/>
  <c r="C40"/>
  <c r="D40"/>
  <c r="C41"/>
  <c r="D41"/>
  <c r="C42"/>
  <c r="D42"/>
  <c r="C43"/>
  <c r="D43"/>
  <c r="C44"/>
  <c r="D44"/>
  <c r="C45"/>
  <c r="D45"/>
  <c r="C46"/>
  <c r="D46"/>
  <c r="C47"/>
  <c r="D47"/>
  <c r="C48"/>
  <c r="D48"/>
  <c r="C49"/>
  <c r="D49"/>
  <c r="C50"/>
  <c r="D50"/>
  <c r="C51"/>
  <c r="D51"/>
  <c r="C52"/>
  <c r="D52"/>
  <c r="C53"/>
  <c r="D53"/>
  <c r="C54"/>
  <c r="D54"/>
  <c r="C55"/>
  <c r="D55"/>
  <c r="C56"/>
  <c r="D56"/>
  <c r="C57"/>
  <c r="D57"/>
  <c r="C58"/>
  <c r="D58"/>
  <c r="C59"/>
  <c r="D59"/>
  <c r="C60"/>
  <c r="D60"/>
  <c r="C61"/>
  <c r="D61"/>
  <c r="C62"/>
  <c r="D62"/>
  <c r="C65"/>
  <c r="D65"/>
  <c r="C66"/>
  <c r="D66"/>
  <c r="C67"/>
  <c r="D67"/>
  <c r="C68"/>
  <c r="D68"/>
  <c r="C69"/>
  <c r="D69"/>
  <c r="C70"/>
  <c r="D70"/>
  <c r="C71"/>
  <c r="D71"/>
  <c r="C72"/>
  <c r="D72"/>
  <c r="C73"/>
  <c r="D73"/>
  <c r="C74"/>
  <c r="D74"/>
  <c r="C75"/>
  <c r="D75"/>
  <c r="C76"/>
  <c r="D76"/>
  <c r="C77"/>
  <c r="D77"/>
  <c r="C78"/>
  <c r="D78"/>
  <c r="C79"/>
  <c r="D79"/>
  <c r="C80"/>
  <c r="D80"/>
  <c r="C81"/>
  <c r="D81"/>
  <c r="C82"/>
  <c r="D82"/>
  <c r="C83"/>
  <c r="D83"/>
  <c r="C84"/>
  <c r="D84"/>
  <c r="C85"/>
  <c r="D85"/>
  <c r="C86"/>
  <c r="D86"/>
  <c r="C87"/>
  <c r="D87"/>
  <c r="C88"/>
  <c r="D88"/>
  <c r="C89"/>
  <c r="D89"/>
  <c r="C90"/>
  <c r="D90"/>
  <c r="C91"/>
  <c r="D91"/>
  <c r="C92"/>
  <c r="D92"/>
  <c r="C93"/>
  <c r="D93"/>
  <c r="C94"/>
  <c r="D94"/>
  <c r="C95"/>
  <c r="D95"/>
  <c r="C96"/>
  <c r="D96"/>
  <c r="C97"/>
  <c r="D97"/>
  <c r="C98"/>
  <c r="D98"/>
  <c r="C99"/>
  <c r="D99"/>
  <c r="C100"/>
  <c r="D100"/>
  <c r="C101"/>
  <c r="D101"/>
  <c r="C102"/>
  <c r="D102"/>
  <c r="C103"/>
  <c r="D103"/>
  <c r="C104"/>
  <c r="D104"/>
  <c r="C105"/>
  <c r="D105"/>
  <c r="C106"/>
  <c r="D106"/>
  <c r="C107"/>
  <c r="D107"/>
  <c r="C108"/>
  <c r="D108"/>
  <c r="C109"/>
  <c r="D109"/>
  <c r="C110"/>
  <c r="D110"/>
  <c r="C111"/>
  <c r="D111"/>
  <c r="C112"/>
  <c r="D112"/>
  <c r="C113"/>
  <c r="D113"/>
  <c r="C114"/>
  <c r="D114"/>
  <c r="C119"/>
  <c r="D119"/>
  <c r="C120"/>
  <c r="D120"/>
  <c r="C121"/>
  <c r="D121"/>
  <c r="C122"/>
  <c r="D122"/>
  <c r="C123"/>
  <c r="D123"/>
  <c r="C124"/>
  <c r="D124"/>
  <c r="C125"/>
  <c r="D125"/>
  <c r="C126"/>
  <c r="D126"/>
  <c r="C127"/>
  <c r="D127"/>
  <c r="C128"/>
  <c r="D128"/>
  <c r="C129"/>
  <c r="D129"/>
  <c r="C130"/>
  <c r="D130"/>
  <c r="C131"/>
  <c r="D131"/>
  <c r="C132"/>
  <c r="D132"/>
  <c r="C133"/>
  <c r="D133"/>
  <c r="C134"/>
  <c r="D134"/>
  <c r="C135"/>
  <c r="D135"/>
  <c r="C136"/>
  <c r="D136"/>
  <c r="C137"/>
  <c r="D137"/>
  <c r="C139"/>
  <c r="D139"/>
  <c r="C140"/>
  <c r="D140"/>
  <c r="C141"/>
  <c r="D141"/>
  <c r="C142"/>
  <c r="D142"/>
  <c r="C143"/>
  <c r="D143"/>
  <c r="C144"/>
  <c r="D144"/>
  <c r="C145"/>
  <c r="D145"/>
  <c r="C146"/>
  <c r="D146"/>
  <c r="C147"/>
  <c r="D147"/>
  <c r="C148"/>
  <c r="D148"/>
  <c r="C149"/>
  <c r="D149"/>
  <c r="C150"/>
  <c r="D150"/>
  <c r="C151"/>
  <c r="D151"/>
  <c r="C152"/>
  <c r="D152"/>
  <c r="C153"/>
  <c r="D153"/>
  <c r="C154"/>
  <c r="D154"/>
  <c r="C155"/>
  <c r="D155"/>
  <c r="C156"/>
  <c r="D156"/>
  <c r="C157"/>
  <c r="D157"/>
  <c r="C158"/>
  <c r="D158"/>
  <c r="C159"/>
  <c r="D159"/>
  <c r="C160"/>
  <c r="D160"/>
  <c r="C162"/>
  <c r="D162"/>
  <c r="C163"/>
  <c r="D163"/>
  <c r="C164"/>
  <c r="D164"/>
  <c r="C165"/>
  <c r="D165"/>
  <c r="C166"/>
  <c r="D166"/>
  <c r="C167"/>
  <c r="D167"/>
  <c r="C168"/>
  <c r="D168"/>
  <c r="C169"/>
  <c r="D169"/>
  <c r="C170"/>
  <c r="D170"/>
  <c r="C171"/>
  <c r="D171"/>
  <c r="C172"/>
  <c r="D172"/>
  <c r="C173"/>
  <c r="D173"/>
  <c r="C174"/>
  <c r="D174"/>
  <c r="C175"/>
  <c r="D175"/>
  <c r="C176"/>
  <c r="D176"/>
  <c r="C177"/>
  <c r="D177"/>
  <c r="C178"/>
  <c r="D178"/>
  <c r="C179"/>
  <c r="D179"/>
  <c r="C180"/>
  <c r="D180"/>
  <c r="C181"/>
  <c r="D181"/>
  <c r="C182"/>
  <c r="D182"/>
  <c r="C183"/>
  <c r="D183"/>
  <c r="C184"/>
  <c r="D184"/>
  <c r="C185"/>
  <c r="D185"/>
  <c r="C186"/>
  <c r="D186"/>
  <c r="C187"/>
  <c r="D187"/>
  <c r="C188"/>
  <c r="D188"/>
  <c r="C189"/>
  <c r="D189"/>
  <c r="C190"/>
  <c r="D190"/>
  <c r="C193"/>
  <c r="D193"/>
  <c r="C194"/>
  <c r="D194"/>
  <c r="C195"/>
  <c r="D195"/>
  <c r="C196"/>
  <c r="D196"/>
  <c r="C197"/>
  <c r="D197"/>
  <c r="C198"/>
  <c r="D198"/>
  <c r="C199"/>
  <c r="D199"/>
  <c r="C200"/>
  <c r="D200"/>
  <c r="C201"/>
  <c r="D201"/>
  <c r="C202"/>
  <c r="D202"/>
  <c r="C203"/>
  <c r="D203"/>
  <c r="C204"/>
  <c r="D204"/>
  <c r="C205"/>
  <c r="D205"/>
  <c r="C208"/>
  <c r="D208"/>
  <c r="C209"/>
  <c r="D209"/>
  <c r="C210"/>
  <c r="D210"/>
  <c r="C211"/>
  <c r="D211"/>
  <c r="C212"/>
  <c r="D212"/>
  <c r="C213"/>
  <c r="D213"/>
  <c r="C214"/>
  <c r="D214"/>
  <c r="C215"/>
  <c r="D215"/>
  <c r="C216"/>
  <c r="D216"/>
  <c r="C217"/>
  <c r="D217"/>
  <c r="C218"/>
  <c r="D218"/>
  <c r="C219"/>
  <c r="D219"/>
  <c r="C220"/>
  <c r="D220"/>
  <c r="C221"/>
  <c r="D221"/>
  <c r="C222"/>
  <c r="D222"/>
  <c r="C223"/>
  <c r="D223"/>
  <c r="C224"/>
  <c r="D224"/>
  <c r="C225"/>
  <c r="D225"/>
  <c r="C226"/>
  <c r="D226"/>
  <c r="C227"/>
  <c r="D227"/>
  <c r="C228"/>
  <c r="D228"/>
  <c r="C229"/>
  <c r="D229"/>
  <c r="C230"/>
  <c r="D230"/>
  <c r="C231"/>
  <c r="D231"/>
  <c r="C232"/>
  <c r="D232"/>
  <c r="C233"/>
  <c r="D233"/>
  <c r="C235"/>
  <c r="D235"/>
  <c r="C236"/>
  <c r="D236"/>
  <c r="C237"/>
  <c r="D237"/>
  <c r="C238"/>
  <c r="D238"/>
  <c r="C239"/>
  <c r="D239"/>
  <c r="C240"/>
  <c r="D240"/>
  <c r="C241"/>
  <c r="D241"/>
  <c r="C242"/>
  <c r="D242"/>
  <c r="C243"/>
  <c r="D243"/>
  <c r="C244"/>
  <c r="D244"/>
  <c r="C245"/>
  <c r="D245"/>
  <c r="C246"/>
  <c r="D246"/>
  <c r="C247"/>
  <c r="D247"/>
  <c r="C248"/>
  <c r="D248"/>
  <c r="C249"/>
  <c r="D249"/>
  <c r="C250"/>
  <c r="D250"/>
  <c r="C251"/>
  <c r="D251"/>
  <c r="C252"/>
  <c r="D252"/>
  <c r="C253"/>
  <c r="D253"/>
  <c r="C254"/>
  <c r="D254"/>
  <c r="C255"/>
  <c r="D255"/>
  <c r="C256"/>
  <c r="D256"/>
  <c r="C257"/>
  <c r="D257"/>
  <c r="C258"/>
  <c r="D258"/>
  <c r="C259"/>
  <c r="D259"/>
  <c r="C260"/>
  <c r="D260"/>
  <c r="C261"/>
  <c r="D261"/>
  <c r="C262"/>
  <c r="D262"/>
  <c r="C263"/>
  <c r="D263"/>
  <c r="C264"/>
  <c r="D264"/>
  <c r="C265"/>
  <c r="D265"/>
  <c r="C266"/>
  <c r="D266"/>
  <c r="C267"/>
  <c r="D267"/>
  <c r="C268"/>
  <c r="D268"/>
  <c r="C269"/>
  <c r="D269"/>
  <c r="C270"/>
  <c r="D270"/>
  <c r="C271"/>
  <c r="D271"/>
  <c r="C272"/>
  <c r="D272"/>
  <c r="C273"/>
  <c r="D273"/>
  <c r="C274"/>
  <c r="D274"/>
  <c r="C275"/>
  <c r="D275"/>
  <c r="C276"/>
  <c r="D276"/>
  <c r="C277"/>
  <c r="D277"/>
  <c r="C278"/>
  <c r="D278"/>
  <c r="C280"/>
  <c r="D280"/>
  <c r="C281"/>
  <c r="D281"/>
  <c r="C282"/>
  <c r="D282"/>
  <c r="C283"/>
  <c r="D283"/>
  <c r="C284"/>
  <c r="D284"/>
  <c r="C285"/>
  <c r="D285"/>
  <c r="C286"/>
  <c r="D286"/>
  <c r="C287"/>
  <c r="D287"/>
  <c r="C288"/>
  <c r="D288"/>
  <c r="C289"/>
  <c r="D289"/>
  <c r="C290"/>
  <c r="D290"/>
  <c r="C291"/>
  <c r="D291"/>
  <c r="C292"/>
  <c r="D292"/>
  <c r="C293"/>
  <c r="D293"/>
  <c r="C294"/>
  <c r="D294"/>
  <c r="C295"/>
  <c r="D295"/>
  <c r="C296"/>
  <c r="D296"/>
  <c r="C297"/>
  <c r="D297"/>
  <c r="C298"/>
  <c r="D298"/>
  <c r="C299"/>
  <c r="D299"/>
  <c r="C300"/>
  <c r="D300"/>
  <c r="C301"/>
  <c r="D301"/>
  <c r="C302"/>
  <c r="D302"/>
  <c r="C304"/>
  <c r="D304"/>
  <c r="C305"/>
  <c r="D305"/>
  <c r="C306"/>
  <c r="D306"/>
  <c r="C307"/>
  <c r="D307"/>
  <c r="C308"/>
  <c r="D308"/>
  <c r="C309"/>
  <c r="D309"/>
  <c r="C310"/>
  <c r="D310"/>
  <c r="C311"/>
  <c r="D311"/>
  <c r="C312"/>
  <c r="D312"/>
  <c r="C313"/>
  <c r="D313"/>
  <c r="C314"/>
  <c r="D314"/>
  <c r="C315"/>
  <c r="D315"/>
  <c r="C316"/>
  <c r="D316"/>
  <c r="C317"/>
  <c r="D317"/>
  <c r="C318"/>
  <c r="D318"/>
  <c r="C319"/>
  <c r="D319"/>
  <c r="C320"/>
  <c r="D320"/>
  <c r="C322"/>
  <c r="D322"/>
  <c r="C323"/>
  <c r="D323"/>
  <c r="C324"/>
  <c r="D324"/>
  <c r="C325"/>
  <c r="D325"/>
  <c r="C326"/>
  <c r="D326"/>
  <c r="C327"/>
  <c r="D327"/>
  <c r="C328"/>
  <c r="D328"/>
  <c r="C329"/>
  <c r="D329"/>
  <c r="C330"/>
  <c r="D330"/>
  <c r="C331"/>
  <c r="D331"/>
  <c r="C332"/>
  <c r="D332"/>
  <c r="C333"/>
  <c r="D333"/>
  <c r="C334"/>
  <c r="D334"/>
  <c r="C335"/>
  <c r="D335"/>
  <c r="C336"/>
  <c r="D336"/>
  <c r="C337"/>
  <c r="D337"/>
  <c r="C338"/>
  <c r="D338"/>
  <c r="C339"/>
  <c r="D339"/>
  <c r="C340"/>
  <c r="D340"/>
  <c r="C341"/>
  <c r="D341"/>
  <c r="C342"/>
  <c r="D342"/>
  <c r="C343"/>
  <c r="D343"/>
  <c r="C344"/>
  <c r="D344"/>
  <c r="C345"/>
  <c r="D345"/>
  <c r="C346"/>
  <c r="D346"/>
  <c r="C347"/>
  <c r="D347"/>
  <c r="C348"/>
  <c r="D348"/>
  <c r="C349"/>
  <c r="D349"/>
  <c r="C350"/>
  <c r="D350"/>
  <c r="D351"/>
  <c r="C353"/>
  <c r="D353"/>
  <c r="C354"/>
  <c r="D354"/>
  <c r="C355"/>
  <c r="D355"/>
  <c r="C357"/>
  <c r="D357"/>
  <c r="C358"/>
  <c r="D358"/>
  <c r="C359"/>
  <c r="D359"/>
  <c r="C360"/>
  <c r="D360"/>
  <c r="C361"/>
  <c r="D361"/>
  <c r="C362"/>
  <c r="D362"/>
  <c r="C363"/>
  <c r="D363"/>
  <c r="C364"/>
  <c r="D364"/>
  <c r="C365"/>
  <c r="D365"/>
  <c r="C366"/>
  <c r="D366"/>
  <c r="C367"/>
  <c r="D367"/>
  <c r="C368"/>
  <c r="D368"/>
  <c r="C369"/>
  <c r="D369"/>
  <c r="C370"/>
  <c r="D370"/>
  <c r="C371"/>
  <c r="D371"/>
  <c r="C372"/>
  <c r="D372"/>
  <c r="C373"/>
  <c r="D373"/>
  <c r="C374"/>
  <c r="D374"/>
  <c r="C375"/>
  <c r="D375"/>
  <c r="C376"/>
  <c r="D376"/>
  <c r="C377"/>
  <c r="D377"/>
  <c r="C378"/>
  <c r="D378"/>
  <c r="C379"/>
  <c r="D379"/>
  <c r="C380"/>
  <c r="D380"/>
  <c r="C381"/>
  <c r="D381"/>
  <c r="C382"/>
  <c r="D382"/>
  <c r="C383"/>
  <c r="D383"/>
  <c r="C384"/>
  <c r="D384"/>
  <c r="C385"/>
  <c r="D385"/>
  <c r="C388"/>
  <c r="D388"/>
  <c r="C389"/>
  <c r="D389"/>
  <c r="C390"/>
  <c r="D390"/>
  <c r="C391"/>
  <c r="D391"/>
  <c r="C392"/>
  <c r="D392"/>
  <c r="C393"/>
  <c r="D393"/>
  <c r="C395"/>
  <c r="D395"/>
  <c r="C396"/>
  <c r="D396"/>
  <c r="C397"/>
  <c r="D397"/>
  <c r="C398"/>
  <c r="D398"/>
  <c r="C399"/>
  <c r="D399"/>
  <c r="C400"/>
  <c r="D400"/>
  <c r="C401"/>
  <c r="D401"/>
  <c r="C402"/>
  <c r="D402"/>
  <c r="C403"/>
  <c r="D403"/>
  <c r="C404"/>
  <c r="D404"/>
  <c r="C405"/>
  <c r="D405"/>
  <c r="C406"/>
  <c r="D406"/>
  <c r="C407"/>
  <c r="D407"/>
  <c r="C408"/>
  <c r="D408"/>
  <c r="C409"/>
  <c r="D409"/>
  <c r="C410"/>
  <c r="D410"/>
  <c r="C411"/>
  <c r="D411"/>
  <c r="C412"/>
  <c r="D412"/>
  <c r="C413"/>
  <c r="D413"/>
  <c r="C414"/>
  <c r="D414"/>
  <c r="C416"/>
  <c r="D416"/>
  <c r="C417"/>
  <c r="D417"/>
  <c r="C418"/>
  <c r="D418"/>
  <c r="C419"/>
  <c r="D419"/>
  <c r="C420"/>
  <c r="D420"/>
  <c r="C421"/>
  <c r="D421"/>
  <c r="C422"/>
  <c r="D422"/>
  <c r="C423"/>
  <c r="D423"/>
  <c r="C424"/>
  <c r="D424"/>
  <c r="C425"/>
  <c r="D425"/>
  <c r="C426"/>
  <c r="D426"/>
  <c r="C427"/>
  <c r="D427"/>
  <c r="C428"/>
  <c r="D428"/>
  <c r="C429"/>
  <c r="D429"/>
  <c r="C430"/>
  <c r="D430"/>
  <c r="C431"/>
  <c r="D431"/>
  <c r="C432"/>
  <c r="D432"/>
  <c r="C433"/>
  <c r="D433"/>
  <c r="C434"/>
  <c r="D434"/>
  <c r="C435"/>
  <c r="D435"/>
  <c r="C436"/>
  <c r="D436"/>
  <c r="C437"/>
  <c r="D437"/>
  <c r="C438"/>
  <c r="D438"/>
  <c r="C440"/>
  <c r="D440"/>
  <c r="C441"/>
  <c r="D441"/>
  <c r="C442"/>
  <c r="D442"/>
  <c r="C443"/>
  <c r="D443"/>
  <c r="C444"/>
  <c r="D444"/>
  <c r="C445"/>
  <c r="D445"/>
  <c r="C446"/>
  <c r="D446"/>
  <c r="C447"/>
  <c r="D447"/>
  <c r="C448"/>
  <c r="D448"/>
  <c r="C449"/>
  <c r="D449"/>
  <c r="C450"/>
  <c r="D450"/>
  <c r="C451"/>
  <c r="D451"/>
  <c r="C452"/>
  <c r="D452"/>
  <c r="C453"/>
  <c r="D453"/>
  <c r="C454"/>
  <c r="D454"/>
  <c r="C455"/>
  <c r="D455"/>
  <c r="C457"/>
  <c r="D457"/>
  <c r="C458"/>
  <c r="D458"/>
  <c r="C459"/>
  <c r="D459"/>
  <c r="C460"/>
  <c r="D460"/>
  <c r="C461"/>
  <c r="D461"/>
  <c r="C462"/>
  <c r="D462"/>
  <c r="C463"/>
  <c r="D463"/>
  <c r="C464"/>
  <c r="D464"/>
  <c r="C465"/>
  <c r="D465"/>
  <c r="C466"/>
  <c r="D466"/>
  <c r="C467"/>
  <c r="D467"/>
  <c r="C468"/>
  <c r="D468"/>
  <c r="C469"/>
  <c r="D469"/>
  <c r="C470"/>
  <c r="D470"/>
  <c r="C471"/>
  <c r="D471"/>
  <c r="C472"/>
  <c r="D472"/>
  <c r="C473"/>
  <c r="D473"/>
  <c r="C474"/>
  <c r="D474"/>
  <c r="C475"/>
  <c r="D475"/>
  <c r="C476"/>
  <c r="D476"/>
  <c r="C477"/>
  <c r="D477"/>
  <c r="C478"/>
  <c r="D478"/>
  <c r="C480"/>
  <c r="D480"/>
  <c r="C481"/>
  <c r="D481"/>
  <c r="C482"/>
  <c r="D482"/>
  <c r="C483"/>
  <c r="D483"/>
  <c r="D484"/>
  <c r="C485"/>
  <c r="D485"/>
  <c r="C486"/>
  <c r="D486"/>
  <c r="C487"/>
  <c r="D487"/>
  <c r="C488"/>
  <c r="D488"/>
  <c r="C490"/>
  <c r="D490"/>
  <c r="C491"/>
  <c r="D491"/>
  <c r="C492"/>
  <c r="D492"/>
  <c r="C493"/>
  <c r="D493"/>
  <c r="C494"/>
  <c r="D494"/>
  <c r="C495"/>
  <c r="D495"/>
  <c r="C496"/>
  <c r="D496"/>
  <c r="C497"/>
  <c r="D497"/>
  <c r="G1095" i="21"/>
  <c r="G1202"/>
  <c r="G1203" s="1"/>
  <c r="G888" i="23"/>
  <c r="G815" i="30"/>
  <c r="G863"/>
  <c r="G1253" i="27"/>
  <c r="G1254" s="1"/>
  <c r="G1255" s="1"/>
  <c r="G511" i="23"/>
  <c r="G512" s="1"/>
  <c r="G513" s="1"/>
  <c r="G777" i="22"/>
  <c r="G778"/>
  <c r="G1115" i="30"/>
  <c r="G965"/>
  <c r="G622" i="36"/>
  <c r="G623"/>
  <c r="G1672" i="6"/>
  <c r="G1096"/>
  <c r="G2351"/>
  <c r="G2352" s="1"/>
  <c r="G1412"/>
  <c r="G675" i="36"/>
  <c r="G676"/>
  <c r="G671" i="23"/>
  <c r="G672" s="1"/>
  <c r="F185" i="28"/>
  <c r="G185" s="1"/>
  <c r="G193" s="1"/>
  <c r="G194" s="1"/>
  <c r="G195" s="1"/>
  <c r="F820" i="26"/>
  <c r="G820" s="1"/>
  <c r="G829" s="1"/>
  <c r="G830" s="1"/>
  <c r="G831" s="1"/>
  <c r="F555" i="28"/>
  <c r="G555" s="1"/>
  <c r="F873"/>
  <c r="G873" s="1"/>
  <c r="G881" s="1"/>
  <c r="F502" i="17"/>
  <c r="G502" s="1"/>
  <c r="G511" s="1"/>
  <c r="G512" s="1"/>
  <c r="G513" s="1"/>
  <c r="G927" i="25"/>
  <c r="G935" s="1"/>
  <c r="G936" s="1"/>
  <c r="G937" s="1"/>
  <c r="F1354" i="3" s="1"/>
  <c r="G1354" s="1"/>
  <c r="F609" i="25"/>
  <c r="G609" s="1"/>
  <c r="G617" s="1"/>
  <c r="F928" i="21"/>
  <c r="G928" s="1"/>
  <c r="G351" i="36"/>
  <c r="G352" s="1"/>
  <c r="G300" i="22"/>
  <c r="G301" s="1"/>
  <c r="G511" i="27"/>
  <c r="F874" i="25"/>
  <c r="G874" s="1"/>
  <c r="G882" s="1"/>
  <c r="G883" s="1"/>
  <c r="G884" s="1"/>
  <c r="F131" i="26"/>
  <c r="G131" s="1"/>
  <c r="G140" s="1"/>
  <c r="F873"/>
  <c r="G873" s="1"/>
  <c r="F502" i="28"/>
  <c r="G502" s="1"/>
  <c r="G510" s="1"/>
  <c r="F1139" i="12"/>
  <c r="G1139" s="1"/>
  <c r="F555" i="17"/>
  <c r="G555" s="1"/>
  <c r="G564" s="1"/>
  <c r="G565" s="1"/>
  <c r="G566" s="1"/>
  <c r="F290"/>
  <c r="G290" s="1"/>
  <c r="F553" i="18"/>
  <c r="G553" s="1"/>
  <c r="F1191" i="28"/>
  <c r="G1191" s="1"/>
  <c r="F926"/>
  <c r="G926" s="1"/>
  <c r="F449"/>
  <c r="G449" s="1"/>
  <c r="F132"/>
  <c r="G132" s="1"/>
  <c r="F26"/>
  <c r="G26" s="1"/>
  <c r="F396" i="26"/>
  <c r="G396" s="1"/>
  <c r="G405" s="1"/>
  <c r="F1087" i="25"/>
  <c r="G1087" s="1"/>
  <c r="G1094" s="1"/>
  <c r="F768"/>
  <c r="G768" s="1"/>
  <c r="G776" s="1"/>
  <c r="F820" i="28"/>
  <c r="G820" s="1"/>
  <c r="G776" i="21"/>
  <c r="G777" s="1"/>
  <c r="G778" s="1"/>
  <c r="F556" i="25"/>
  <c r="G556" s="1"/>
  <c r="G564" s="1"/>
  <c r="F871" i="18"/>
  <c r="G871" s="1"/>
  <c r="F78" i="26"/>
  <c r="G78" s="1"/>
  <c r="G87" s="1"/>
  <c r="G88" s="1"/>
  <c r="G89" s="1"/>
  <c r="F1615" i="25"/>
  <c r="G1615" s="1"/>
  <c r="G1623" s="1"/>
  <c r="F1246"/>
  <c r="G1246" s="1"/>
  <c r="G1253" s="1"/>
  <c r="F980"/>
  <c r="G980" s="1"/>
  <c r="G988" s="1"/>
  <c r="F610" i="21"/>
  <c r="G610" s="1"/>
  <c r="G617" s="1"/>
  <c r="G618" s="1"/>
  <c r="G619" s="1"/>
  <c r="F1509" i="25"/>
  <c r="G1509" s="1"/>
  <c r="G1517" s="1"/>
  <c r="G1518" s="1"/>
  <c r="F980" i="27"/>
  <c r="G980" s="1"/>
  <c r="G988" s="1"/>
  <c r="G989" s="1"/>
  <c r="G990" s="1"/>
  <c r="F1140" i="25"/>
  <c r="G1140" s="1"/>
  <c r="G1147" s="1"/>
  <c r="G1148" s="1"/>
  <c r="G1149" s="1"/>
  <c r="F1351"/>
  <c r="G1351" s="1"/>
  <c r="G1358" s="1"/>
  <c r="G1359" s="1"/>
  <c r="G1360" s="1"/>
  <c r="F1457"/>
  <c r="G1457" s="1"/>
  <c r="F1668"/>
  <c r="G1668" s="1"/>
  <c r="G1676" s="1"/>
  <c r="G1677" s="1"/>
  <c r="G1678" s="1"/>
  <c r="F343" i="26"/>
  <c r="G343" s="1"/>
  <c r="G352" s="1"/>
  <c r="F555"/>
  <c r="G555" s="1"/>
  <c r="G564" s="1"/>
  <c r="F767"/>
  <c r="G767" s="1"/>
  <c r="G776" s="1"/>
  <c r="G728" i="36"/>
  <c r="G729" s="1"/>
  <c r="G463"/>
  <c r="G464" s="1"/>
  <c r="G405" i="21"/>
  <c r="G406" s="1"/>
  <c r="G656" i="30"/>
  <c r="G657" s="1"/>
  <c r="G241"/>
  <c r="G242" s="1"/>
  <c r="G243" s="1"/>
  <c r="G137"/>
  <c r="G829" i="21"/>
  <c r="G830" s="1"/>
  <c r="G831" s="1"/>
  <c r="G352"/>
  <c r="C28" i="16"/>
  <c r="C36"/>
  <c r="C27"/>
  <c r="C25"/>
  <c r="C23"/>
  <c r="C21"/>
  <c r="C19"/>
  <c r="G353" i="36"/>
  <c r="C35" i="16"/>
  <c r="G354" i="12"/>
  <c r="G89"/>
  <c r="G2667" i="6"/>
  <c r="G2457"/>
  <c r="G2458" s="1"/>
  <c r="G2298"/>
  <c r="G2299" s="1"/>
  <c r="G512"/>
  <c r="G513" s="1"/>
  <c r="G1396" i="3"/>
  <c r="G601"/>
  <c r="G493"/>
  <c r="G440"/>
  <c r="G387"/>
  <c r="G334"/>
  <c r="G122"/>
  <c r="G18"/>
  <c r="G1404"/>
  <c r="G662"/>
  <c r="G600"/>
  <c r="G441"/>
  <c r="G291"/>
  <c r="G133"/>
  <c r="G82"/>
  <c r="G1139"/>
  <c r="G875"/>
  <c r="G503"/>
  <c r="G397"/>
  <c r="G297"/>
  <c r="G132"/>
  <c r="G194" i="22"/>
  <c r="G195" s="1"/>
  <c r="G405" i="23"/>
  <c r="G406" s="1"/>
  <c r="G407" s="1"/>
  <c r="G293" i="30"/>
  <c r="G294" s="1"/>
  <c r="G829" i="25"/>
  <c r="G247" i="23"/>
  <c r="G248" s="1"/>
  <c r="G1032" i="29"/>
  <c r="G1033" s="1"/>
  <c r="G300" i="27"/>
  <c r="G301" s="1"/>
  <c r="G299" i="24"/>
  <c r="G300" s="1"/>
  <c r="G606" i="30"/>
  <c r="G607" s="1"/>
  <c r="G608" s="1"/>
  <c r="G1573" i="27"/>
  <c r="G1574" s="1"/>
  <c r="G1575" s="1"/>
  <c r="G781" i="36"/>
  <c r="G782" s="1"/>
  <c r="G882" i="27"/>
  <c r="G458"/>
  <c r="G459" s="1"/>
  <c r="G460" s="1"/>
  <c r="G88" i="23"/>
  <c r="G89" s="1"/>
  <c r="G723"/>
  <c r="G724" s="1"/>
  <c r="G725" s="1"/>
  <c r="G988" i="21"/>
  <c r="G1359" i="27"/>
  <c r="G1360" s="1"/>
  <c r="G1361" s="1"/>
  <c r="G1147"/>
  <c r="G1148" s="1"/>
  <c r="G1149" s="1"/>
  <c r="G935"/>
  <c r="G936" s="1"/>
  <c r="G618"/>
  <c r="G619" s="1"/>
  <c r="G1136" i="29"/>
  <c r="G928"/>
  <c r="G822"/>
  <c r="G823" s="1"/>
  <c r="G824" s="1"/>
  <c r="G1084"/>
  <c r="G666"/>
  <c r="G1041" i="27"/>
  <c r="G1042" s="1"/>
  <c r="G1043" s="1"/>
  <c r="G352"/>
  <c r="G140"/>
  <c r="G353"/>
  <c r="G354" s="1"/>
  <c r="G618" i="23"/>
  <c r="G619" s="1"/>
  <c r="G1042" i="21"/>
  <c r="G1043" s="1"/>
  <c r="G353" i="22"/>
  <c r="G354"/>
  <c r="G34" i="27"/>
  <c r="G723" i="22"/>
  <c r="G724" s="1"/>
  <c r="G725" s="1"/>
  <c r="G246" i="27"/>
  <c r="G247" s="1"/>
  <c r="G87"/>
  <c r="G88" s="1"/>
  <c r="G140" i="23"/>
  <c r="G141" s="1"/>
  <c r="G34"/>
  <c r="G35" s="1"/>
  <c r="G36" s="1"/>
  <c r="G670" i="21"/>
  <c r="G345" i="30"/>
  <c r="G346" s="1"/>
  <c r="G347" s="1"/>
  <c r="G189"/>
  <c r="G190" s="1"/>
  <c r="G284" i="36"/>
  <c r="G89" i="27"/>
  <c r="G35"/>
  <c r="G36" s="1"/>
  <c r="G1040" i="2"/>
  <c r="G725" i="27"/>
  <c r="G405"/>
  <c r="G406"/>
  <c r="G458" i="23"/>
  <c r="G140" i="21"/>
  <c r="G777" i="23"/>
  <c r="G778" s="1"/>
  <c r="G87" i="37"/>
  <c r="G88" s="1"/>
  <c r="G191" i="30"/>
  <c r="G719" i="1"/>
  <c r="G720" s="1"/>
  <c r="G721" s="1"/>
  <c r="G741" s="1"/>
  <c r="G2616" i="6"/>
  <c r="G776" i="2"/>
  <c r="G777" s="1"/>
  <c r="G834" i="36"/>
  <c r="G835" s="1"/>
  <c r="G1781" i="25"/>
  <c r="G564" i="22"/>
  <c r="G458"/>
  <c r="G2715" i="6"/>
  <c r="N71" i="16"/>
  <c r="N76" s="1"/>
  <c r="N77"/>
  <c r="O77" s="1"/>
  <c r="N74"/>
  <c r="O74" s="1"/>
  <c r="R74"/>
  <c r="V74"/>
  <c r="X74"/>
  <c r="Y74" s="1"/>
  <c r="G1521" i="27"/>
  <c r="O76" i="16"/>
  <c r="Z73"/>
  <c r="AA81"/>
  <c r="Z88"/>
  <c r="AA88" s="1"/>
  <c r="AN73"/>
  <c r="AJ71"/>
  <c r="AJ76"/>
  <c r="AJ73"/>
  <c r="AK74"/>
  <c r="AJ88"/>
  <c r="AK88" s="1"/>
  <c r="AK89"/>
  <c r="AF71"/>
  <c r="AF76"/>
  <c r="AG76" s="1"/>
  <c r="AF73"/>
  <c r="AF88"/>
  <c r="AG88"/>
  <c r="AB73"/>
  <c r="AB88"/>
  <c r="AC88" s="1"/>
  <c r="X69"/>
  <c r="X79" s="1"/>
  <c r="Y79" s="1"/>
  <c r="X70"/>
  <c r="T69"/>
  <c r="T79" s="1"/>
  <c r="U79"/>
  <c r="T70"/>
  <c r="P73"/>
  <c r="M81"/>
  <c r="U78"/>
  <c r="N73"/>
  <c r="N88"/>
  <c r="O88" s="1"/>
  <c r="AF77"/>
  <c r="AG77" s="1"/>
  <c r="T71"/>
  <c r="T76" s="1"/>
  <c r="T77" s="1"/>
  <c r="U76"/>
  <c r="T73"/>
  <c r="U81"/>
  <c r="T88"/>
  <c r="U88"/>
  <c r="T85"/>
  <c r="U85"/>
  <c r="U89"/>
  <c r="T91"/>
  <c r="U91" s="1"/>
  <c r="U73"/>
  <c r="T82"/>
  <c r="U82"/>
  <c r="T84"/>
  <c r="U84"/>
  <c r="T86"/>
  <c r="U86"/>
  <c r="T92"/>
  <c r="U92"/>
  <c r="X73"/>
  <c r="Y81"/>
  <c r="X88"/>
  <c r="Y88" s="1"/>
  <c r="X85"/>
  <c r="Y85" s="1"/>
  <c r="Y89"/>
  <c r="X91"/>
  <c r="Y91"/>
  <c r="Y73"/>
  <c r="X82"/>
  <c r="Y82" s="1"/>
  <c r="X84"/>
  <c r="Y84" s="1"/>
  <c r="X86"/>
  <c r="Y86" s="1"/>
  <c r="X92"/>
  <c r="Y92" s="1"/>
  <c r="X71"/>
  <c r="X76" s="1"/>
  <c r="U77"/>
  <c r="G78" i="38"/>
  <c r="G79" s="1"/>
  <c r="G80" s="1"/>
  <c r="AO81" i="16"/>
  <c r="AN84"/>
  <c r="AO84" s="1"/>
  <c r="AN85"/>
  <c r="AO85" s="1"/>
  <c r="AN86"/>
  <c r="AO86" s="1"/>
  <c r="Q73"/>
  <c r="P91"/>
  <c r="Q91"/>
  <c r="P92"/>
  <c r="Q92"/>
  <c r="Q81"/>
  <c r="P88"/>
  <c r="Q88" s="1"/>
  <c r="P82"/>
  <c r="Q82" s="1"/>
  <c r="P84"/>
  <c r="Q84" s="1"/>
  <c r="P85"/>
  <c r="Q85" s="1"/>
  <c r="P86"/>
  <c r="Q86" s="1"/>
  <c r="M79"/>
  <c r="AG73"/>
  <c r="AG81"/>
  <c r="AG89"/>
  <c r="AF91"/>
  <c r="AG91"/>
  <c r="AF92"/>
  <c r="AG92"/>
  <c r="AG74"/>
  <c r="AF82"/>
  <c r="AG82" s="1"/>
  <c r="AF84"/>
  <c r="AG84"/>
  <c r="AF85"/>
  <c r="AG85"/>
  <c r="AF86"/>
  <c r="AG86"/>
  <c r="C29"/>
  <c r="G933" i="18"/>
  <c r="G934" s="1"/>
  <c r="AO89" i="16"/>
  <c r="Q89"/>
  <c r="Q78"/>
  <c r="AO79"/>
  <c r="E815" i="36"/>
  <c r="G815" s="1"/>
  <c r="E443"/>
  <c r="G443" s="1"/>
  <c r="E798"/>
  <c r="G798" s="1"/>
  <c r="G800" s="1"/>
  <c r="E851"/>
  <c r="G851" s="1"/>
  <c r="G853" s="1"/>
  <c r="E69" i="12"/>
  <c r="G69" s="1"/>
  <c r="G73" s="1"/>
  <c r="E121"/>
  <c r="G121" s="1"/>
  <c r="E282"/>
  <c r="G282" s="1"/>
  <c r="E333"/>
  <c r="G333" s="1"/>
  <c r="E655" i="36"/>
  <c r="G655" s="1"/>
  <c r="E496"/>
  <c r="G496" s="1"/>
  <c r="E602"/>
  <c r="G602" s="1"/>
  <c r="E708"/>
  <c r="G708" s="1"/>
  <c r="E440" i="12"/>
  <c r="G440" s="1"/>
  <c r="E387"/>
  <c r="G387" s="1"/>
  <c r="E173" i="30"/>
  <c r="G173" s="1"/>
  <c r="E277"/>
  <c r="G277" s="1"/>
  <c r="E590"/>
  <c r="G590" s="1"/>
  <c r="E329"/>
  <c r="G329" s="1"/>
  <c r="E434"/>
  <c r="G434" s="1"/>
  <c r="E538"/>
  <c r="G538" s="1"/>
  <c r="E486"/>
  <c r="G486" s="1"/>
  <c r="AJ86" i="16"/>
  <c r="AK86" s="1"/>
  <c r="AB86"/>
  <c r="AC86" s="1"/>
  <c r="Z86"/>
  <c r="AA86" s="1"/>
  <c r="L86"/>
  <c r="M86" s="1"/>
  <c r="AJ85"/>
  <c r="AK85" s="1"/>
  <c r="AB85"/>
  <c r="AC85" s="1"/>
  <c r="Z85"/>
  <c r="AA85" s="1"/>
  <c r="L85"/>
  <c r="M85" s="1"/>
  <c r="AJ84"/>
  <c r="AK84" s="1"/>
  <c r="AB84"/>
  <c r="AC84" s="1"/>
  <c r="Z84"/>
  <c r="AA84" s="1"/>
  <c r="L84"/>
  <c r="M84" s="1"/>
  <c r="AJ82"/>
  <c r="AK82" s="1"/>
  <c r="Z82"/>
  <c r="P69"/>
  <c r="P79"/>
  <c r="Q79" s="1"/>
  <c r="E1019" i="12"/>
  <c r="G1019" s="1"/>
  <c r="E441"/>
  <c r="G441" s="1"/>
  <c r="E388"/>
  <c r="G388" s="1"/>
  <c r="G195"/>
  <c r="G2246" i="6"/>
  <c r="E2120"/>
  <c r="G2120" s="1"/>
  <c r="E2068"/>
  <c r="G2068" s="1"/>
  <c r="E2016"/>
  <c r="G2016" s="1"/>
  <c r="E1964"/>
  <c r="G1964" s="1"/>
  <c r="G1932"/>
  <c r="E1912"/>
  <c r="G1912" s="1"/>
  <c r="E1808"/>
  <c r="G1808" s="1"/>
  <c r="E1756"/>
  <c r="G1756" s="1"/>
  <c r="E1704"/>
  <c r="G1704" s="1"/>
  <c r="G1464"/>
  <c r="E1392"/>
  <c r="G1392" s="1"/>
  <c r="E1340"/>
  <c r="G1340" s="1"/>
  <c r="G566"/>
  <c r="E1235" i="3"/>
  <c r="G1235" s="1"/>
  <c r="E1186"/>
  <c r="G1186" s="1"/>
  <c r="E760"/>
  <c r="G760" s="1"/>
  <c r="G299" i="1"/>
  <c r="G300" s="1"/>
  <c r="G943" i="23"/>
  <c r="E763" i="36"/>
  <c r="G763" s="1"/>
  <c r="E816"/>
  <c r="G816" s="1"/>
  <c r="E550"/>
  <c r="G550" s="1"/>
  <c r="E657"/>
  <c r="G657" s="1"/>
  <c r="E498"/>
  <c r="G498" s="1"/>
  <c r="E710"/>
  <c r="G710" s="1"/>
  <c r="E604"/>
  <c r="G604" s="1"/>
  <c r="E551"/>
  <c r="G551" s="1"/>
  <c r="E761"/>
  <c r="G761" s="1"/>
  <c r="E814"/>
  <c r="G814" s="1"/>
  <c r="E439" i="12"/>
  <c r="G439" s="1"/>
  <c r="E280"/>
  <c r="G280" s="1"/>
  <c r="G832" i="23"/>
  <c r="G833" s="1"/>
  <c r="G407" i="12"/>
  <c r="E227"/>
  <c r="G227" s="1"/>
  <c r="E174"/>
  <c r="G174" s="1"/>
  <c r="G2088" i="6"/>
  <c r="G1984"/>
  <c r="E1860"/>
  <c r="G1860" s="1"/>
  <c r="G1776"/>
  <c r="G1724"/>
  <c r="E1652"/>
  <c r="G1652" s="1"/>
  <c r="E1600"/>
  <c r="G1600" s="1"/>
  <c r="E1548"/>
  <c r="G1548" s="1"/>
  <c r="E1496"/>
  <c r="G1496" s="1"/>
  <c r="G460"/>
  <c r="G36"/>
  <c r="E813" i="3"/>
  <c r="G813" s="1"/>
  <c r="G2281" i="29"/>
  <c r="G2128"/>
  <c r="G405"/>
  <c r="G352"/>
  <c r="G353" s="1"/>
  <c r="G354" s="1"/>
  <c r="G87"/>
  <c r="G34"/>
  <c r="G35" s="1"/>
  <c r="G36" s="1"/>
  <c r="E225" i="30"/>
  <c r="G225" s="1"/>
  <c r="E762" i="36"/>
  <c r="G762" s="1"/>
  <c r="G996" i="23"/>
  <c r="G997" s="1"/>
  <c r="G191" i="37"/>
  <c r="G192" s="1"/>
  <c r="G141" i="22"/>
  <c r="G142" s="1"/>
  <c r="G1064" i="30"/>
  <c r="G1065" s="1"/>
  <c r="G914"/>
  <c r="G915" s="1"/>
  <c r="G99" i="36"/>
  <c r="E66" s="1"/>
  <c r="G66" s="1"/>
  <c r="G72" s="1"/>
  <c r="G1554" i="3"/>
  <c r="G88" i="29"/>
  <c r="G89" s="1"/>
  <c r="G406"/>
  <c r="G407" s="1"/>
  <c r="G2282"/>
  <c r="G2283" s="1"/>
  <c r="AA82" i="16"/>
  <c r="G618" i="17"/>
  <c r="G619" s="1"/>
  <c r="G511" i="1"/>
  <c r="G1095" i="25"/>
  <c r="G671" i="17"/>
  <c r="G672" s="1"/>
  <c r="G2046" i="12"/>
  <c r="G2047" s="1"/>
  <c r="G1360" i="2"/>
  <c r="G1361" s="1"/>
  <c r="G778"/>
  <c r="G672" i="1"/>
  <c r="G407" i="27"/>
  <c r="G142" i="23"/>
  <c r="G658" i="30"/>
  <c r="G246" i="1"/>
  <c r="G247"/>
  <c r="G248" s="1"/>
  <c r="G1147" i="2"/>
  <c r="G1306" i="27"/>
  <c r="G1307" s="1"/>
  <c r="G1094"/>
  <c r="G1188" i="29"/>
  <c r="G1189" s="1"/>
  <c r="G980"/>
  <c r="G875"/>
  <c r="G87" i="21"/>
  <c r="G88"/>
  <c r="G89" s="1"/>
  <c r="G34"/>
  <c r="G35"/>
  <c r="G36" s="1"/>
  <c r="G707" i="30"/>
  <c r="G398"/>
  <c r="G399" s="1"/>
  <c r="G400" s="1"/>
  <c r="G1051" i="23"/>
  <c r="G1052" s="1"/>
  <c r="G1053" s="1"/>
  <c r="G459"/>
  <c r="G460" s="1"/>
  <c r="G512" i="1"/>
  <c r="G667" i="29"/>
  <c r="G668" s="1"/>
  <c r="G989" i="21"/>
  <c r="G1034" i="29"/>
  <c r="G2025"/>
  <c r="G2026" s="1"/>
  <c r="G301" i="1"/>
  <c r="G1519" i="25"/>
  <c r="G2564" i="6"/>
  <c r="G193" i="1"/>
  <c r="G87"/>
  <c r="G34"/>
  <c r="G1975" i="29"/>
  <c r="G1201" i="27"/>
  <c r="G1202" s="1"/>
  <c r="G246" i="24"/>
  <c r="G247" s="1"/>
  <c r="G830" i="25"/>
  <c r="G831" s="1"/>
  <c r="G247" i="21"/>
  <c r="G248" s="1"/>
  <c r="G459"/>
  <c r="G460" s="1"/>
  <c r="G883" i="27"/>
  <c r="G884" s="1"/>
  <c r="G353" i="21"/>
  <c r="G354" s="1"/>
  <c r="G248" i="27"/>
  <c r="G2617" i="6"/>
  <c r="G617" i="1"/>
  <c r="G618" s="1"/>
  <c r="G564"/>
  <c r="G1148" i="2"/>
  <c r="G828"/>
  <c r="G829" s="1"/>
  <c r="G299"/>
  <c r="G300" s="1"/>
  <c r="G301" s="1"/>
  <c r="G193"/>
  <c r="G140"/>
  <c r="G87"/>
  <c r="G88" s="1"/>
  <c r="G2075" i="29"/>
  <c r="G2076" s="1"/>
  <c r="G2077" s="1"/>
  <c r="G1921"/>
  <c r="G1817"/>
  <c r="G1818" s="1"/>
  <c r="G1819" s="1"/>
  <c r="G1660"/>
  <c r="G1661" s="1"/>
  <c r="G1608"/>
  <c r="G1609" s="1"/>
  <c r="G1610" s="1"/>
  <c r="G1555"/>
  <c r="G1450"/>
  <c r="G1346"/>
  <c r="G1347" s="1"/>
  <c r="G1242"/>
  <c r="G770"/>
  <c r="G718"/>
  <c r="G562"/>
  <c r="G828" i="28"/>
  <c r="G829" s="1"/>
  <c r="G193" i="26"/>
  <c r="G194" s="1"/>
  <c r="G1305" i="25"/>
  <c r="G670" i="22"/>
  <c r="G671" s="1"/>
  <c r="G672" s="1"/>
  <c r="G511"/>
  <c r="G502" i="30"/>
  <c r="G887" i="36"/>
  <c r="G888" s="1"/>
  <c r="G139" i="37"/>
  <c r="G140" s="1"/>
  <c r="G1780" i="12"/>
  <c r="G1781" s="1"/>
  <c r="G829" i="27"/>
  <c r="G830" s="1"/>
  <c r="G831" s="1"/>
  <c r="G776"/>
  <c r="G777" s="1"/>
  <c r="G1147" i="21"/>
  <c r="G1096"/>
  <c r="G876" i="29"/>
  <c r="G1095" i="27"/>
  <c r="G1096"/>
  <c r="G459" i="29"/>
  <c r="G460" s="1"/>
  <c r="G1199" i="12"/>
  <c r="G830" i="28"/>
  <c r="G1243" i="29"/>
  <c r="G1451"/>
  <c r="G1452" s="1"/>
  <c r="G141" i="2"/>
  <c r="G194" i="1"/>
  <c r="G1676" i="12"/>
  <c r="G1148" i="21"/>
  <c r="G1149" s="1"/>
  <c r="G778" i="27"/>
  <c r="G503" i="30"/>
  <c r="G719" i="29"/>
  <c r="G1556"/>
  <c r="G1922"/>
  <c r="G194" i="2"/>
  <c r="G565" i="1"/>
  <c r="G566" s="1"/>
  <c r="G88"/>
  <c r="G89" s="1"/>
  <c r="G195" i="26"/>
  <c r="G35" i="1"/>
  <c r="G511" i="28"/>
  <c r="G141" i="26"/>
  <c r="G142" s="1"/>
  <c r="G882" i="28"/>
  <c r="G883" s="1"/>
  <c r="G406" i="26"/>
  <c r="G407" s="1"/>
  <c r="F608"/>
  <c r="G608" s="1"/>
  <c r="G617" s="1"/>
  <c r="F290" i="28"/>
  <c r="G290" s="1"/>
  <c r="G298" s="1"/>
  <c r="F1138"/>
  <c r="G1138" s="1"/>
  <c r="G1146" s="1"/>
  <c r="F184" i="17"/>
  <c r="G184" s="1"/>
  <c r="G193" s="1"/>
  <c r="F394" i="18"/>
  <c r="G394" s="1"/>
  <c r="G402" s="1"/>
  <c r="G403" s="1"/>
  <c r="F1085" i="28"/>
  <c r="G1085" s="1"/>
  <c r="G1093" s="1"/>
  <c r="G1094" s="1"/>
  <c r="F237" i="26"/>
  <c r="G237" s="1"/>
  <c r="G246" s="1"/>
  <c r="G247" s="1"/>
  <c r="F1193" i="25"/>
  <c r="G1193" s="1"/>
  <c r="G1200" s="1"/>
  <c r="G1201" s="1"/>
  <c r="G671" i="21" l="1"/>
  <c r="G672" s="1"/>
  <c r="G864" i="30"/>
  <c r="G865" s="1"/>
  <c r="G300" i="23"/>
  <c r="G301" s="1"/>
  <c r="G830" i="2"/>
  <c r="G89"/>
  <c r="G1662" i="29"/>
  <c r="G1348"/>
  <c r="G1308" i="27"/>
  <c r="G720" i="29"/>
  <c r="G1244"/>
  <c r="G142" i="2"/>
  <c r="G512" i="28"/>
  <c r="G1041" i="2"/>
  <c r="G1042"/>
  <c r="G406" i="22"/>
  <c r="G407"/>
  <c r="G2761" i="6"/>
  <c r="G2762"/>
  <c r="G504" i="30"/>
  <c r="G179" i="12"/>
  <c r="G1464" i="25"/>
  <c r="G1465" s="1"/>
  <c r="G1466" s="1"/>
  <c r="G1096"/>
  <c r="G299" i="17"/>
  <c r="G300" s="1"/>
  <c r="G301" s="1"/>
  <c r="G1144" i="12"/>
  <c r="G1145" s="1"/>
  <c r="G1146" s="1"/>
  <c r="G935" i="21"/>
  <c r="G936" s="1"/>
  <c r="G937" s="1"/>
  <c r="G2404" i="6"/>
  <c r="G2405" s="1"/>
  <c r="G936"/>
  <c r="G937" s="1"/>
  <c r="G610" i="3"/>
  <c r="G504"/>
  <c r="G452"/>
  <c r="G185"/>
  <c r="G80"/>
  <c r="G458" i="2"/>
  <c r="G1294" i="29"/>
  <c r="G1295" s="1"/>
  <c r="G1296" s="1"/>
  <c r="G141"/>
  <c r="G142" s="1"/>
  <c r="G34" i="24"/>
  <c r="G35" s="1"/>
  <c r="G883" i="21"/>
  <c r="G884" s="1"/>
  <c r="G247" i="22"/>
  <c r="G248" s="1"/>
  <c r="G88"/>
  <c r="G89" s="1"/>
  <c r="G35"/>
  <c r="G1561" i="3"/>
  <c r="G192" i="24"/>
  <c r="G193" s="1"/>
  <c r="G194" s="1"/>
  <c r="G139"/>
  <c r="G140" s="1"/>
  <c r="G495" i="3"/>
  <c r="G442"/>
  <c r="G389"/>
  <c r="G336"/>
  <c r="G281"/>
  <c r="G280" i="24"/>
  <c r="G226"/>
  <c r="G173"/>
  <c r="G120"/>
  <c r="G705" i="21"/>
  <c r="G1395" i="3"/>
  <c r="G1234"/>
  <c r="G655"/>
  <c r="G653"/>
  <c r="G599"/>
  <c r="G548"/>
  <c r="G282"/>
  <c r="G228"/>
  <c r="G177"/>
  <c r="G124"/>
  <c r="G279" i="24"/>
  <c r="G227"/>
  <c r="G174"/>
  <c r="G121"/>
  <c r="G704" i="21"/>
  <c r="G2134" i="12"/>
  <c r="G724" i="21"/>
  <c r="G725" s="1"/>
  <c r="E281" i="12"/>
  <c r="G281" s="1"/>
  <c r="G565" i="26"/>
  <c r="G566" s="1"/>
  <c r="G1254" i="25"/>
  <c r="G1255" s="1"/>
  <c r="G353" i="26"/>
  <c r="G354" s="1"/>
  <c r="G1624" i="25"/>
  <c r="G1625" s="1"/>
  <c r="F1404"/>
  <c r="G1404" s="1"/>
  <c r="G1411" s="1"/>
  <c r="G1412" s="1"/>
  <c r="F343" i="28"/>
  <c r="G343" s="1"/>
  <c r="G351" s="1"/>
  <c r="G352" s="1"/>
  <c r="F341" i="18"/>
  <c r="G341" s="1"/>
  <c r="G349" s="1"/>
  <c r="F500"/>
  <c r="G500" s="1"/>
  <c r="G508" s="1"/>
  <c r="F818"/>
  <c r="G818" s="1"/>
  <c r="G826" s="1"/>
  <c r="G827" s="1"/>
  <c r="F608" i="28"/>
  <c r="G608" s="1"/>
  <c r="G616" s="1"/>
  <c r="G617" s="1"/>
  <c r="F714" i="26"/>
  <c r="G714" s="1"/>
  <c r="G723" s="1"/>
  <c r="G724" s="1"/>
  <c r="G725" s="1"/>
  <c r="F131" i="25"/>
  <c r="G131" s="1"/>
  <c r="G140" s="1"/>
  <c r="F504" i="21"/>
  <c r="G504" s="1"/>
  <c r="G511" s="1"/>
  <c r="F767" i="28"/>
  <c r="G767" s="1"/>
  <c r="G775" s="1"/>
  <c r="F449" i="26"/>
  <c r="G449" s="1"/>
  <c r="G458" s="1"/>
  <c r="F662" i="25"/>
  <c r="G662" s="1"/>
  <c r="G670" s="1"/>
  <c r="G671" s="1"/>
  <c r="G672" s="1"/>
  <c r="F557" i="21"/>
  <c r="G557" s="1"/>
  <c r="G564" s="1"/>
  <c r="G565" s="1"/>
  <c r="F1562" i="25"/>
  <c r="G1562" s="1"/>
  <c r="G1570" s="1"/>
  <c r="F661" i="26"/>
  <c r="G661" s="1"/>
  <c r="G670" s="1"/>
  <c r="F79" i="28"/>
  <c r="G79" s="1"/>
  <c r="F237"/>
  <c r="G237" s="1"/>
  <c r="F714"/>
  <c r="G714" s="1"/>
  <c r="G722" s="1"/>
  <c r="G723" s="1"/>
  <c r="G724" s="1"/>
  <c r="F979"/>
  <c r="G979" s="1"/>
  <c r="G987" s="1"/>
  <c r="G988" s="1"/>
  <c r="G989" s="1"/>
  <c r="F447" i="18"/>
  <c r="G447" s="1"/>
  <c r="F131" i="17"/>
  <c r="G131" s="1"/>
  <c r="G140" s="1"/>
  <c r="F449"/>
  <c r="G449" s="1"/>
  <c r="G458" s="1"/>
  <c r="G459" s="1"/>
  <c r="G460" s="1"/>
  <c r="F237"/>
  <c r="G237" s="1"/>
  <c r="G246" s="1"/>
  <c r="G247" s="1"/>
  <c r="G248" s="1"/>
  <c r="F1032" i="28"/>
  <c r="G1032" s="1"/>
  <c r="G1040" s="1"/>
  <c r="G1041" s="1"/>
  <c r="G1042" s="1"/>
  <c r="F396"/>
  <c r="G396" s="1"/>
  <c r="G404" s="1"/>
  <c r="G405" s="1"/>
  <c r="G406" s="1"/>
  <c r="G502" i="26"/>
  <c r="G511" s="1"/>
  <c r="F1721" i="25"/>
  <c r="G1721" s="1"/>
  <c r="G1729" s="1"/>
  <c r="F25"/>
  <c r="G25" s="1"/>
  <c r="G34" s="1"/>
  <c r="F715"/>
  <c r="G715" s="1"/>
  <c r="G723" s="1"/>
  <c r="G724" s="1"/>
  <c r="G725" s="1"/>
  <c r="F290" i="26"/>
  <c r="G290" s="1"/>
  <c r="F78" i="17"/>
  <c r="G78" s="1"/>
  <c r="G396"/>
  <c r="F343"/>
  <c r="G343" s="1"/>
  <c r="G352" s="1"/>
  <c r="F661" i="28"/>
  <c r="G661" s="1"/>
  <c r="G669" s="1"/>
  <c r="G670" s="1"/>
  <c r="G671" s="1"/>
  <c r="F78" i="25"/>
  <c r="G78" s="1"/>
  <c r="G87" s="1"/>
  <c r="G88" s="1"/>
  <c r="G89" s="1"/>
  <c r="F1034"/>
  <c r="G1034" s="1"/>
  <c r="G1041" s="1"/>
  <c r="G879" i="18"/>
  <c r="G880" s="1"/>
  <c r="G410" i="36"/>
  <c r="G411"/>
  <c r="G247"/>
  <c r="G88"/>
  <c r="G108" s="1"/>
  <c r="G418"/>
  <c r="G422" s="1"/>
  <c r="E389" s="1"/>
  <c r="G389" s="1"/>
  <c r="G395" s="1"/>
  <c r="G390"/>
  <c r="G360"/>
  <c r="G364" s="1"/>
  <c r="E331" s="1"/>
  <c r="G331" s="1"/>
  <c r="G337" s="1"/>
  <c r="G373" s="1"/>
  <c r="G375" s="1"/>
  <c r="G332"/>
  <c r="G141"/>
  <c r="G161" s="1"/>
  <c r="G42"/>
  <c r="G46" s="1"/>
  <c r="E13" s="1"/>
  <c r="G13" s="1"/>
  <c r="G19" s="1"/>
  <c r="G55" s="1"/>
  <c r="G33"/>
  <c r="G34" s="1"/>
  <c r="G35" s="1"/>
  <c r="G194" i="17"/>
  <c r="G195" s="1"/>
  <c r="G1147" i="28"/>
  <c r="G1148" s="1"/>
  <c r="G350" i="18"/>
  <c r="G351" s="1"/>
  <c r="G981" i="29"/>
  <c r="G982" s="1"/>
  <c r="AG93" i="16"/>
  <c r="G36" i="24"/>
  <c r="G121" i="38"/>
  <c r="G122"/>
  <c r="Y76" i="16"/>
  <c r="X77"/>
  <c r="Y77" s="1"/>
  <c r="G138" i="30"/>
  <c r="G139"/>
  <c r="G777" i="26"/>
  <c r="G778"/>
  <c r="G141" i="25"/>
  <c r="G142"/>
  <c r="G989"/>
  <c r="G990" s="1"/>
  <c r="G565"/>
  <c r="G566" s="1"/>
  <c r="G777"/>
  <c r="G778" s="1"/>
  <c r="G1571"/>
  <c r="G1572" s="1"/>
  <c r="G512" i="26"/>
  <c r="G374" i="36"/>
  <c r="G618" i="25"/>
  <c r="G619" s="1"/>
  <c r="G565" i="27"/>
  <c r="G566" s="1"/>
  <c r="X93" i="16"/>
  <c r="X95" s="1"/>
  <c r="AF93"/>
  <c r="AF95" s="1"/>
  <c r="AJ77"/>
  <c r="AK77" s="1"/>
  <c r="AK76"/>
  <c r="G141" i="27"/>
  <c r="G142" s="1"/>
  <c r="G1085" i="29"/>
  <c r="G1086" s="1"/>
  <c r="G1137"/>
  <c r="G1138" s="1"/>
  <c r="E707" i="3"/>
  <c r="G707" s="1"/>
  <c r="E866"/>
  <c r="G866" s="1"/>
  <c r="N85" i="16"/>
  <c r="O85" s="1"/>
  <c r="N91"/>
  <c r="O91" s="1"/>
  <c r="N92"/>
  <c r="O92" s="1"/>
  <c r="N86"/>
  <c r="O86" s="1"/>
  <c r="O81"/>
  <c r="AO78"/>
  <c r="AN88"/>
  <c r="AO88" s="1"/>
  <c r="AO73"/>
  <c r="AN91"/>
  <c r="AO91" s="1"/>
  <c r="AN92"/>
  <c r="AO92" s="1"/>
  <c r="AO74"/>
  <c r="AN82"/>
  <c r="AO82" s="1"/>
  <c r="AN71"/>
  <c r="AN76" s="1"/>
  <c r="AL69"/>
  <c r="AL79" s="1"/>
  <c r="AL78"/>
  <c r="AL70"/>
  <c r="L82"/>
  <c r="M82" s="1"/>
  <c r="L71"/>
  <c r="L76" s="1"/>
  <c r="M73"/>
  <c r="L91"/>
  <c r="M91" s="1"/>
  <c r="L92"/>
  <c r="M92" s="1"/>
  <c r="L73"/>
  <c r="L88"/>
  <c r="M88" s="1"/>
  <c r="AH67"/>
  <c r="C17"/>
  <c r="J74"/>
  <c r="O63"/>
  <c r="Z71"/>
  <c r="Z76" s="1"/>
  <c r="L74"/>
  <c r="M74" s="1"/>
  <c r="P74"/>
  <c r="Q74" s="1"/>
  <c r="T74"/>
  <c r="Z74"/>
  <c r="P71"/>
  <c r="P76" s="1"/>
  <c r="G1039" i="12"/>
  <c r="G1040" s="1"/>
  <c r="G2035" i="6"/>
  <c r="G2036" s="1"/>
  <c r="G109" i="12"/>
  <c r="G990" i="21"/>
  <c r="G216" i="36"/>
  <c r="G431"/>
  <c r="AC89" i="16"/>
  <c r="O79"/>
  <c r="O93" s="1"/>
  <c r="G1360" i="6"/>
  <c r="G1202"/>
  <c r="AC81" i="16"/>
  <c r="AC73"/>
  <c r="AB91"/>
  <c r="AC91" s="1"/>
  <c r="AB92"/>
  <c r="AC92" s="1"/>
  <c r="AB71"/>
  <c r="AB76" s="1"/>
  <c r="AC74"/>
  <c r="AB82"/>
  <c r="AC82" s="1"/>
  <c r="V70"/>
  <c r="V69"/>
  <c r="V79" s="1"/>
  <c r="V78"/>
  <c r="W78" s="1"/>
  <c r="R70"/>
  <c r="S74" s="1"/>
  <c r="R78"/>
  <c r="S78" s="1"/>
  <c r="R69"/>
  <c r="R79" s="1"/>
  <c r="S79" s="1"/>
  <c r="G561" i="18"/>
  <c r="G1252" i="2"/>
  <c r="G1199"/>
  <c r="G352"/>
  <c r="G1765" i="29"/>
  <c r="G1766" s="1"/>
  <c r="G1767" s="1"/>
  <c r="G1398"/>
  <c r="G1399" s="1"/>
  <c r="G1400" s="1"/>
  <c r="G510"/>
  <c r="G299"/>
  <c r="G1199" i="28"/>
  <c r="G1200" s="1"/>
  <c r="G1201" s="1"/>
  <c r="G245"/>
  <c r="G34" i="26"/>
  <c r="G141" i="21"/>
  <c r="G142" s="1"/>
  <c r="G929" i="29"/>
  <c r="G930" s="1"/>
  <c r="G353" i="23"/>
  <c r="G354" s="1"/>
  <c r="G34" i="30"/>
  <c r="G35" s="1"/>
  <c r="G512" i="27"/>
  <c r="G513" s="1"/>
  <c r="F555" i="23"/>
  <c r="G555" s="1"/>
  <c r="G564" s="1"/>
  <c r="F184"/>
  <c r="G184" s="1"/>
  <c r="G193" s="1"/>
  <c r="J71" i="16"/>
  <c r="J76" s="1"/>
  <c r="K73"/>
  <c r="J91"/>
  <c r="K91" s="1"/>
  <c r="J92"/>
  <c r="K92" s="1"/>
  <c r="AK81"/>
  <c r="AK73"/>
  <c r="AJ91"/>
  <c r="AK91" s="1"/>
  <c r="AJ92"/>
  <c r="AK92" s="1"/>
  <c r="AD70"/>
  <c r="AD78"/>
  <c r="G320" i="36"/>
  <c r="M89" i="16"/>
  <c r="M78"/>
  <c r="C32"/>
  <c r="G1939" i="12"/>
  <c r="G1940" s="1"/>
  <c r="G1941" s="1"/>
  <c r="G455" i="18"/>
  <c r="G352" i="1"/>
  <c r="G353" s="1"/>
  <c r="G617" i="2"/>
  <c r="G618" s="1"/>
  <c r="G619" s="1"/>
  <c r="G1869" i="29"/>
  <c r="G1870" s="1"/>
  <c r="G1871" s="1"/>
  <c r="G1502"/>
  <c r="G614"/>
  <c r="G615" s="1"/>
  <c r="G616" s="1"/>
  <c r="G300"/>
  <c r="G934" i="28"/>
  <c r="G935" s="1"/>
  <c r="G936" s="1"/>
  <c r="G457"/>
  <c r="G140"/>
  <c r="G2149" i="12"/>
  <c r="G882" i="26"/>
  <c r="G883" s="1"/>
  <c r="G884" s="1"/>
  <c r="G299"/>
  <c r="G300" s="1"/>
  <c r="G301" s="1"/>
  <c r="G405" i="17"/>
  <c r="G563" i="28"/>
  <c r="G1622" i="12"/>
  <c r="G1623" s="1"/>
  <c r="G1569"/>
  <c r="G1570" s="1"/>
  <c r="G1516"/>
  <c r="G1517" s="1"/>
  <c r="G1463"/>
  <c r="G1464" s="1"/>
  <c r="G457"/>
  <c r="G458" s="1"/>
  <c r="G247"/>
  <c r="G248" s="1"/>
  <c r="G2139" i="6"/>
  <c r="G2140" s="1"/>
  <c r="G1879"/>
  <c r="G1880" s="1"/>
  <c r="G1827"/>
  <c r="G1828" s="1"/>
  <c r="G1567"/>
  <c r="G1568" s="1"/>
  <c r="G1307"/>
  <c r="G1308" s="1"/>
  <c r="G1148"/>
  <c r="G1149" s="1"/>
  <c r="G1042"/>
  <c r="G1043" s="1"/>
  <c r="G777"/>
  <c r="G778" s="1"/>
  <c r="G300"/>
  <c r="G301" s="1"/>
  <c r="G141"/>
  <c r="G142" s="1"/>
  <c r="G294" i="18"/>
  <c r="G292"/>
  <c r="G238"/>
  <c r="G189"/>
  <c r="G138"/>
  <c r="G817" i="19"/>
  <c r="G1298" i="3"/>
  <c r="G1296"/>
  <c r="G1143"/>
  <c r="G1037"/>
  <c r="G984"/>
  <c r="G929"/>
  <c r="G927"/>
  <c r="G825"/>
  <c r="G771"/>
  <c r="G769"/>
  <c r="G615"/>
  <c r="G559"/>
  <c r="G450"/>
  <c r="G398"/>
  <c r="G345"/>
  <c r="G239"/>
  <c r="G136"/>
  <c r="G27"/>
  <c r="G458" i="1"/>
  <c r="G405"/>
  <c r="G140"/>
  <c r="G1306" i="2"/>
  <c r="G1093"/>
  <c r="G983"/>
  <c r="G987" s="1"/>
  <c r="G877"/>
  <c r="G194" i="29"/>
  <c r="G195" s="1"/>
  <c r="G231" i="36"/>
  <c r="G267" s="1"/>
  <c r="G36" i="22"/>
  <c r="G760" i="30"/>
  <c r="G450"/>
  <c r="G2148" i="12"/>
  <c r="G743" i="1"/>
  <c r="E206" i="34" s="1"/>
  <c r="G742" i="1"/>
  <c r="G110" i="12"/>
  <c r="G111" s="1"/>
  <c r="E24" i="34" s="1"/>
  <c r="G1095" i="28"/>
  <c r="G404" i="18"/>
  <c r="G353" i="28"/>
  <c r="G618"/>
  <c r="G618" i="26"/>
  <c r="G619" s="1"/>
  <c r="G1202" i="25"/>
  <c r="G828" i="18"/>
  <c r="G509"/>
  <c r="G510" s="1"/>
  <c r="G1413" i="25"/>
  <c r="G299" i="28"/>
  <c r="G300" s="1"/>
  <c r="G248" i="26"/>
  <c r="G771" i="29"/>
  <c r="G772" s="1"/>
  <c r="G1306" i="25"/>
  <c r="G1307" s="1"/>
  <c r="G619" i="1"/>
  <c r="G563" i="29"/>
  <c r="G564" s="1"/>
  <c r="G566" i="21"/>
  <c r="G512" i="22"/>
  <c r="G513" s="1"/>
  <c r="G708" i="30"/>
  <c r="G709" s="1"/>
  <c r="G1782" i="12"/>
  <c r="G1190" i="29"/>
  <c r="G1557"/>
  <c r="G1923"/>
  <c r="G195" i="2"/>
  <c r="G36" i="1"/>
  <c r="G195"/>
  <c r="G1362" i="2"/>
  <c r="G877" i="29"/>
  <c r="G513" i="1"/>
  <c r="G618" i="22"/>
  <c r="G619" s="1"/>
  <c r="G459" i="2"/>
  <c r="G460" s="1"/>
  <c r="G1200"/>
  <c r="G1201" s="1"/>
  <c r="G194" i="27"/>
  <c r="G195" s="1"/>
  <c r="G2099" i="12"/>
  <c r="G2100" s="1"/>
  <c r="G1522" i="27"/>
  <c r="G460" i="22"/>
  <c r="G459"/>
  <c r="G1783" i="25"/>
  <c r="G1782"/>
  <c r="G989" i="2"/>
  <c r="G988"/>
  <c r="G998" i="23"/>
  <c r="G565" i="22"/>
  <c r="G566" s="1"/>
  <c r="G354" i="1"/>
  <c r="G141" i="24"/>
  <c r="G1715" i="29"/>
  <c r="G937" i="27"/>
  <c r="G1468"/>
  <c r="G1094" i="2"/>
  <c r="G1095" s="1"/>
  <c r="G723"/>
  <c r="G2229" i="29"/>
  <c r="G407" i="21"/>
  <c r="G295" i="30"/>
  <c r="G87" i="17"/>
  <c r="G36" i="12"/>
  <c r="G934" i="2"/>
  <c r="G881"/>
  <c r="G670"/>
  <c r="G564"/>
  <c r="G511"/>
  <c r="G405"/>
  <c r="G246"/>
  <c r="G34"/>
  <c r="G193" i="21"/>
  <c r="G85" i="30"/>
  <c r="G1015"/>
  <c r="G881" i="18" l="1"/>
  <c r="G513" i="26"/>
  <c r="G1730" i="25"/>
  <c r="G1731"/>
  <c r="G671" i="26"/>
  <c r="G672"/>
  <c r="G459"/>
  <c r="G460" s="1"/>
  <c r="G512" i="21"/>
  <c r="G513" s="1"/>
  <c r="G141" i="17"/>
  <c r="G142" s="1"/>
  <c r="G1042" i="25"/>
  <c r="G1043" s="1"/>
  <c r="G35"/>
  <c r="G36" s="1"/>
  <c r="G776" i="28"/>
  <c r="G777" s="1"/>
  <c r="G162" i="36"/>
  <c r="G163"/>
  <c r="G56"/>
  <c r="G57"/>
  <c r="G109"/>
  <c r="G110"/>
  <c r="G451" i="30"/>
  <c r="G452"/>
  <c r="G1307" i="2"/>
  <c r="G1308"/>
  <c r="G406" i="1"/>
  <c r="G407"/>
  <c r="G564" i="28"/>
  <c r="G565" s="1"/>
  <c r="G458"/>
  <c r="G459" s="1"/>
  <c r="G1503" i="29"/>
  <c r="G1504" s="1"/>
  <c r="G456" i="18"/>
  <c r="G457" s="1"/>
  <c r="G321" i="36"/>
  <c r="G322" s="1"/>
  <c r="AE74" i="16"/>
  <c r="AD91"/>
  <c r="AE91" s="1"/>
  <c r="AD92"/>
  <c r="AE92" s="1"/>
  <c r="AD71"/>
  <c r="AD76" s="1"/>
  <c r="AE73"/>
  <c r="AD82"/>
  <c r="AE82" s="1"/>
  <c r="AD84"/>
  <c r="AE84" s="1"/>
  <c r="AD88"/>
  <c r="AE88" s="1"/>
  <c r="AE89"/>
  <c r="AD73"/>
  <c r="AD86"/>
  <c r="AE86" s="1"/>
  <c r="AE81"/>
  <c r="AD85"/>
  <c r="AE85" s="1"/>
  <c r="J77"/>
  <c r="K77" s="1"/>
  <c r="K76"/>
  <c r="G565" i="23"/>
  <c r="G566" s="1"/>
  <c r="G246" i="28"/>
  <c r="G247" s="1"/>
  <c r="G353" i="2"/>
  <c r="G354" s="1"/>
  <c r="G1253"/>
  <c r="G1254" s="1"/>
  <c r="W81" i="16"/>
  <c r="V85"/>
  <c r="W85" s="1"/>
  <c r="W73"/>
  <c r="V91"/>
  <c r="W91" s="1"/>
  <c r="V92"/>
  <c r="W92" s="1"/>
  <c r="V71"/>
  <c r="V76" s="1"/>
  <c r="V73"/>
  <c r="V82"/>
  <c r="W82" s="1"/>
  <c r="V86"/>
  <c r="W86" s="1"/>
  <c r="W89"/>
  <c r="V88"/>
  <c r="W88" s="1"/>
  <c r="V84"/>
  <c r="W84" s="1"/>
  <c r="AA74"/>
  <c r="Z77"/>
  <c r="AA77" s="1"/>
  <c r="AA76"/>
  <c r="J93"/>
  <c r="K74"/>
  <c r="AH70"/>
  <c r="AH78"/>
  <c r="AH69"/>
  <c r="AH79" s="1"/>
  <c r="AI79" s="1"/>
  <c r="M76"/>
  <c r="L77"/>
  <c r="M77" s="1"/>
  <c r="M93" s="1"/>
  <c r="AL71"/>
  <c r="AL76" s="1"/>
  <c r="AM74"/>
  <c r="AL91"/>
  <c r="AM91" s="1"/>
  <c r="AL92"/>
  <c r="AM92" s="1"/>
  <c r="AL86"/>
  <c r="AM86" s="1"/>
  <c r="AL73"/>
  <c r="AL88"/>
  <c r="AM88" s="1"/>
  <c r="AM73"/>
  <c r="AL82"/>
  <c r="AM82" s="1"/>
  <c r="AL84"/>
  <c r="AM84" s="1"/>
  <c r="AL85"/>
  <c r="AM85" s="1"/>
  <c r="AM81"/>
  <c r="G301" i="29"/>
  <c r="W74" i="16"/>
  <c r="AM79"/>
  <c r="AJ93"/>
  <c r="AJ95" s="1"/>
  <c r="G761" i="30"/>
  <c r="G762" s="1"/>
  <c r="G268" i="36"/>
  <c r="G269" s="1"/>
  <c r="G141" i="1"/>
  <c r="G142"/>
  <c r="G459"/>
  <c r="G460"/>
  <c r="G406" i="17"/>
  <c r="G407" s="1"/>
  <c r="G141" i="28"/>
  <c r="G142" s="1"/>
  <c r="G194" i="23"/>
  <c r="G195"/>
  <c r="G35" i="26"/>
  <c r="G36"/>
  <c r="G511" i="29"/>
  <c r="G512"/>
  <c r="G562" i="18"/>
  <c r="G563" s="1"/>
  <c r="R91" i="16"/>
  <c r="S91" s="1"/>
  <c r="R92"/>
  <c r="S92" s="1"/>
  <c r="S89"/>
  <c r="S81"/>
  <c r="S73"/>
  <c r="R71"/>
  <c r="R76" s="1"/>
  <c r="R88"/>
  <c r="S88" s="1"/>
  <c r="R86"/>
  <c r="S86" s="1"/>
  <c r="R85"/>
  <c r="S85" s="1"/>
  <c r="R84"/>
  <c r="S84" s="1"/>
  <c r="R82"/>
  <c r="S82" s="1"/>
  <c r="R73"/>
  <c r="AC76"/>
  <c r="AC93" s="1"/>
  <c r="D15" s="1"/>
  <c r="E15" s="1"/>
  <c r="AB77"/>
  <c r="AC77" s="1"/>
  <c r="G433" i="36"/>
  <c r="G432"/>
  <c r="P77" i="16"/>
  <c r="Q77" s="1"/>
  <c r="Q76"/>
  <c r="Q93" s="1"/>
  <c r="U74"/>
  <c r="U93" s="1"/>
  <c r="D11" s="1"/>
  <c r="T93"/>
  <c r="T95" s="1"/>
  <c r="AN77"/>
  <c r="AO77" s="1"/>
  <c r="AO76"/>
  <c r="AO93" s="1"/>
  <c r="AN93"/>
  <c r="AN95" s="1"/>
  <c r="D20"/>
  <c r="E20" s="1"/>
  <c r="D19"/>
  <c r="E19" s="1"/>
  <c r="AM89"/>
  <c r="AE78"/>
  <c r="AK93"/>
  <c r="D18" s="1"/>
  <c r="E18" s="1"/>
  <c r="K93"/>
  <c r="W79"/>
  <c r="AE79"/>
  <c r="AM78"/>
  <c r="N93"/>
  <c r="N95" s="1"/>
  <c r="Y93"/>
  <c r="G406" i="2"/>
  <c r="G407" s="1"/>
  <c r="G86" i="30"/>
  <c r="G87" s="1"/>
  <c r="G35" i="2"/>
  <c r="G36" s="1"/>
  <c r="G565"/>
  <c r="G566" s="1"/>
  <c r="G882"/>
  <c r="G883" s="1"/>
  <c r="G88" i="17"/>
  <c r="G89" s="1"/>
  <c r="G724" i="2"/>
  <c r="G725" s="1"/>
  <c r="G194" i="21"/>
  <c r="G195" s="1"/>
  <c r="G247" i="2"/>
  <c r="G248" s="1"/>
  <c r="G512"/>
  <c r="G513" s="1"/>
  <c r="G671"/>
  <c r="G672" s="1"/>
  <c r="G935"/>
  <c r="G936" s="1"/>
  <c r="G353" i="17"/>
  <c r="G354" s="1"/>
  <c r="G2230" i="29"/>
  <c r="G2231" s="1"/>
  <c r="D22" i="16" l="1"/>
  <c r="E22" s="1"/>
  <c r="E42" i="12" s="1"/>
  <c r="G42" s="1"/>
  <c r="D21" i="16"/>
  <c r="E21" s="1"/>
  <c r="E1576" i="3"/>
  <c r="G1576" s="1"/>
  <c r="E303" i="37"/>
  <c r="G303" s="1"/>
  <c r="E788" i="36"/>
  <c r="G788" s="1"/>
  <c r="E665" i="30"/>
  <c r="G665" s="1"/>
  <c r="E1122"/>
  <c r="G1122" s="1"/>
  <c r="E41" i="37"/>
  <c r="G41" s="1"/>
  <c r="E470" i="36"/>
  <c r="G470" s="1"/>
  <c r="E841"/>
  <c r="G841" s="1"/>
  <c r="E822" i="30"/>
  <c r="G822" s="1"/>
  <c r="E1022"/>
  <c r="G1022" s="1"/>
  <c r="E43" i="24"/>
  <c r="G43" s="1"/>
  <c r="E149" i="27"/>
  <c r="G149" s="1"/>
  <c r="E96"/>
  <c r="G96" s="1"/>
  <c r="E520"/>
  <c r="G520" s="1"/>
  <c r="E944"/>
  <c r="G944" s="1"/>
  <c r="E1529"/>
  <c r="G1529" s="1"/>
  <c r="E467" i="25"/>
  <c r="G467" s="1"/>
  <c r="E997"/>
  <c r="G997" s="1"/>
  <c r="E1473"/>
  <c r="G1473" s="1"/>
  <c r="E308" i="26"/>
  <c r="G308" s="1"/>
  <c r="E679"/>
  <c r="G679" s="1"/>
  <c r="E96" i="28"/>
  <c r="G96" s="1"/>
  <c r="E519"/>
  <c r="G519" s="1"/>
  <c r="E943"/>
  <c r="G943" s="1"/>
  <c r="E679" i="27"/>
  <c r="G679" s="1"/>
  <c r="E1050"/>
  <c r="G1050" s="1"/>
  <c r="E1421"/>
  <c r="G1421" s="1"/>
  <c r="E149" i="25"/>
  <c r="G149" s="1"/>
  <c r="E573"/>
  <c r="G573" s="1"/>
  <c r="E891"/>
  <c r="G891" s="1"/>
  <c r="E1209"/>
  <c r="G1209" s="1"/>
  <c r="E1738"/>
  <c r="G1738" s="1"/>
  <c r="E149" i="26"/>
  <c r="G149" s="1"/>
  <c r="E626"/>
  <c r="G626" s="1"/>
  <c r="E254" i="28"/>
  <c r="G254" s="1"/>
  <c r="E678"/>
  <c r="G678" s="1"/>
  <c r="E1102"/>
  <c r="G1102" s="1"/>
  <c r="E96" i="3"/>
  <c r="G96" s="1"/>
  <c r="E361"/>
  <c r="G361" s="1"/>
  <c r="E149"/>
  <c r="G149" s="1"/>
  <c r="E1156"/>
  <c r="G1156" s="1"/>
  <c r="E43" i="19"/>
  <c r="G43" s="1"/>
  <c r="E467"/>
  <c r="G467" s="1"/>
  <c r="E778"/>
  <c r="G778" s="1"/>
  <c r="G149" i="18"/>
  <c r="E785" i="3"/>
  <c r="G785" s="1"/>
  <c r="E1368"/>
  <c r="G1368" s="1"/>
  <c r="E464" i="18"/>
  <c r="G464" s="1"/>
  <c r="E994"/>
  <c r="G994" s="1"/>
  <c r="E623" i="12"/>
  <c r="G623" s="1"/>
  <c r="E1312"/>
  <c r="G1312" s="1"/>
  <c r="E2054"/>
  <c r="G2054" s="1"/>
  <c r="E944" i="3"/>
  <c r="G944" s="1"/>
  <c r="E351" i="37"/>
  <c r="G351" s="1"/>
  <c r="E414" i="19"/>
  <c r="G414" s="1"/>
  <c r="E1034"/>
  <c r="G1034" s="1"/>
  <c r="E96" i="18"/>
  <c r="G96" s="1"/>
  <c r="E835"/>
  <c r="G835" s="1"/>
  <c r="E255" i="12"/>
  <c r="G255" s="1"/>
  <c r="G676"/>
  <c r="E1047"/>
  <c r="G1047" s="1"/>
  <c r="E1365"/>
  <c r="G1365" s="1"/>
  <c r="E1789"/>
  <c r="G1789" s="1"/>
  <c r="E43" i="17"/>
  <c r="G43" s="1"/>
  <c r="E255"/>
  <c r="G255" s="1"/>
  <c r="E467"/>
  <c r="G467" s="1"/>
  <c r="E1421" i="3"/>
  <c r="G1421" s="1"/>
  <c r="E1528"/>
  <c r="G1528" s="1"/>
  <c r="E398" i="37"/>
  <c r="G398" s="1"/>
  <c r="E45" i="30"/>
  <c r="G45" s="1"/>
  <c r="E716"/>
  <c r="G716" s="1"/>
  <c r="E2673" i="6"/>
  <c r="G2673" s="1"/>
  <c r="E94" i="37"/>
  <c r="G94" s="1"/>
  <c r="E523" i="36"/>
  <c r="G523" s="1"/>
  <c r="E894"/>
  <c r="G894" s="1"/>
  <c r="E872" i="30"/>
  <c r="G872" s="1"/>
  <c r="E95" i="24"/>
  <c r="G95" s="1"/>
  <c r="E148"/>
  <c r="G148" s="1"/>
  <c r="E255" i="27"/>
  <c r="G255" s="1"/>
  <c r="E202"/>
  <c r="G202" s="1"/>
  <c r="E626"/>
  <c r="G626" s="1"/>
  <c r="E1103"/>
  <c r="G1103" s="1"/>
  <c r="E202" i="25"/>
  <c r="G202" s="1"/>
  <c r="E785"/>
  <c r="G785" s="1"/>
  <c r="G1314"/>
  <c r="E1579"/>
  <c r="G1579" s="1"/>
  <c r="E414" i="26"/>
  <c r="G414" s="1"/>
  <c r="E785"/>
  <c r="G785" s="1"/>
  <c r="E202" i="28"/>
  <c r="G202" s="1"/>
  <c r="E625"/>
  <c r="G625" s="1"/>
  <c r="E1049"/>
  <c r="G1049" s="1"/>
  <c r="E785" i="27"/>
  <c r="G785" s="1"/>
  <c r="E1156"/>
  <c r="G1156" s="1"/>
  <c r="E1475"/>
  <c r="G1475" s="1"/>
  <c r="E255" i="25"/>
  <c r="G255" s="1"/>
  <c r="E626"/>
  <c r="G626" s="1"/>
  <c r="E1050"/>
  <c r="G1050" s="1"/>
  <c r="E1262"/>
  <c r="G1262" s="1"/>
  <c r="E1790"/>
  <c r="G1790" s="1"/>
  <c r="E255" i="26"/>
  <c r="G255" s="1"/>
  <c r="E732"/>
  <c r="G732" s="1"/>
  <c r="E360" i="28"/>
  <c r="G360" s="1"/>
  <c r="E784"/>
  <c r="G784" s="1"/>
  <c r="E1208"/>
  <c r="G1208" s="1"/>
  <c r="E202" i="3"/>
  <c r="G202" s="1"/>
  <c r="E414"/>
  <c r="G414" s="1"/>
  <c r="E467"/>
  <c r="G467" s="1"/>
  <c r="E1260"/>
  <c r="G1260" s="1"/>
  <c r="E149" i="19"/>
  <c r="G149" s="1"/>
  <c r="E624"/>
  <c r="G624" s="1"/>
  <c r="E830"/>
  <c r="G830" s="1"/>
  <c r="E201" i="18"/>
  <c r="G201" s="1"/>
  <c r="E891" i="3"/>
  <c r="G891" s="1"/>
  <c r="E253" i="18"/>
  <c r="G253" s="1"/>
  <c r="E517"/>
  <c r="G517" s="1"/>
  <c r="E308" i="12"/>
  <c r="G308" s="1"/>
  <c r="E729"/>
  <c r="G729" s="1"/>
  <c r="E1418"/>
  <c r="G1418" s="1"/>
  <c r="E626" i="17"/>
  <c r="G626" s="1"/>
  <c r="G1050" i="3"/>
  <c r="E96" i="19"/>
  <c r="G96" s="1"/>
  <c r="E520"/>
  <c r="G520" s="1"/>
  <c r="E1087"/>
  <c r="G1087" s="1"/>
  <c r="E570" i="18"/>
  <c r="G570" s="1"/>
  <c r="E888"/>
  <c r="G888" s="1"/>
  <c r="E361" i="12"/>
  <c r="G361" s="1"/>
  <c r="G782"/>
  <c r="E1153"/>
  <c r="G1153" s="1"/>
  <c r="E1524"/>
  <c r="G1524" s="1"/>
  <c r="E1842"/>
  <c r="G1842" s="1"/>
  <c r="E96" i="17"/>
  <c r="G96" s="1"/>
  <c r="E308"/>
  <c r="G308" s="1"/>
  <c r="E520"/>
  <c r="G520" s="1"/>
  <c r="E1208" i="3"/>
  <c r="G1208" s="1"/>
  <c r="E86" i="38"/>
  <c r="G86" s="1"/>
  <c r="E410" i="30"/>
  <c r="G410" s="1"/>
  <c r="E447" i="37"/>
  <c r="G447" s="1"/>
  <c r="E576" i="36"/>
  <c r="G576" s="1"/>
  <c r="E922" i="30"/>
  <c r="G922" s="1"/>
  <c r="E254" i="24"/>
  <c r="G254" s="1"/>
  <c r="E308" i="27"/>
  <c r="G308" s="1"/>
  <c r="E1209"/>
  <c r="G1209" s="1"/>
  <c r="G838" i="25"/>
  <c r="E1685"/>
  <c r="G1685" s="1"/>
  <c r="E891" i="26"/>
  <c r="G891" s="1"/>
  <c r="E731" i="28"/>
  <c r="G731" s="1"/>
  <c r="E891" i="27"/>
  <c r="G891" s="1"/>
  <c r="E43" i="25"/>
  <c r="G43" s="1"/>
  <c r="E679"/>
  <c r="G679" s="1"/>
  <c r="E1526"/>
  <c r="G1526" s="1"/>
  <c r="E361" i="26"/>
  <c r="G361" s="1"/>
  <c r="E466" i="28"/>
  <c r="G466" s="1"/>
  <c r="E1315" i="2"/>
  <c r="G1315" s="1"/>
  <c r="E520" i="3"/>
  <c r="G520" s="1"/>
  <c r="E1313"/>
  <c r="G1313" s="1"/>
  <c r="E676" i="19"/>
  <c r="G676" s="1"/>
  <c r="E305" i="18"/>
  <c r="G305" s="1"/>
  <c r="E358"/>
  <c r="G358" s="1"/>
  <c r="E465" i="12"/>
  <c r="G465" s="1"/>
  <c r="E1471"/>
  <c r="G1471" s="1"/>
  <c r="E38" i="38"/>
  <c r="G38" s="1"/>
  <c r="E572" i="19"/>
  <c r="G572" s="1"/>
  <c r="E676" i="18"/>
  <c r="G676" s="1"/>
  <c r="E414" i="12"/>
  <c r="G414" s="1"/>
  <c r="E1206"/>
  <c r="G1206" s="1"/>
  <c r="E1948"/>
  <c r="G1948" s="1"/>
  <c r="E361" i="17"/>
  <c r="G361" s="1"/>
  <c r="E2768" i="6"/>
  <c r="G2768" s="1"/>
  <c r="E735" i="36"/>
  <c r="G735" s="1"/>
  <c r="E1072" i="30"/>
  <c r="G1072" s="1"/>
  <c r="E250" i="37"/>
  <c r="G250" s="1"/>
  <c r="E514" i="30"/>
  <c r="G514" s="1"/>
  <c r="E307" i="24"/>
  <c r="G307" s="1"/>
  <c r="E467" i="27"/>
  <c r="G467" s="1"/>
  <c r="E838"/>
  <c r="G838" s="1"/>
  <c r="E361" i="25"/>
  <c r="G361" s="1"/>
  <c r="E1420"/>
  <c r="G1420" s="1"/>
  <c r="E573" i="26"/>
  <c r="G573" s="1"/>
  <c r="E413" i="28"/>
  <c r="G413" s="1"/>
  <c r="E573" i="27"/>
  <c r="G573" s="1"/>
  <c r="E1368"/>
  <c r="G1368" s="1"/>
  <c r="E520" i="25"/>
  <c r="G520" s="1"/>
  <c r="E1156"/>
  <c r="G1156" s="1"/>
  <c r="E96" i="26"/>
  <c r="G96" s="1"/>
  <c r="E149" i="28"/>
  <c r="G149" s="1"/>
  <c r="E996"/>
  <c r="G996" s="1"/>
  <c r="E308" i="3"/>
  <c r="G308" s="1"/>
  <c r="E732"/>
  <c r="G732" s="1"/>
  <c r="E361" i="19"/>
  <c r="G361" s="1"/>
  <c r="E931"/>
  <c r="G931" s="1"/>
  <c r="E1103" i="3"/>
  <c r="G1103" s="1"/>
  <c r="E729" i="18"/>
  <c r="G729" s="1"/>
  <c r="E941" i="12"/>
  <c r="G941" s="1"/>
  <c r="E838" i="3"/>
  <c r="G838" s="1"/>
  <c r="E308" i="19"/>
  <c r="G308" s="1"/>
  <c r="E43" i="18"/>
  <c r="G43" s="1"/>
  <c r="E149" i="12"/>
  <c r="G149" s="1"/>
  <c r="E994"/>
  <c r="G994" s="1"/>
  <c r="E1736"/>
  <c r="G1736" s="1"/>
  <c r="E202" i="17"/>
  <c r="G202" s="1"/>
  <c r="E679"/>
  <c r="G679" s="1"/>
  <c r="E769" i="30"/>
  <c r="G769" s="1"/>
  <c r="E462"/>
  <c r="G462" s="1"/>
  <c r="E361" i="27"/>
  <c r="G361" s="1"/>
  <c r="E308" i="25"/>
  <c r="G308" s="1"/>
  <c r="E467" i="26"/>
  <c r="G467" s="1"/>
  <c r="E1155" i="28"/>
  <c r="G1155" s="1"/>
  <c r="E414" i="25"/>
  <c r="G414" s="1"/>
  <c r="E43" i="26"/>
  <c r="G43" s="1"/>
  <c r="E890" i="28"/>
  <c r="G890" s="1"/>
  <c r="E573" i="3"/>
  <c r="G573" s="1"/>
  <c r="E879" i="19"/>
  <c r="G879" s="1"/>
  <c r="E623" i="18"/>
  <c r="G623" s="1"/>
  <c r="E626" i="3"/>
  <c r="G626" s="1"/>
  <c r="E1140" i="19"/>
  <c r="G1140" s="1"/>
  <c r="E888" i="12"/>
  <c r="G888" s="1"/>
  <c r="E149" i="17"/>
  <c r="G149" s="1"/>
  <c r="E2721" i="6"/>
  <c r="G2721" s="1"/>
  <c r="E1582" i="27"/>
  <c r="G1582" s="1"/>
  <c r="E972" i="30"/>
  <c r="G972" s="1"/>
  <c r="E414" i="27"/>
  <c r="G414" s="1"/>
  <c r="G944" i="25"/>
  <c r="E43" i="28"/>
  <c r="G43" s="1"/>
  <c r="E997" i="27"/>
  <c r="G997" s="1"/>
  <c r="E732" i="25"/>
  <c r="G732" s="1"/>
  <c r="G520" i="26"/>
  <c r="E1369" i="2"/>
  <c r="G1369" s="1"/>
  <c r="E1474" i="3"/>
  <c r="G1474" s="1"/>
  <c r="E679"/>
  <c r="G679" s="1"/>
  <c r="G517" i="12"/>
  <c r="E198" i="37"/>
  <c r="G198" s="1"/>
  <c r="E782" i="18"/>
  <c r="G782" s="1"/>
  <c r="E1259" i="12"/>
  <c r="G1259" s="1"/>
  <c r="G414" i="17"/>
  <c r="E682" i="36"/>
  <c r="G682" s="1"/>
  <c r="E146" i="37"/>
  <c r="G146" s="1"/>
  <c r="E201" i="24"/>
  <c r="G201" s="1"/>
  <c r="E732" i="27"/>
  <c r="G732" s="1"/>
  <c r="E1367" i="25"/>
  <c r="G1367" s="1"/>
  <c r="E307" i="28"/>
  <c r="G307" s="1"/>
  <c r="E1262" i="27"/>
  <c r="G1262" s="1"/>
  <c r="E1103" i="25"/>
  <c r="G1103" s="1"/>
  <c r="E838" i="26"/>
  <c r="G838" s="1"/>
  <c r="E255" i="3"/>
  <c r="G255" s="1"/>
  <c r="E255" i="19"/>
  <c r="G255" s="1"/>
  <c r="E997" i="3"/>
  <c r="G997" s="1"/>
  <c r="E835" i="12"/>
  <c r="G835" s="1"/>
  <c r="E202" i="19"/>
  <c r="G202" s="1"/>
  <c r="E941" i="18"/>
  <c r="G941" s="1"/>
  <c r="E1630" i="12"/>
  <c r="G1630" s="1"/>
  <c r="E573" i="17"/>
  <c r="G573" s="1"/>
  <c r="E618" i="30"/>
  <c r="G618" s="1"/>
  <c r="E629" i="36"/>
  <c r="G629" s="1"/>
  <c r="E43" i="27"/>
  <c r="G43" s="1"/>
  <c r="E1315"/>
  <c r="G1315" s="1"/>
  <c r="E202" i="26"/>
  <c r="G202" s="1"/>
  <c r="E837" i="28"/>
  <c r="G837" s="1"/>
  <c r="E96" i="25"/>
  <c r="G96" s="1"/>
  <c r="E1632"/>
  <c r="G1632" s="1"/>
  <c r="E572" i="28"/>
  <c r="G572" s="1"/>
  <c r="E43" i="3"/>
  <c r="G43" s="1"/>
  <c r="E728" i="19"/>
  <c r="G728" s="1"/>
  <c r="E411" i="18"/>
  <c r="G411" s="1"/>
  <c r="E1577" i="12"/>
  <c r="G1577" s="1"/>
  <c r="E981" i="19"/>
  <c r="G981" s="1"/>
  <c r="E570" i="12"/>
  <c r="G570" s="1"/>
  <c r="E2001"/>
  <c r="G2001" s="1"/>
  <c r="D23" i="16"/>
  <c r="E23" s="1"/>
  <c r="E43" i="12" s="1"/>
  <c r="G43" s="1"/>
  <c r="D24" i="16"/>
  <c r="E24" s="1"/>
  <c r="D13"/>
  <c r="E11"/>
  <c r="R77"/>
  <c r="S77" s="1"/>
  <c r="S76"/>
  <c r="AH91"/>
  <c r="AI91" s="1"/>
  <c r="AH92"/>
  <c r="AI92" s="1"/>
  <c r="AH71"/>
  <c r="AH76" s="1"/>
  <c r="AI74"/>
  <c r="AH73"/>
  <c r="AH88"/>
  <c r="AI88" s="1"/>
  <c r="AI89"/>
  <c r="AH82"/>
  <c r="AI82" s="1"/>
  <c r="AI73"/>
  <c r="AI81"/>
  <c r="AH86"/>
  <c r="AI86" s="1"/>
  <c r="AH84"/>
  <c r="AI84" s="1"/>
  <c r="AH85"/>
  <c r="AI85" s="1"/>
  <c r="J100"/>
  <c r="J95"/>
  <c r="AE76"/>
  <c r="AD77"/>
  <c r="AE77" s="1"/>
  <c r="AE93" s="1"/>
  <c r="D16" s="1"/>
  <c r="AA93"/>
  <c r="D25" s="1"/>
  <c r="E25" s="1"/>
  <c r="V93"/>
  <c r="V95" s="1"/>
  <c r="AD93"/>
  <c r="AD95" s="1"/>
  <c r="E302" i="30"/>
  <c r="G302" s="1"/>
  <c r="E511"/>
  <c r="G511" s="1"/>
  <c r="E202" i="22"/>
  <c r="G202" s="1"/>
  <c r="E94" i="30"/>
  <c r="G94" s="1"/>
  <c r="E250"/>
  <c r="G250" s="1"/>
  <c r="E407"/>
  <c r="G407" s="1"/>
  <c r="E43" i="22"/>
  <c r="G43" s="1"/>
  <c r="E149"/>
  <c r="G149" s="1"/>
  <c r="E361"/>
  <c r="G361" s="1"/>
  <c r="E573"/>
  <c r="G573" s="1"/>
  <c r="E838"/>
  <c r="G838" s="1"/>
  <c r="E414"/>
  <c r="G414" s="1"/>
  <c r="E626"/>
  <c r="G626" s="1"/>
  <c r="E785"/>
  <c r="G785" s="1"/>
  <c r="E459" i="30"/>
  <c r="G459" s="1"/>
  <c r="E42"/>
  <c r="G42" s="1"/>
  <c r="E354"/>
  <c r="G354" s="1"/>
  <c r="E96" i="22"/>
  <c r="G96" s="1"/>
  <c r="E467"/>
  <c r="G467" s="1"/>
  <c r="E308"/>
  <c r="G308" s="1"/>
  <c r="E732"/>
  <c r="G732" s="1"/>
  <c r="E198" i="30"/>
  <c r="G198" s="1"/>
  <c r="E146"/>
  <c r="G146" s="1"/>
  <c r="E255" i="22"/>
  <c r="G255" s="1"/>
  <c r="E520"/>
  <c r="G520" s="1"/>
  <c r="E563" i="30"/>
  <c r="G563" s="1"/>
  <c r="E615"/>
  <c r="G615" s="1"/>
  <c r="E679" i="22"/>
  <c r="G679" s="1"/>
  <c r="E43" i="29"/>
  <c r="G43" s="1"/>
  <c r="AL77" i="16"/>
  <c r="AM77" s="1"/>
  <c r="AM76"/>
  <c r="AM93" s="1"/>
  <c r="W76"/>
  <c r="W93" s="1"/>
  <c r="D12" s="1"/>
  <c r="V77"/>
  <c r="W77" s="1"/>
  <c r="R93"/>
  <c r="R95" s="1"/>
  <c r="AB93"/>
  <c r="AB95" s="1"/>
  <c r="S93"/>
  <c r="P93"/>
  <c r="P95" s="1"/>
  <c r="L93"/>
  <c r="L95" s="1"/>
  <c r="AI78"/>
  <c r="Z93"/>
  <c r="Z95" s="1"/>
  <c r="E12" l="1"/>
  <c r="E16"/>
  <c r="D35"/>
  <c r="D29"/>
  <c r="D10"/>
  <c r="D14"/>
  <c r="E14" s="1"/>
  <c r="D37"/>
  <c r="D26"/>
  <c r="E26" s="1"/>
  <c r="AH77"/>
  <c r="AI77" s="1"/>
  <c r="AI76"/>
  <c r="D33"/>
  <c r="E13"/>
  <c r="E42" i="23"/>
  <c r="G42" s="1"/>
  <c r="E678"/>
  <c r="G678" s="1"/>
  <c r="E784"/>
  <c r="G784" s="1"/>
  <c r="E622" i="29"/>
  <c r="G622" s="1"/>
  <c r="E95"/>
  <c r="G95" s="1"/>
  <c r="E1929"/>
  <c r="G1929" s="1"/>
  <c r="E625" i="2"/>
  <c r="G625" s="1"/>
  <c r="E778" i="29"/>
  <c r="G778" s="1"/>
  <c r="E1563"/>
  <c r="G1563" s="1"/>
  <c r="E201" i="2"/>
  <c r="G201" s="1"/>
  <c r="E995"/>
  <c r="G995" s="1"/>
  <c r="E148" i="1"/>
  <c r="G148" s="1"/>
  <c r="E572"/>
  <c r="G572" s="1"/>
  <c r="E731" i="23"/>
  <c r="G731" s="1"/>
  <c r="E726" i="29"/>
  <c r="G726" s="1"/>
  <c r="E1981"/>
  <c r="G1981" s="1"/>
  <c r="E674"/>
  <c r="G674" s="1"/>
  <c r="E95" i="2"/>
  <c r="G95" s="1"/>
  <c r="E95" i="1"/>
  <c r="G95" s="1"/>
  <c r="E201" i="23"/>
  <c r="G201" s="1"/>
  <c r="E1004"/>
  <c r="G1004" s="1"/>
  <c r="E1458" i="29"/>
  <c r="G1458" s="1"/>
  <c r="E307" i="2"/>
  <c r="G307" s="1"/>
  <c r="E148" i="23"/>
  <c r="G148" s="1"/>
  <c r="E949"/>
  <c r="G949" s="1"/>
  <c r="E466" i="29"/>
  <c r="G466" s="1"/>
  <c r="E836" i="2"/>
  <c r="G836" s="1"/>
  <c r="E1721" i="29"/>
  <c r="G1721" s="1"/>
  <c r="E1101" i="2"/>
  <c r="G1101" s="1"/>
  <c r="E307" i="23"/>
  <c r="G307" s="1"/>
  <c r="E1773" i="29"/>
  <c r="G1773" s="1"/>
  <c r="E2083"/>
  <c r="G2083" s="1"/>
  <c r="E727" i="1"/>
  <c r="G727" s="1"/>
  <c r="E1406" i="29"/>
  <c r="G1406" s="1"/>
  <c r="E1302"/>
  <c r="G1302" s="1"/>
  <c r="E678" i="2"/>
  <c r="G678" s="1"/>
  <c r="E413" i="1"/>
  <c r="G413" s="1"/>
  <c r="E678"/>
  <c r="G678" s="1"/>
  <c r="E519" i="23"/>
  <c r="G519" s="1"/>
  <c r="E1250" i="29"/>
  <c r="G1250" s="1"/>
  <c r="E413" i="2"/>
  <c r="G413" s="1"/>
  <c r="E1354" i="29"/>
  <c r="G1354" s="1"/>
  <c r="E784" i="2"/>
  <c r="G784" s="1"/>
  <c r="E466" i="1"/>
  <c r="G466" s="1"/>
  <c r="E1144" i="29"/>
  <c r="G1144" s="1"/>
  <c r="E1092"/>
  <c r="G1092" s="1"/>
  <c r="E307" i="1"/>
  <c r="G307" s="1"/>
  <c r="E518" i="29"/>
  <c r="G518" s="1"/>
  <c r="E731" i="2"/>
  <c r="G731" s="1"/>
  <c r="E254"/>
  <c r="G254" s="1"/>
  <c r="E201" i="1"/>
  <c r="G201" s="1"/>
  <c r="E29" i="16"/>
  <c r="E360" i="23"/>
  <c r="G360" s="1"/>
  <c r="E1040" i="29"/>
  <c r="G1040" s="1"/>
  <c r="E148" i="2"/>
  <c r="G148" s="1"/>
  <c r="E1196" i="29"/>
  <c r="G1196" s="1"/>
  <c r="E572" i="2"/>
  <c r="G572" s="1"/>
  <c r="E360" i="1"/>
  <c r="G360" s="1"/>
  <c r="E894" i="23"/>
  <c r="G894" s="1"/>
  <c r="E519" i="2"/>
  <c r="G519" s="1"/>
  <c r="E889"/>
  <c r="G889" s="1"/>
  <c r="E1059" i="23"/>
  <c r="G1059" s="1"/>
  <c r="E2185" i="29"/>
  <c r="G2185" s="1"/>
  <c r="E839" i="23"/>
  <c r="G839" s="1"/>
  <c r="E2032" i="29"/>
  <c r="G2032" s="1"/>
  <c r="E360" i="2"/>
  <c r="G360" s="1"/>
  <c r="E307" i="29"/>
  <c r="G307" s="1"/>
  <c r="E1154" i="2"/>
  <c r="G1154" s="1"/>
  <c r="E883" i="29"/>
  <c r="G883" s="1"/>
  <c r="E1260" i="2"/>
  <c r="G1260" s="1"/>
  <c r="E466" i="23"/>
  <c r="G466" s="1"/>
  <c r="E1825" i="29"/>
  <c r="G1825" s="1"/>
  <c r="E2289"/>
  <c r="G2289" s="1"/>
  <c r="E413" i="23"/>
  <c r="G413" s="1"/>
  <c r="E466" i="2"/>
  <c r="G466" s="1"/>
  <c r="E1877" i="29"/>
  <c r="G1877" s="1"/>
  <c r="E1048" i="2"/>
  <c r="G1048" s="1"/>
  <c r="E201" i="29"/>
  <c r="G201" s="1"/>
  <c r="E148"/>
  <c r="G148" s="1"/>
  <c r="E1207" i="2"/>
  <c r="G1207" s="1"/>
  <c r="E254" i="29"/>
  <c r="G254" s="1"/>
  <c r="E519" i="1"/>
  <c r="G519" s="1"/>
  <c r="E413" i="29"/>
  <c r="G413" s="1"/>
  <c r="E988"/>
  <c r="G988" s="1"/>
  <c r="E942" i="2"/>
  <c r="G942" s="1"/>
  <c r="E2237" i="29"/>
  <c r="G2237" s="1"/>
  <c r="E360"/>
  <c r="G360" s="1"/>
  <c r="E42" i="1"/>
  <c r="G42" s="1"/>
  <c r="E572" i="23"/>
  <c r="G572" s="1"/>
  <c r="E625" i="1"/>
  <c r="G625" s="1"/>
  <c r="E254" i="23"/>
  <c r="G254" s="1"/>
  <c r="E1668" i="29"/>
  <c r="G1668" s="1"/>
  <c r="E2134"/>
  <c r="G2134" s="1"/>
  <c r="E95" i="23"/>
  <c r="G95" s="1"/>
  <c r="E1510" i="29"/>
  <c r="G1510" s="1"/>
  <c r="E936"/>
  <c r="G936" s="1"/>
  <c r="E830"/>
  <c r="G830" s="1"/>
  <c r="E254" i="1"/>
  <c r="G254" s="1"/>
  <c r="E625" i="23"/>
  <c r="G625" s="1"/>
  <c r="E1682" i="12"/>
  <c r="G1682" s="1"/>
  <c r="E570" i="29"/>
  <c r="G570" s="1"/>
  <c r="E42" i="2"/>
  <c r="G42" s="1"/>
  <c r="E1616" i="29"/>
  <c r="G1616" s="1"/>
  <c r="AL93" i="16"/>
  <c r="AL95" s="1"/>
  <c r="AI93"/>
  <c r="D17" s="1"/>
  <c r="E17" s="1"/>
  <c r="E823" i="30" l="1"/>
  <c r="G823" s="1"/>
  <c r="E666"/>
  <c r="G666" s="1"/>
  <c r="E202" i="21"/>
  <c r="G202" s="1"/>
  <c r="E944"/>
  <c r="G944" s="1"/>
  <c r="E43"/>
  <c r="G43" s="1"/>
  <c r="E361"/>
  <c r="G361" s="1"/>
  <c r="E732"/>
  <c r="G732" s="1"/>
  <c r="E1050"/>
  <c r="G1050" s="1"/>
  <c r="E616" i="30"/>
  <c r="G616" s="1"/>
  <c r="E512"/>
  <c r="G512" s="1"/>
  <c r="E149" i="21"/>
  <c r="G149" s="1"/>
  <c r="E626"/>
  <c r="G626" s="1"/>
  <c r="E1156"/>
  <c r="G1156" s="1"/>
  <c r="E308"/>
  <c r="G308" s="1"/>
  <c r="E679"/>
  <c r="G679" s="1"/>
  <c r="E891"/>
  <c r="G891" s="1"/>
  <c r="E408" i="30"/>
  <c r="G408" s="1"/>
  <c r="E770"/>
  <c r="G770" s="1"/>
  <c r="E1103" i="21"/>
  <c r="G1103" s="1"/>
  <c r="E520"/>
  <c r="G520" s="1"/>
  <c r="E43" i="30"/>
  <c r="G43" s="1"/>
  <c r="E717"/>
  <c r="G717" s="1"/>
  <c r="E997" i="21"/>
  <c r="G997" s="1"/>
  <c r="E467"/>
  <c r="G467" s="1"/>
  <c r="E1210"/>
  <c r="G1210" s="1"/>
  <c r="E460" i="30"/>
  <c r="G460" s="1"/>
  <c r="E255" i="21"/>
  <c r="G255" s="1"/>
  <c r="E873" i="30"/>
  <c r="G873" s="1"/>
  <c r="E96" i="21"/>
  <c r="G96" s="1"/>
  <c r="E573"/>
  <c r="G573" s="1"/>
  <c r="E838"/>
  <c r="G838" s="1"/>
  <c r="E414"/>
  <c r="G414" s="1"/>
  <c r="E785"/>
  <c r="G785" s="1"/>
  <c r="D34" i="16"/>
  <c r="D28"/>
  <c r="E37"/>
  <c r="E10"/>
  <c r="E95" i="21"/>
  <c r="G95" s="1"/>
  <c r="E42"/>
  <c r="G42" s="1"/>
  <c r="G47" s="1"/>
  <c r="E14" s="1"/>
  <c r="G14" s="1"/>
  <c r="G20" s="1"/>
  <c r="G56" s="1"/>
  <c r="E413"/>
  <c r="G413" s="1"/>
  <c r="G418" s="1"/>
  <c r="E385" s="1"/>
  <c r="G385" s="1"/>
  <c r="G391" s="1"/>
  <c r="G427" s="1"/>
  <c r="G428" s="1"/>
  <c r="G429" s="1"/>
  <c r="E423" i="34" s="1"/>
  <c r="E307" i="21"/>
  <c r="G307" s="1"/>
  <c r="G312" s="1"/>
  <c r="E279" s="1"/>
  <c r="G279" s="1"/>
  <c r="G285" s="1"/>
  <c r="G321" s="1"/>
  <c r="G322" s="1"/>
  <c r="G323" s="1"/>
  <c r="E421" i="34" s="1"/>
  <c r="E943" i="21"/>
  <c r="G943" s="1"/>
  <c r="G948" s="1"/>
  <c r="E915" s="1"/>
  <c r="G915" s="1"/>
  <c r="G921" s="1"/>
  <c r="G957" s="1"/>
  <c r="G958" s="1"/>
  <c r="G959" s="1"/>
  <c r="E433" i="34" s="1"/>
  <c r="E360" i="21"/>
  <c r="G360" s="1"/>
  <c r="G365" s="1"/>
  <c r="E332" s="1"/>
  <c r="G332" s="1"/>
  <c r="G338" s="1"/>
  <c r="G374" s="1"/>
  <c r="G375" s="1"/>
  <c r="G376" s="1"/>
  <c r="E422" i="34" s="1"/>
  <c r="E201" i="21"/>
  <c r="G201" s="1"/>
  <c r="E1102"/>
  <c r="G1102" s="1"/>
  <c r="G1107" s="1"/>
  <c r="E1074" s="1"/>
  <c r="G1074" s="1"/>
  <c r="G1080" s="1"/>
  <c r="G1116" s="1"/>
  <c r="G1117" s="1"/>
  <c r="G1118" s="1"/>
  <c r="E436" i="34" s="1"/>
  <c r="E731" i="21"/>
  <c r="G731" s="1"/>
  <c r="E625"/>
  <c r="G625" s="1"/>
  <c r="G630" s="1"/>
  <c r="E597" s="1"/>
  <c r="G597" s="1"/>
  <c r="G603" s="1"/>
  <c r="G639" s="1"/>
  <c r="G640" s="1"/>
  <c r="G641" s="1"/>
  <c r="E427" i="34" s="1"/>
  <c r="E890" i="21"/>
  <c r="G890" s="1"/>
  <c r="G895" s="1"/>
  <c r="E862" s="1"/>
  <c r="G862" s="1"/>
  <c r="G868" s="1"/>
  <c r="G904" s="1"/>
  <c r="E32" i="16"/>
  <c r="E996" i="21"/>
  <c r="G996" s="1"/>
  <c r="E572"/>
  <c r="G572" s="1"/>
  <c r="G577" s="1"/>
  <c r="E544" s="1"/>
  <c r="G544" s="1"/>
  <c r="G550" s="1"/>
  <c r="G586" s="1"/>
  <c r="E837"/>
  <c r="G837" s="1"/>
  <c r="E519"/>
  <c r="G519" s="1"/>
  <c r="G524" s="1"/>
  <c r="E491" s="1"/>
  <c r="G491" s="1"/>
  <c r="G497" s="1"/>
  <c r="G533" s="1"/>
  <c r="E1209"/>
  <c r="G1209" s="1"/>
  <c r="E1155"/>
  <c r="G1155" s="1"/>
  <c r="G1160" s="1"/>
  <c r="E1127" s="1"/>
  <c r="G1127" s="1"/>
  <c r="G1133" s="1"/>
  <c r="G1169" s="1"/>
  <c r="E678"/>
  <c r="G678" s="1"/>
  <c r="E1049"/>
  <c r="G1049" s="1"/>
  <c r="G1054" s="1"/>
  <c r="E1021" s="1"/>
  <c r="G1021" s="1"/>
  <c r="G1027" s="1"/>
  <c r="G1063" s="1"/>
  <c r="E784"/>
  <c r="G784" s="1"/>
  <c r="E466"/>
  <c r="G466" s="1"/>
  <c r="G471" s="1"/>
  <c r="E438" s="1"/>
  <c r="G438" s="1"/>
  <c r="G444" s="1"/>
  <c r="G480" s="1"/>
  <c r="E254"/>
  <c r="G254" s="1"/>
  <c r="E148"/>
  <c r="G148" s="1"/>
  <c r="G153" s="1"/>
  <c r="E120" s="1"/>
  <c r="G120" s="1"/>
  <c r="G126" s="1"/>
  <c r="G162" s="1"/>
  <c r="G163" s="1"/>
  <c r="G164" s="1"/>
  <c r="E418" i="34" s="1"/>
  <c r="E93" i="30"/>
  <c r="G93" s="1"/>
  <c r="G98" s="1"/>
  <c r="E66" s="1"/>
  <c r="G66" s="1"/>
  <c r="G71" s="1"/>
  <c r="G107" s="1"/>
  <c r="E406"/>
  <c r="G406" s="1"/>
  <c r="E42" i="22"/>
  <c r="G42" s="1"/>
  <c r="G47" s="1"/>
  <c r="E14" s="1"/>
  <c r="G14" s="1"/>
  <c r="G20" s="1"/>
  <c r="G56" s="1"/>
  <c r="E197" i="30"/>
  <c r="G197" s="1"/>
  <c r="G202" s="1"/>
  <c r="E170" s="1"/>
  <c r="G170" s="1"/>
  <c r="G175" s="1"/>
  <c r="G211" s="1"/>
  <c r="E731" i="22"/>
  <c r="G731" s="1"/>
  <c r="G736" s="1"/>
  <c r="E703" s="1"/>
  <c r="G703" s="1"/>
  <c r="G709" s="1"/>
  <c r="G745" s="1"/>
  <c r="G746" s="1"/>
  <c r="G747" s="1"/>
  <c r="E453" i="34" s="1"/>
  <c r="E33" i="16"/>
  <c r="E678" i="22"/>
  <c r="G678" s="1"/>
  <c r="G683" s="1"/>
  <c r="E650" s="1"/>
  <c r="G650" s="1"/>
  <c r="G656" s="1"/>
  <c r="G692" s="1"/>
  <c r="G693" s="1"/>
  <c r="G694" s="1"/>
  <c r="E452" i="34" s="1"/>
  <c r="E307" i="22"/>
  <c r="G307" s="1"/>
  <c r="G312" s="1"/>
  <c r="E279" s="1"/>
  <c r="G279" s="1"/>
  <c r="G285" s="1"/>
  <c r="G321" s="1"/>
  <c r="E353" i="30"/>
  <c r="G353" s="1"/>
  <c r="G358" s="1"/>
  <c r="E326" s="1"/>
  <c r="G326" s="1"/>
  <c r="G331" s="1"/>
  <c r="G367" s="1"/>
  <c r="G368" s="1"/>
  <c r="G369" s="1"/>
  <c r="E463" i="34" s="1"/>
  <c r="E360" i="22"/>
  <c r="G360" s="1"/>
  <c r="G365" s="1"/>
  <c r="E332" s="1"/>
  <c r="G332" s="1"/>
  <c r="G338" s="1"/>
  <c r="G374" s="1"/>
  <c r="G375" s="1"/>
  <c r="G376" s="1"/>
  <c r="E446" i="34" s="1"/>
  <c r="E41" i="30"/>
  <c r="G41" s="1"/>
  <c r="E510"/>
  <c r="G510" s="1"/>
  <c r="E837" i="22"/>
  <c r="G837" s="1"/>
  <c r="G842" s="1"/>
  <c r="E809" s="1"/>
  <c r="G809" s="1"/>
  <c r="G815" s="1"/>
  <c r="G851" s="1"/>
  <c r="G852" s="1"/>
  <c r="G853" s="1"/>
  <c r="E455" i="34" s="1"/>
  <c r="E466" i="22"/>
  <c r="G466" s="1"/>
  <c r="G471" s="1"/>
  <c r="E438" s="1"/>
  <c r="G438" s="1"/>
  <c r="G444" s="1"/>
  <c r="G480" s="1"/>
  <c r="G481" s="1"/>
  <c r="G482" s="1"/>
  <c r="E448" i="34" s="1"/>
  <c r="E562" i="30"/>
  <c r="G562" s="1"/>
  <c r="G567" s="1"/>
  <c r="E535" s="1"/>
  <c r="G535" s="1"/>
  <c r="G540" s="1"/>
  <c r="G576" s="1"/>
  <c r="G577" s="1"/>
  <c r="G578" s="1"/>
  <c r="E467" i="34" s="1"/>
  <c r="E413" i="22"/>
  <c r="G413" s="1"/>
  <c r="G418" s="1"/>
  <c r="E385" s="1"/>
  <c r="G385" s="1"/>
  <c r="G391" s="1"/>
  <c r="G427" s="1"/>
  <c r="G428" s="1"/>
  <c r="G429" s="1"/>
  <c r="E447" i="34" s="1"/>
  <c r="E201" i="22"/>
  <c r="G201" s="1"/>
  <c r="G206" s="1"/>
  <c r="E173" s="1"/>
  <c r="G173" s="1"/>
  <c r="G179" s="1"/>
  <c r="G215" s="1"/>
  <c r="G216" s="1"/>
  <c r="G217" s="1"/>
  <c r="E443" i="34" s="1"/>
  <c r="E519" i="22"/>
  <c r="G519" s="1"/>
  <c r="G524" s="1"/>
  <c r="E491" s="1"/>
  <c r="G491" s="1"/>
  <c r="G497" s="1"/>
  <c r="G533" s="1"/>
  <c r="G534" s="1"/>
  <c r="G535" s="1"/>
  <c r="E449" i="34" s="1"/>
  <c r="E95" i="22"/>
  <c r="G95" s="1"/>
  <c r="G100" s="1"/>
  <c r="E67" s="1"/>
  <c r="G67" s="1"/>
  <c r="G73" s="1"/>
  <c r="G109" s="1"/>
  <c r="E784"/>
  <c r="G784" s="1"/>
  <c r="G789" s="1"/>
  <c r="E756" s="1"/>
  <c r="G756" s="1"/>
  <c r="G762" s="1"/>
  <c r="G798" s="1"/>
  <c r="E148"/>
  <c r="G148" s="1"/>
  <c r="G153" s="1"/>
  <c r="E120" s="1"/>
  <c r="G120" s="1"/>
  <c r="G126" s="1"/>
  <c r="G162" s="1"/>
  <c r="G163" s="1"/>
  <c r="G164" s="1"/>
  <c r="E442" i="34" s="1"/>
  <c r="E301" i="30"/>
  <c r="G301" s="1"/>
  <c r="G306" s="1"/>
  <c r="E274" s="1"/>
  <c r="G274" s="1"/>
  <c r="G279" s="1"/>
  <c r="G315" s="1"/>
  <c r="E42" i="29"/>
  <c r="G42" s="1"/>
  <c r="G47" s="1"/>
  <c r="E14" s="1"/>
  <c r="G14" s="1"/>
  <c r="G20" s="1"/>
  <c r="G56" s="1"/>
  <c r="G57" s="1"/>
  <c r="G58" s="1"/>
  <c r="E235" i="34" s="1"/>
  <c r="E572" i="22"/>
  <c r="G572" s="1"/>
  <c r="G577" s="1"/>
  <c r="E544" s="1"/>
  <c r="G544" s="1"/>
  <c r="G550" s="1"/>
  <c r="G586" s="1"/>
  <c r="G587" s="1"/>
  <c r="G588" s="1"/>
  <c r="E450" i="34" s="1"/>
  <c r="E249" i="30"/>
  <c r="G249" s="1"/>
  <c r="G254" s="1"/>
  <c r="E222" s="1"/>
  <c r="G222" s="1"/>
  <c r="G227" s="1"/>
  <c r="G263" s="1"/>
  <c r="E458"/>
  <c r="G458" s="1"/>
  <c r="E254" i="22"/>
  <c r="G254" s="1"/>
  <c r="G259" s="1"/>
  <c r="E226" s="1"/>
  <c r="G226" s="1"/>
  <c r="G232" s="1"/>
  <c r="G268" s="1"/>
  <c r="G269" s="1"/>
  <c r="G270" s="1"/>
  <c r="E444" i="34" s="1"/>
  <c r="E625" i="22"/>
  <c r="G625" s="1"/>
  <c r="G630" s="1"/>
  <c r="E597" s="1"/>
  <c r="G597" s="1"/>
  <c r="G603" s="1"/>
  <c r="G639" s="1"/>
  <c r="G640" s="1"/>
  <c r="G641" s="1"/>
  <c r="E451" i="34" s="1"/>
  <c r="E145" i="30"/>
  <c r="G145" s="1"/>
  <c r="G150" s="1"/>
  <c r="E118" s="1"/>
  <c r="G118" s="1"/>
  <c r="G123" s="1"/>
  <c r="G159" s="1"/>
  <c r="E614"/>
  <c r="G614" s="1"/>
  <c r="E415" i="12"/>
  <c r="G415" s="1"/>
  <c r="E256"/>
  <c r="G256" s="1"/>
  <c r="E309"/>
  <c r="G309" s="1"/>
  <c r="E466"/>
  <c r="G466" s="1"/>
  <c r="E679" i="1"/>
  <c r="G679" s="1"/>
  <c r="E1459" i="29"/>
  <c r="G1459" s="1"/>
  <c r="E1774"/>
  <c r="G1774" s="1"/>
  <c r="E1878"/>
  <c r="G1878" s="1"/>
  <c r="E1982"/>
  <c r="G1982" s="1"/>
  <c r="E2186"/>
  <c r="G2186" s="1"/>
  <c r="G2190" s="1"/>
  <c r="E2159" s="1"/>
  <c r="G2159" s="1"/>
  <c r="G2162" s="1"/>
  <c r="E414" i="23"/>
  <c r="G414" s="1"/>
  <c r="E895"/>
  <c r="G895" s="1"/>
  <c r="G899" s="1"/>
  <c r="E866" s="1"/>
  <c r="G866" s="1"/>
  <c r="G872" s="1"/>
  <c r="G908" s="1"/>
  <c r="E96"/>
  <c r="G96" s="1"/>
  <c r="E308"/>
  <c r="G308" s="1"/>
  <c r="E732"/>
  <c r="G732" s="1"/>
  <c r="E149" i="29"/>
  <c r="G149" s="1"/>
  <c r="G153" s="1"/>
  <c r="E120" s="1"/>
  <c r="G120" s="1"/>
  <c r="G126" s="1"/>
  <c r="G162" s="1"/>
  <c r="E571"/>
  <c r="G571" s="1"/>
  <c r="E989"/>
  <c r="G989" s="1"/>
  <c r="E1355"/>
  <c r="G1355" s="1"/>
  <c r="E623"/>
  <c r="G623" s="1"/>
  <c r="G627" s="1"/>
  <c r="E595" s="1"/>
  <c r="G595" s="1"/>
  <c r="G600" s="1"/>
  <c r="G636" s="1"/>
  <c r="E1041"/>
  <c r="G1041" s="1"/>
  <c r="E1511"/>
  <c r="G1511" s="1"/>
  <c r="G1515" s="1"/>
  <c r="E1483" s="1"/>
  <c r="G1483" s="1"/>
  <c r="G1487" s="1"/>
  <c r="G1524" s="1"/>
  <c r="E2084"/>
  <c r="G2084" s="1"/>
  <c r="E96" i="2"/>
  <c r="G96" s="1"/>
  <c r="E467"/>
  <c r="G467" s="1"/>
  <c r="E890"/>
  <c r="G890" s="1"/>
  <c r="E1155"/>
  <c r="G1155" s="1"/>
  <c r="E96" i="1"/>
  <c r="G96" s="1"/>
  <c r="G100" s="1"/>
  <c r="E67" s="1"/>
  <c r="G67" s="1"/>
  <c r="G73" s="1"/>
  <c r="G109" s="1"/>
  <c r="E308"/>
  <c r="G308" s="1"/>
  <c r="E520"/>
  <c r="G520" s="1"/>
  <c r="G524" s="1"/>
  <c r="E491" s="1"/>
  <c r="G491" s="1"/>
  <c r="G497" s="1"/>
  <c r="G533" s="1"/>
  <c r="G534" s="1"/>
  <c r="G535" s="1"/>
  <c r="E202" i="34" s="1"/>
  <c r="E361" i="23"/>
  <c r="G361" s="1"/>
  <c r="E785"/>
  <c r="G785" s="1"/>
  <c r="G789" s="1"/>
  <c r="E756" s="1"/>
  <c r="G756" s="1"/>
  <c r="G762" s="1"/>
  <c r="G798" s="1"/>
  <c r="E43"/>
  <c r="G43" s="1"/>
  <c r="E255"/>
  <c r="G255" s="1"/>
  <c r="G259" s="1"/>
  <c r="E226" s="1"/>
  <c r="G226" s="1"/>
  <c r="G232" s="1"/>
  <c r="G268" s="1"/>
  <c r="G269" s="1"/>
  <c r="G270" s="1"/>
  <c r="E399" i="34" s="1"/>
  <c r="E679" i="23"/>
  <c r="G679" s="1"/>
  <c r="E96" i="29"/>
  <c r="G96" s="1"/>
  <c r="E467"/>
  <c r="G467" s="1"/>
  <c r="E884"/>
  <c r="G884" s="1"/>
  <c r="E1303"/>
  <c r="G1303" s="1"/>
  <c r="E519"/>
  <c r="G519" s="1"/>
  <c r="G523" s="1"/>
  <c r="E491" s="1"/>
  <c r="G491" s="1"/>
  <c r="G496" s="1"/>
  <c r="G532" s="1"/>
  <c r="E937"/>
  <c r="G937" s="1"/>
  <c r="E1407"/>
  <c r="G1407" s="1"/>
  <c r="E1722"/>
  <c r="G1722" s="1"/>
  <c r="E2290"/>
  <c r="G2290" s="1"/>
  <c r="E361" i="2"/>
  <c r="G361" s="1"/>
  <c r="E785"/>
  <c r="G785" s="1"/>
  <c r="G789" s="1"/>
  <c r="E756" s="1"/>
  <c r="G756" s="1"/>
  <c r="G761" s="1"/>
  <c r="G798" s="1"/>
  <c r="G799" s="1"/>
  <c r="G800" s="1"/>
  <c r="E222" i="34" s="1"/>
  <c r="E1102" i="2"/>
  <c r="G1102" s="1"/>
  <c r="E43" i="1"/>
  <c r="G43" s="1"/>
  <c r="E255"/>
  <c r="G255" s="1"/>
  <c r="E467"/>
  <c r="G467" s="1"/>
  <c r="G471" s="1"/>
  <c r="E438" s="1"/>
  <c r="G438" s="1"/>
  <c r="G444" s="1"/>
  <c r="G480" s="1"/>
  <c r="E149" i="2"/>
  <c r="G149" s="1"/>
  <c r="E414"/>
  <c r="G414" s="1"/>
  <c r="E626"/>
  <c r="G626" s="1"/>
  <c r="E837"/>
  <c r="G837" s="1"/>
  <c r="G841" s="1"/>
  <c r="E809" s="1"/>
  <c r="G809" s="1"/>
  <c r="G814" s="1"/>
  <c r="G850" s="1"/>
  <c r="G851" s="1"/>
  <c r="G852" s="1"/>
  <c r="E223" i="34" s="1"/>
  <c r="E1683" i="12"/>
  <c r="G1683" s="1"/>
  <c r="E728" i="1"/>
  <c r="G728" s="1"/>
  <c r="E1669" i="29"/>
  <c r="G1669" s="1"/>
  <c r="E1930"/>
  <c r="G1930" s="1"/>
  <c r="E43" i="2"/>
  <c r="G43" s="1"/>
  <c r="E1005" i="23"/>
  <c r="G1005" s="1"/>
  <c r="E573"/>
  <c r="G573" s="1"/>
  <c r="E414" i="29"/>
  <c r="G414" s="1"/>
  <c r="G418" s="1"/>
  <c r="E385" s="1"/>
  <c r="G385" s="1"/>
  <c r="G391" s="1"/>
  <c r="G427" s="1"/>
  <c r="G428" s="1"/>
  <c r="G429" s="1"/>
  <c r="E242" i="34" s="1"/>
  <c r="E1197" i="29"/>
  <c r="G1197" s="1"/>
  <c r="E831"/>
  <c r="G831" s="1"/>
  <c r="E1617"/>
  <c r="G1617" s="1"/>
  <c r="E255" i="2"/>
  <c r="G255" s="1"/>
  <c r="E1049"/>
  <c r="G1049" s="1"/>
  <c r="E202" i="1"/>
  <c r="G202" s="1"/>
  <c r="G206" s="1"/>
  <c r="E173" s="1"/>
  <c r="G173" s="1"/>
  <c r="G179" s="1"/>
  <c r="G215" s="1"/>
  <c r="G216" s="1"/>
  <c r="G217" s="1"/>
  <c r="E196" i="34" s="1"/>
  <c r="E626" i="1"/>
  <c r="G626" s="1"/>
  <c r="E950" i="23"/>
  <c r="G950" s="1"/>
  <c r="E467"/>
  <c r="G467" s="1"/>
  <c r="E255" i="29"/>
  <c r="G255" s="1"/>
  <c r="G259" s="1"/>
  <c r="E226" s="1"/>
  <c r="G226" s="1"/>
  <c r="G232" s="1"/>
  <c r="G268" s="1"/>
  <c r="E1093"/>
  <c r="G1093" s="1"/>
  <c r="E727"/>
  <c r="G727" s="1"/>
  <c r="G731" s="1"/>
  <c r="E699" s="1"/>
  <c r="G699" s="1"/>
  <c r="G704" s="1"/>
  <c r="G740" s="1"/>
  <c r="G741" s="1"/>
  <c r="G742" s="1"/>
  <c r="E248" i="34" s="1"/>
  <c r="E1564" i="29"/>
  <c r="G1564" s="1"/>
  <c r="E202" i="2"/>
  <c r="G202" s="1"/>
  <c r="E996"/>
  <c r="G996" s="1"/>
  <c r="E149" i="1"/>
  <c r="G149" s="1"/>
  <c r="G153" s="1"/>
  <c r="E120" s="1"/>
  <c r="G120" s="1"/>
  <c r="G126" s="1"/>
  <c r="G162" s="1"/>
  <c r="E573"/>
  <c r="G573" s="1"/>
  <c r="E520" i="2"/>
  <c r="G520" s="1"/>
  <c r="E943"/>
  <c r="G943" s="1"/>
  <c r="E1826" i="29"/>
  <c r="G1826" s="1"/>
  <c r="E626" i="23"/>
  <c r="G626" s="1"/>
  <c r="E1060"/>
  <c r="G1060" s="1"/>
  <c r="G1064" s="1"/>
  <c r="E1031" s="1"/>
  <c r="G1031" s="1"/>
  <c r="G1037" s="1"/>
  <c r="G1073" s="1"/>
  <c r="E361" i="29"/>
  <c r="G361" s="1"/>
  <c r="E2238"/>
  <c r="G2238" s="1"/>
  <c r="G2242" s="1"/>
  <c r="E2210" s="1"/>
  <c r="G2210" s="1"/>
  <c r="G2214" s="1"/>
  <c r="G2251" s="1"/>
  <c r="E1261" i="2"/>
  <c r="G1261" s="1"/>
  <c r="E520" i="23"/>
  <c r="G520" s="1"/>
  <c r="G524" s="1"/>
  <c r="E491" s="1"/>
  <c r="G491" s="1"/>
  <c r="G497" s="1"/>
  <c r="G533" s="1"/>
  <c r="E840"/>
  <c r="G840" s="1"/>
  <c r="E308" i="29"/>
  <c r="G308" s="1"/>
  <c r="G312" s="1"/>
  <c r="E279" s="1"/>
  <c r="G279" s="1"/>
  <c r="G285" s="1"/>
  <c r="G321" s="1"/>
  <c r="E2135"/>
  <c r="G2135" s="1"/>
  <c r="E1208" i="2"/>
  <c r="G1208" s="1"/>
  <c r="E308"/>
  <c r="G308" s="1"/>
  <c r="E202" i="29"/>
  <c r="G202" s="1"/>
  <c r="G206" s="1"/>
  <c r="E173" s="1"/>
  <c r="G173" s="1"/>
  <c r="G179" s="1"/>
  <c r="G215" s="1"/>
  <c r="G216" s="1"/>
  <c r="G217" s="1"/>
  <c r="E238" i="34" s="1"/>
  <c r="E2033" i="29"/>
  <c r="G2033" s="1"/>
  <c r="E202" i="23"/>
  <c r="G202" s="1"/>
  <c r="G206" s="1"/>
  <c r="E173" s="1"/>
  <c r="G173" s="1"/>
  <c r="G179" s="1"/>
  <c r="G215" s="1"/>
  <c r="G216" s="1"/>
  <c r="G217" s="1"/>
  <c r="E398" i="34" s="1"/>
  <c r="E779" i="29"/>
  <c r="G779" s="1"/>
  <c r="E1251"/>
  <c r="G1251" s="1"/>
  <c r="G1255" s="1"/>
  <c r="E1222" s="1"/>
  <c r="G1222" s="1"/>
  <c r="G1226" s="1"/>
  <c r="G1264" s="1"/>
  <c r="E679" i="2"/>
  <c r="G679" s="1"/>
  <c r="E414" i="1"/>
  <c r="G414" s="1"/>
  <c r="E149" i="23"/>
  <c r="G149" s="1"/>
  <c r="E675" i="29"/>
  <c r="G675" s="1"/>
  <c r="E1145"/>
  <c r="G1145" s="1"/>
  <c r="E573" i="2"/>
  <c r="G573" s="1"/>
  <c r="G577" s="1"/>
  <c r="E544" s="1"/>
  <c r="G544" s="1"/>
  <c r="G549" s="1"/>
  <c r="G586" s="1"/>
  <c r="E361" i="1"/>
  <c r="G361" s="1"/>
  <c r="E732" i="2"/>
  <c r="G732" s="1"/>
  <c r="G1621" i="29"/>
  <c r="E1588" s="1"/>
  <c r="G1588" s="1"/>
  <c r="G1594" s="1"/>
  <c r="G1630" s="1"/>
  <c r="G575"/>
  <c r="E543" s="1"/>
  <c r="G543" s="1"/>
  <c r="G548" s="1"/>
  <c r="G584" s="1"/>
  <c r="G585" s="1"/>
  <c r="G586" s="1"/>
  <c r="E245" i="34" s="1"/>
  <c r="G630" i="23"/>
  <c r="E597" s="1"/>
  <c r="G597" s="1"/>
  <c r="G603" s="1"/>
  <c r="G639" s="1"/>
  <c r="G835" i="29"/>
  <c r="E803" s="1"/>
  <c r="G803" s="1"/>
  <c r="G808" s="1"/>
  <c r="G844" s="1"/>
  <c r="G845" s="1"/>
  <c r="G846" s="1"/>
  <c r="E250" i="34" s="1"/>
  <c r="G2139" i="29"/>
  <c r="E2108" s="1"/>
  <c r="G2108" s="1"/>
  <c r="G2111" s="1"/>
  <c r="G2148" s="1"/>
  <c r="G2149" s="1"/>
  <c r="G2150" s="1"/>
  <c r="E275" i="34" s="1"/>
  <c r="G577" i="23"/>
  <c r="E544" s="1"/>
  <c r="G544" s="1"/>
  <c r="G550" s="1"/>
  <c r="G586" s="1"/>
  <c r="G587" s="1"/>
  <c r="G588" s="1"/>
  <c r="E405" i="34" s="1"/>
  <c r="G365" i="29"/>
  <c r="E332" s="1"/>
  <c r="G332" s="1"/>
  <c r="G338" s="1"/>
  <c r="G374" s="1"/>
  <c r="G947" i="2"/>
  <c r="E914" s="1"/>
  <c r="G914" s="1"/>
  <c r="G919" s="1"/>
  <c r="G956" s="1"/>
  <c r="G957" s="1"/>
  <c r="G958" s="1"/>
  <c r="E225" i="34" s="1"/>
  <c r="G1053" i="2"/>
  <c r="E1020" s="1"/>
  <c r="G1020" s="1"/>
  <c r="G1026" s="1"/>
  <c r="G1062" s="1"/>
  <c r="G471"/>
  <c r="E438" s="1"/>
  <c r="G438" s="1"/>
  <c r="G444" s="1"/>
  <c r="G480" s="1"/>
  <c r="G481" s="1"/>
  <c r="G482" s="1"/>
  <c r="E216" i="34" s="1"/>
  <c r="G2294" i="29"/>
  <c r="E2262" s="1"/>
  <c r="G2262" s="1"/>
  <c r="G2266" s="1"/>
  <c r="G2303" s="1"/>
  <c r="G2304" s="1"/>
  <c r="G2305" s="1"/>
  <c r="E278" i="34" s="1"/>
  <c r="G471" i="23"/>
  <c r="E438" s="1"/>
  <c r="G438" s="1"/>
  <c r="G444" s="1"/>
  <c r="G480" s="1"/>
  <c r="G481" s="1"/>
  <c r="G482" s="1"/>
  <c r="E403" i="34" s="1"/>
  <c r="G888" i="29"/>
  <c r="E855" s="1"/>
  <c r="G855" s="1"/>
  <c r="G861" s="1"/>
  <c r="G897" s="1"/>
  <c r="G2037"/>
  <c r="E2006" s="1"/>
  <c r="G2006" s="1"/>
  <c r="G2009" s="1"/>
  <c r="G2046" s="1"/>
  <c r="G2047" s="1"/>
  <c r="G2048" s="1"/>
  <c r="E273" i="34" s="1"/>
  <c r="G894" i="2"/>
  <c r="E861" s="1"/>
  <c r="G861" s="1"/>
  <c r="G866" s="1"/>
  <c r="G903" s="1"/>
  <c r="G904" s="1"/>
  <c r="G905" s="1"/>
  <c r="E224" i="34" s="1"/>
  <c r="G153" i="2"/>
  <c r="E120" s="1"/>
  <c r="G120" s="1"/>
  <c r="G126" s="1"/>
  <c r="G162" s="1"/>
  <c r="G163" s="1"/>
  <c r="G164" s="1"/>
  <c r="E210" i="34" s="1"/>
  <c r="G365" i="23"/>
  <c r="E332" s="1"/>
  <c r="G332" s="1"/>
  <c r="G337" s="1"/>
  <c r="G374" s="1"/>
  <c r="G375" s="1"/>
  <c r="G376" s="1"/>
  <c r="E401" i="34" s="1"/>
  <c r="G736" i="2"/>
  <c r="E703" s="1"/>
  <c r="G703" s="1"/>
  <c r="G708" s="1"/>
  <c r="G745" s="1"/>
  <c r="G312" i="1"/>
  <c r="E279" s="1"/>
  <c r="G279" s="1"/>
  <c r="G285" s="1"/>
  <c r="G321" s="1"/>
  <c r="G1149" i="29"/>
  <c r="E1117" s="1"/>
  <c r="G1117" s="1"/>
  <c r="G1122" s="1"/>
  <c r="G1158" s="1"/>
  <c r="G418" i="2"/>
  <c r="E385" s="1"/>
  <c r="G385" s="1"/>
  <c r="G391" s="1"/>
  <c r="G427" s="1"/>
  <c r="G418" i="1"/>
  <c r="E385" s="1"/>
  <c r="G385" s="1"/>
  <c r="G391" s="1"/>
  <c r="G427" s="1"/>
  <c r="G1307" i="29"/>
  <c r="E1275" s="1"/>
  <c r="G1275" s="1"/>
  <c r="G1280" s="1"/>
  <c r="G1316" s="1"/>
  <c r="G732" i="1"/>
  <c r="G1778" i="29"/>
  <c r="E1746" s="1"/>
  <c r="G1746" s="1"/>
  <c r="G1751" s="1"/>
  <c r="G1787" s="1"/>
  <c r="G1788" s="1"/>
  <c r="G1789" s="1"/>
  <c r="E268" i="34" s="1"/>
  <c r="G1106" i="2"/>
  <c r="E1073" s="1"/>
  <c r="G1073" s="1"/>
  <c r="G1079" s="1"/>
  <c r="G1115" s="1"/>
  <c r="G954" i="23"/>
  <c r="E921" s="1"/>
  <c r="G921" s="1"/>
  <c r="G927" s="1"/>
  <c r="G963" s="1"/>
  <c r="G312" i="2"/>
  <c r="E279" s="1"/>
  <c r="G279" s="1"/>
  <c r="G285" s="1"/>
  <c r="G321" s="1"/>
  <c r="G1009" i="23"/>
  <c r="E976" s="1"/>
  <c r="G976" s="1"/>
  <c r="G982" s="1"/>
  <c r="G1018" s="1"/>
  <c r="G679" i="29"/>
  <c r="E647" s="1"/>
  <c r="G647" s="1"/>
  <c r="G652" s="1"/>
  <c r="G688" s="1"/>
  <c r="G689" s="1"/>
  <c r="G690" s="1"/>
  <c r="E247" i="34" s="1"/>
  <c r="G577" i="1"/>
  <c r="E544" s="1"/>
  <c r="G544" s="1"/>
  <c r="G550" s="1"/>
  <c r="G586" s="1"/>
  <c r="G1000" i="2"/>
  <c r="E967" s="1"/>
  <c r="G967" s="1"/>
  <c r="G972" s="1"/>
  <c r="G1009" s="1"/>
  <c r="G1568" i="29"/>
  <c r="E1535" s="1"/>
  <c r="G1535" s="1"/>
  <c r="G1541" s="1"/>
  <c r="G1577" s="1"/>
  <c r="G630" i="2"/>
  <c r="E597" s="1"/>
  <c r="G597" s="1"/>
  <c r="G602" s="1"/>
  <c r="G639" s="1"/>
  <c r="G100" i="29"/>
  <c r="E67" s="1"/>
  <c r="G67" s="1"/>
  <c r="G73" s="1"/>
  <c r="G109" s="1"/>
  <c r="G110" s="1"/>
  <c r="G111" s="1"/>
  <c r="E236" i="34" s="1"/>
  <c r="G47" i="23"/>
  <c r="E14" s="1"/>
  <c r="G14" s="1"/>
  <c r="G20" s="1"/>
  <c r="G56" s="1"/>
  <c r="D36" i="16"/>
  <c r="AH93"/>
  <c r="AH95" s="1"/>
  <c r="G47" i="2"/>
  <c r="E14" s="1"/>
  <c r="G14" s="1"/>
  <c r="G20" s="1"/>
  <c r="G56" s="1"/>
  <c r="G57" s="1"/>
  <c r="G58" s="1"/>
  <c r="E208" i="34" s="1"/>
  <c r="G1687" i="12"/>
  <c r="E1654" s="1"/>
  <c r="G1654" s="1"/>
  <c r="G1660" s="1"/>
  <c r="G1696" s="1"/>
  <c r="G1697" s="1"/>
  <c r="G1698" s="1"/>
  <c r="E54" i="34" s="1"/>
  <c r="G259" i="1"/>
  <c r="E226" s="1"/>
  <c r="G226" s="1"/>
  <c r="G232" s="1"/>
  <c r="G268" s="1"/>
  <c r="G941" i="29"/>
  <c r="E908" s="1"/>
  <c r="G908" s="1"/>
  <c r="G914" s="1"/>
  <c r="G950" s="1"/>
  <c r="G100" i="23"/>
  <c r="E67" s="1"/>
  <c r="G67" s="1"/>
  <c r="G73" s="1"/>
  <c r="G109" s="1"/>
  <c r="G110" s="1"/>
  <c r="G111" s="1"/>
  <c r="E396" i="34" s="1"/>
  <c r="G1673" i="29"/>
  <c r="E1641" s="1"/>
  <c r="G1641" s="1"/>
  <c r="G1645" s="1"/>
  <c r="G1682" s="1"/>
  <c r="G1683" s="1"/>
  <c r="G1684" s="1"/>
  <c r="E266" i="34" s="1"/>
  <c r="G630" i="1"/>
  <c r="E597" s="1"/>
  <c r="G597" s="1"/>
  <c r="G603" s="1"/>
  <c r="G639" s="1"/>
  <c r="G47"/>
  <c r="E14" s="1"/>
  <c r="G14" s="1"/>
  <c r="G20" s="1"/>
  <c r="G56" s="1"/>
  <c r="G993" i="29"/>
  <c r="E961" s="1"/>
  <c r="G961" s="1"/>
  <c r="G966" s="1"/>
  <c r="G1002" s="1"/>
  <c r="G1212" i="2"/>
  <c r="E1179" s="1"/>
  <c r="G1179" s="1"/>
  <c r="G1185" s="1"/>
  <c r="G1221" s="1"/>
  <c r="G1222" s="1"/>
  <c r="G1223" s="1"/>
  <c r="E230" i="34" s="1"/>
  <c r="G1882" i="29"/>
  <c r="E1850" s="1"/>
  <c r="G1850" s="1"/>
  <c r="G1854" s="1"/>
  <c r="G1891" s="1"/>
  <c r="G418" i="23"/>
  <c r="E385" s="1"/>
  <c r="G385" s="1"/>
  <c r="G390" s="1"/>
  <c r="G427" s="1"/>
  <c r="G1830" i="29"/>
  <c r="E1798" s="1"/>
  <c r="G1798" s="1"/>
  <c r="G1803" s="1"/>
  <c r="G1839" s="1"/>
  <c r="G1265" i="2"/>
  <c r="E1232" s="1"/>
  <c r="G1232" s="1"/>
  <c r="G1238" s="1"/>
  <c r="G1274" s="1"/>
  <c r="G1275" s="1"/>
  <c r="G1276" s="1"/>
  <c r="E231" i="34" s="1"/>
  <c r="G1159" i="2"/>
  <c r="E1126" s="1"/>
  <c r="G1126" s="1"/>
  <c r="G1132" s="1"/>
  <c r="G1168" s="1"/>
  <c r="G365"/>
  <c r="E332" s="1"/>
  <c r="G332" s="1"/>
  <c r="G338" s="1"/>
  <c r="G374" s="1"/>
  <c r="G844" i="23"/>
  <c r="E811" s="1"/>
  <c r="G811" s="1"/>
  <c r="G817" s="1"/>
  <c r="G853" s="1"/>
  <c r="G854" s="1"/>
  <c r="G855" s="1"/>
  <c r="E410" i="34" s="1"/>
  <c r="G524" i="2"/>
  <c r="E491" s="1"/>
  <c r="G491" s="1"/>
  <c r="G496" s="1"/>
  <c r="G533" s="1"/>
  <c r="G534" s="1"/>
  <c r="G535" s="1"/>
  <c r="E217" i="34" s="1"/>
  <c r="G365" i="1"/>
  <c r="E332" s="1"/>
  <c r="G332" s="1"/>
  <c r="G338" s="1"/>
  <c r="G374" s="1"/>
  <c r="G375" s="1"/>
  <c r="G376" s="1"/>
  <c r="E199" i="34" s="1"/>
  <c r="G1201" i="29"/>
  <c r="E1169" s="1"/>
  <c r="G1169" s="1"/>
  <c r="G1174" s="1"/>
  <c r="G1210" s="1"/>
  <c r="G1045"/>
  <c r="E1013" s="1"/>
  <c r="G1013" s="1"/>
  <c r="G1018" s="1"/>
  <c r="G1054" s="1"/>
  <c r="G1055" s="1"/>
  <c r="G1056" s="1"/>
  <c r="E254" i="34" s="1"/>
  <c r="G259" i="2"/>
  <c r="E226" s="1"/>
  <c r="G226" s="1"/>
  <c r="G232" s="1"/>
  <c r="G268" s="1"/>
  <c r="G1097" i="29"/>
  <c r="E1065" s="1"/>
  <c r="G1065" s="1"/>
  <c r="G1070" s="1"/>
  <c r="G1106" s="1"/>
  <c r="G1359"/>
  <c r="E1327" s="1"/>
  <c r="G1327" s="1"/>
  <c r="G1332" s="1"/>
  <c r="G1368" s="1"/>
  <c r="G683" i="1"/>
  <c r="E650" s="1"/>
  <c r="G650" s="1"/>
  <c r="G656" s="1"/>
  <c r="G692" s="1"/>
  <c r="G683" i="2"/>
  <c r="E650" s="1"/>
  <c r="G650" s="1"/>
  <c r="G655" s="1"/>
  <c r="G692" s="1"/>
  <c r="G693" s="1"/>
  <c r="G694" s="1"/>
  <c r="E220" i="34" s="1"/>
  <c r="G1411" i="29"/>
  <c r="E1379" s="1"/>
  <c r="G1379" s="1"/>
  <c r="G1384" s="1"/>
  <c r="G1420" s="1"/>
  <c r="G2088"/>
  <c r="E2057" s="1"/>
  <c r="G2057" s="1"/>
  <c r="G2060" s="1"/>
  <c r="G2097" s="1"/>
  <c r="G2098" s="1"/>
  <c r="G2099" s="1"/>
  <c r="E274" i="34" s="1"/>
  <c r="G312" i="23"/>
  <c r="E279" s="1"/>
  <c r="G279" s="1"/>
  <c r="G285" s="1"/>
  <c r="G321" s="1"/>
  <c r="G1726" i="29"/>
  <c r="E1693" s="1"/>
  <c r="G1693" s="1"/>
  <c r="G1699" s="1"/>
  <c r="G1735" s="1"/>
  <c r="G1736" s="1"/>
  <c r="G1737" s="1"/>
  <c r="E267" i="34" s="1"/>
  <c r="G471" i="29"/>
  <c r="E438" s="1"/>
  <c r="G438" s="1"/>
  <c r="G444" s="1"/>
  <c r="G480" s="1"/>
  <c r="G153" i="23"/>
  <c r="E120" s="1"/>
  <c r="G120" s="1"/>
  <c r="G126" s="1"/>
  <c r="G162" s="1"/>
  <c r="G1463" i="29"/>
  <c r="E1431" s="1"/>
  <c r="G1431" s="1"/>
  <c r="G1434" s="1"/>
  <c r="G1472" s="1"/>
  <c r="G1473" s="1"/>
  <c r="G1474" s="1"/>
  <c r="E262" i="34" s="1"/>
  <c r="G100" i="2"/>
  <c r="E67" s="1"/>
  <c r="G67" s="1"/>
  <c r="G73" s="1"/>
  <c r="G109" s="1"/>
  <c r="G110" s="1"/>
  <c r="G111" s="1"/>
  <c r="E209" i="34" s="1"/>
  <c r="G1986" i="29"/>
  <c r="E1954" s="1"/>
  <c r="G1954" s="1"/>
  <c r="G1958" s="1"/>
  <c r="G1995" s="1"/>
  <c r="G1996" s="1"/>
  <c r="G1997" s="1"/>
  <c r="E272" i="34" s="1"/>
  <c r="G736" i="23"/>
  <c r="E703" s="1"/>
  <c r="G703" s="1"/>
  <c r="G709" s="1"/>
  <c r="G745" s="1"/>
  <c r="G746" s="1"/>
  <c r="G747" s="1"/>
  <c r="E408" i="34" s="1"/>
  <c r="G206" i="2"/>
  <c r="E173" s="1"/>
  <c r="G173" s="1"/>
  <c r="G179" s="1"/>
  <c r="G215" s="1"/>
  <c r="G216" s="1"/>
  <c r="G217" s="1"/>
  <c r="E211" i="34" s="1"/>
  <c r="G783" i="29"/>
  <c r="E751" s="1"/>
  <c r="G751" s="1"/>
  <c r="G756" s="1"/>
  <c r="G792" s="1"/>
  <c r="G1934"/>
  <c r="E1902" s="1"/>
  <c r="G1902" s="1"/>
  <c r="G1906" s="1"/>
  <c r="G1943" s="1"/>
  <c r="G1944" s="1"/>
  <c r="G1945" s="1"/>
  <c r="E271" i="34" s="1"/>
  <c r="G683" i="23"/>
  <c r="E650" s="1"/>
  <c r="G650" s="1"/>
  <c r="G656" s="1"/>
  <c r="G692" s="1"/>
  <c r="D32" i="16"/>
  <c r="G534" i="23" l="1"/>
  <c r="G535"/>
  <c r="E404" i="34" s="1"/>
  <c r="G163" i="1"/>
  <c r="G164" s="1"/>
  <c r="E195" i="34" s="1"/>
  <c r="G533" i="29"/>
  <c r="G534" s="1"/>
  <c r="E244" i="34" s="1"/>
  <c r="G799" i="23"/>
  <c r="G800" s="1"/>
  <c r="E409" i="34" s="1"/>
  <c r="G1525" i="29"/>
  <c r="G1526" s="1"/>
  <c r="E263" i="34" s="1"/>
  <c r="G909" i="23"/>
  <c r="G910" s="1"/>
  <c r="E411" i="34" s="1"/>
  <c r="G1265" i="29"/>
  <c r="G1266" s="1"/>
  <c r="E258" i="34" s="1"/>
  <c r="G322" i="29"/>
  <c r="G323"/>
  <c r="E240" i="34" s="1"/>
  <c r="G2252" i="29"/>
  <c r="G2253"/>
  <c r="E277" i="34" s="1"/>
  <c r="G1074" i="23"/>
  <c r="G1075"/>
  <c r="E414" i="34" s="1"/>
  <c r="G481" i="1"/>
  <c r="G482" s="1"/>
  <c r="E201" i="34" s="1"/>
  <c r="G110" i="1"/>
  <c r="G111" s="1"/>
  <c r="E194" i="34" s="1"/>
  <c r="G637" i="29"/>
  <c r="G638" s="1"/>
  <c r="E246" i="34" s="1"/>
  <c r="G163" i="29"/>
  <c r="G164" s="1"/>
  <c r="E237" i="34" s="1"/>
  <c r="G322" i="23"/>
  <c r="G323" s="1"/>
  <c r="E400" i="34" s="1"/>
  <c r="G1369" i="29"/>
  <c r="G1370" s="1"/>
  <c r="E260" i="34" s="1"/>
  <c r="G1211" i="29"/>
  <c r="G1212"/>
  <c r="E257" i="34" s="1"/>
  <c r="G1169" i="2"/>
  <c r="G1170"/>
  <c r="E229" i="34" s="1"/>
  <c r="G1003" i="29"/>
  <c r="G1004"/>
  <c r="E253" i="34" s="1"/>
  <c r="G693" i="23"/>
  <c r="G694"/>
  <c r="E407" i="34" s="1"/>
  <c r="G481" i="29"/>
  <c r="G482"/>
  <c r="E243" i="34" s="1"/>
  <c r="G1421" i="29"/>
  <c r="G1422"/>
  <c r="E261" i="34" s="1"/>
  <c r="G693" i="1"/>
  <c r="G694"/>
  <c r="E205" i="34" s="1"/>
  <c r="G1107" i="29"/>
  <c r="G1108"/>
  <c r="E255" i="34" s="1"/>
  <c r="G269" i="2"/>
  <c r="G270" s="1"/>
  <c r="E212" i="34" s="1"/>
  <c r="G1840" i="29"/>
  <c r="G1841" s="1"/>
  <c r="E269" i="34" s="1"/>
  <c r="G1892" i="29"/>
  <c r="G1893"/>
  <c r="E270" i="34" s="1"/>
  <c r="G57" i="1"/>
  <c r="G58" s="1"/>
  <c r="E193" i="34" s="1"/>
  <c r="G951" i="29"/>
  <c r="G952" s="1"/>
  <c r="E252" i="34" s="1"/>
  <c r="G57" i="23"/>
  <c r="G58" s="1"/>
  <c r="E395" i="34" s="1"/>
  <c r="G1578" i="29"/>
  <c r="G1579" s="1"/>
  <c r="E264" i="34" s="1"/>
  <c r="G587" i="1"/>
  <c r="G588" s="1"/>
  <c r="E203" i="34" s="1"/>
  <c r="G1019" i="23"/>
  <c r="G1020" s="1"/>
  <c r="E413" i="34" s="1"/>
  <c r="G964" i="23"/>
  <c r="G965" s="1"/>
  <c r="E412" i="34" s="1"/>
  <c r="G1116" i="2"/>
  <c r="G1117" s="1"/>
  <c r="E228" i="34" s="1"/>
  <c r="G428" i="1"/>
  <c r="G429" s="1"/>
  <c r="E200" i="34" s="1"/>
  <c r="G428" i="2"/>
  <c r="G429" s="1"/>
  <c r="E215" i="34" s="1"/>
  <c r="G1159" i="29"/>
  <c r="G1160"/>
  <c r="E256" i="34" s="1"/>
  <c r="G746" i="2"/>
  <c r="G747"/>
  <c r="E221" i="34" s="1"/>
  <c r="G587" i="2"/>
  <c r="G588"/>
  <c r="E218" i="34" s="1"/>
  <c r="G898" i="29"/>
  <c r="G899" s="1"/>
  <c r="E251" i="34" s="1"/>
  <c r="G1063" i="2"/>
  <c r="G1064" s="1"/>
  <c r="E227" i="34" s="1"/>
  <c r="G269" i="29"/>
  <c r="G270" s="1"/>
  <c r="E239" i="34" s="1"/>
  <c r="G316" i="30"/>
  <c r="G317" s="1"/>
  <c r="E462" i="34" s="1"/>
  <c r="G799" i="22"/>
  <c r="G800" s="1"/>
  <c r="E454" i="34" s="1"/>
  <c r="G322" i="22"/>
  <c r="G323" s="1"/>
  <c r="E445" i="34" s="1"/>
  <c r="G212" i="30"/>
  <c r="G213" s="1"/>
  <c r="E460" i="34" s="1"/>
  <c r="G481" i="21"/>
  <c r="G482"/>
  <c r="E424" i="34" s="1"/>
  <c r="G1064" i="21"/>
  <c r="G1065" s="1"/>
  <c r="E435" i="34" s="1"/>
  <c r="G1170" i="21"/>
  <c r="G1171" s="1"/>
  <c r="E437" i="34" s="1"/>
  <c r="G534" i="21"/>
  <c r="G535" s="1"/>
  <c r="E425" i="34" s="1"/>
  <c r="G587" i="21"/>
  <c r="G588" s="1"/>
  <c r="E426" i="34" s="1"/>
  <c r="G57" i="21"/>
  <c r="G58"/>
  <c r="E416" i="34" s="1"/>
  <c r="E128" i="38"/>
  <c r="G128" s="1"/>
  <c r="G131" s="1"/>
  <c r="G140" s="1"/>
  <c r="G141" s="1"/>
  <c r="G142" s="1"/>
  <c r="E502" i="34" s="1"/>
  <c r="E1527" i="3"/>
  <c r="G1527" s="1"/>
  <c r="G1530" s="1"/>
  <c r="E1499" s="1"/>
  <c r="G1499" s="1"/>
  <c r="G1505" s="1"/>
  <c r="E971" i="30"/>
  <c r="G971" s="1"/>
  <c r="G976" s="1"/>
  <c r="E946" s="1"/>
  <c r="G946" s="1"/>
  <c r="G951" s="1"/>
  <c r="G985" s="1"/>
  <c r="E200" i="24"/>
  <c r="G200" s="1"/>
  <c r="G205" s="1"/>
  <c r="E172" s="1"/>
  <c r="G172" s="1"/>
  <c r="G178" s="1"/>
  <c r="G214" s="1"/>
  <c r="G215" s="1"/>
  <c r="G216" s="1"/>
  <c r="E391" i="34" s="1"/>
  <c r="E1155" i="27"/>
  <c r="G1155" s="1"/>
  <c r="G1160" s="1"/>
  <c r="E1127" s="1"/>
  <c r="G1127" s="1"/>
  <c r="G1133" s="1"/>
  <c r="G1169" s="1"/>
  <c r="E1474"/>
  <c r="G1474" s="1"/>
  <c r="G1479" s="1"/>
  <c r="E1446" s="1"/>
  <c r="G1446" s="1"/>
  <c r="G1452" s="1"/>
  <c r="G1488" s="1"/>
  <c r="E254" i="25"/>
  <c r="G254" s="1"/>
  <c r="G259" s="1"/>
  <c r="E226" s="1"/>
  <c r="G226" s="1"/>
  <c r="G232" s="1"/>
  <c r="E413"/>
  <c r="G413" s="1"/>
  <c r="G418" s="1"/>
  <c r="E385" s="1"/>
  <c r="G385" s="1"/>
  <c r="G391" s="1"/>
  <c r="E519"/>
  <c r="G519" s="1"/>
  <c r="G524" s="1"/>
  <c r="E491" s="1"/>
  <c r="G491" s="1"/>
  <c r="G497" s="1"/>
  <c r="E572"/>
  <c r="G572" s="1"/>
  <c r="G577" s="1"/>
  <c r="E544" s="1"/>
  <c r="G544" s="1"/>
  <c r="G550" s="1"/>
  <c r="G586" s="1"/>
  <c r="E890"/>
  <c r="G890" s="1"/>
  <c r="G895" s="1"/>
  <c r="E862" s="1"/>
  <c r="G862" s="1"/>
  <c r="G868" s="1"/>
  <c r="G904" s="1"/>
  <c r="E1208"/>
  <c r="G1208" s="1"/>
  <c r="G1213" s="1"/>
  <c r="E1180" s="1"/>
  <c r="G1180" s="1"/>
  <c r="G1186" s="1"/>
  <c r="G1222" s="1"/>
  <c r="G1223" s="1"/>
  <c r="G1224" s="1"/>
  <c r="E344" i="34" s="1"/>
  <c r="E1737" i="25"/>
  <c r="G1737" s="1"/>
  <c r="G1742" s="1"/>
  <c r="E1709" s="1"/>
  <c r="G1709" s="1"/>
  <c r="G1715" s="1"/>
  <c r="G1751" s="1"/>
  <c r="E148" i="26"/>
  <c r="G148" s="1"/>
  <c r="G153" s="1"/>
  <c r="E120" s="1"/>
  <c r="G120" s="1"/>
  <c r="G126" s="1"/>
  <c r="G162" s="1"/>
  <c r="E625"/>
  <c r="G625" s="1"/>
  <c r="G630" s="1"/>
  <c r="E597" s="1"/>
  <c r="G597" s="1"/>
  <c r="G603" s="1"/>
  <c r="G639" s="1"/>
  <c r="G640" s="1"/>
  <c r="G641" s="1"/>
  <c r="E315" i="34" s="1"/>
  <c r="E253" i="28"/>
  <c r="G253" s="1"/>
  <c r="G258" s="1"/>
  <c r="E226" s="1"/>
  <c r="G226" s="1"/>
  <c r="G231" s="1"/>
  <c r="G267" s="1"/>
  <c r="G268" s="1"/>
  <c r="G269" s="1"/>
  <c r="E284" i="34" s="1"/>
  <c r="E677" i="28"/>
  <c r="G677" s="1"/>
  <c r="G682" s="1"/>
  <c r="E649" s="1"/>
  <c r="G649" s="1"/>
  <c r="G655" s="1"/>
  <c r="G691" s="1"/>
  <c r="G692" s="1"/>
  <c r="G693" s="1"/>
  <c r="E292" i="34" s="1"/>
  <c r="E1101" i="28"/>
  <c r="G1101" s="1"/>
  <c r="G1106" s="1"/>
  <c r="E1073" s="1"/>
  <c r="G1073" s="1"/>
  <c r="G1079" s="1"/>
  <c r="G1115" s="1"/>
  <c r="E360" i="27"/>
  <c r="G360" s="1"/>
  <c r="G365" s="1"/>
  <c r="E332" s="1"/>
  <c r="G332" s="1"/>
  <c r="G338" s="1"/>
  <c r="G374" s="1"/>
  <c r="E731"/>
  <c r="G731" s="1"/>
  <c r="G736" s="1"/>
  <c r="E703" s="1"/>
  <c r="G703" s="1"/>
  <c r="G709" s="1"/>
  <c r="G745" s="1"/>
  <c r="G746" s="1"/>
  <c r="G747" s="1"/>
  <c r="E370" i="34" s="1"/>
  <c r="E1208" i="27"/>
  <c r="G1208" s="1"/>
  <c r="G1213" s="1"/>
  <c r="E1180" s="1"/>
  <c r="G1180" s="1"/>
  <c r="G1186" s="1"/>
  <c r="G1222" s="1"/>
  <c r="G1223" s="1"/>
  <c r="G1224" s="1"/>
  <c r="E379" i="34" s="1"/>
  <c r="E1581" i="27"/>
  <c r="G1581" s="1"/>
  <c r="G1586" s="1"/>
  <c r="E1553" s="1"/>
  <c r="G1553" s="1"/>
  <c r="G1559" s="1"/>
  <c r="G1595" s="1"/>
  <c r="G1596" s="1"/>
  <c r="G1597" s="1"/>
  <c r="E386" i="34" s="1"/>
  <c r="E39" i="38"/>
  <c r="G39" s="1"/>
  <c r="G42" s="1"/>
  <c r="E11" s="1"/>
  <c r="G11" s="1"/>
  <c r="G17" s="1"/>
  <c r="G50" s="1"/>
  <c r="E44" i="30"/>
  <c r="G44" s="1"/>
  <c r="E715"/>
  <c r="G715" s="1"/>
  <c r="G720" s="1"/>
  <c r="E689" s="1"/>
  <c r="G689" s="1"/>
  <c r="G694" s="1"/>
  <c r="G729" s="1"/>
  <c r="G730" s="1"/>
  <c r="G731" s="1"/>
  <c r="E470" i="34" s="1"/>
  <c r="G943" i="25"/>
  <c r="G948" s="1"/>
  <c r="E915" s="1"/>
  <c r="G915" s="1"/>
  <c r="G921" s="1"/>
  <c r="G957" s="1"/>
  <c r="E1419"/>
  <c r="G1419" s="1"/>
  <c r="G1424" s="1"/>
  <c r="E1391" s="1"/>
  <c r="G1391" s="1"/>
  <c r="G1397" s="1"/>
  <c r="G1433" s="1"/>
  <c r="E201" i="26"/>
  <c r="G201" s="1"/>
  <c r="G206" s="1"/>
  <c r="E173" s="1"/>
  <c r="G173" s="1"/>
  <c r="G179" s="1"/>
  <c r="G215" s="1"/>
  <c r="E572"/>
  <c r="G572" s="1"/>
  <c r="G577" s="1"/>
  <c r="E544" s="1"/>
  <c r="G544" s="1"/>
  <c r="G550" s="1"/>
  <c r="G586" s="1"/>
  <c r="E42" i="28"/>
  <c r="G42" s="1"/>
  <c r="G47" s="1"/>
  <c r="E14" s="1"/>
  <c r="G14" s="1"/>
  <c r="G20" s="1"/>
  <c r="E95"/>
  <c r="G95" s="1"/>
  <c r="G100" s="1"/>
  <c r="E67" s="1"/>
  <c r="G67" s="1"/>
  <c r="G73" s="1"/>
  <c r="E201"/>
  <c r="G201" s="1"/>
  <c r="G206" s="1"/>
  <c r="E173" s="1"/>
  <c r="G173" s="1"/>
  <c r="G179" s="1"/>
  <c r="G215" s="1"/>
  <c r="E624"/>
  <c r="G624" s="1"/>
  <c r="G629" s="1"/>
  <c r="E596" s="1"/>
  <c r="G596" s="1"/>
  <c r="G602" s="1"/>
  <c r="G638" s="1"/>
  <c r="E1048"/>
  <c r="G1048" s="1"/>
  <c r="G1053" s="1"/>
  <c r="E1020" s="1"/>
  <c r="G1020" s="1"/>
  <c r="G1026" s="1"/>
  <c r="G1062" s="1"/>
  <c r="G1063" s="1"/>
  <c r="G1064" s="1"/>
  <c r="E299" i="34" s="1"/>
  <c r="E95" i="3"/>
  <c r="G95" s="1"/>
  <c r="G100" s="1"/>
  <c r="E67" s="1"/>
  <c r="G67" s="1"/>
  <c r="G73" s="1"/>
  <c r="E254"/>
  <c r="G254" s="1"/>
  <c r="G259" s="1"/>
  <c r="E226" s="1"/>
  <c r="G226" s="1"/>
  <c r="G232" s="1"/>
  <c r="E360"/>
  <c r="G360" s="1"/>
  <c r="G365" s="1"/>
  <c r="E332" s="1"/>
  <c r="G332" s="1"/>
  <c r="G338" s="1"/>
  <c r="E519"/>
  <c r="G519" s="1"/>
  <c r="G524" s="1"/>
  <c r="E491" s="1"/>
  <c r="G491" s="1"/>
  <c r="G497" s="1"/>
  <c r="E678"/>
  <c r="G678" s="1"/>
  <c r="G683" s="1"/>
  <c r="E650" s="1"/>
  <c r="G650" s="1"/>
  <c r="G656" s="1"/>
  <c r="E837"/>
  <c r="G837" s="1"/>
  <c r="G842" s="1"/>
  <c r="E809" s="1"/>
  <c r="G809" s="1"/>
  <c r="G815" s="1"/>
  <c r="E943"/>
  <c r="G943" s="1"/>
  <c r="G948" s="1"/>
  <c r="E915" s="1"/>
  <c r="G915" s="1"/>
  <c r="G921" s="1"/>
  <c r="E996"/>
  <c r="G996" s="1"/>
  <c r="G1001" s="1"/>
  <c r="E968" s="1"/>
  <c r="G968" s="1"/>
  <c r="G974" s="1"/>
  <c r="G1049"/>
  <c r="G1054" s="1"/>
  <c r="E1021" s="1"/>
  <c r="G1021" s="1"/>
  <c r="G1027" s="1"/>
  <c r="E1102"/>
  <c r="G1102" s="1"/>
  <c r="G1107" s="1"/>
  <c r="E1074" s="1"/>
  <c r="G1074" s="1"/>
  <c r="G1080" s="1"/>
  <c r="E1420"/>
  <c r="G1420" s="1"/>
  <c r="G1425" s="1"/>
  <c r="E1392" s="1"/>
  <c r="G1392" s="1"/>
  <c r="G1398" s="1"/>
  <c r="E1473"/>
  <c r="G1473" s="1"/>
  <c r="G1478" s="1"/>
  <c r="E1445" s="1"/>
  <c r="G1445" s="1"/>
  <c r="G1451" s="1"/>
  <c r="E42" i="19"/>
  <c r="G42" s="1"/>
  <c r="G47" s="1"/>
  <c r="E14" s="1"/>
  <c r="G14" s="1"/>
  <c r="G20" s="1"/>
  <c r="E148"/>
  <c r="G148" s="1"/>
  <c r="G153" s="1"/>
  <c r="E120" s="1"/>
  <c r="G120" s="1"/>
  <c r="G126" s="1"/>
  <c r="E254"/>
  <c r="G254" s="1"/>
  <c r="G259" s="1"/>
  <c r="E226" s="1"/>
  <c r="G226" s="1"/>
  <c r="G232" s="1"/>
  <c r="E360"/>
  <c r="G360" s="1"/>
  <c r="G365" s="1"/>
  <c r="E332" s="1"/>
  <c r="G332" s="1"/>
  <c r="G338" s="1"/>
  <c r="E466"/>
  <c r="G466" s="1"/>
  <c r="G471" s="1"/>
  <c r="E438" s="1"/>
  <c r="G438" s="1"/>
  <c r="G444" s="1"/>
  <c r="E623"/>
  <c r="G623" s="1"/>
  <c r="G628" s="1"/>
  <c r="E596" s="1"/>
  <c r="G596" s="1"/>
  <c r="G602" s="1"/>
  <c r="E675"/>
  <c r="G675" s="1"/>
  <c r="G680" s="1"/>
  <c r="E648" s="1"/>
  <c r="G648" s="1"/>
  <c r="G654" s="1"/>
  <c r="E727"/>
  <c r="G727" s="1"/>
  <c r="G732" s="1"/>
  <c r="E700" s="1"/>
  <c r="G700" s="1"/>
  <c r="G706" s="1"/>
  <c r="E777"/>
  <c r="G777" s="1"/>
  <c r="G782" s="1"/>
  <c r="E752" s="1"/>
  <c r="G752" s="1"/>
  <c r="G758" s="1"/>
  <c r="E829"/>
  <c r="G829" s="1"/>
  <c r="G833" s="1"/>
  <c r="E802" s="1"/>
  <c r="G802" s="1"/>
  <c r="G808" s="1"/>
  <c r="E878"/>
  <c r="G878" s="1"/>
  <c r="G883" s="1"/>
  <c r="E853" s="1"/>
  <c r="G853" s="1"/>
  <c r="G859" s="1"/>
  <c r="E930"/>
  <c r="G930" s="1"/>
  <c r="G935" s="1"/>
  <c r="E903" s="1"/>
  <c r="G903" s="1"/>
  <c r="G909" s="1"/>
  <c r="E200" i="18"/>
  <c r="G200" s="1"/>
  <c r="G205" s="1"/>
  <c r="E173" s="1"/>
  <c r="G173" s="1"/>
  <c r="G178" s="1"/>
  <c r="E304"/>
  <c r="G304" s="1"/>
  <c r="G309" s="1"/>
  <c r="E277" s="1"/>
  <c r="G277" s="1"/>
  <c r="G282" s="1"/>
  <c r="E569"/>
  <c r="G569" s="1"/>
  <c r="G574" s="1"/>
  <c r="E541" s="1"/>
  <c r="G541" s="1"/>
  <c r="G547" s="1"/>
  <c r="G583" s="1"/>
  <c r="E254" i="6"/>
  <c r="G254" s="1"/>
  <c r="G259" s="1"/>
  <c r="E226" s="1"/>
  <c r="G226" s="1"/>
  <c r="G232" s="1"/>
  <c r="G268" s="1"/>
  <c r="E1102"/>
  <c r="G1102" s="1"/>
  <c r="G1107" s="1"/>
  <c r="E1074" s="1"/>
  <c r="G1074" s="1"/>
  <c r="G1080" s="1"/>
  <c r="G1116" s="1"/>
  <c r="E1938"/>
  <c r="G1938" s="1"/>
  <c r="G1943" s="1"/>
  <c r="E1911" s="1"/>
  <c r="G1911" s="1"/>
  <c r="G1916" s="1"/>
  <c r="G1952" s="1"/>
  <c r="G1953" s="1"/>
  <c r="G1954" s="1"/>
  <c r="E101" i="34" s="1"/>
  <c r="E148" i="12"/>
  <c r="G148" s="1"/>
  <c r="G153" s="1"/>
  <c r="E120" s="1"/>
  <c r="G120" s="1"/>
  <c r="G126" s="1"/>
  <c r="G162" s="1"/>
  <c r="G163" s="1"/>
  <c r="G164" s="1"/>
  <c r="E25" i="34" s="1"/>
  <c r="E516" i="18"/>
  <c r="G516" s="1"/>
  <c r="G521" s="1"/>
  <c r="E488" s="1"/>
  <c r="G488" s="1"/>
  <c r="G494" s="1"/>
  <c r="G530" s="1"/>
  <c r="G531" s="1"/>
  <c r="G532" s="1"/>
  <c r="E128" i="34" s="1"/>
  <c r="E731" i="6"/>
  <c r="G731" s="1"/>
  <c r="G736" s="1"/>
  <c r="E703" s="1"/>
  <c r="G703" s="1"/>
  <c r="G709" s="1"/>
  <c r="G745" s="1"/>
  <c r="G746" s="1"/>
  <c r="G747" s="1"/>
  <c r="E1470"/>
  <c r="G1470" s="1"/>
  <c r="G1475" s="1"/>
  <c r="E1443" s="1"/>
  <c r="G1443" s="1"/>
  <c r="G1448" s="1"/>
  <c r="G1484" s="1"/>
  <c r="E2305"/>
  <c r="G2305" s="1"/>
  <c r="G2310" s="1"/>
  <c r="E2277" s="1"/>
  <c r="G2277" s="1"/>
  <c r="G2283" s="1"/>
  <c r="G2319" s="1"/>
  <c r="E307" i="12"/>
  <c r="G307" s="1"/>
  <c r="G312" s="1"/>
  <c r="E279" s="1"/>
  <c r="G279" s="1"/>
  <c r="G285" s="1"/>
  <c r="G321" s="1"/>
  <c r="G322" s="1"/>
  <c r="G323" s="1"/>
  <c r="E28" i="34" s="1"/>
  <c r="E1894" i="12"/>
  <c r="G1894" s="1"/>
  <c r="G1899" s="1"/>
  <c r="E1866" s="1"/>
  <c r="G1866" s="1"/>
  <c r="G1872" s="1"/>
  <c r="G1908" s="1"/>
  <c r="G1909" s="1"/>
  <c r="G1910" s="1"/>
  <c r="E58" i="34" s="1"/>
  <c r="E2722" i="6"/>
  <c r="G2722" s="1"/>
  <c r="G2725" s="1"/>
  <c r="E2694" s="1"/>
  <c r="G2694" s="1"/>
  <c r="G2700" s="1"/>
  <c r="G2733" s="1"/>
  <c r="E352" i="37"/>
  <c r="G352" s="1"/>
  <c r="G355" s="1"/>
  <c r="E327" s="1"/>
  <c r="G327" s="1"/>
  <c r="G333" s="1"/>
  <c r="E572" i="3"/>
  <c r="G572" s="1"/>
  <c r="G577" s="1"/>
  <c r="E544" s="1"/>
  <c r="G544" s="1"/>
  <c r="G550" s="1"/>
  <c r="E307"/>
  <c r="G307" s="1"/>
  <c r="G312" s="1"/>
  <c r="E279" s="1"/>
  <c r="G279" s="1"/>
  <c r="G285" s="1"/>
  <c r="E1367"/>
  <c r="G1367" s="1"/>
  <c r="G1372" s="1"/>
  <c r="E678" i="6"/>
  <c r="G678" s="1"/>
  <c r="G683" s="1"/>
  <c r="E650" s="1"/>
  <c r="G650" s="1"/>
  <c r="G656" s="1"/>
  <c r="G692" s="1"/>
  <c r="E2358"/>
  <c r="G2358" s="1"/>
  <c r="G2363" s="1"/>
  <c r="E2330" s="1"/>
  <c r="G2330" s="1"/>
  <c r="G2336" s="1"/>
  <c r="G2372" s="1"/>
  <c r="G781" i="12"/>
  <c r="G786" s="1"/>
  <c r="E753" s="1"/>
  <c r="G753" s="1"/>
  <c r="G759" s="1"/>
  <c r="G795" s="1"/>
  <c r="G796" s="1"/>
  <c r="G797" s="1"/>
  <c r="E37" i="34" s="1"/>
  <c r="E2156" i="12"/>
  <c r="G2156" s="1"/>
  <c r="E1575" i="3"/>
  <c r="G1575" s="1"/>
  <c r="G1578" s="1"/>
  <c r="E413" i="27"/>
  <c r="G413" s="1"/>
  <c r="G418" s="1"/>
  <c r="E385" s="1"/>
  <c r="G385" s="1"/>
  <c r="G391" s="1"/>
  <c r="G427" s="1"/>
  <c r="G428" s="1"/>
  <c r="G429" s="1"/>
  <c r="E364" i="34" s="1"/>
  <c r="E148" i="25"/>
  <c r="G148" s="1"/>
  <c r="G153" s="1"/>
  <c r="E120" s="1"/>
  <c r="G120" s="1"/>
  <c r="G126" s="1"/>
  <c r="G162" s="1"/>
  <c r="G163" s="1"/>
  <c r="G164" s="1"/>
  <c r="E324" i="34" s="1"/>
  <c r="E1631" i="25"/>
  <c r="G1631" s="1"/>
  <c r="G1636" s="1"/>
  <c r="E1603" s="1"/>
  <c r="G1603" s="1"/>
  <c r="G1609" s="1"/>
  <c r="G1645" s="1"/>
  <c r="E571" i="28"/>
  <c r="G571" s="1"/>
  <c r="G576" s="1"/>
  <c r="E543" s="1"/>
  <c r="G543" s="1"/>
  <c r="G549" s="1"/>
  <c r="G585" s="1"/>
  <c r="G586" s="1"/>
  <c r="G587" s="1"/>
  <c r="E290" i="34" s="1"/>
  <c r="E254" i="27"/>
  <c r="G254" s="1"/>
  <c r="G259" s="1"/>
  <c r="E226" s="1"/>
  <c r="G226" s="1"/>
  <c r="G232" s="1"/>
  <c r="G268" s="1"/>
  <c r="G269" s="1"/>
  <c r="G270" s="1"/>
  <c r="E361" i="34" s="1"/>
  <c r="E2411" i="6"/>
  <c r="G2411" s="1"/>
  <c r="G2416" s="1"/>
  <c r="E2383" s="1"/>
  <c r="G2383" s="1"/>
  <c r="G2389" s="1"/>
  <c r="G2425" s="1"/>
  <c r="E569" i="12"/>
  <c r="G569" s="1"/>
  <c r="G574" s="1"/>
  <c r="E541" s="1"/>
  <c r="G541" s="1"/>
  <c r="G547" s="1"/>
  <c r="G583" s="1"/>
  <c r="G584" s="1"/>
  <c r="G585" s="1"/>
  <c r="E33" i="34" s="1"/>
  <c r="E2000" i="12"/>
  <c r="G2000" s="1"/>
  <c r="G2005" s="1"/>
  <c r="E1972" s="1"/>
  <c r="G1972" s="1"/>
  <c r="G1978" s="1"/>
  <c r="G2014" s="1"/>
  <c r="G2015" s="1"/>
  <c r="G2016" s="1"/>
  <c r="E60" i="34" s="1"/>
  <c r="E1730" i="6"/>
  <c r="G1730" s="1"/>
  <c r="G1735" s="1"/>
  <c r="E1703" s="1"/>
  <c r="G1703" s="1"/>
  <c r="G1708" s="1"/>
  <c r="G1744" s="1"/>
  <c r="E728" i="12"/>
  <c r="G728" s="1"/>
  <c r="G733" s="1"/>
  <c r="E700" s="1"/>
  <c r="G700" s="1"/>
  <c r="G706" s="1"/>
  <c r="G742" s="1"/>
  <c r="E42" i="17"/>
  <c r="G42" s="1"/>
  <c r="G47" s="1"/>
  <c r="E15" s="1"/>
  <c r="G15" s="1"/>
  <c r="G20" s="1"/>
  <c r="G56" s="1"/>
  <c r="E466"/>
  <c r="G466" s="1"/>
  <c r="G471" s="1"/>
  <c r="E439" s="1"/>
  <c r="G439" s="1"/>
  <c r="G444" s="1"/>
  <c r="G480" s="1"/>
  <c r="E2633" i="6"/>
  <c r="G2633" s="1"/>
  <c r="G2635" s="1"/>
  <c r="E1947" i="12"/>
  <c r="G1947" s="1"/>
  <c r="G1952" s="1"/>
  <c r="E1919" s="1"/>
  <c r="G1919" s="1"/>
  <c r="G1925" s="1"/>
  <c r="G1961" s="1"/>
  <c r="E2580" i="6"/>
  <c r="G2580" s="1"/>
  <c r="G2582" s="1"/>
  <c r="E519" i="17"/>
  <c r="G519" s="1"/>
  <c r="G524" s="1"/>
  <c r="E492" s="1"/>
  <c r="G492" s="1"/>
  <c r="G497" s="1"/>
  <c r="G533" s="1"/>
  <c r="G534" s="1"/>
  <c r="G535" s="1"/>
  <c r="E201" i="27"/>
  <c r="G201" s="1"/>
  <c r="G206" s="1"/>
  <c r="E173" s="1"/>
  <c r="G173" s="1"/>
  <c r="G179" s="1"/>
  <c r="G215" s="1"/>
  <c r="G216" s="1"/>
  <c r="G217" s="1"/>
  <c r="E360" i="34" s="1"/>
  <c r="E731" i="25"/>
  <c r="G731" s="1"/>
  <c r="G736" s="1"/>
  <c r="E703" s="1"/>
  <c r="G703" s="1"/>
  <c r="G709" s="1"/>
  <c r="G745" s="1"/>
  <c r="E731" i="26"/>
  <c r="G731" s="1"/>
  <c r="G736" s="1"/>
  <c r="E703" s="1"/>
  <c r="G703" s="1"/>
  <c r="G709" s="1"/>
  <c r="G745" s="1"/>
  <c r="E466" i="27"/>
  <c r="G466" s="1"/>
  <c r="G471" s="1"/>
  <c r="E438" s="1"/>
  <c r="G438" s="1"/>
  <c r="G444" s="1"/>
  <c r="G480" s="1"/>
  <c r="E513" i="30"/>
  <c r="G513" s="1"/>
  <c r="E448" i="37"/>
  <c r="G448" s="1"/>
  <c r="G451" s="1"/>
  <c r="E420" s="1"/>
  <c r="G420" s="1"/>
  <c r="G426" s="1"/>
  <c r="E307" i="26"/>
  <c r="G307" s="1"/>
  <c r="G312" s="1"/>
  <c r="E279" s="1"/>
  <c r="G279" s="1"/>
  <c r="G285" s="1"/>
  <c r="G321" s="1"/>
  <c r="G322" s="1"/>
  <c r="G323" s="1"/>
  <c r="E309" i="34" s="1"/>
  <c r="E1154" i="28"/>
  <c r="G1154" s="1"/>
  <c r="G1159" s="1"/>
  <c r="E1126" s="1"/>
  <c r="G1126" s="1"/>
  <c r="G1132" s="1"/>
  <c r="G1168" s="1"/>
  <c r="E2252" i="6"/>
  <c r="G2252" s="1"/>
  <c r="G2257" s="1"/>
  <c r="E2224" s="1"/>
  <c r="G2224" s="1"/>
  <c r="G2230" s="1"/>
  <c r="G2266" s="1"/>
  <c r="E2042"/>
  <c r="G2042" s="1"/>
  <c r="G2047" s="1"/>
  <c r="E2015" s="1"/>
  <c r="G2015" s="1"/>
  <c r="G2020" s="1"/>
  <c r="G2056" s="1"/>
  <c r="G2057" s="1"/>
  <c r="G2058" s="1"/>
  <c r="E103" i="34" s="1"/>
  <c r="E413" i="19"/>
  <c r="G413" s="1"/>
  <c r="G418" s="1"/>
  <c r="E385" s="1"/>
  <c r="G385" s="1"/>
  <c r="G391" s="1"/>
  <c r="E1259" i="3"/>
  <c r="G1259" s="1"/>
  <c r="G1264" s="1"/>
  <c r="E2623" i="6"/>
  <c r="G2623" s="1"/>
  <c r="G2628" s="1"/>
  <c r="E2595" s="1"/>
  <c r="G2595" s="1"/>
  <c r="G2601" s="1"/>
  <c r="G2637" s="1"/>
  <c r="G2638" s="1"/>
  <c r="G2639" s="1"/>
  <c r="E114" i="34" s="1"/>
  <c r="E1523" i="12"/>
  <c r="G1523" s="1"/>
  <c r="G1528" s="1"/>
  <c r="E1495" s="1"/>
  <c r="G1495" s="1"/>
  <c r="G1501" s="1"/>
  <c r="G1537" s="1"/>
  <c r="G1538" s="1"/>
  <c r="G1539" s="1"/>
  <c r="E51" i="34" s="1"/>
  <c r="E1207" i="3"/>
  <c r="G1207" s="1"/>
  <c r="G1212" s="1"/>
  <c r="E1366" i="6"/>
  <c r="G1366" s="1"/>
  <c r="G1371" s="1"/>
  <c r="E1339" s="1"/>
  <c r="G1339" s="1"/>
  <c r="G1344" s="1"/>
  <c r="G1380" s="1"/>
  <c r="E464" i="12"/>
  <c r="G464" s="1"/>
  <c r="G469" s="1"/>
  <c r="E438" s="1"/>
  <c r="G438" s="1"/>
  <c r="G444" s="1"/>
  <c r="G477" s="1"/>
  <c r="E2053"/>
  <c r="G2053" s="1"/>
  <c r="G2058" s="1"/>
  <c r="E2025" s="1"/>
  <c r="G2025" s="1"/>
  <c r="G2031" s="1"/>
  <c r="G2067" s="1"/>
  <c r="G2068" s="1"/>
  <c r="G2069" s="1"/>
  <c r="E61" i="34" s="1"/>
  <c r="E360" i="17"/>
  <c r="G360" s="1"/>
  <c r="G365" s="1"/>
  <c r="E333" s="1"/>
  <c r="G333" s="1"/>
  <c r="G338" s="1"/>
  <c r="G374" s="1"/>
  <c r="E664" i="30"/>
  <c r="G664" s="1"/>
  <c r="G669" s="1"/>
  <c r="E639" s="1"/>
  <c r="G639" s="1"/>
  <c r="G644" s="1"/>
  <c r="G678" s="1"/>
  <c r="G679" s="1"/>
  <c r="G680" s="1"/>
  <c r="E469" i="34" s="1"/>
  <c r="E1261" i="6"/>
  <c r="G1261" s="1"/>
  <c r="G1266" s="1"/>
  <c r="E1233" s="1"/>
  <c r="G1233" s="1"/>
  <c r="G1239" s="1"/>
  <c r="G1275" s="1"/>
  <c r="G1276" s="1"/>
  <c r="G1277" s="1"/>
  <c r="E88" i="34" s="1"/>
  <c r="E254" i="12"/>
  <c r="G254" s="1"/>
  <c r="G259" s="1"/>
  <c r="E226" s="1"/>
  <c r="G226" s="1"/>
  <c r="G232" s="1"/>
  <c r="G268" s="1"/>
  <c r="G269" s="1"/>
  <c r="G270" s="1"/>
  <c r="E27" i="34" s="1"/>
  <c r="E1046" i="12"/>
  <c r="G1046" s="1"/>
  <c r="G1051" s="1"/>
  <c r="E1018" s="1"/>
  <c r="G1018" s="1"/>
  <c r="G1024" s="1"/>
  <c r="G1060" s="1"/>
  <c r="E1788"/>
  <c r="G1788" s="1"/>
  <c r="G1793" s="1"/>
  <c r="E1760" s="1"/>
  <c r="G1760" s="1"/>
  <c r="G1766" s="1"/>
  <c r="G1802" s="1"/>
  <c r="E466" i="6"/>
  <c r="G466" s="1"/>
  <c r="G471" s="1"/>
  <c r="E438" s="1"/>
  <c r="G438" s="1"/>
  <c r="G444" s="1"/>
  <c r="G480" s="1"/>
  <c r="G481" s="1"/>
  <c r="G482" s="1"/>
  <c r="E73" i="34" s="1"/>
  <c r="E1099" i="12"/>
  <c r="G1099" s="1"/>
  <c r="G1104" s="1"/>
  <c r="E1071" s="1"/>
  <c r="G1071" s="1"/>
  <c r="G1077" s="1"/>
  <c r="G1113" s="1"/>
  <c r="E1071" i="30"/>
  <c r="G1071" s="1"/>
  <c r="G1076" s="1"/>
  <c r="E1046" s="1"/>
  <c r="G1046" s="1"/>
  <c r="G1051" s="1"/>
  <c r="G1085" s="1"/>
  <c r="G1086" s="1"/>
  <c r="G1087" s="1"/>
  <c r="E477" i="34" s="1"/>
  <c r="E466" i="26"/>
  <c r="G466" s="1"/>
  <c r="G471" s="1"/>
  <c r="E438" s="1"/>
  <c r="G438" s="1"/>
  <c r="G444" s="1"/>
  <c r="G480" s="1"/>
  <c r="G481" s="1"/>
  <c r="G482" s="1"/>
  <c r="E312" i="34" s="1"/>
  <c r="E518" i="28"/>
  <c r="G518" s="1"/>
  <c r="G523" s="1"/>
  <c r="E490" s="1"/>
  <c r="G490" s="1"/>
  <c r="G496" s="1"/>
  <c r="G532" s="1"/>
  <c r="E2527" i="6"/>
  <c r="G2527" s="1"/>
  <c r="G2529" s="1"/>
  <c r="E622" i="18"/>
  <c r="G622" s="1"/>
  <c r="G627" s="1"/>
  <c r="E594" s="1"/>
  <c r="G594" s="1"/>
  <c r="G600" s="1"/>
  <c r="E731" i="3"/>
  <c r="G731" s="1"/>
  <c r="G736" s="1"/>
  <c r="E703" s="1"/>
  <c r="G703" s="1"/>
  <c r="G709" s="1"/>
  <c r="E413" i="6"/>
  <c r="G413" s="1"/>
  <c r="G418" s="1"/>
  <c r="E385" s="1"/>
  <c r="G385" s="1"/>
  <c r="G391" s="1"/>
  <c r="G427" s="1"/>
  <c r="G428" s="1"/>
  <c r="G429" s="1"/>
  <c r="E72" i="34" s="1"/>
  <c r="E413" i="3"/>
  <c r="G413" s="1"/>
  <c r="G418" s="1"/>
  <c r="E385" s="1"/>
  <c r="G385" s="1"/>
  <c r="G391" s="1"/>
  <c r="E784"/>
  <c r="G784" s="1"/>
  <c r="G789" s="1"/>
  <c r="E756" s="1"/>
  <c r="G756" s="1"/>
  <c r="G762" s="1"/>
  <c r="E519" i="19"/>
  <c r="G519" s="1"/>
  <c r="G524" s="1"/>
  <c r="E491" s="1"/>
  <c r="G491" s="1"/>
  <c r="G497" s="1"/>
  <c r="E980"/>
  <c r="G980" s="1"/>
  <c r="G985" s="1"/>
  <c r="E955" s="1"/>
  <c r="G955" s="1"/>
  <c r="G961" s="1"/>
  <c r="E252" i="18"/>
  <c r="G252" s="1"/>
  <c r="G257" s="1"/>
  <c r="E225" s="1"/>
  <c r="G225" s="1"/>
  <c r="G230" s="1"/>
  <c r="E1155" i="3"/>
  <c r="G1155" s="1"/>
  <c r="G1160" s="1"/>
  <c r="E1127" s="1"/>
  <c r="G1127" s="1"/>
  <c r="G1133" s="1"/>
  <c r="E996" i="27"/>
  <c r="G996" s="1"/>
  <c r="G1001" s="1"/>
  <c r="E968" s="1"/>
  <c r="G968" s="1"/>
  <c r="G974" s="1"/>
  <c r="G1010" s="1"/>
  <c r="E1367"/>
  <c r="G1367" s="1"/>
  <c r="G1372" s="1"/>
  <c r="E1339" s="1"/>
  <c r="G1339" s="1"/>
  <c r="G1345" s="1"/>
  <c r="G1381" s="1"/>
  <c r="G1383" s="1"/>
  <c r="E382" i="34" s="1"/>
  <c r="E1102" i="25"/>
  <c r="G1102" s="1"/>
  <c r="G1107" s="1"/>
  <c r="E1074" s="1"/>
  <c r="G1074" s="1"/>
  <c r="G1080" s="1"/>
  <c r="G1116" s="1"/>
  <c r="E1525"/>
  <c r="G1525" s="1"/>
  <c r="G1530" s="1"/>
  <c r="E1497" s="1"/>
  <c r="G1497" s="1"/>
  <c r="G1503" s="1"/>
  <c r="G1539" s="1"/>
  <c r="E465" i="28"/>
  <c r="G465" s="1"/>
  <c r="G470" s="1"/>
  <c r="E437" s="1"/>
  <c r="G437" s="1"/>
  <c r="G443" s="1"/>
  <c r="G479" s="1"/>
  <c r="G480" s="1"/>
  <c r="G481" s="1"/>
  <c r="E288" i="34" s="1"/>
  <c r="E148" i="27"/>
  <c r="G148" s="1"/>
  <c r="G153" s="1"/>
  <c r="E120" s="1"/>
  <c r="G120" s="1"/>
  <c r="G126" s="1"/>
  <c r="G162" s="1"/>
  <c r="G163" s="1"/>
  <c r="G164" s="1"/>
  <c r="E359" i="34" s="1"/>
  <c r="E630" i="36"/>
  <c r="G630" s="1"/>
  <c r="G634" s="1"/>
  <c r="E601" s="1"/>
  <c r="G601" s="1"/>
  <c r="G607" s="1"/>
  <c r="G643" s="1"/>
  <c r="G644" s="1"/>
  <c r="G645" s="1"/>
  <c r="E483" i="34" s="1"/>
  <c r="E821" i="30"/>
  <c r="G821" s="1"/>
  <c r="G826" s="1"/>
  <c r="E793" s="1"/>
  <c r="G793" s="1"/>
  <c r="G799" s="1"/>
  <c r="G835" s="1"/>
  <c r="E1578" i="25"/>
  <c r="G1578" s="1"/>
  <c r="G1583" s="1"/>
  <c r="E1550" s="1"/>
  <c r="G1550" s="1"/>
  <c r="G1556" s="1"/>
  <c r="G1592" s="1"/>
  <c r="E836" i="28"/>
  <c r="G836" s="1"/>
  <c r="G841" s="1"/>
  <c r="E808" s="1"/>
  <c r="G808" s="1"/>
  <c r="G814" s="1"/>
  <c r="G850" s="1"/>
  <c r="E887" i="18"/>
  <c r="G887" s="1"/>
  <c r="G892" s="1"/>
  <c r="E859" s="1"/>
  <c r="G859" s="1"/>
  <c r="G865" s="1"/>
  <c r="G901" s="1"/>
  <c r="G902" s="1"/>
  <c r="G903" s="1"/>
  <c r="E135" i="34" s="1"/>
  <c r="E410" i="18"/>
  <c r="G410" s="1"/>
  <c r="G415" s="1"/>
  <c r="E382" s="1"/>
  <c r="G382" s="1"/>
  <c r="G388" s="1"/>
  <c r="G424" s="1"/>
  <c r="E95" i="6"/>
  <c r="G95" s="1"/>
  <c r="G100" s="1"/>
  <c r="E67" s="1"/>
  <c r="G67" s="1"/>
  <c r="G73" s="1"/>
  <c r="G109" s="1"/>
  <c r="E1021" i="30"/>
  <c r="G1021" s="1"/>
  <c r="G1026" s="1"/>
  <c r="E996" s="1"/>
  <c r="G996" s="1"/>
  <c r="G1001" s="1"/>
  <c r="G1035" s="1"/>
  <c r="E625" i="25"/>
  <c r="G625" s="1"/>
  <c r="G630" s="1"/>
  <c r="E597" s="1"/>
  <c r="G597" s="1"/>
  <c r="G603" s="1"/>
  <c r="G639" s="1"/>
  <c r="G640" s="1"/>
  <c r="G641" s="1"/>
  <c r="E333" i="34" s="1"/>
  <c r="E625" i="27"/>
  <c r="G625" s="1"/>
  <c r="G630" s="1"/>
  <c r="E597" s="1"/>
  <c r="G597" s="1"/>
  <c r="G603" s="1"/>
  <c r="G639" s="1"/>
  <c r="G640" s="1"/>
  <c r="G641" s="1"/>
  <c r="E368" i="34" s="1"/>
  <c r="E251" i="37"/>
  <c r="G251" s="1"/>
  <c r="G255" s="1"/>
  <c r="E222" s="1"/>
  <c r="G222" s="1"/>
  <c r="G228" s="1"/>
  <c r="E1311" i="12"/>
  <c r="G1311" s="1"/>
  <c r="G1316" s="1"/>
  <c r="E1283" s="1"/>
  <c r="G1283" s="1"/>
  <c r="G1289" s="1"/>
  <c r="G1325" s="1"/>
  <c r="G1326" s="1"/>
  <c r="G1327" s="1"/>
  <c r="E47" i="34" s="1"/>
  <c r="E1205" i="12"/>
  <c r="G1205" s="1"/>
  <c r="G1210" s="1"/>
  <c r="E1177" s="1"/>
  <c r="G1177" s="1"/>
  <c r="G1183" s="1"/>
  <c r="G1219" s="1"/>
  <c r="E1834" i="6"/>
  <c r="G1834" s="1"/>
  <c r="G1839" s="1"/>
  <c r="E1807" s="1"/>
  <c r="G1807" s="1"/>
  <c r="G1812" s="1"/>
  <c r="G1848" s="1"/>
  <c r="E94" i="24"/>
  <c r="G94" s="1"/>
  <c r="G99" s="1"/>
  <c r="E67" s="1"/>
  <c r="G67" s="1"/>
  <c r="G73" s="1"/>
  <c r="G108" s="1"/>
  <c r="G109" s="1"/>
  <c r="G110" s="1"/>
  <c r="E389" i="34" s="1"/>
  <c r="E254" i="26"/>
  <c r="G254" s="1"/>
  <c r="G259" s="1"/>
  <c r="E226" s="1"/>
  <c r="G226" s="1"/>
  <c r="G232" s="1"/>
  <c r="G268" s="1"/>
  <c r="G269" s="1"/>
  <c r="G270" s="1"/>
  <c r="E308" i="34" s="1"/>
  <c r="E307" i="25"/>
  <c r="G307" s="1"/>
  <c r="G312" s="1"/>
  <c r="E279" s="1"/>
  <c r="G279" s="1"/>
  <c r="G285" s="1"/>
  <c r="E675" i="18"/>
  <c r="G675" s="1"/>
  <c r="G680" s="1"/>
  <c r="E647" s="1"/>
  <c r="G647" s="1"/>
  <c r="G653" s="1"/>
  <c r="E463"/>
  <c r="G463" s="1"/>
  <c r="G468" s="1"/>
  <c r="E435" s="1"/>
  <c r="G435" s="1"/>
  <c r="G441" s="1"/>
  <c r="G477" s="1"/>
  <c r="E1684" i="25"/>
  <c r="G1684" s="1"/>
  <c r="G1689" s="1"/>
  <c r="E1656" s="1"/>
  <c r="G1656" s="1"/>
  <c r="G1662" s="1"/>
  <c r="G1698" s="1"/>
  <c r="G1699" s="1"/>
  <c r="G1700" s="1"/>
  <c r="E353" i="34" s="1"/>
  <c r="E942" i="28"/>
  <c r="G942" s="1"/>
  <c r="G947" s="1"/>
  <c r="E914" s="1"/>
  <c r="G914" s="1"/>
  <c r="G920" s="1"/>
  <c r="G956" s="1"/>
  <c r="E1990" i="6"/>
  <c r="G1990" s="1"/>
  <c r="G1995" s="1"/>
  <c r="E1963" s="1"/>
  <c r="G1963" s="1"/>
  <c r="G1968" s="1"/>
  <c r="G2004" s="1"/>
  <c r="G2005" s="1"/>
  <c r="G2006" s="1"/>
  <c r="E102" i="34" s="1"/>
  <c r="E1522" i="6"/>
  <c r="G1522" s="1"/>
  <c r="G1527" s="1"/>
  <c r="E1495" s="1"/>
  <c r="G1495" s="1"/>
  <c r="G1500" s="1"/>
  <c r="G1536" s="1"/>
  <c r="E306" i="24"/>
  <c r="G306" s="1"/>
  <c r="G311" s="1"/>
  <c r="E278" s="1"/>
  <c r="G278" s="1"/>
  <c r="G284" s="1"/>
  <c r="G320" s="1"/>
  <c r="G321" s="1"/>
  <c r="G322" s="1"/>
  <c r="E393" i="34" s="1"/>
  <c r="E1420" i="27"/>
  <c r="G1420" s="1"/>
  <c r="G1425" s="1"/>
  <c r="E1392" s="1"/>
  <c r="G1392" s="1"/>
  <c r="G1398" s="1"/>
  <c r="G1434" s="1"/>
  <c r="G1435" s="1"/>
  <c r="G1436" s="1"/>
  <c r="E383" i="34" s="1"/>
  <c r="E995" i="28"/>
  <c r="G995" s="1"/>
  <c r="G1000" s="1"/>
  <c r="E967" s="1"/>
  <c r="G967" s="1"/>
  <c r="G973" s="1"/>
  <c r="G1009" s="1"/>
  <c r="G1010" s="1"/>
  <c r="G1011" s="1"/>
  <c r="E298" i="34" s="1"/>
  <c r="E201" i="25"/>
  <c r="G201" s="1"/>
  <c r="G206" s="1"/>
  <c r="E173" s="1"/>
  <c r="G173" s="1"/>
  <c r="G179" s="1"/>
  <c r="E577" i="36"/>
  <c r="G577" s="1"/>
  <c r="E1678" i="6"/>
  <c r="G1678" s="1"/>
  <c r="G1683" s="1"/>
  <c r="E1651" s="1"/>
  <c r="G1651" s="1"/>
  <c r="G1656" s="1"/>
  <c r="G1692" s="1"/>
  <c r="G1693" s="1"/>
  <c r="G1694" s="1"/>
  <c r="E96" i="34" s="1"/>
  <c r="E201" i="6"/>
  <c r="G201" s="1"/>
  <c r="G206" s="1"/>
  <c r="E173" s="1"/>
  <c r="G173" s="1"/>
  <c r="G179" s="1"/>
  <c r="G215" s="1"/>
  <c r="G216" s="1"/>
  <c r="G217" s="1"/>
  <c r="E68" i="34" s="1"/>
  <c r="E1470" i="12"/>
  <c r="G1470" s="1"/>
  <c r="G1475" s="1"/>
  <c r="E1442" s="1"/>
  <c r="G1442" s="1"/>
  <c r="G1448" s="1"/>
  <c r="G1484" s="1"/>
  <c r="E2155"/>
  <c r="G2155" s="1"/>
  <c r="G2160" s="1"/>
  <c r="G2168" s="1"/>
  <c r="E678" i="27"/>
  <c r="G678" s="1"/>
  <c r="G683" s="1"/>
  <c r="E650" s="1"/>
  <c r="G650" s="1"/>
  <c r="G656" s="1"/>
  <c r="G692" s="1"/>
  <c r="G693" s="1"/>
  <c r="G694" s="1"/>
  <c r="E369" i="34" s="1"/>
  <c r="E359" i="28"/>
  <c r="G359" s="1"/>
  <c r="G364" s="1"/>
  <c r="E331" s="1"/>
  <c r="G331" s="1"/>
  <c r="G337" s="1"/>
  <c r="G373" s="1"/>
  <c r="E2674" i="6"/>
  <c r="G2674" s="1"/>
  <c r="G2677" s="1"/>
  <c r="E2646" s="1"/>
  <c r="G2646" s="1"/>
  <c r="G2652" s="1"/>
  <c r="G2685" s="1"/>
  <c r="G2686" s="1"/>
  <c r="G2687" s="1"/>
  <c r="E115" i="34" s="1"/>
  <c r="E471" i="36"/>
  <c r="G471" s="1"/>
  <c r="G475" s="1"/>
  <c r="E442" s="1"/>
  <c r="G442" s="1"/>
  <c r="G448" s="1"/>
  <c r="G484" s="1"/>
  <c r="E1472" i="25"/>
  <c r="G1472" s="1"/>
  <c r="G1477" s="1"/>
  <c r="E1444" s="1"/>
  <c r="G1444" s="1"/>
  <c r="G1450" s="1"/>
  <c r="G1486" s="1"/>
  <c r="G1487" s="1"/>
  <c r="G1488" s="1"/>
  <c r="E349" i="34" s="1"/>
  <c r="E834" i="18"/>
  <c r="G834" s="1"/>
  <c r="G839" s="1"/>
  <c r="E806" s="1"/>
  <c r="G806" s="1"/>
  <c r="G812" s="1"/>
  <c r="G848" s="1"/>
  <c r="G849" s="1"/>
  <c r="G850" s="1"/>
  <c r="E134" i="34" s="1"/>
  <c r="G148" i="18"/>
  <c r="G153" s="1"/>
  <c r="E120" s="1"/>
  <c r="G120" s="1"/>
  <c r="G126" s="1"/>
  <c r="E44" i="12"/>
  <c r="G44" s="1"/>
  <c r="G47" s="1"/>
  <c r="E14" s="1"/>
  <c r="G14" s="1"/>
  <c r="G20" s="1"/>
  <c r="G56" s="1"/>
  <c r="G57" s="1"/>
  <c r="G58" s="1"/>
  <c r="E23" i="34" s="1"/>
  <c r="E768" i="30"/>
  <c r="G768" s="1"/>
  <c r="G773" s="1"/>
  <c r="E740" s="1"/>
  <c r="G740" s="1"/>
  <c r="G746" s="1"/>
  <c r="G782" s="1"/>
  <c r="G783" s="1"/>
  <c r="G784" s="1"/>
  <c r="E471" i="34" s="1"/>
  <c r="E996" i="6"/>
  <c r="G996" s="1"/>
  <c r="G1001" s="1"/>
  <c r="E968" s="1"/>
  <c r="G968" s="1"/>
  <c r="G974" s="1"/>
  <c r="G1010" s="1"/>
  <c r="E1841" i="12"/>
  <c r="G1841" s="1"/>
  <c r="G1846" s="1"/>
  <c r="E1813" s="1"/>
  <c r="G1813" s="1"/>
  <c r="G1819" s="1"/>
  <c r="G1855" s="1"/>
  <c r="G1856" s="1"/>
  <c r="G1857" s="1"/>
  <c r="E57" i="34" s="1"/>
  <c r="E2199" i="6"/>
  <c r="G2199" s="1"/>
  <c r="G2204" s="1"/>
  <c r="E2171" s="1"/>
  <c r="G2171" s="1"/>
  <c r="G2177" s="1"/>
  <c r="G2213" s="1"/>
  <c r="G2214" s="1"/>
  <c r="G2215" s="1"/>
  <c r="E106" i="34" s="1"/>
  <c r="E148" i="17"/>
  <c r="G148" s="1"/>
  <c r="G153" s="1"/>
  <c r="E121" s="1"/>
  <c r="G121" s="1"/>
  <c r="G126" s="1"/>
  <c r="G162" s="1"/>
  <c r="G163" s="1"/>
  <c r="G164" s="1"/>
  <c r="E148" i="6"/>
  <c r="G148" s="1"/>
  <c r="G153" s="1"/>
  <c r="E120" s="1"/>
  <c r="G120" s="1"/>
  <c r="G126" s="1"/>
  <c r="G162" s="1"/>
  <c r="E625" i="17"/>
  <c r="G625" s="1"/>
  <c r="G630" s="1"/>
  <c r="E597" s="1"/>
  <c r="G597" s="1"/>
  <c r="G603" s="1"/>
  <c r="G639" s="1"/>
  <c r="G640" s="1"/>
  <c r="G641" s="1"/>
  <c r="E890" i="6"/>
  <c r="G890" s="1"/>
  <c r="G895" s="1"/>
  <c r="E862" s="1"/>
  <c r="G862" s="1"/>
  <c r="G868" s="1"/>
  <c r="G904" s="1"/>
  <c r="E35" i="16"/>
  <c r="E307" i="27"/>
  <c r="G307" s="1"/>
  <c r="G312" s="1"/>
  <c r="E279" s="1"/>
  <c r="G279" s="1"/>
  <c r="G285" s="1"/>
  <c r="G321" s="1"/>
  <c r="G322" s="1"/>
  <c r="G323" s="1"/>
  <c r="E362" i="34" s="1"/>
  <c r="E683" i="36"/>
  <c r="G683" s="1"/>
  <c r="G687" s="1"/>
  <c r="E654" s="1"/>
  <c r="G654" s="1"/>
  <c r="G660" s="1"/>
  <c r="G696" s="1"/>
  <c r="E890" i="3"/>
  <c r="G890" s="1"/>
  <c r="G895" s="1"/>
  <c r="E862" s="1"/>
  <c r="G862" s="1"/>
  <c r="G868" s="1"/>
  <c r="E253" i="24"/>
  <c r="G253" s="1"/>
  <c r="G258" s="1"/>
  <c r="E225" s="1"/>
  <c r="G225" s="1"/>
  <c r="G231" s="1"/>
  <c r="G267" s="1"/>
  <c r="E1049" i="25"/>
  <c r="G1049" s="1"/>
  <c r="G1054" s="1"/>
  <c r="E1021" s="1"/>
  <c r="G1021" s="1"/>
  <c r="G1027" s="1"/>
  <c r="G1063" s="1"/>
  <c r="G1064" s="1"/>
  <c r="G1065" s="1"/>
  <c r="E341" i="34" s="1"/>
  <c r="E1139" i="19"/>
  <c r="G1139" s="1"/>
  <c r="G1144" s="1"/>
  <c r="E1111" s="1"/>
  <c r="G1111" s="1"/>
  <c r="G1117" s="1"/>
  <c r="E148" i="3"/>
  <c r="G148" s="1"/>
  <c r="G153" s="1"/>
  <c r="E120" s="1"/>
  <c r="G120" s="1"/>
  <c r="G126" s="1"/>
  <c r="E42" i="24"/>
  <c r="G42" s="1"/>
  <c r="G47" s="1"/>
  <c r="E14" s="1"/>
  <c r="G14" s="1"/>
  <c r="G20" s="1"/>
  <c r="G56" s="1"/>
  <c r="E1789" i="25"/>
  <c r="G1789" s="1"/>
  <c r="G1794" s="1"/>
  <c r="E1762" s="1"/>
  <c r="G1762" s="1"/>
  <c r="G1768" s="1"/>
  <c r="G1803" s="1"/>
  <c r="G1804" s="1"/>
  <c r="G1805" s="1"/>
  <c r="E355" i="34" s="1"/>
  <c r="E1314" i="27"/>
  <c r="G1314" s="1"/>
  <c r="G1319" s="1"/>
  <c r="E1286" s="1"/>
  <c r="G1286" s="1"/>
  <c r="G1292" s="1"/>
  <c r="G1328" s="1"/>
  <c r="G1329" s="1"/>
  <c r="G1330" s="1"/>
  <c r="E381" i="34" s="1"/>
  <c r="E399" i="37"/>
  <c r="G399" s="1"/>
  <c r="G402" s="1"/>
  <c r="E374" s="1"/>
  <c r="G374" s="1"/>
  <c r="G380" s="1"/>
  <c r="E996" i="25"/>
  <c r="G996" s="1"/>
  <c r="G1001" s="1"/>
  <c r="E968" s="1"/>
  <c r="G968" s="1"/>
  <c r="G974" s="1"/>
  <c r="G1010" s="1"/>
  <c r="E519" i="6"/>
  <c r="G519" s="1"/>
  <c r="G524" s="1"/>
  <c r="E491" s="1"/>
  <c r="G491" s="1"/>
  <c r="G497" s="1"/>
  <c r="G533" s="1"/>
  <c r="E728" i="18"/>
  <c r="G728" s="1"/>
  <c r="G733" s="1"/>
  <c r="E700" s="1"/>
  <c r="G700" s="1"/>
  <c r="G706" s="1"/>
  <c r="E95"/>
  <c r="G95" s="1"/>
  <c r="G100" s="1"/>
  <c r="E67" s="1"/>
  <c r="G67" s="1"/>
  <c r="G73" s="1"/>
  <c r="E2094" i="6"/>
  <c r="G2094" s="1"/>
  <c r="G2099" s="1"/>
  <c r="E2067" s="1"/>
  <c r="G2067" s="1"/>
  <c r="G2072" s="1"/>
  <c r="G2108" s="1"/>
  <c r="E201" i="17"/>
  <c r="G201" s="1"/>
  <c r="G206" s="1"/>
  <c r="E174" s="1"/>
  <c r="G174" s="1"/>
  <c r="G179" s="1"/>
  <c r="G215" s="1"/>
  <c r="E304" i="37"/>
  <c r="G304" s="1"/>
  <c r="G308" s="1"/>
  <c r="E275" s="1"/>
  <c r="G275" s="1"/>
  <c r="G281" s="1"/>
  <c r="E1366" i="25"/>
  <c r="G1366" s="1"/>
  <c r="G1371" s="1"/>
  <c r="E1338" s="1"/>
  <c r="G1338" s="1"/>
  <c r="G1344" s="1"/>
  <c r="G1380" s="1"/>
  <c r="E1368" i="2"/>
  <c r="G1368" s="1"/>
  <c r="G1373" s="1"/>
  <c r="E1340" s="1"/>
  <c r="G1340" s="1"/>
  <c r="G1346" s="1"/>
  <c r="G1382" s="1"/>
  <c r="G1383" s="1"/>
  <c r="G1384" s="1"/>
  <c r="E233" i="34" s="1"/>
  <c r="G516" i="12"/>
  <c r="G521" s="1"/>
  <c r="E488" s="1"/>
  <c r="G488" s="1"/>
  <c r="G494" s="1"/>
  <c r="G530" s="1"/>
  <c r="E571" i="19"/>
  <c r="G571" s="1"/>
  <c r="G576" s="1"/>
  <c r="E544" s="1"/>
  <c r="G544" s="1"/>
  <c r="G550" s="1"/>
  <c r="E1258" i="12"/>
  <c r="G1258" s="1"/>
  <c r="G1263" s="1"/>
  <c r="E1230" s="1"/>
  <c r="G1230" s="1"/>
  <c r="G1236" s="1"/>
  <c r="G1272" s="1"/>
  <c r="G1273" s="1"/>
  <c r="G1274" s="1"/>
  <c r="E46" i="34" s="1"/>
  <c r="E307" i="19"/>
  <c r="G307" s="1"/>
  <c r="G312" s="1"/>
  <c r="E279" s="1"/>
  <c r="G279" s="1"/>
  <c r="G285" s="1"/>
  <c r="E1086"/>
  <c r="G1086" s="1"/>
  <c r="G1091" s="1"/>
  <c r="E1058" s="1"/>
  <c r="G1058" s="1"/>
  <c r="G1064" s="1"/>
  <c r="E887" i="12"/>
  <c r="G887" s="1"/>
  <c r="G892" s="1"/>
  <c r="E859" s="1"/>
  <c r="G859" s="1"/>
  <c r="G865" s="1"/>
  <c r="G901" s="1"/>
  <c r="E87" i="38"/>
  <c r="G87" s="1"/>
  <c r="G90" s="1"/>
  <c r="G97" s="1"/>
  <c r="E42" i="27"/>
  <c r="G42" s="1"/>
  <c r="G47" s="1"/>
  <c r="E14" s="1"/>
  <c r="G14" s="1"/>
  <c r="G20" s="1"/>
  <c r="G56" s="1"/>
  <c r="G57" s="1"/>
  <c r="G58" s="1"/>
  <c r="E357" i="34" s="1"/>
  <c r="E519" i="27"/>
  <c r="G519" s="1"/>
  <c r="G524" s="1"/>
  <c r="E491" s="1"/>
  <c r="G491" s="1"/>
  <c r="G497" s="1"/>
  <c r="G533" s="1"/>
  <c r="G534" s="1"/>
  <c r="G535" s="1"/>
  <c r="E366" i="34" s="1"/>
  <c r="E95" i="25"/>
  <c r="G95" s="1"/>
  <c r="G100" s="1"/>
  <c r="E67" s="1"/>
  <c r="G67" s="1"/>
  <c r="G73" s="1"/>
  <c r="G109" s="1"/>
  <c r="G110" s="1"/>
  <c r="G111" s="1"/>
  <c r="E323" i="34" s="1"/>
  <c r="E360" i="26"/>
  <c r="G360" s="1"/>
  <c r="G365" s="1"/>
  <c r="E332" s="1"/>
  <c r="G332" s="1"/>
  <c r="G338" s="1"/>
  <c r="G374" s="1"/>
  <c r="G375" s="1"/>
  <c r="G376" s="1"/>
  <c r="E310" i="34" s="1"/>
  <c r="E943" i="27"/>
  <c r="G943" s="1"/>
  <c r="G948" s="1"/>
  <c r="E915" s="1"/>
  <c r="G915" s="1"/>
  <c r="G921" s="1"/>
  <c r="G957" s="1"/>
  <c r="G958" s="1"/>
  <c r="G959" s="1"/>
  <c r="E374" i="34" s="1"/>
  <c r="E784" i="26"/>
  <c r="G784" s="1"/>
  <c r="G789" s="1"/>
  <c r="E756" s="1"/>
  <c r="G756" s="1"/>
  <c r="G762" s="1"/>
  <c r="G798" s="1"/>
  <c r="G799" s="1"/>
  <c r="G800" s="1"/>
  <c r="E318" i="34" s="1"/>
  <c r="E1626" i="6"/>
  <c r="G1626" s="1"/>
  <c r="G1631" s="1"/>
  <c r="E1599" s="1"/>
  <c r="G1599" s="1"/>
  <c r="G1604" s="1"/>
  <c r="G1640" s="1"/>
  <c r="E1155"/>
  <c r="G1155" s="1"/>
  <c r="G1160" s="1"/>
  <c r="E1127" s="1"/>
  <c r="G1127" s="1"/>
  <c r="G1133" s="1"/>
  <c r="G1169" s="1"/>
  <c r="G1170" s="1"/>
  <c r="G1171" s="1"/>
  <c r="E86" i="34" s="1"/>
  <c r="E36" i="16"/>
  <c r="E360" i="12"/>
  <c r="G360" s="1"/>
  <c r="G365" s="1"/>
  <c r="E332" s="1"/>
  <c r="G332" s="1"/>
  <c r="G338" s="1"/>
  <c r="G374" s="1"/>
  <c r="E890" i="27"/>
  <c r="G890" s="1"/>
  <c r="G895" s="1"/>
  <c r="E862" s="1"/>
  <c r="G862" s="1"/>
  <c r="G868" s="1"/>
  <c r="G904" s="1"/>
  <c r="E360" i="25"/>
  <c r="G360" s="1"/>
  <c r="G365" s="1"/>
  <c r="E332" s="1"/>
  <c r="G332" s="1"/>
  <c r="G338" s="1"/>
  <c r="E199" i="37"/>
  <c r="G199" s="1"/>
  <c r="G202" s="1"/>
  <c r="E170" s="1"/>
  <c r="G170" s="1"/>
  <c r="G176" s="1"/>
  <c r="G211" s="1"/>
  <c r="G212" s="1"/>
  <c r="G213" s="1"/>
  <c r="E42" i="25"/>
  <c r="G42" s="1"/>
  <c r="G47" s="1"/>
  <c r="E14" s="1"/>
  <c r="G14" s="1"/>
  <c r="G20" s="1"/>
  <c r="G56" s="1"/>
  <c r="E95" i="37"/>
  <c r="G95" s="1"/>
  <c r="G98" s="1"/>
  <c r="E66" s="1"/>
  <c r="G66" s="1"/>
  <c r="G72" s="1"/>
  <c r="G107" s="1"/>
  <c r="E678" i="26"/>
  <c r="G678" s="1"/>
  <c r="G683" s="1"/>
  <c r="E650" s="1"/>
  <c r="G650" s="1"/>
  <c r="G656" s="1"/>
  <c r="G692" s="1"/>
  <c r="E1576" i="12"/>
  <c r="G1576" s="1"/>
  <c r="G1581" s="1"/>
  <c r="E1548" s="1"/>
  <c r="G1548" s="1"/>
  <c r="G1554" s="1"/>
  <c r="G1590" s="1"/>
  <c r="G1591" s="1"/>
  <c r="G1592" s="1"/>
  <c r="E52" i="34" s="1"/>
  <c r="E625" i="6"/>
  <c r="G625" s="1"/>
  <c r="G630" s="1"/>
  <c r="E597" s="1"/>
  <c r="G597" s="1"/>
  <c r="G603" s="1"/>
  <c r="G639" s="1"/>
  <c r="E572" i="17"/>
  <c r="G572" s="1"/>
  <c r="G577" s="1"/>
  <c r="E545" s="1"/>
  <c r="G545" s="1"/>
  <c r="G550" s="1"/>
  <c r="G586" s="1"/>
  <c r="G587" s="1"/>
  <c r="G588" s="1"/>
  <c r="E1364" i="12"/>
  <c r="G1364" s="1"/>
  <c r="G1369" s="1"/>
  <c r="E1336" s="1"/>
  <c r="G1336" s="1"/>
  <c r="G1342" s="1"/>
  <c r="G1378" s="1"/>
  <c r="G1379" s="1"/>
  <c r="G1380" s="1"/>
  <c r="E48" i="34" s="1"/>
  <c r="E2106" i="12"/>
  <c r="G2106" s="1"/>
  <c r="G2111" s="1"/>
  <c r="E2078" s="1"/>
  <c r="G2078" s="1"/>
  <c r="G2084" s="1"/>
  <c r="G2120" s="1"/>
  <c r="G2121" s="1"/>
  <c r="G2122" s="1"/>
  <c r="E62" i="34" s="1"/>
  <c r="E357" i="18"/>
  <c r="G357" s="1"/>
  <c r="G362" s="1"/>
  <c r="E329" s="1"/>
  <c r="G329" s="1"/>
  <c r="G335" s="1"/>
  <c r="G371" s="1"/>
  <c r="G372" s="1"/>
  <c r="G373" s="1"/>
  <c r="E125" i="34" s="1"/>
  <c r="E1886" i="6"/>
  <c r="G1886" s="1"/>
  <c r="G1891" s="1"/>
  <c r="E1859" s="1"/>
  <c r="G1859" s="1"/>
  <c r="G1864" s="1"/>
  <c r="G1900" s="1"/>
  <c r="E889" i="28"/>
  <c r="G889" s="1"/>
  <c r="G894" s="1"/>
  <c r="E861" s="1"/>
  <c r="G861" s="1"/>
  <c r="G867" s="1"/>
  <c r="G903" s="1"/>
  <c r="G904" s="1"/>
  <c r="G905" s="1"/>
  <c r="E296" i="34" s="1"/>
  <c r="E1528" i="27"/>
  <c r="G1528" s="1"/>
  <c r="G1533" s="1"/>
  <c r="E1500" s="1"/>
  <c r="G1500" s="1"/>
  <c r="G1506" s="1"/>
  <c r="G1542" s="1"/>
  <c r="G1543" s="1"/>
  <c r="G1544" s="1"/>
  <c r="E385" i="34" s="1"/>
  <c r="E461" i="30"/>
  <c r="G461" s="1"/>
  <c r="G463" s="1"/>
  <c r="E431" s="1"/>
  <c r="G431" s="1"/>
  <c r="G436" s="1"/>
  <c r="G472" s="1"/>
  <c r="G473" s="1"/>
  <c r="G474" s="1"/>
  <c r="E465" i="34" s="1"/>
  <c r="G1313" i="25"/>
  <c r="G1318" s="1"/>
  <c r="E412" i="28"/>
  <c r="G412" s="1"/>
  <c r="G417" s="1"/>
  <c r="E384" s="1"/>
  <c r="G384" s="1"/>
  <c r="G390" s="1"/>
  <c r="G426" s="1"/>
  <c r="G427" s="1"/>
  <c r="G428" s="1"/>
  <c r="E287" i="34" s="1"/>
  <c r="E1314" i="2"/>
  <c r="G1314" s="1"/>
  <c r="G1319" s="1"/>
  <c r="E1286" s="1"/>
  <c r="G1286" s="1"/>
  <c r="G1292" s="1"/>
  <c r="G1328" s="1"/>
  <c r="G1329" s="1"/>
  <c r="G1330" s="1"/>
  <c r="E232" i="34" s="1"/>
  <c r="E2517" i="6"/>
  <c r="G2517" s="1"/>
  <c r="G2522" s="1"/>
  <c r="E2489" s="1"/>
  <c r="G2489" s="1"/>
  <c r="G2495" s="1"/>
  <c r="G2531" s="1"/>
  <c r="E95" i="26"/>
  <c r="G95" s="1"/>
  <c r="G100" s="1"/>
  <c r="E67" s="1"/>
  <c r="G67" s="1"/>
  <c r="G73" s="1"/>
  <c r="G109" s="1"/>
  <c r="G110" s="1"/>
  <c r="G111" s="1"/>
  <c r="E305" i="34" s="1"/>
  <c r="E42" i="37"/>
  <c r="G42" s="1"/>
  <c r="G46" s="1"/>
  <c r="E13" s="1"/>
  <c r="G13" s="1"/>
  <c r="G19" s="1"/>
  <c r="E789" i="36"/>
  <c r="G789" s="1"/>
  <c r="G2570" i="6"/>
  <c r="G2575" s="1"/>
  <c r="E2542" s="1"/>
  <c r="G2542" s="1"/>
  <c r="G2548" s="1"/>
  <c r="G2584" s="1"/>
  <c r="E837" i="27"/>
  <c r="G837" s="1"/>
  <c r="G842" s="1"/>
  <c r="E809" s="1"/>
  <c r="G809" s="1"/>
  <c r="G815" s="1"/>
  <c r="G851" s="1"/>
  <c r="G852" s="1"/>
  <c r="G853" s="1"/>
  <c r="E372" i="34" s="1"/>
  <c r="E201" i="12"/>
  <c r="G201" s="1"/>
  <c r="G206" s="1"/>
  <c r="G215" s="1"/>
  <c r="G413" i="17"/>
  <c r="G418" s="1"/>
  <c r="E386" s="1"/>
  <c r="G386" s="1"/>
  <c r="G391" s="1"/>
  <c r="G427" s="1"/>
  <c r="E890" i="26"/>
  <c r="G890" s="1"/>
  <c r="G895" s="1"/>
  <c r="E862" s="1"/>
  <c r="G862" s="1"/>
  <c r="G868" s="1"/>
  <c r="G904" s="1"/>
  <c r="G905" s="1"/>
  <c r="G906" s="1"/>
  <c r="E320" i="34" s="1"/>
  <c r="E1782" i="6"/>
  <c r="G1782" s="1"/>
  <c r="G1787" s="1"/>
  <c r="E1755" s="1"/>
  <c r="G1755" s="1"/>
  <c r="G1760" s="1"/>
  <c r="G1796" s="1"/>
  <c r="G1797" s="1"/>
  <c r="G1798" s="1"/>
  <c r="E98" i="34" s="1"/>
  <c r="E1629" i="12"/>
  <c r="G1629" s="1"/>
  <c r="G1634" s="1"/>
  <c r="E1601" s="1"/>
  <c r="G1601" s="1"/>
  <c r="G1607" s="1"/>
  <c r="G1643" s="1"/>
  <c r="G1644" s="1"/>
  <c r="G1645" s="1"/>
  <c r="E53" i="34" s="1"/>
  <c r="E147" i="24"/>
  <c r="G147" s="1"/>
  <c r="G152" s="1"/>
  <c r="E119" s="1"/>
  <c r="G119" s="1"/>
  <c r="G125" s="1"/>
  <c r="G161" s="1"/>
  <c r="E784" i="27"/>
  <c r="G784" s="1"/>
  <c r="G789" s="1"/>
  <c r="E756" s="1"/>
  <c r="G756" s="1"/>
  <c r="G762" s="1"/>
  <c r="G798" s="1"/>
  <c r="G799" s="1"/>
  <c r="G800" s="1"/>
  <c r="E371" i="34" s="1"/>
  <c r="E409" i="30"/>
  <c r="G409" s="1"/>
  <c r="E625" i="3"/>
  <c r="G625" s="1"/>
  <c r="G630" s="1"/>
  <c r="E597" s="1"/>
  <c r="G597" s="1"/>
  <c r="G603" s="1"/>
  <c r="E2769" i="6"/>
  <c r="G2769" s="1"/>
  <c r="G2772" s="1"/>
  <c r="G2780" s="1"/>
  <c r="E1261" i="27"/>
  <c r="G1261" s="1"/>
  <c r="G1266" s="1"/>
  <c r="E1233" s="1"/>
  <c r="G1233" s="1"/>
  <c r="G1239" s="1"/>
  <c r="G1275" s="1"/>
  <c r="G1276" s="1"/>
  <c r="G1277" s="1"/>
  <c r="E380" i="34" s="1"/>
  <c r="G519" i="26"/>
  <c r="G524" s="1"/>
  <c r="E491" s="1"/>
  <c r="G491" s="1"/>
  <c r="G497" s="1"/>
  <c r="G533" s="1"/>
  <c r="E1102" i="27"/>
  <c r="G1102" s="1"/>
  <c r="G1107" s="1"/>
  <c r="E1074" s="1"/>
  <c r="G1074" s="1"/>
  <c r="G1080" s="1"/>
  <c r="G1116" s="1"/>
  <c r="E943" i="6"/>
  <c r="G943" s="1"/>
  <c r="G948" s="1"/>
  <c r="E915" s="1"/>
  <c r="G915" s="1"/>
  <c r="G921" s="1"/>
  <c r="G957" s="1"/>
  <c r="G958" s="1"/>
  <c r="G959" s="1"/>
  <c r="E82" i="34" s="1"/>
  <c r="E1049" i="6"/>
  <c r="G1049" s="1"/>
  <c r="G1054" s="1"/>
  <c r="E1021" s="1"/>
  <c r="G1021" s="1"/>
  <c r="G1027" s="1"/>
  <c r="G1063" s="1"/>
  <c r="G1064" s="1"/>
  <c r="G1065" s="1"/>
  <c r="E84" i="34" s="1"/>
  <c r="E95" i="17"/>
  <c r="G95" s="1"/>
  <c r="G100" s="1"/>
  <c r="E68" s="1"/>
  <c r="G68" s="1"/>
  <c r="G73" s="1"/>
  <c r="G109" s="1"/>
  <c r="E1049" i="27"/>
  <c r="G1049" s="1"/>
  <c r="G1054" s="1"/>
  <c r="E1021" s="1"/>
  <c r="G1021" s="1"/>
  <c r="G1027" s="1"/>
  <c r="G1063" s="1"/>
  <c r="E783" i="28"/>
  <c r="G783" s="1"/>
  <c r="G788" s="1"/>
  <c r="E755" s="1"/>
  <c r="G755" s="1"/>
  <c r="G761" s="1"/>
  <c r="G797" s="1"/>
  <c r="G798" s="1"/>
  <c r="G799" s="1"/>
  <c r="E294" i="34" s="1"/>
  <c r="E617" i="30"/>
  <c r="G617" s="1"/>
  <c r="E306" i="28"/>
  <c r="G306" s="1"/>
  <c r="G311" s="1"/>
  <c r="E278" s="1"/>
  <c r="G278" s="1"/>
  <c r="G284" s="1"/>
  <c r="G320" s="1"/>
  <c r="G321" s="1"/>
  <c r="G322" s="1"/>
  <c r="E285" i="34" s="1"/>
  <c r="E360" i="6"/>
  <c r="G360" s="1"/>
  <c r="G365" s="1"/>
  <c r="E332" s="1"/>
  <c r="G332" s="1"/>
  <c r="G338" s="1"/>
  <c r="G374" s="1"/>
  <c r="G375" s="1"/>
  <c r="G376" s="1"/>
  <c r="E71" i="34" s="1"/>
  <c r="E921" i="30"/>
  <c r="G921" s="1"/>
  <c r="G926" s="1"/>
  <c r="E896" s="1"/>
  <c r="G896" s="1"/>
  <c r="G901" s="1"/>
  <c r="G935" s="1"/>
  <c r="E1033" i="19"/>
  <c r="G1033" s="1"/>
  <c r="G1038" s="1"/>
  <c r="E1005" s="1"/>
  <c r="G1005" s="1"/>
  <c r="G1011" s="1"/>
  <c r="E678" i="17"/>
  <c r="G678" s="1"/>
  <c r="G683" s="1"/>
  <c r="E650" s="1"/>
  <c r="G650" s="1"/>
  <c r="G656" s="1"/>
  <c r="G692" s="1"/>
  <c r="G693" s="1"/>
  <c r="G694" s="1"/>
  <c r="E736" i="36"/>
  <c r="G736" s="1"/>
  <c r="G740" s="1"/>
  <c r="E707" s="1"/>
  <c r="G707" s="1"/>
  <c r="G713" s="1"/>
  <c r="G749" s="1"/>
  <c r="G750" s="1"/>
  <c r="G751" s="1"/>
  <c r="E485" i="34" s="1"/>
  <c r="E837" i="6"/>
  <c r="G837" s="1"/>
  <c r="G842" s="1"/>
  <c r="E809" s="1"/>
  <c r="G809" s="1"/>
  <c r="G815" s="1"/>
  <c r="G851" s="1"/>
  <c r="G852" s="1"/>
  <c r="G853" s="1"/>
  <c r="E80" i="34" s="1"/>
  <c r="E784" i="6"/>
  <c r="G784" s="1"/>
  <c r="G789" s="1"/>
  <c r="E756" s="1"/>
  <c r="G756" s="1"/>
  <c r="G762" s="1"/>
  <c r="G798" s="1"/>
  <c r="E201" i="19"/>
  <c r="G201" s="1"/>
  <c r="G206" s="1"/>
  <c r="E173" s="1"/>
  <c r="G173" s="1"/>
  <c r="G179" s="1"/>
  <c r="E201" i="3"/>
  <c r="G201" s="1"/>
  <c r="G206" s="1"/>
  <c r="E173" s="1"/>
  <c r="G173" s="1"/>
  <c r="G179" s="1"/>
  <c r="E95" i="19"/>
  <c r="G95" s="1"/>
  <c r="G100" s="1"/>
  <c r="E67" s="1"/>
  <c r="G67" s="1"/>
  <c r="G73" s="1"/>
  <c r="E42" i="18"/>
  <c r="G42" s="1"/>
  <c r="G47" s="1"/>
  <c r="E14" s="1"/>
  <c r="G14" s="1"/>
  <c r="G20" s="1"/>
  <c r="E1312" i="3"/>
  <c r="G1312" s="1"/>
  <c r="G1317" s="1"/>
  <c r="E834" i="12"/>
  <c r="G834" s="1"/>
  <c r="G839" s="1"/>
  <c r="E806" s="1"/>
  <c r="G806" s="1"/>
  <c r="G812" s="1"/>
  <c r="G848" s="1"/>
  <c r="E1121" i="30"/>
  <c r="G1121" s="1"/>
  <c r="G1126" s="1"/>
  <c r="E1096" s="1"/>
  <c r="G1096" s="1"/>
  <c r="G1101" s="1"/>
  <c r="G1135" s="1"/>
  <c r="G1136" s="1"/>
  <c r="G1137" s="1"/>
  <c r="E478" i="34" s="1"/>
  <c r="E95" i="27"/>
  <c r="G95" s="1"/>
  <c r="G100" s="1"/>
  <c r="E67" s="1"/>
  <c r="G67" s="1"/>
  <c r="G73" s="1"/>
  <c r="G109" s="1"/>
  <c r="G110" s="1"/>
  <c r="G111" s="1"/>
  <c r="E358" i="34" s="1"/>
  <c r="E678" i="25"/>
  <c r="G678" s="1"/>
  <c r="G683" s="1"/>
  <c r="E650" s="1"/>
  <c r="G650" s="1"/>
  <c r="G656" s="1"/>
  <c r="G692" s="1"/>
  <c r="E42" i="26"/>
  <c r="G42" s="1"/>
  <c r="G47" s="1"/>
  <c r="E14" s="1"/>
  <c r="G14" s="1"/>
  <c r="G20" s="1"/>
  <c r="G56" s="1"/>
  <c r="E147" i="37"/>
  <c r="G147" s="1"/>
  <c r="G150" s="1"/>
  <c r="E118" s="1"/>
  <c r="G118" s="1"/>
  <c r="G124" s="1"/>
  <c r="G159" s="1"/>
  <c r="G160" s="1"/>
  <c r="G161" s="1"/>
  <c r="E784" i="25"/>
  <c r="G784" s="1"/>
  <c r="G789" s="1"/>
  <c r="E756" s="1"/>
  <c r="G756" s="1"/>
  <c r="G762" s="1"/>
  <c r="G798" s="1"/>
  <c r="G799" s="1"/>
  <c r="G800" s="1"/>
  <c r="E336" i="34" s="1"/>
  <c r="E466" i="3"/>
  <c r="G466" s="1"/>
  <c r="G471" s="1"/>
  <c r="E438" s="1"/>
  <c r="G438" s="1"/>
  <c r="G444" s="1"/>
  <c r="E2464" i="6"/>
  <c r="G2464" s="1"/>
  <c r="G2469" s="1"/>
  <c r="E2436" s="1"/>
  <c r="G2436" s="1"/>
  <c r="G2442" s="1"/>
  <c r="G2478" s="1"/>
  <c r="G2479" s="1"/>
  <c r="G2480" s="1"/>
  <c r="E148" i="28"/>
  <c r="G148" s="1"/>
  <c r="G153" s="1"/>
  <c r="E120" s="1"/>
  <c r="G120" s="1"/>
  <c r="G126" s="1"/>
  <c r="G162" s="1"/>
  <c r="G163" s="1"/>
  <c r="G164" s="1"/>
  <c r="E282" i="34" s="1"/>
  <c r="E895" i="36"/>
  <c r="G895" s="1"/>
  <c r="G898" s="1"/>
  <c r="E866" s="1"/>
  <c r="G866" s="1"/>
  <c r="G872" s="1"/>
  <c r="G907" s="1"/>
  <c r="E42" i="6"/>
  <c r="G42" s="1"/>
  <c r="G47" s="1"/>
  <c r="E14" s="1"/>
  <c r="G14" s="1"/>
  <c r="G20" s="1"/>
  <c r="G56" s="1"/>
  <c r="G57" s="1"/>
  <c r="G58" s="1"/>
  <c r="E65" i="34" s="1"/>
  <c r="E28" i="16"/>
  <c r="E307" i="17"/>
  <c r="G307" s="1"/>
  <c r="G312" s="1"/>
  <c r="E280" s="1"/>
  <c r="G280" s="1"/>
  <c r="G285" s="1"/>
  <c r="G321" s="1"/>
  <c r="E1207" i="28"/>
  <c r="G1207" s="1"/>
  <c r="G1212" s="1"/>
  <c r="E1179" s="1"/>
  <c r="G1179" s="1"/>
  <c r="G1185" s="1"/>
  <c r="G1221" s="1"/>
  <c r="E842" i="36"/>
  <c r="G842" s="1"/>
  <c r="E1418" i="6"/>
  <c r="G1418" s="1"/>
  <c r="G1423" s="1"/>
  <c r="E1391" s="1"/>
  <c r="G1391" s="1"/>
  <c r="G1396" s="1"/>
  <c r="G1432" s="1"/>
  <c r="E1208"/>
  <c r="G1208" s="1"/>
  <c r="G1213" s="1"/>
  <c r="E1180" s="1"/>
  <c r="G1180" s="1"/>
  <c r="G1186" s="1"/>
  <c r="G1222" s="1"/>
  <c r="G1223" s="1"/>
  <c r="G1224" s="1"/>
  <c r="E87" i="34" s="1"/>
  <c r="E993" i="12"/>
  <c r="G993" s="1"/>
  <c r="G998" s="1"/>
  <c r="E965" s="1"/>
  <c r="G965" s="1"/>
  <c r="G971" s="1"/>
  <c r="G1007" s="1"/>
  <c r="E940"/>
  <c r="G940" s="1"/>
  <c r="G945" s="1"/>
  <c r="E912" s="1"/>
  <c r="G912" s="1"/>
  <c r="G918" s="1"/>
  <c r="G954" s="1"/>
  <c r="G955" s="1"/>
  <c r="G956" s="1"/>
  <c r="E40" i="34" s="1"/>
  <c r="E2146" i="6"/>
  <c r="G2146" s="1"/>
  <c r="G2151" s="1"/>
  <c r="E2119" s="1"/>
  <c r="G2119" s="1"/>
  <c r="G2124" s="1"/>
  <c r="G2160" s="1"/>
  <c r="E1314"/>
  <c r="G1314" s="1"/>
  <c r="G1319" s="1"/>
  <c r="E1286" s="1"/>
  <c r="G1286" s="1"/>
  <c r="G1292" s="1"/>
  <c r="G1328" s="1"/>
  <c r="G1329" s="1"/>
  <c r="G1330" s="1"/>
  <c r="E89" i="34" s="1"/>
  <c r="E871" i="30"/>
  <c r="G871" s="1"/>
  <c r="G876" s="1"/>
  <c r="E846" s="1"/>
  <c r="G846" s="1"/>
  <c r="G851" s="1"/>
  <c r="G885" s="1"/>
  <c r="E940" i="18"/>
  <c r="G940" s="1"/>
  <c r="G945" s="1"/>
  <c r="E912" s="1"/>
  <c r="G912" s="1"/>
  <c r="G918" s="1"/>
  <c r="G954" s="1"/>
  <c r="E1574" i="6"/>
  <c r="G1574" s="1"/>
  <c r="G1579" s="1"/>
  <c r="E1547" s="1"/>
  <c r="G1547" s="1"/>
  <c r="G1552" s="1"/>
  <c r="G1588" s="1"/>
  <c r="G1589" s="1"/>
  <c r="G1590" s="1"/>
  <c r="E94" i="34" s="1"/>
  <c r="E837" i="26"/>
  <c r="G837" s="1"/>
  <c r="G842" s="1"/>
  <c r="E809" s="1"/>
  <c r="G809" s="1"/>
  <c r="G815" s="1"/>
  <c r="G851" s="1"/>
  <c r="G852" s="1"/>
  <c r="G853" s="1"/>
  <c r="E319" i="34" s="1"/>
  <c r="E572" i="27"/>
  <c r="G572" s="1"/>
  <c r="G577" s="1"/>
  <c r="E544" s="1"/>
  <c r="G544" s="1"/>
  <c r="G550" s="1"/>
  <c r="G586" s="1"/>
  <c r="G587" s="1"/>
  <c r="G588" s="1"/>
  <c r="E367" i="34" s="1"/>
  <c r="E524" i="36"/>
  <c r="G524" s="1"/>
  <c r="G528" s="1"/>
  <c r="E495" s="1"/>
  <c r="G495" s="1"/>
  <c r="G501" s="1"/>
  <c r="G537" s="1"/>
  <c r="G538" s="1"/>
  <c r="G539" s="1"/>
  <c r="E481" i="34" s="1"/>
  <c r="E466" i="25"/>
  <c r="G466" s="1"/>
  <c r="G471" s="1"/>
  <c r="E438" s="1"/>
  <c r="G438" s="1"/>
  <c r="G444" s="1"/>
  <c r="E413" i="26"/>
  <c r="G413" s="1"/>
  <c r="G418" s="1"/>
  <c r="E385" s="1"/>
  <c r="G385" s="1"/>
  <c r="G391" s="1"/>
  <c r="G427" s="1"/>
  <c r="E42" i="3"/>
  <c r="G42" s="1"/>
  <c r="G47" s="1"/>
  <c r="E14" s="1"/>
  <c r="G14" s="1"/>
  <c r="G20" s="1"/>
  <c r="E572" i="6"/>
  <c r="G572" s="1"/>
  <c r="G577" s="1"/>
  <c r="E544" s="1"/>
  <c r="G544" s="1"/>
  <c r="G550" s="1"/>
  <c r="G586" s="1"/>
  <c r="E307"/>
  <c r="G307" s="1"/>
  <c r="G312" s="1"/>
  <c r="E279" s="1"/>
  <c r="G279" s="1"/>
  <c r="G285" s="1"/>
  <c r="G321" s="1"/>
  <c r="G322" s="1"/>
  <c r="G323" s="1"/>
  <c r="E70" i="34" s="1"/>
  <c r="E1417" i="12"/>
  <c r="G1417" s="1"/>
  <c r="G1422" s="1"/>
  <c r="E1389" s="1"/>
  <c r="G1389" s="1"/>
  <c r="G1395" s="1"/>
  <c r="G1431" s="1"/>
  <c r="E1152"/>
  <c r="G1152" s="1"/>
  <c r="G1157" s="1"/>
  <c r="E1124" s="1"/>
  <c r="G1124" s="1"/>
  <c r="G1130" s="1"/>
  <c r="G1166" s="1"/>
  <c r="G1167" s="1"/>
  <c r="G1168" s="1"/>
  <c r="E44" i="34" s="1"/>
  <c r="E1261" i="25"/>
  <c r="G1261" s="1"/>
  <c r="G1266" s="1"/>
  <c r="E1233" s="1"/>
  <c r="G1233" s="1"/>
  <c r="G1239" s="1"/>
  <c r="G1275" s="1"/>
  <c r="G1277" s="1"/>
  <c r="E345" i="34" s="1"/>
  <c r="E993" i="18"/>
  <c r="G993" s="1"/>
  <c r="G998" s="1"/>
  <c r="E965" s="1"/>
  <c r="G965" s="1"/>
  <c r="G971" s="1"/>
  <c r="G1007" s="1"/>
  <c r="G1008" s="1"/>
  <c r="G1009" s="1"/>
  <c r="E137" i="34" s="1"/>
  <c r="E1735" i="12"/>
  <c r="G1735" s="1"/>
  <c r="G1740" s="1"/>
  <c r="E1707" s="1"/>
  <c r="G1707" s="1"/>
  <c r="G1713" s="1"/>
  <c r="G1749" s="1"/>
  <c r="E254" i="17"/>
  <c r="G254" s="1"/>
  <c r="G259" s="1"/>
  <c r="E227" s="1"/>
  <c r="G227" s="1"/>
  <c r="G232" s="1"/>
  <c r="G268" s="1"/>
  <c r="E1155" i="25"/>
  <c r="G1155" s="1"/>
  <c r="G1160" s="1"/>
  <c r="E1127" s="1"/>
  <c r="G1127" s="1"/>
  <c r="G1133" s="1"/>
  <c r="G1169" s="1"/>
  <c r="G1170" s="1"/>
  <c r="G1171" s="1"/>
  <c r="E343" i="34" s="1"/>
  <c r="E730" i="28"/>
  <c r="G730" s="1"/>
  <c r="G735" s="1"/>
  <c r="E702" s="1"/>
  <c r="G702" s="1"/>
  <c r="G708" s="1"/>
  <c r="G744" s="1"/>
  <c r="G675" i="12"/>
  <c r="G680" s="1"/>
  <c r="E647" s="1"/>
  <c r="G647" s="1"/>
  <c r="G653" s="1"/>
  <c r="G689" s="1"/>
  <c r="E622"/>
  <c r="G622" s="1"/>
  <c r="G627" s="1"/>
  <c r="E594" s="1"/>
  <c r="G594" s="1"/>
  <c r="G600" s="1"/>
  <c r="G636" s="1"/>
  <c r="G637" s="1"/>
  <c r="G638" s="1"/>
  <c r="E34" i="34" s="1"/>
  <c r="G837" i="25"/>
  <c r="G842" s="1"/>
  <c r="E809" s="1"/>
  <c r="G809" s="1"/>
  <c r="G815" s="1"/>
  <c r="G851" s="1"/>
  <c r="G852" s="1"/>
  <c r="G853" s="1"/>
  <c r="E337" i="34" s="1"/>
  <c r="E781" i="18"/>
  <c r="G781" s="1"/>
  <c r="G786" s="1"/>
  <c r="E753" s="1"/>
  <c r="G753" s="1"/>
  <c r="G759" s="1"/>
  <c r="E34" i="16"/>
  <c r="E413" i="12"/>
  <c r="G413" s="1"/>
  <c r="G418" s="1"/>
  <c r="E385" s="1"/>
  <c r="G385" s="1"/>
  <c r="G391" s="1"/>
  <c r="G427" s="1"/>
  <c r="G793" i="29"/>
  <c r="G794" s="1"/>
  <c r="E249" i="34" s="1"/>
  <c r="G163" i="23"/>
  <c r="G164" s="1"/>
  <c r="E397" i="34" s="1"/>
  <c r="G375" i="2"/>
  <c r="G376" s="1"/>
  <c r="E214" i="34" s="1"/>
  <c r="G428" i="23"/>
  <c r="G429"/>
  <c r="E402" i="34" s="1"/>
  <c r="G640" i="1"/>
  <c r="G641" s="1"/>
  <c r="E204" i="34" s="1"/>
  <c r="G269" i="1"/>
  <c r="G270" s="1"/>
  <c r="E197" i="34" s="1"/>
  <c r="G640" i="2"/>
  <c r="G641" s="1"/>
  <c r="E219" i="34" s="1"/>
  <c r="G1010" i="2"/>
  <c r="G1011" s="1"/>
  <c r="E226" i="34" s="1"/>
  <c r="G322" i="2"/>
  <c r="G323" s="1"/>
  <c r="E213" i="34" s="1"/>
  <c r="G1317" i="29"/>
  <c r="G1318" s="1"/>
  <c r="E259" i="34" s="1"/>
  <c r="G322" i="1"/>
  <c r="G323" s="1"/>
  <c r="E198" i="34" s="1"/>
  <c r="G375" i="29"/>
  <c r="G376" s="1"/>
  <c r="E241" i="34" s="1"/>
  <c r="G640" i="23"/>
  <c r="G641" s="1"/>
  <c r="E406" i="34" s="1"/>
  <c r="G1631" i="29"/>
  <c r="G1632" s="1"/>
  <c r="E265" i="34" s="1"/>
  <c r="G160" i="30"/>
  <c r="G161" s="1"/>
  <c r="E459" i="34" s="1"/>
  <c r="G264" i="30"/>
  <c r="G265" s="1"/>
  <c r="E461" i="34" s="1"/>
  <c r="G110" i="22"/>
  <c r="G111" s="1"/>
  <c r="E441" i="34" s="1"/>
  <c r="G57" i="22"/>
  <c r="G58" s="1"/>
  <c r="E440" i="34" s="1"/>
  <c r="G108" i="30"/>
  <c r="G109" s="1"/>
  <c r="E458" i="34" s="1"/>
  <c r="G905" i="21"/>
  <c r="G906" s="1"/>
  <c r="E432" i="34" s="1"/>
  <c r="E843" i="36"/>
  <c r="G843" s="1"/>
  <c r="E790"/>
  <c r="G790" s="1"/>
  <c r="E578"/>
  <c r="G578" s="1"/>
  <c r="G619" i="30"/>
  <c r="E587" s="1"/>
  <c r="G587" s="1"/>
  <c r="G592" s="1"/>
  <c r="G628" s="1"/>
  <c r="G629" s="1"/>
  <c r="G630" s="1"/>
  <c r="E468" i="34" s="1"/>
  <c r="G515" i="30"/>
  <c r="E483" s="1"/>
  <c r="G483" s="1"/>
  <c r="G488" s="1"/>
  <c r="G524" s="1"/>
  <c r="G525" s="1"/>
  <c r="G526" s="1"/>
  <c r="E466" i="34" s="1"/>
  <c r="G411" i="30"/>
  <c r="E378" s="1"/>
  <c r="G378" s="1"/>
  <c r="G384" s="1"/>
  <c r="G420" s="1"/>
  <c r="G46"/>
  <c r="E14" s="1"/>
  <c r="G14" s="1"/>
  <c r="G19" s="1"/>
  <c r="G55" s="1"/>
  <c r="G56" s="1"/>
  <c r="G57" s="1"/>
  <c r="E457" i="34" s="1"/>
  <c r="G259" i="21"/>
  <c r="E226" s="1"/>
  <c r="G226" s="1"/>
  <c r="G232" s="1"/>
  <c r="G268" s="1"/>
  <c r="G789"/>
  <c r="E756" s="1"/>
  <c r="G756" s="1"/>
  <c r="G762" s="1"/>
  <c r="G798" s="1"/>
  <c r="G799" s="1"/>
  <c r="G800" s="1"/>
  <c r="E430" i="34" s="1"/>
  <c r="G683" i="21"/>
  <c r="E650" s="1"/>
  <c r="G650" s="1"/>
  <c r="G656" s="1"/>
  <c r="G692" s="1"/>
  <c r="G1214"/>
  <c r="E1181" s="1"/>
  <c r="G1181" s="1"/>
  <c r="G1187" s="1"/>
  <c r="G1223" s="1"/>
  <c r="G842"/>
  <c r="E809" s="1"/>
  <c r="G809" s="1"/>
  <c r="G815" s="1"/>
  <c r="G851" s="1"/>
  <c r="G1001"/>
  <c r="E968" s="1"/>
  <c r="G968" s="1"/>
  <c r="G974" s="1"/>
  <c r="G1010" s="1"/>
  <c r="G736"/>
  <c r="E703" s="1"/>
  <c r="G703" s="1"/>
  <c r="G709" s="1"/>
  <c r="G745" s="1"/>
  <c r="G206"/>
  <c r="E173" s="1"/>
  <c r="G173" s="1"/>
  <c r="G179" s="1"/>
  <c r="G215" s="1"/>
  <c r="G216" s="1"/>
  <c r="G217" s="1"/>
  <c r="E419" i="34" s="1"/>
  <c r="G100" i="21"/>
  <c r="E67" s="1"/>
  <c r="G67" s="1"/>
  <c r="G73" s="1"/>
  <c r="G109" s="1"/>
  <c r="G581" i="36" l="1"/>
  <c r="E548" s="1"/>
  <c r="G548" s="1"/>
  <c r="G554" s="1"/>
  <c r="G590" s="1"/>
  <c r="G591" s="1"/>
  <c r="G592" s="1"/>
  <c r="E482" i="34" s="1"/>
  <c r="E1286" i="25"/>
  <c r="G1286" s="1"/>
  <c r="G1292" s="1"/>
  <c r="G1327" s="1"/>
  <c r="G1328" s="1"/>
  <c r="G1329" s="1"/>
  <c r="E346" i="34" s="1"/>
  <c r="G1011" i="21"/>
  <c r="G1012" s="1"/>
  <c r="E434" i="34" s="1"/>
  <c r="G428" i="12"/>
  <c r="G429" s="1"/>
  <c r="E30" i="34" s="1"/>
  <c r="G745" i="28"/>
  <c r="G746" s="1"/>
  <c r="E293" i="34" s="1"/>
  <c r="G2161" i="6"/>
  <c r="G2162" s="1"/>
  <c r="E105" i="34" s="1"/>
  <c r="G1008" i="12"/>
  <c r="G1009" s="1"/>
  <c r="E41" i="34" s="1"/>
  <c r="G1222" i="28"/>
  <c r="G1223" s="1"/>
  <c r="E302" i="34" s="1"/>
  <c r="G908" i="36"/>
  <c r="G909" s="1"/>
  <c r="E488" i="34" s="1"/>
  <c r="G57" i="26"/>
  <c r="G58" s="1"/>
  <c r="E304" i="34" s="1"/>
  <c r="G849" i="12"/>
  <c r="G850" s="1"/>
  <c r="E38" i="34" s="1"/>
  <c r="G1117" i="27"/>
  <c r="G1118" s="1"/>
  <c r="E377" i="34" s="1"/>
  <c r="G2585" i="6"/>
  <c r="G2586" s="1"/>
  <c r="G2532"/>
  <c r="G2533" s="1"/>
  <c r="E112" i="34" s="1"/>
  <c r="G640" i="6"/>
  <c r="G641" s="1"/>
  <c r="E76" i="34" s="1"/>
  <c r="G693" i="26"/>
  <c r="G694" s="1"/>
  <c r="E316" i="34" s="1"/>
  <c r="G1381" i="25"/>
  <c r="G1382" s="1"/>
  <c r="E347" i="34" s="1"/>
  <c r="G216" i="17"/>
  <c r="G217" s="1"/>
  <c r="G534" i="6"/>
  <c r="G535" s="1"/>
  <c r="E74" i="34" s="1"/>
  <c r="G905" i="6"/>
  <c r="G906" s="1"/>
  <c r="E81" i="34" s="1"/>
  <c r="G1011" i="6"/>
  <c r="G1012" s="1"/>
  <c r="E83" i="34" s="1"/>
  <c r="G110" i="21"/>
  <c r="G111" s="1"/>
  <c r="E417" i="34" s="1"/>
  <c r="G746" i="21"/>
  <c r="G747" s="1"/>
  <c r="E429" i="34" s="1"/>
  <c r="G852" i="21"/>
  <c r="G853" s="1"/>
  <c r="E431" i="34" s="1"/>
  <c r="G693" i="21"/>
  <c r="G694" s="1"/>
  <c r="E428" i="34" s="1"/>
  <c r="G269" i="21"/>
  <c r="G270" s="1"/>
  <c r="E420" i="34" s="1"/>
  <c r="G421" i="30"/>
  <c r="G422" s="1"/>
  <c r="E464" i="34" s="1"/>
  <c r="G690" i="12"/>
  <c r="G691" s="1"/>
  <c r="E35" i="34" s="1"/>
  <c r="G1750" i="12"/>
  <c r="G1751" s="1"/>
  <c r="E55" i="34" s="1"/>
  <c r="G1432" i="12"/>
  <c r="G1433" s="1"/>
  <c r="E49" i="34" s="1"/>
  <c r="G587" i="6"/>
  <c r="G588" s="1"/>
  <c r="E75" i="34" s="1"/>
  <c r="G428" i="26"/>
  <c r="G429" s="1"/>
  <c r="E311" i="34" s="1"/>
  <c r="G955" i="18"/>
  <c r="G956" s="1"/>
  <c r="E136" i="34" s="1"/>
  <c r="G322" i="17"/>
  <c r="G323" s="1"/>
  <c r="F235" i="37"/>
  <c r="G235" s="1"/>
  <c r="F288"/>
  <c r="G288" s="1"/>
  <c r="E492" i="34"/>
  <c r="G693" i="25"/>
  <c r="G694" s="1"/>
  <c r="E334" i="34" s="1"/>
  <c r="E1337" i="3"/>
  <c r="G1337" s="1"/>
  <c r="G1344" s="1"/>
  <c r="E1284"/>
  <c r="G1284" s="1"/>
  <c r="G1290" s="1"/>
  <c r="E21" i="34"/>
  <c r="E83" i="31"/>
  <c r="G936" i="30"/>
  <c r="G937" s="1"/>
  <c r="E474" i="34" s="1"/>
  <c r="G110" i="17"/>
  <c r="G111" s="1"/>
  <c r="G534" i="26"/>
  <c r="G535" s="1"/>
  <c r="E313" i="34" s="1"/>
  <c r="G2782" i="6"/>
  <c r="E117" i="34" s="1"/>
  <c r="G2781" i="6"/>
  <c r="G162" i="24"/>
  <c r="G163" s="1"/>
  <c r="E390" i="34" s="1"/>
  <c r="G428" i="17"/>
  <c r="G429" s="1"/>
  <c r="G1901" i="6"/>
  <c r="G1902" s="1"/>
  <c r="E100" i="34" s="1"/>
  <c r="E56" i="31"/>
  <c r="E18" i="34"/>
  <c r="G108" i="37"/>
  <c r="G109" s="1"/>
  <c r="F236"/>
  <c r="G236" s="1"/>
  <c r="F289"/>
  <c r="G289" s="1"/>
  <c r="E493" i="34"/>
  <c r="G905" i="27"/>
  <c r="G906" s="1"/>
  <c r="E373" i="34" s="1"/>
  <c r="G1641" i="6"/>
  <c r="G1642" s="1"/>
  <c r="E95" i="34" s="1"/>
  <c r="G902" i="12"/>
  <c r="G903" s="1"/>
  <c r="E39" i="34" s="1"/>
  <c r="G2109" i="6"/>
  <c r="G2110" s="1"/>
  <c r="E104" i="34" s="1"/>
  <c r="G1012" i="25"/>
  <c r="E340" i="34" s="1"/>
  <c r="G1011" i="25"/>
  <c r="G57" i="24"/>
  <c r="G58" s="1"/>
  <c r="E388" i="34" s="1"/>
  <c r="G268" i="24"/>
  <c r="G269" s="1"/>
  <c r="E392" i="34" s="1"/>
  <c r="G697" i="36"/>
  <c r="G698" s="1"/>
  <c r="E484" i="34" s="1"/>
  <c r="E20"/>
  <c r="E82" i="31"/>
  <c r="E10" i="34"/>
  <c r="E38" i="31"/>
  <c r="F1456" i="3"/>
  <c r="G1456" s="1"/>
  <c r="G1465" s="1"/>
  <c r="G1466" s="1"/>
  <c r="G1467" s="1"/>
  <c r="G1487" s="1"/>
  <c r="F1349"/>
  <c r="G1349" s="1"/>
  <c r="G1485" i="12"/>
  <c r="G1486" s="1"/>
  <c r="E50" i="34" s="1"/>
  <c r="G1537" i="6"/>
  <c r="G1538" s="1"/>
  <c r="E93" i="34" s="1"/>
  <c r="G957" i="28"/>
  <c r="G958" s="1"/>
  <c r="E297" i="34" s="1"/>
  <c r="G478" i="18"/>
  <c r="G479" s="1"/>
  <c r="E127" i="34" s="1"/>
  <c r="G1220" i="12"/>
  <c r="G1221" s="1"/>
  <c r="E45" i="34" s="1"/>
  <c r="G110" i="6"/>
  <c r="G111" s="1"/>
  <c r="E66" i="34" s="1"/>
  <c r="G1593" i="25"/>
  <c r="G1594" s="1"/>
  <c r="E351" i="34" s="1"/>
  <c r="G1117" i="25"/>
  <c r="G1118" s="1"/>
  <c r="E342" i="34" s="1"/>
  <c r="G1011" i="27"/>
  <c r="G1012" s="1"/>
  <c r="E375" i="34" s="1"/>
  <c r="G1114" i="12"/>
  <c r="G1115" s="1"/>
  <c r="E43" i="34" s="1"/>
  <c r="G1803" i="12"/>
  <c r="G1804" s="1"/>
  <c r="E56" i="34" s="1"/>
  <c r="G1381" i="6"/>
  <c r="G1382" s="1"/>
  <c r="E90" i="34" s="1"/>
  <c r="G1169" i="28"/>
  <c r="G1170" s="1"/>
  <c r="E301" i="34" s="1"/>
  <c r="G481" i="27"/>
  <c r="G482" s="1"/>
  <c r="E365" i="34" s="1"/>
  <c r="G746" i="25"/>
  <c r="G747" s="1"/>
  <c r="E335" i="34" s="1"/>
  <c r="E54" i="31"/>
  <c r="E17" i="34"/>
  <c r="G1962" i="12"/>
  <c r="G1963" s="1"/>
  <c r="E59" i="34" s="1"/>
  <c r="G481" i="17"/>
  <c r="G482" s="1"/>
  <c r="G743" i="12"/>
  <c r="G744" s="1"/>
  <c r="E36" i="34" s="1"/>
  <c r="G2426" i="6"/>
  <c r="G2427" s="1"/>
  <c r="E110" i="34" s="1"/>
  <c r="G693" i="6"/>
  <c r="G694" s="1"/>
  <c r="E77" i="34" s="1"/>
  <c r="G2320" i="6"/>
  <c r="G2321" s="1"/>
  <c r="E108" i="34" s="1"/>
  <c r="F717" i="19"/>
  <c r="G717" s="1"/>
  <c r="F613"/>
  <c r="G613" s="1"/>
  <c r="F819"/>
  <c r="G819" s="1"/>
  <c r="E78" i="34"/>
  <c r="F920" i="19"/>
  <c r="G920" s="1"/>
  <c r="F665"/>
  <c r="G665" s="1"/>
  <c r="F561"/>
  <c r="G561" s="1"/>
  <c r="G1117" i="6"/>
  <c r="G1118" s="1"/>
  <c r="E85" i="34" s="1"/>
  <c r="G584" i="18"/>
  <c r="G585" s="1"/>
  <c r="E129" i="34" s="1"/>
  <c r="G639" i="28"/>
  <c r="G640" s="1"/>
  <c r="E291" i="34" s="1"/>
  <c r="G587" i="26"/>
  <c r="G588" s="1"/>
  <c r="E314" i="34" s="1"/>
  <c r="G1434" i="25"/>
  <c r="G1435" s="1"/>
  <c r="E348" i="34" s="1"/>
  <c r="G51" i="38"/>
  <c r="G52" s="1"/>
  <c r="E500" i="34" s="1"/>
  <c r="G375" i="27"/>
  <c r="G376" s="1"/>
  <c r="E363" i="34" s="1"/>
  <c r="G1752" i="25"/>
  <c r="G1753" s="1"/>
  <c r="E354" i="34" s="1"/>
  <c r="G905" i="25"/>
  <c r="G906" s="1"/>
  <c r="E338" i="34" s="1"/>
  <c r="G1170" i="27"/>
  <c r="G1171" s="1"/>
  <c r="E378" i="34" s="1"/>
  <c r="G986" i="30"/>
  <c r="G987" s="1"/>
  <c r="E475" i="34" s="1"/>
  <c r="G846" i="36"/>
  <c r="E813" s="1"/>
  <c r="G813" s="1"/>
  <c r="G819" s="1"/>
  <c r="G855" s="1"/>
  <c r="G793"/>
  <c r="E760" s="1"/>
  <c r="G760" s="1"/>
  <c r="G766" s="1"/>
  <c r="G802" s="1"/>
  <c r="G803" s="1"/>
  <c r="G804" s="1"/>
  <c r="E486" i="34" s="1"/>
  <c r="G1224" i="21"/>
  <c r="G1225" s="1"/>
  <c r="E438" i="34" s="1"/>
  <c r="G269" i="17"/>
  <c r="G270" s="1"/>
  <c r="G886" i="30"/>
  <c r="G887" s="1"/>
  <c r="E473" i="34" s="1"/>
  <c r="G1433" i="6"/>
  <c r="G1434" s="1"/>
  <c r="E91" i="34" s="1"/>
  <c r="F666" i="19"/>
  <c r="G666" s="1"/>
  <c r="F921"/>
  <c r="G921" s="1"/>
  <c r="E111" i="34"/>
  <c r="F820" i="19"/>
  <c r="G820" s="1"/>
  <c r="F562"/>
  <c r="G562" s="1"/>
  <c r="F718"/>
  <c r="G718" s="1"/>
  <c r="G799" i="6"/>
  <c r="G800" s="1"/>
  <c r="E79" i="34" s="1"/>
  <c r="G1064" i="27"/>
  <c r="G1065" s="1"/>
  <c r="E376" i="34" s="1"/>
  <c r="G216" i="12"/>
  <c r="G217" s="1"/>
  <c r="E26" i="34" s="1"/>
  <c r="G57" i="25"/>
  <c r="G58" s="1"/>
  <c r="E322" i="34" s="1"/>
  <c r="G375" i="12"/>
  <c r="G376" s="1"/>
  <c r="E29" i="34" s="1"/>
  <c r="G98" i="38"/>
  <c r="G99" s="1"/>
  <c r="E501" i="34" s="1"/>
  <c r="G531" i="12"/>
  <c r="G532" s="1"/>
  <c r="E32" i="34" s="1"/>
  <c r="G163" i="6"/>
  <c r="G164" s="1"/>
  <c r="E67" i="34" s="1"/>
  <c r="G485" i="36"/>
  <c r="G486" s="1"/>
  <c r="E480" i="34" s="1"/>
  <c r="G374" i="28"/>
  <c r="G375" s="1"/>
  <c r="G2169" i="12"/>
  <c r="G2170"/>
  <c r="E63" i="34" s="1"/>
  <c r="G1849" i="6"/>
  <c r="G1850" s="1"/>
  <c r="E99" i="34" s="1"/>
  <c r="G1036" i="30"/>
  <c r="G1037"/>
  <c r="E476" i="34" s="1"/>
  <c r="G425" i="18"/>
  <c r="G426" s="1"/>
  <c r="E126" i="34" s="1"/>
  <c r="G851" i="28"/>
  <c r="G852" s="1"/>
  <c r="E295" i="34" s="1"/>
  <c r="G836" i="30"/>
  <c r="G837" s="1"/>
  <c r="E472" i="34" s="1"/>
  <c r="G1540" i="25"/>
  <c r="G1541" s="1"/>
  <c r="E350" i="34" s="1"/>
  <c r="G533" i="28"/>
  <c r="G534" s="1"/>
  <c r="E289" i="34" s="1"/>
  <c r="G1061" i="12"/>
  <c r="G1062" s="1"/>
  <c r="E42" i="34" s="1"/>
  <c r="G375" i="17"/>
  <c r="G376" s="1"/>
  <c r="G478" i="12"/>
  <c r="G479" s="1"/>
  <c r="E31" i="34" s="1"/>
  <c r="E1180" i="3"/>
  <c r="G1180" s="1"/>
  <c r="G1187" s="1"/>
  <c r="E1232"/>
  <c r="G1232" s="1"/>
  <c r="G1239" s="1"/>
  <c r="G2267" i="6"/>
  <c r="G2268" s="1"/>
  <c r="E107" i="34" s="1"/>
  <c r="G746" i="26"/>
  <c r="G747" s="1"/>
  <c r="E317" i="34" s="1"/>
  <c r="G57" i="17"/>
  <c r="G58" s="1"/>
  <c r="G1745" i="6"/>
  <c r="G1746" s="1"/>
  <c r="E97" i="34" s="1"/>
  <c r="G1646" i="25"/>
  <c r="G1647" s="1"/>
  <c r="E352" i="34" s="1"/>
  <c r="G2373" i="6"/>
  <c r="G2374" s="1"/>
  <c r="E109" i="34" s="1"/>
  <c r="G2734" i="6"/>
  <c r="G2735" s="1"/>
  <c r="E116" i="34" s="1"/>
  <c r="G1485" i="6"/>
  <c r="G1486" s="1"/>
  <c r="E92" i="34" s="1"/>
  <c r="G269" i="6"/>
  <c r="G270"/>
  <c r="E69" i="34" s="1"/>
  <c r="G216" i="28"/>
  <c r="G217" s="1"/>
  <c r="E283" i="34" s="1"/>
  <c r="G216" i="26"/>
  <c r="G217" s="1"/>
  <c r="E307" i="34" s="1"/>
  <c r="G958" i="25"/>
  <c r="G959" s="1"/>
  <c r="E339" i="34" s="1"/>
  <c r="G1116" i="28"/>
  <c r="G1117" s="1"/>
  <c r="E300" i="34" s="1"/>
  <c r="G163" i="26"/>
  <c r="G164" s="1"/>
  <c r="E306" i="34" s="1"/>
  <c r="G587" i="25"/>
  <c r="G588" s="1"/>
  <c r="E332" i="34" s="1"/>
  <c r="G1489" i="27"/>
  <c r="G1490" s="1"/>
  <c r="E384" i="34" s="1"/>
  <c r="E49" i="31" l="1"/>
  <c r="E14" i="34"/>
  <c r="F234" i="37"/>
  <c r="G234" s="1"/>
  <c r="G242" s="1"/>
  <c r="G243" s="1"/>
  <c r="G244" s="1"/>
  <c r="G264" s="1"/>
  <c r="G265" s="1"/>
  <c r="G266" s="1"/>
  <c r="E494" i="34" s="1"/>
  <c r="E491"/>
  <c r="F287" i="37"/>
  <c r="G287" s="1"/>
  <c r="G295" s="1"/>
  <c r="E286" i="34"/>
  <c r="F1353" i="3"/>
  <c r="G1353" s="1"/>
  <c r="E51" i="31"/>
  <c r="E15" i="34"/>
  <c r="E11"/>
  <c r="E41" i="31"/>
  <c r="F135" i="18" s="1"/>
  <c r="F1510" i="3"/>
  <c r="G1510" s="1"/>
  <c r="G1519" s="1"/>
  <c r="G1520" s="1"/>
  <c r="G1521" s="1"/>
  <c r="G1539" s="1"/>
  <c r="E46" i="31"/>
  <c r="E12" i="34"/>
  <c r="G1488" i="3"/>
  <c r="G1489" s="1"/>
  <c r="E189" i="34" s="1"/>
  <c r="E9"/>
  <c r="E35" i="31"/>
  <c r="F1246" i="3"/>
  <c r="G1246" s="1"/>
  <c r="F29" i="28"/>
  <c r="G29" s="1"/>
  <c r="F82"/>
  <c r="G82" s="1"/>
  <c r="F1194" i="3"/>
  <c r="G1194" s="1"/>
  <c r="F1144"/>
  <c r="G1144" s="1"/>
  <c r="F1091"/>
  <c r="G1091" s="1"/>
  <c r="F1350"/>
  <c r="G1350" s="1"/>
  <c r="E48" i="31"/>
  <c r="E13" i="34"/>
  <c r="F614" i="19"/>
  <c r="G614" s="1"/>
  <c r="E113" i="34"/>
  <c r="E32" i="31"/>
  <c r="E8" i="34"/>
  <c r="E52" i="31"/>
  <c r="E16" i="34"/>
  <c r="F2168" i="29"/>
  <c r="G2168" s="1"/>
  <c r="G2177" s="1"/>
  <c r="G2178" s="1"/>
  <c r="G2179" s="1"/>
  <c r="G2199" s="1"/>
  <c r="G2200" s="1"/>
  <c r="G2201" s="1"/>
  <c r="E276" i="34" s="1"/>
  <c r="G856" i="36"/>
  <c r="G857" s="1"/>
  <c r="E487" i="34" s="1"/>
  <c r="F287" i="18"/>
  <c r="G287" s="1"/>
  <c r="F184" i="25"/>
  <c r="G184" s="1"/>
  <c r="G193" s="1"/>
  <c r="G194" s="1"/>
  <c r="G195" s="1"/>
  <c r="G215" s="1"/>
  <c r="F502"/>
  <c r="G502" s="1"/>
  <c r="G511" s="1"/>
  <c r="F183" i="18"/>
  <c r="G183" s="1"/>
  <c r="F343" i="25"/>
  <c r="G343" s="1"/>
  <c r="G352" s="1"/>
  <c r="F449"/>
  <c r="G449" s="1"/>
  <c r="G458" s="1"/>
  <c r="F78" i="28"/>
  <c r="G78" s="1"/>
  <c r="G87" s="1"/>
  <c r="G88" s="1"/>
  <c r="G89" s="1"/>
  <c r="G109" s="1"/>
  <c r="G110" s="1"/>
  <c r="G111" s="1"/>
  <c r="E281" i="34" s="1"/>
  <c r="F25" i="37"/>
  <c r="G25" s="1"/>
  <c r="G33" s="1"/>
  <c r="G34" s="1"/>
  <c r="G35" s="1"/>
  <c r="G55" s="1"/>
  <c r="F237" i="25"/>
  <c r="G237" s="1"/>
  <c r="G246" s="1"/>
  <c r="F235" i="18"/>
  <c r="G235" s="1"/>
  <c r="F396" i="25"/>
  <c r="G396" s="1"/>
  <c r="G405" s="1"/>
  <c r="F1090" i="3"/>
  <c r="G1090" s="1"/>
  <c r="F866" i="19"/>
  <c r="G866" s="1"/>
  <c r="F557"/>
  <c r="G557" s="1"/>
  <c r="F765"/>
  <c r="G765" s="1"/>
  <c r="F713"/>
  <c r="G713" s="1"/>
  <c r="F916"/>
  <c r="G916" s="1"/>
  <c r="F661"/>
  <c r="G661" s="1"/>
  <c r="F1193" i="3"/>
  <c r="G1193" s="1"/>
  <c r="F188" i="18"/>
  <c r="G188" s="1"/>
  <c r="F1245" i="3"/>
  <c r="G1245" s="1"/>
  <c r="F815" i="19"/>
  <c r="G815" s="1"/>
  <c r="F609"/>
  <c r="G609" s="1"/>
  <c r="F968"/>
  <c r="G968" s="1"/>
  <c r="F131" i="18" l="1"/>
  <c r="F1032" i="3"/>
  <c r="G1032" s="1"/>
  <c r="G1041" s="1"/>
  <c r="G1359"/>
  <c r="G1360" s="1"/>
  <c r="G1361" s="1"/>
  <c r="G1381" s="1"/>
  <c r="G1382" s="1"/>
  <c r="G1383" s="1"/>
  <c r="E187" i="34" s="1"/>
  <c r="G247" i="25"/>
  <c r="G248" s="1"/>
  <c r="G268" s="1"/>
  <c r="G269" s="1"/>
  <c r="G270" s="1"/>
  <c r="E326" i="34" s="1"/>
  <c r="F967" i="19"/>
  <c r="G967" s="1"/>
  <c r="F764"/>
  <c r="G764" s="1"/>
  <c r="F290"/>
  <c r="G290" s="1"/>
  <c r="G299" s="1"/>
  <c r="F131"/>
  <c r="G131" s="1"/>
  <c r="G140" s="1"/>
  <c r="F1071"/>
  <c r="G1071" s="1"/>
  <c r="G1078" s="1"/>
  <c r="G1079" s="1"/>
  <c r="G1080" s="1"/>
  <c r="G1100" s="1"/>
  <c r="F237"/>
  <c r="G237" s="1"/>
  <c r="G246" s="1"/>
  <c r="G247" s="1"/>
  <c r="G248" s="1"/>
  <c r="G268" s="1"/>
  <c r="F25"/>
  <c r="G25" s="1"/>
  <c r="G34" s="1"/>
  <c r="G35" s="1"/>
  <c r="G36" s="1"/>
  <c r="G56" s="1"/>
  <c r="G57" s="1"/>
  <c r="G58" s="1"/>
  <c r="E139" i="34" s="1"/>
  <c r="F865" i="19"/>
  <c r="G865" s="1"/>
  <c r="F78"/>
  <c r="G78" s="1"/>
  <c r="G87" s="1"/>
  <c r="G88" s="1"/>
  <c r="G89" s="1"/>
  <c r="G109" s="1"/>
  <c r="F556"/>
  <c r="G556" s="1"/>
  <c r="F343"/>
  <c r="G343" s="1"/>
  <c r="G352" s="1"/>
  <c r="F660"/>
  <c r="G660" s="1"/>
  <c r="F814"/>
  <c r="G814" s="1"/>
  <c r="F396"/>
  <c r="G396" s="1"/>
  <c r="G405" s="1"/>
  <c r="G406" s="1"/>
  <c r="G407" s="1"/>
  <c r="G427" s="1"/>
  <c r="G428" s="1"/>
  <c r="G429" s="1"/>
  <c r="E146" i="34" s="1"/>
  <c r="F449" i="19"/>
  <c r="G449" s="1"/>
  <c r="G458" s="1"/>
  <c r="G459" s="1"/>
  <c r="G460" s="1"/>
  <c r="G480" s="1"/>
  <c r="F1124"/>
  <c r="G1124" s="1"/>
  <c r="G1131" s="1"/>
  <c r="F1020"/>
  <c r="G1020" s="1"/>
  <c r="G1025" s="1"/>
  <c r="F915"/>
  <c r="G915" s="1"/>
  <c r="F608"/>
  <c r="G608" s="1"/>
  <c r="F502"/>
  <c r="G502" s="1"/>
  <c r="G511" s="1"/>
  <c r="G512" s="1"/>
  <c r="G513" s="1"/>
  <c r="G533" s="1"/>
  <c r="G534" s="1"/>
  <c r="G535" s="1"/>
  <c r="E148" i="34" s="1"/>
  <c r="F184" i="19"/>
  <c r="G184" s="1"/>
  <c r="G193" s="1"/>
  <c r="F431" i="37"/>
  <c r="G431" s="1"/>
  <c r="G439" s="1"/>
  <c r="F712" i="19"/>
  <c r="G712" s="1"/>
  <c r="G406" i="25"/>
  <c r="G407" s="1"/>
  <c r="G427" s="1"/>
  <c r="G428" s="1"/>
  <c r="G429" s="1"/>
  <c r="E329" i="34" s="1"/>
  <c r="G353" i="25"/>
  <c r="G354" s="1"/>
  <c r="G374" s="1"/>
  <c r="G512"/>
  <c r="G513" s="1"/>
  <c r="G533" s="1"/>
  <c r="F818" i="19"/>
  <c r="G818" s="1"/>
  <c r="F768"/>
  <c r="G768" s="1"/>
  <c r="F765" i="18"/>
  <c r="G765" s="1"/>
  <c r="F187"/>
  <c r="G187" s="1"/>
  <c r="G192" s="1"/>
  <c r="F560" i="19"/>
  <c r="G560" s="1"/>
  <c r="F716"/>
  <c r="G716" s="1"/>
  <c r="F239" i="18"/>
  <c r="G239" s="1"/>
  <c r="G244" s="1"/>
  <c r="F971" i="19"/>
  <c r="G971" s="1"/>
  <c r="G135" i="18"/>
  <c r="F919" i="19"/>
  <c r="G919" s="1"/>
  <c r="F869"/>
  <c r="G869" s="1"/>
  <c r="F25" i="18"/>
  <c r="G25" s="1"/>
  <c r="G34" s="1"/>
  <c r="F712"/>
  <c r="G712" s="1"/>
  <c r="F612" i="19"/>
  <c r="G612" s="1"/>
  <c r="F291" i="18"/>
  <c r="G291" s="1"/>
  <c r="G296" s="1"/>
  <c r="F664" i="19"/>
  <c r="G664" s="1"/>
  <c r="G296" i="37"/>
  <c r="G297" s="1"/>
  <c r="G317" s="1"/>
  <c r="G56"/>
  <c r="G57" s="1"/>
  <c r="E490" i="34" s="1"/>
  <c r="G459" i="25"/>
  <c r="G460" s="1"/>
  <c r="G480" s="1"/>
  <c r="G481" s="1"/>
  <c r="G482" s="1"/>
  <c r="E330" i="34" s="1"/>
  <c r="G216" i="25"/>
  <c r="G217" s="1"/>
  <c r="E325" i="34" s="1"/>
  <c r="F966" i="19"/>
  <c r="G966" s="1"/>
  <c r="F873" i="3"/>
  <c r="G873" s="1"/>
  <c r="G882" s="1"/>
  <c r="G883" s="1"/>
  <c r="G884" s="1"/>
  <c r="G904" s="1"/>
  <c r="F864" i="19"/>
  <c r="G864" s="1"/>
  <c r="F555"/>
  <c r="G555" s="1"/>
  <c r="G563" s="1"/>
  <c r="G564" s="1"/>
  <c r="G565" s="1"/>
  <c r="G585" s="1"/>
  <c r="F131" i="3"/>
  <c r="G131" s="1"/>
  <c r="G140" s="1"/>
  <c r="G141" s="1"/>
  <c r="G142" s="1"/>
  <c r="G162" s="1"/>
  <c r="F25" i="28"/>
  <c r="G25" s="1"/>
  <c r="G34" s="1"/>
  <c r="G35" s="1"/>
  <c r="G36" s="1"/>
  <c r="G56" s="1"/>
  <c r="F1295" i="3"/>
  <c r="G1295" s="1"/>
  <c r="G1304" s="1"/>
  <c r="F926"/>
  <c r="G926" s="1"/>
  <c r="G935" s="1"/>
  <c r="F659" i="19"/>
  <c r="G659" s="1"/>
  <c r="F1192" i="3"/>
  <c r="G1192" s="1"/>
  <c r="G1199" s="1"/>
  <c r="F714"/>
  <c r="G714" s="1"/>
  <c r="G723" s="1"/>
  <c r="F555"/>
  <c r="G555" s="1"/>
  <c r="G564" s="1"/>
  <c r="F78" i="18"/>
  <c r="G78" s="1"/>
  <c r="G87" s="1"/>
  <c r="G88" s="1"/>
  <c r="G89" s="1"/>
  <c r="G109" s="1"/>
  <c r="F1244" i="3"/>
  <c r="G1244" s="1"/>
  <c r="G1251" s="1"/>
  <c r="F813" i="19"/>
  <c r="G813" s="1"/>
  <c r="F502" i="3"/>
  <c r="G502" s="1"/>
  <c r="G511" s="1"/>
  <c r="F1085"/>
  <c r="G1085" s="1"/>
  <c r="G1094" s="1"/>
  <c r="F711" i="19"/>
  <c r="G711" s="1"/>
  <c r="F290" i="25"/>
  <c r="G290" s="1"/>
  <c r="G299" s="1"/>
  <c r="F386" i="37"/>
  <c r="G386" s="1"/>
  <c r="G390" s="1"/>
  <c r="F764" i="18"/>
  <c r="G764" s="1"/>
  <c r="F914" i="19"/>
  <c r="G914" s="1"/>
  <c r="F339" i="37"/>
  <c r="G339" s="1"/>
  <c r="G343" s="1"/>
  <c r="G344" s="1"/>
  <c r="G345" s="1"/>
  <c r="G364" s="1"/>
  <c r="G366" s="1"/>
  <c r="E496" i="34" s="1"/>
  <c r="G131" i="18"/>
  <c r="F25" i="3"/>
  <c r="G25" s="1"/>
  <c r="G34" s="1"/>
  <c r="F607" i="19"/>
  <c r="G607" s="1"/>
  <c r="F763"/>
  <c r="G763" s="1"/>
  <c r="F1138" i="3"/>
  <c r="G1138" s="1"/>
  <c r="G1147" s="1"/>
  <c r="F1558"/>
  <c r="G1558" s="1"/>
  <c r="G1567" s="1"/>
  <c r="F1403"/>
  <c r="G1403" s="1"/>
  <c r="G1412" s="1"/>
  <c r="F290"/>
  <c r="G290" s="1"/>
  <c r="G299" s="1"/>
  <c r="F661"/>
  <c r="G661" s="1"/>
  <c r="G670" s="1"/>
  <c r="F449"/>
  <c r="G449" s="1"/>
  <c r="G458" s="1"/>
  <c r="F237"/>
  <c r="G237" s="1"/>
  <c r="G246" s="1"/>
  <c r="F658" i="18"/>
  <c r="G658" s="1"/>
  <c r="G667" s="1"/>
  <c r="F396" i="3"/>
  <c r="G396" s="1"/>
  <c r="G405" s="1"/>
  <c r="F711" i="18"/>
  <c r="G711" s="1"/>
  <c r="F608" i="3"/>
  <c r="G608" s="1"/>
  <c r="G617" s="1"/>
  <c r="G618" s="1"/>
  <c r="G619" s="1"/>
  <c r="G639" s="1"/>
  <c r="G640" s="1"/>
  <c r="G641" s="1"/>
  <c r="E173" i="34" s="1"/>
  <c r="F767" i="3"/>
  <c r="G767" s="1"/>
  <c r="G776" s="1"/>
  <c r="G777" s="1"/>
  <c r="G778" s="1"/>
  <c r="G798" s="1"/>
  <c r="G799" s="1"/>
  <c r="G800" s="1"/>
  <c r="E176" i="34" s="1"/>
  <c r="F605" i="18"/>
  <c r="G605" s="1"/>
  <c r="G614" s="1"/>
  <c r="G615" s="1"/>
  <c r="G616" s="1"/>
  <c r="G636" s="1"/>
  <c r="G637" s="1"/>
  <c r="G638" s="1"/>
  <c r="E130" i="34" s="1"/>
  <c r="F820" i="3"/>
  <c r="G820" s="1"/>
  <c r="G829" s="1"/>
  <c r="G830" s="1"/>
  <c r="G831" s="1"/>
  <c r="G851" s="1"/>
  <c r="G852" s="1"/>
  <c r="G853" s="1"/>
  <c r="E177" i="34" s="1"/>
  <c r="F78" i="3"/>
  <c r="G78" s="1"/>
  <c r="G87" s="1"/>
  <c r="G88" s="1"/>
  <c r="G89" s="1"/>
  <c r="G109" s="1"/>
  <c r="F343"/>
  <c r="G343" s="1"/>
  <c r="G352" s="1"/>
  <c r="F979"/>
  <c r="G979" s="1"/>
  <c r="G988" s="1"/>
  <c r="F184"/>
  <c r="G184" s="1"/>
  <c r="G193" s="1"/>
  <c r="G194" s="1"/>
  <c r="G195" s="1"/>
  <c r="G215" s="1"/>
  <c r="G216" s="1"/>
  <c r="G217" s="1"/>
  <c r="E165" i="34" s="1"/>
  <c r="G1540" i="3"/>
  <c r="G1541" s="1"/>
  <c r="E190" i="34" s="1"/>
  <c r="G720" i="18" l="1"/>
  <c r="G769" i="19"/>
  <c r="G770" s="1"/>
  <c r="G771" s="1"/>
  <c r="G791" s="1"/>
  <c r="G792" s="1"/>
  <c r="G793" s="1"/>
  <c r="E153" i="34" s="1"/>
  <c r="G773" i="18"/>
  <c r="G667" i="19"/>
  <c r="G668" s="1"/>
  <c r="G669" s="1"/>
  <c r="G689" s="1"/>
  <c r="G690" s="1"/>
  <c r="G691" s="1"/>
  <c r="E151" i="34" s="1"/>
  <c r="G140" i="18"/>
  <c r="G141" s="1"/>
  <c r="G142" s="1"/>
  <c r="G162" s="1"/>
  <c r="G870" i="19"/>
  <c r="G871" s="1"/>
  <c r="G872" s="1"/>
  <c r="G892" s="1"/>
  <c r="G534" i="25"/>
  <c r="G535" s="1"/>
  <c r="E331" i="34" s="1"/>
  <c r="G318" i="37"/>
  <c r="G319" s="1"/>
  <c r="E495" i="34" s="1"/>
  <c r="G375" i="25"/>
  <c r="G376" s="1"/>
  <c r="E328" i="34" s="1"/>
  <c r="G353" i="3"/>
  <c r="G354" s="1"/>
  <c r="G374" s="1"/>
  <c r="G721" i="18"/>
  <c r="G722" s="1"/>
  <c r="G742" s="1"/>
  <c r="G743" s="1"/>
  <c r="G744" s="1"/>
  <c r="E132" i="34" s="1"/>
  <c r="G668" i="18"/>
  <c r="G669" s="1"/>
  <c r="G689" s="1"/>
  <c r="G690" s="1"/>
  <c r="G691" s="1"/>
  <c r="E131" i="34" s="1"/>
  <c r="G300" i="3"/>
  <c r="G301" s="1"/>
  <c r="G321" s="1"/>
  <c r="G322" s="1"/>
  <c r="G323" s="1"/>
  <c r="E167" i="34" s="1"/>
  <c r="G1568" i="3"/>
  <c r="G1569" s="1"/>
  <c r="G1586" s="1"/>
  <c r="G35"/>
  <c r="G36" s="1"/>
  <c r="G56" s="1"/>
  <c r="G57" s="1"/>
  <c r="G58" s="1"/>
  <c r="E162" i="34" s="1"/>
  <c r="G774" i="18"/>
  <c r="G775" s="1"/>
  <c r="G795" s="1"/>
  <c r="G796" s="1"/>
  <c r="G797" s="1"/>
  <c r="E133" i="34" s="1"/>
  <c r="G300" i="25"/>
  <c r="G301" s="1"/>
  <c r="G321" s="1"/>
  <c r="G1095" i="3"/>
  <c r="G1096" s="1"/>
  <c r="G1116" s="1"/>
  <c r="I818" i="19"/>
  <c r="G821"/>
  <c r="G57" i="28"/>
  <c r="G58" s="1"/>
  <c r="E280" i="34" s="1"/>
  <c r="G586" i="19"/>
  <c r="G587" s="1"/>
  <c r="E149" i="34" s="1"/>
  <c r="G989" i="3"/>
  <c r="G990" s="1"/>
  <c r="G1010" s="1"/>
  <c r="G1011" s="1"/>
  <c r="G1012" s="1"/>
  <c r="E180" i="34" s="1"/>
  <c r="G110" i="3"/>
  <c r="G111" s="1"/>
  <c r="E163" i="34" s="1"/>
  <c r="G406" i="3"/>
  <c r="G407" s="1"/>
  <c r="G427" s="1"/>
  <c r="G247"/>
  <c r="G248" s="1"/>
  <c r="G268" s="1"/>
  <c r="G671"/>
  <c r="G672" s="1"/>
  <c r="G692" s="1"/>
  <c r="G1413"/>
  <c r="G1414" s="1"/>
  <c r="G1434" s="1"/>
  <c r="G1435" s="1"/>
  <c r="G1436" s="1"/>
  <c r="E188" i="34" s="1"/>
  <c r="G1148" i="3"/>
  <c r="G1149" s="1"/>
  <c r="G1169" s="1"/>
  <c r="G1170" s="1"/>
  <c r="G1171" s="1"/>
  <c r="E183" i="34" s="1"/>
  <c r="G163" i="18"/>
  <c r="G164" s="1"/>
  <c r="E121" i="34" s="1"/>
  <c r="G391" i="37"/>
  <c r="G392" s="1"/>
  <c r="G411" s="1"/>
  <c r="G413" s="1"/>
  <c r="E497" i="34" s="1"/>
  <c r="G512" i="3"/>
  <c r="G513" s="1"/>
  <c r="G533" s="1"/>
  <c r="G1252"/>
  <c r="G1253" s="1"/>
  <c r="G1273" s="1"/>
  <c r="G1274" s="1"/>
  <c r="G1275" s="1"/>
  <c r="E185" i="34" s="1"/>
  <c r="G565" i="3"/>
  <c r="G566" s="1"/>
  <c r="G586" s="1"/>
  <c r="G587" s="1"/>
  <c r="G588" s="1"/>
  <c r="E172" i="34" s="1"/>
  <c r="G1200" i="3"/>
  <c r="G1201" s="1"/>
  <c r="G1221" s="1"/>
  <c r="G1222" s="1"/>
  <c r="G1223" s="1"/>
  <c r="E184" i="34" s="1"/>
  <c r="G936" i="3"/>
  <c r="G937" s="1"/>
  <c r="G957" s="1"/>
  <c r="G958" s="1"/>
  <c r="G959" s="1"/>
  <c r="E179" i="34" s="1"/>
  <c r="G1042" i="3"/>
  <c r="G1043" s="1"/>
  <c r="G1063" s="1"/>
  <c r="G1064" s="1"/>
  <c r="G1065" s="1"/>
  <c r="E181" i="34" s="1"/>
  <c r="G163" i="3"/>
  <c r="G164" s="1"/>
  <c r="E164" i="34" s="1"/>
  <c r="G893" i="19"/>
  <c r="G245" i="18"/>
  <c r="G246" s="1"/>
  <c r="G266" s="1"/>
  <c r="G194" i="19"/>
  <c r="G195" s="1"/>
  <c r="G215" s="1"/>
  <c r="G1026"/>
  <c r="G1027" s="1"/>
  <c r="G1047" s="1"/>
  <c r="G481"/>
  <c r="G482" s="1"/>
  <c r="E147" i="34" s="1"/>
  <c r="G353" i="19"/>
  <c r="G354" s="1"/>
  <c r="G374" s="1"/>
  <c r="G110"/>
  <c r="G111" s="1"/>
  <c r="E140" i="34" s="1"/>
  <c r="G1101" i="19"/>
  <c r="G1102" s="1"/>
  <c r="E159" i="34" s="1"/>
  <c r="G300" i="19"/>
  <c r="G301" s="1"/>
  <c r="G321" s="1"/>
  <c r="G615"/>
  <c r="G616" s="1"/>
  <c r="G617" s="1"/>
  <c r="G637" s="1"/>
  <c r="G638" s="1"/>
  <c r="G639" s="1"/>
  <c r="E150" i="34" s="1"/>
  <c r="G922" i="19"/>
  <c r="G719"/>
  <c r="G720" s="1"/>
  <c r="G721" s="1"/>
  <c r="G741" s="1"/>
  <c r="G972"/>
  <c r="G459" i="3"/>
  <c r="G460" s="1"/>
  <c r="G480" s="1"/>
  <c r="G481" s="1"/>
  <c r="G482" s="1"/>
  <c r="E170" i="34" s="1"/>
  <c r="G110" i="18"/>
  <c r="G111" s="1"/>
  <c r="E120" i="34" s="1"/>
  <c r="G724" i="3"/>
  <c r="G725" s="1"/>
  <c r="G745" s="1"/>
  <c r="G1305"/>
  <c r="G1306" s="1"/>
  <c r="G1326" s="1"/>
  <c r="G1327" s="1"/>
  <c r="G1328" s="1"/>
  <c r="E186" i="34" s="1"/>
  <c r="G905" i="3"/>
  <c r="G906" s="1"/>
  <c r="E178" i="34" s="1"/>
  <c r="G35" i="18"/>
  <c r="G36" s="1"/>
  <c r="G56" s="1"/>
  <c r="G57" s="1"/>
  <c r="G58" s="1"/>
  <c r="E119" i="34" s="1"/>
  <c r="G193" i="18"/>
  <c r="G194" s="1"/>
  <c r="G214" s="1"/>
  <c r="G297"/>
  <c r="G298" s="1"/>
  <c r="G318" s="1"/>
  <c r="G319" s="1"/>
  <c r="G320" s="1"/>
  <c r="E124" i="34" s="1"/>
  <c r="G440" i="37"/>
  <c r="G441" s="1"/>
  <c r="G460" s="1"/>
  <c r="G461" s="1"/>
  <c r="G462" s="1"/>
  <c r="E498" i="34" s="1"/>
  <c r="G1132" i="19"/>
  <c r="G1133" s="1"/>
  <c r="G1153" s="1"/>
  <c r="G269"/>
  <c r="G270" s="1"/>
  <c r="E143" i="34" s="1"/>
  <c r="G141" i="19"/>
  <c r="G142" s="1"/>
  <c r="G162" s="1"/>
  <c r="G894" l="1"/>
  <c r="E155" i="34" s="1"/>
  <c r="G1048" i="19"/>
  <c r="G1049" s="1"/>
  <c r="E158" i="34" s="1"/>
  <c r="G322" i="25"/>
  <c r="G323" s="1"/>
  <c r="E327" i="34" s="1"/>
  <c r="G375" i="3"/>
  <c r="G376" s="1"/>
  <c r="E168" i="34" s="1"/>
  <c r="G746" i="3"/>
  <c r="G747" s="1"/>
  <c r="E175" i="34" s="1"/>
  <c r="G1154" i="19"/>
  <c r="G1155" s="1"/>
  <c r="E160" i="34" s="1"/>
  <c r="G215" i="18"/>
  <c r="G216" s="1"/>
  <c r="E122" i="34" s="1"/>
  <c r="G267" i="18"/>
  <c r="G268" s="1"/>
  <c r="E123" i="34" s="1"/>
  <c r="G163" i="19"/>
  <c r="G164" s="1"/>
  <c r="E141" i="34" s="1"/>
  <c r="G742" i="19"/>
  <c r="G743" s="1"/>
  <c r="E152" i="34" s="1"/>
  <c r="G693" i="3"/>
  <c r="G694" s="1"/>
  <c r="E174" i="34" s="1"/>
  <c r="G1587" i="3"/>
  <c r="G1588"/>
  <c r="E191" i="34" s="1"/>
  <c r="G322" i="19"/>
  <c r="G323" s="1"/>
  <c r="E144" i="34" s="1"/>
  <c r="G375" i="19"/>
  <c r="G376" s="1"/>
  <c r="E145" i="34" s="1"/>
  <c r="G216" i="19"/>
  <c r="G217" s="1"/>
  <c r="E142" i="34" s="1"/>
  <c r="G534" i="3"/>
  <c r="G535" s="1"/>
  <c r="E171" i="34" s="1"/>
  <c r="G269" i="3"/>
  <c r="G270" s="1"/>
  <c r="E166" i="34" s="1"/>
  <c r="G428" i="3"/>
  <c r="G429" s="1"/>
  <c r="E169" i="34" s="1"/>
  <c r="G1117" i="3"/>
  <c r="G1118" s="1"/>
  <c r="E182" i="34" s="1"/>
  <c r="G973" i="19"/>
  <c r="G974" s="1"/>
  <c r="G994" s="1"/>
  <c r="G995" s="1"/>
  <c r="G996" s="1"/>
  <c r="E157" i="34" s="1"/>
  <c r="G923" i="19"/>
  <c r="G924" s="1"/>
  <c r="G944" s="1"/>
  <c r="G945" s="1"/>
  <c r="G946" s="1"/>
  <c r="E156" i="34" s="1"/>
  <c r="G822" i="19"/>
  <c r="G823" s="1"/>
  <c r="G842" s="1"/>
  <c r="G843" l="1"/>
  <c r="G844" s="1"/>
  <c r="E154" i="34" s="1"/>
</calcChain>
</file>

<file path=xl/sharedStrings.xml><?xml version="1.0" encoding="utf-8"?>
<sst xmlns="http://schemas.openxmlformats.org/spreadsheetml/2006/main" count="38117" uniqueCount="1730">
  <si>
    <t>TAPON ROSCADO PRESION 1 1/2"</t>
  </si>
  <si>
    <t>TAPON ROSCADO PRESION 2"</t>
  </si>
  <si>
    <t>TAPON ROSCADO PRESION 2 ½"</t>
  </si>
  <si>
    <t>SELLADO PUNTOS ELECTRICOS</t>
  </si>
  <si>
    <t>SUMINISTRO E INSTALACION PUERTA ENTAMBORADA 1.8x2.0x(0.07-0.10) M, LAMINA COL ROLE CALIBRE 20, CON CERRADURA  Y MARCO INCLUIDO</t>
  </si>
  <si>
    <t>SUMINISTRO E INSTALACION PUERTA ENTAMBORADA 1.0x2.0x(0.07-0.10) M, LAMINA COL ROLE CALIBRE 20, CON CERRADURA Y MARCO INCLUIDO</t>
  </si>
  <si>
    <t>SUMINISTRO E INSTALACION PUERTA ENTAMBORADA 0.90x2.0x(0.07-0.10) M, LAMINA COL ROLE CALIBRE 20, CON CERROJO Y MARCO INCLUIDO</t>
  </si>
  <si>
    <t>SUMINISTRO E INSTALACION PORTON 3.00x2.30 M, DOS ABRAS, METALICA</t>
  </si>
  <si>
    <t>PUERTA MADERA CON VIDRIO EN VAIVEN</t>
  </si>
  <si>
    <t xml:space="preserve">CONSTRUCCIÒN ESTRUCTURA EN CONCRETO PARA TANQUES ELEVADOS SEGÚN DISEÑO INCLUYE EXCAVACIÓN </t>
  </si>
  <si>
    <t>SUMINISTRO, INSTALACION SALIDA ESPECIAL ALAMBRE CONTINUIDAD DESNUDO Nº 16, TUBERIA PVC Ø 1/2".</t>
  </si>
  <si>
    <t>SUMINISTRO E INSTALACIÒN DE PUERTA CORREDERA DE ALUMINIO Y ACRILICO PARA MESÓN</t>
  </si>
  <si>
    <t>PUERTA CORREDERA EN ALUMINIO Y ACRILICO</t>
  </si>
  <si>
    <t>SOLDADURA 6013 1/8</t>
  </si>
  <si>
    <t>SUMINISTRO E INSTALACION PUERTA ENTAMBORADA 1.0x2.0x(0.07-0.10) M, LAMINA COL ROLE CALIBRE 20, CON CERROJO Y MARCO INCLUIDO</t>
  </si>
  <si>
    <t>SUMINISTRO E INSTALACION DE VENTANA DE ALUMINIO 0.8X1.20 M</t>
  </si>
  <si>
    <t>REJA DE SEGURIDAD EN ALUMINIO</t>
  </si>
  <si>
    <t>SUMINISTRO E INSTALACIÓN DE VENTANA DE ALUMINIO ANOLOCK CORREDIZA MAYOR A 1 M2</t>
  </si>
  <si>
    <t>SUMINISTRO E INSTALACIÓN DE VENTANA DE ALUMINIO ANOLOCK CORREDIZA MENOR A 1 M2</t>
  </si>
  <si>
    <t>ACTIVIDAD</t>
  </si>
  <si>
    <t>ACERO DE REFUERZO</t>
  </si>
  <si>
    <t>TAPON ROSCADO PRESION 3"</t>
  </si>
  <si>
    <t>TAPON ROSCADO PRESION 4"</t>
  </si>
  <si>
    <t>TAPON ROSCADO PRESION ½"</t>
  </si>
  <si>
    <t>COLLAR DE DERIVACION 2"x1/2"</t>
  </si>
  <si>
    <t>COLLAR DE DERIVACION 2"x3/4"</t>
  </si>
  <si>
    <t>COLLAR DE DERIVACION 2 1/2"x3/4"</t>
  </si>
  <si>
    <t>COLLAR DE DERIVACION 3"x3/4"</t>
  </si>
  <si>
    <t>COLLAR DE DERIVACION 2 1/2"x1/2"</t>
  </si>
  <si>
    <t>COLLAR DE DERIVACION 3"x1/2"</t>
  </si>
  <si>
    <t>COLLAR DE DERIVACION 4"x1/2"</t>
  </si>
  <si>
    <t>COLLAR DE DERIVACION 4"x3/4"</t>
  </si>
  <si>
    <t>COLLAR DE DERIVACION 6"x1/2"</t>
  </si>
  <si>
    <t>COLLAR DE DERIVACION 6"x3/4"</t>
  </si>
  <si>
    <t>COLLAR DE DERIVACION 8"x1/2"</t>
  </si>
  <si>
    <t>ADAPTADOR MACHO PF ½"</t>
  </si>
  <si>
    <t>ADAPTADOR HEMBRA PF ½"</t>
  </si>
  <si>
    <t>UNION PF ½"</t>
  </si>
  <si>
    <t>SOLDADURA PVC 1/256</t>
  </si>
  <si>
    <t>SOLDADURA PVC 1/128</t>
  </si>
  <si>
    <t>SOLDADURA PVC 1/64</t>
  </si>
  <si>
    <t>SOLDADURA PVC 1/32</t>
  </si>
  <si>
    <t>PLACA MACIZA 2.00 x 3.00, h = 0.08 m, REFUERZO Ø 1/2" c/0.12 m Y Ø 3/8" c/0.15 m, AEREA PARA TANQUES AGUA</t>
  </si>
  <si>
    <t>SOLDADURA PVC 1/16</t>
  </si>
  <si>
    <t>SOLDADURA PVC 1/8</t>
  </si>
  <si>
    <t>SOLDADURA PVC ¼</t>
  </si>
  <si>
    <t>SOLDADURA CPVC 1/32</t>
  </si>
  <si>
    <t>SOLDADURA CPVC 1/64</t>
  </si>
  <si>
    <t>SOLDADURA CPVC 1/128</t>
  </si>
  <si>
    <t>LIMPIADOR PVC 28 GRS</t>
  </si>
  <si>
    <t>LIMPIADOR PVC 56 GRS</t>
  </si>
  <si>
    <t>LIMPIADOR PVC 112 GRS</t>
  </si>
  <si>
    <t>LIMPIADOR PVC 300 GRS</t>
  </si>
  <si>
    <t>LIMPIADOR PVC 760 GRS</t>
  </si>
  <si>
    <t>CODO SANITARIO 90ºx1 ½"</t>
  </si>
  <si>
    <t>CODO SANITARIO 90ºx2"</t>
  </si>
  <si>
    <t>CODO SANITARIO 90ºx3"</t>
  </si>
  <si>
    <t>CODO SANITARIO 90ºx4"</t>
  </si>
  <si>
    <t>CODO SANITARIO 90ºx6"</t>
  </si>
  <si>
    <t>CODO SANITARIO 45ºx2"</t>
  </si>
  <si>
    <t>CODO SANITARIO 45ºx3"</t>
  </si>
  <si>
    <t>CODO SANITARIO 45ºx4"</t>
  </si>
  <si>
    <t>CODO SANITARIO 45ºx6"</t>
  </si>
  <si>
    <t>CODO SANITARIO 45ºx1 ½"</t>
  </si>
  <si>
    <t>TEE SANITARIA 1 ½"x1 ½"</t>
  </si>
  <si>
    <t>TEE SANITARIA 2"x2"</t>
  </si>
  <si>
    <t>TEE SANITARIA 3"x3"</t>
  </si>
  <si>
    <t>INSTALACION DE LAVAPLATOS</t>
  </si>
  <si>
    <t>SUMINISTRO E INSTALACION REJILLA PISO</t>
  </si>
  <si>
    <t>SELLO PUNTOS HIDRAULICOS</t>
  </si>
  <si>
    <t>AIRE ACONDICIONADO DE 1 HP</t>
  </si>
  <si>
    <t>PUNTO ELECTRICO PARA AIRE ACOND.</t>
  </si>
  <si>
    <t>SUMINISTRO E INSTALACION PUERTA 1.0x1,5 M, LAMINA COL ROLE CALIBRE 20</t>
  </si>
  <si>
    <t>PUERTA METALICA DE 1X1,50 M CON MARCO</t>
  </si>
  <si>
    <t>TEE SANITARIA 4"x4"</t>
  </si>
  <si>
    <t>TEE SANITARIA 6"x6"</t>
  </si>
  <si>
    <t>TEE SANITARIA DOBLE 1 ½"x1 ½"x1 ½"</t>
  </si>
  <si>
    <t>TEE SANITARIA DOBLE 2"x2"x2"</t>
  </si>
  <si>
    <t>TEE SANITARIA DOBLE 3"x3"x3"</t>
  </si>
  <si>
    <t>TEE SANITARIA DOBLE 4"x4"x4"</t>
  </si>
  <si>
    <t>TEE SANITARIA REDUCIDA 2"x1 1/2"</t>
  </si>
  <si>
    <t>TEE SANITARIA REDUCIDA 3"x2"</t>
  </si>
  <si>
    <t>TEE SANITARIA REDUCIDA 4"x3"</t>
  </si>
  <si>
    <t>TEE SANITARIA REDUCIDA 6"x4"</t>
  </si>
  <si>
    <t>TEE SANITARIA DOBLE 1 ½"x2"x1 ½"</t>
  </si>
  <si>
    <t>TEE SANITARIA DOBLE 2"x3"x2"</t>
  </si>
  <si>
    <t>TEE SANITARIA DOBLE 3"x4"x3"</t>
  </si>
  <si>
    <t>TEE SANITARIA DOBLE 2"x4"x2"</t>
  </si>
  <si>
    <t>CODO REVENTILADO 3x2"</t>
  </si>
  <si>
    <t>CODO REVENTILADO 4x2"</t>
  </si>
  <si>
    <t>YEE SANITARIA 3"</t>
  </si>
  <si>
    <t>YEE SANITARIA 4"</t>
  </si>
  <si>
    <t>YEE SANITARIA 6"</t>
  </si>
  <si>
    <t>YEE SANITARIA 2"</t>
  </si>
  <si>
    <t>YEE SANITARIA REDUCIDA 6"x4"</t>
  </si>
  <si>
    <t>YEE SANITARIA REDUCIDA 3"x2"</t>
  </si>
  <si>
    <t>YEE SANITARIA REDUCIDA 4"x3"</t>
  </si>
  <si>
    <t>SANITARIO TREVI BLANCO CORONA</t>
  </si>
  <si>
    <t>LAVAMANOS TREVI BLANCO CORONA</t>
  </si>
  <si>
    <t>ORINAL MEDIANO CON GRIFERIA</t>
  </si>
  <si>
    <t>SUMINISTRO E INSTALACION DE SANITARIO TREVI</t>
  </si>
  <si>
    <t>SUMINISTRO E INSTALACION DE ORINAL CON GRIFERIA</t>
  </si>
  <si>
    <t>SUMINISTRO E INSTALACION DE LAVAMANOS TREVI</t>
  </si>
  <si>
    <t>GRIFERIA GRIVAL</t>
  </si>
  <si>
    <t>GRIFERIA PARA DUCHA INCLUYE REGISTRO</t>
  </si>
  <si>
    <t>SUMINISTRO E INSTALACIÒN DE DUCHA TELEFONO</t>
  </si>
  <si>
    <t>DUCHA TELEFONO CON REGISTRO</t>
  </si>
  <si>
    <t>SUMINISTRO E INSTALACIÓN LAVAMANOS QUIRURGICO</t>
  </si>
  <si>
    <t>LAVAMANOS QUIRURGICO</t>
  </si>
  <si>
    <t xml:space="preserve">SUMINISTRO E INSTALACION ACCESORIOS PARA INCRUSTAR </t>
  </si>
  <si>
    <t>INCRUSTACIONES(3 PIEZAS)</t>
  </si>
  <si>
    <t>CONSTRUCCIÓN DE COLUMNA 0.20 x 0.20 M, EN CONCRETO 3000 PSI REFUERZO 4 Ø ½", 12 Ø 3/8"</t>
  </si>
  <si>
    <t>SUMINISTRO E INSTALACION REJILLA PLASTICA PARA PISO</t>
  </si>
  <si>
    <t>YEE SANITARIA REDUCIDA 4"x2"</t>
  </si>
  <si>
    <t>YEE SANITARIA DOBLE REDUCIDA 2"x4"x2"</t>
  </si>
  <si>
    <t>YEE SANITARIA DOBLE REDUCIDA 3"x4"x3"</t>
  </si>
  <si>
    <t>YEE SANITARIA DOBLE REDUCIDA 2"x3"x2"</t>
  </si>
  <si>
    <t>YEE SANITARIA DOBLE 3"x3"x3"</t>
  </si>
  <si>
    <t>YEE SANITARIA DOBLE 4"x4"x4"</t>
  </si>
  <si>
    <t>YEE SANITARIA DOBLE  2"x2"x2"</t>
  </si>
  <si>
    <t>SIFON SANITARIO 1 ½"</t>
  </si>
  <si>
    <t>SIFON SANITARIO 2"</t>
  </si>
  <si>
    <t>SIFON SANITARIO 3"</t>
  </si>
  <si>
    <t>SIFON SANITARIO 4"</t>
  </si>
  <si>
    <t>TAPON DE PRUEBA 2"</t>
  </si>
  <si>
    <t>TAPON DE PRUEBA 3"</t>
  </si>
  <si>
    <t>TAPON DE PRUEBA 4"</t>
  </si>
  <si>
    <t>UNION SANITARIA 1 ½"</t>
  </si>
  <si>
    <t>UNION SANITARIA 2"</t>
  </si>
  <si>
    <t>DESCAPOTE CON MAQUINA, incluye acarreo en volqueta</t>
  </si>
  <si>
    <t>DESCAPOTE A MANO, incluye acarreo en volqueta</t>
  </si>
  <si>
    <t>MOVIMIENTO DE TIERRA - CORTE, incluye acarreo en volqueta</t>
  </si>
  <si>
    <t>PUNTO DESAGUE GRES Ø 3"; Ø 4"</t>
  </si>
  <si>
    <t>UNION SANITARIA 3"</t>
  </si>
  <si>
    <t>UNION SANITARIA 4"</t>
  </si>
  <si>
    <t>UNION SANITARIA 6"</t>
  </si>
  <si>
    <t>BUJE SANITARIO  3"x2"</t>
  </si>
  <si>
    <t>BUJE SANITARIO  4"x3"</t>
  </si>
  <si>
    <t>BUJE SANITARIO  6"x4"</t>
  </si>
  <si>
    <t>BUJE SANITARIO  2"x1 1/2"</t>
  </si>
  <si>
    <t>BUJE SANITARIO  3"x1 1/2"</t>
  </si>
  <si>
    <t>BUJE SANITARIO  4"x2"</t>
  </si>
  <si>
    <t>TAPON MACHO ROSCADO 3"</t>
  </si>
  <si>
    <t>TAPON MACHO ROSCADO 4"</t>
  </si>
  <si>
    <t>TAPON MACHO ROSCADO 1 1/2"</t>
  </si>
  <si>
    <t>ADAPTADORES DE LIMPIEZA 3"</t>
  </si>
  <si>
    <t>ADAPTADORES DE LIMPIEZA 4"</t>
  </si>
  <si>
    <t>ADAPTADORES DE LIMPIEZA 6"</t>
  </si>
  <si>
    <t>ADAPTADORES DE LIMPIEZA 2"</t>
  </si>
  <si>
    <t>JUNTA DE EXPANSION 3"</t>
  </si>
  <si>
    <t>JUNTA DE EXPANSION 4"</t>
  </si>
  <si>
    <t>CANAL AMAZONAS x 3.0 M</t>
  </si>
  <si>
    <t>CANAL RAINGO x 3.0 M</t>
  </si>
  <si>
    <t>BAJANTE x 3.0 M</t>
  </si>
  <si>
    <t>VIGA CORONA 0.45 x 0.30 M, REFUERZO 4 Ø 5/8", 12 Ø 3/8"</t>
  </si>
  <si>
    <t>VIGA AMARRE 0.15.x0.30 AEREA, REFUERZO 4 Ø 1/2", 12 FLEJES Ø 3/8"</t>
  </si>
  <si>
    <t>TAPA EXTERNA AMAZONAS</t>
  </si>
  <si>
    <t>TAPA INTERNA AMAZONAS</t>
  </si>
  <si>
    <t>UNION CANAL AMAZONAS</t>
  </si>
  <si>
    <t>UNION CANAL A BAJANTE AMAZONAS</t>
  </si>
  <si>
    <t>SOPORTE CANAL AMAZONAS</t>
  </si>
  <si>
    <t>UNION ESQUINERA AMAZONAS</t>
  </si>
  <si>
    <t>TAPA INTERNA RAINGO</t>
  </si>
  <si>
    <t>UNION CANAL RAINGO</t>
  </si>
  <si>
    <t>UNION CANAL A BAJANTE RAINGO</t>
  </si>
  <si>
    <t>ZAPATAS 1.00 x 1.00, h = 0.40 M, REFUERZO Ø ½", C/0.15 EN DOS DIRECCIONES INCLUIDO BASE CONCRETO 2000 PSI</t>
  </si>
  <si>
    <t>VIGA AMARRE 0.12x0.25 AEREA, REFUERZO 4 Ø 1/2", 12 FLEJES Ø 3/8"</t>
  </si>
  <si>
    <t>UND:</t>
  </si>
  <si>
    <t>GRANITO ESPESOR 2.5 CM</t>
  </si>
  <si>
    <t>COLUMNETA 0.15x0.15 M, REFUERZO 4 Ø 1/2" y Ø 3/8" 1 C / 0.20 M</t>
  </si>
  <si>
    <t>VIGA AMARRE 0.12x0.20, REFUERZO 4 Ø 1/2", 12 FLEJES Ø 3/8"</t>
  </si>
  <si>
    <t>SOPORTE CANAL RAINGO</t>
  </si>
  <si>
    <t>UNION ESQUINERA RAINGO</t>
  </si>
  <si>
    <t>TAPA EXTERNA RAINGO</t>
  </si>
  <si>
    <t>CODO 90º BAJANTE</t>
  </si>
  <si>
    <t>CODO 45º BAJANTE</t>
  </si>
  <si>
    <t>SOPORTE BAJANTE</t>
  </si>
  <si>
    <t>UNION BAJANTE</t>
  </si>
  <si>
    <t>ADAPTADOR BAJANTE A. LL.</t>
  </si>
  <si>
    <t>SANITARIO PRESTIGIO</t>
  </si>
  <si>
    <t xml:space="preserve">SANITARIO STILO </t>
  </si>
  <si>
    <t>SANITARIO TIFFANY</t>
  </si>
  <si>
    <t xml:space="preserve">DESMONTE CIELO RASO </t>
  </si>
  <si>
    <t>MATRICULA AGUA ESTRATO 1</t>
  </si>
  <si>
    <t>MATRICULA AGUA ESTRATO 2</t>
  </si>
  <si>
    <t>MATRICULA AGUA ESTRATO 3</t>
  </si>
  <si>
    <t>MATRICULA AGUA ESTRATO 4</t>
  </si>
  <si>
    <t>MEDIDOR AGUA ½"</t>
  </si>
  <si>
    <t>MEDIDOR AGUA 3/4"</t>
  </si>
  <si>
    <t>MEDIDOR AGUA 1"</t>
  </si>
  <si>
    <t>LADRILLO PRENSADO CLARO</t>
  </si>
  <si>
    <t>LADRILLO PRENSADO OSCURO</t>
  </si>
  <si>
    <t xml:space="preserve">FORMALETA </t>
  </si>
  <si>
    <t>PRELIMINARES</t>
  </si>
  <si>
    <t>MAMPOSTERIA</t>
  </si>
  <si>
    <t>ASEO GENERAL</t>
  </si>
  <si>
    <t>CUBIERTA</t>
  </si>
  <si>
    <t>CONTADOR TRIFASICO 50/100 A.</t>
  </si>
  <si>
    <t>TRANSFORMADOR 25 KVA</t>
  </si>
  <si>
    <t>TRANSFORMADOR 30 KVA</t>
  </si>
  <si>
    <t>TRANSFORMADOR 45 KVA</t>
  </si>
  <si>
    <t>ACOMETIDA PVC Ø ½", L = 5.0 M, Incluye contador, matricula y accesorios. ESTRATO 1</t>
  </si>
  <si>
    <t>ACOMETIDA PVC Ø ½", L = 5.0 M, Incluye contador, matricula y accesorios. ESTRATO 2</t>
  </si>
  <si>
    <t>ACOMETIDA PVC Ø ½", L = 5.0 M, Incluye contador, matricula y accesorios. ESTRATO 3</t>
  </si>
  <si>
    <t>ACOMETIDA PVC Ø ½", L = 5.0 M, Incluye contador, matricula y accesorios. ESTRATO 4</t>
  </si>
  <si>
    <t>ACOMETIDA PVC Ø 3/4", L = 5.0 M, Incluye contador, matricula y accesorios. ESTRATO 1</t>
  </si>
  <si>
    <t>ACOMETIDA PVC Ø 3/4", L = 5.0 M, Incluye contador, matricula y accesorios. ESTRATO 2</t>
  </si>
  <si>
    <t>ACOMETIDA PVC Ø 3/4", L = 5.0 M, Incluye contador, matricula y accesorios. ESTRATO 3</t>
  </si>
  <si>
    <t>ACOMETIDA PVC Ø 3/4", L = 5.0 M, Incluye contador, matricula y accesorios. ESTRATO 4</t>
  </si>
  <si>
    <t>SANITARIO ROYAL</t>
  </si>
  <si>
    <t>SANITARIO INSTITUCIONAL</t>
  </si>
  <si>
    <t xml:space="preserve">LAVAMANOS STILO </t>
  </si>
  <si>
    <t>LAVAMANOS TIFFANY</t>
  </si>
  <si>
    <t>LAVAMANOS PRESTIGIO</t>
  </si>
  <si>
    <t>ORINAL RESIDENCIAL</t>
  </si>
  <si>
    <t>ORINAL FLUXOMETRO</t>
  </si>
  <si>
    <t>TEJA ONDULADA Nº 4</t>
  </si>
  <si>
    <t>TEJA ONDULADA Nº 5</t>
  </si>
  <si>
    <t>TEJA ONDULADA Nº 8</t>
  </si>
  <si>
    <t>TEJA CLARABOYA Nº 4</t>
  </si>
  <si>
    <t>TEJA CLARABOYA Nº 6</t>
  </si>
  <si>
    <t>TEJA PLANA 120X60X04</t>
  </si>
  <si>
    <t>TEJA PLANA 120X120X04</t>
  </si>
  <si>
    <t>CABALLETE 15º-20º-25º</t>
  </si>
  <si>
    <t>CABALLETE TEJA ESPAÑOLA</t>
  </si>
  <si>
    <t>BIDET PRESTIGIO</t>
  </si>
  <si>
    <t xml:space="preserve">BIDET STILO </t>
  </si>
  <si>
    <t>BIDET TIFFANY</t>
  </si>
  <si>
    <t>BIDET ROYAL</t>
  </si>
  <si>
    <t xml:space="preserve">VALOR     </t>
  </si>
  <si>
    <t>REF</t>
  </si>
  <si>
    <t>VALOR</t>
  </si>
  <si>
    <t xml:space="preserve">VALOR </t>
  </si>
  <si>
    <t>MENSUAL</t>
  </si>
  <si>
    <t>A</t>
  </si>
  <si>
    <t>ANUAL</t>
  </si>
  <si>
    <t>B</t>
  </si>
  <si>
    <t>DIARIO</t>
  </si>
  <si>
    <t>Salario anual ( 365 Dias)</t>
  </si>
  <si>
    <t>Subsidio de transporte</t>
  </si>
  <si>
    <t>PRESTACIONES</t>
  </si>
  <si>
    <t>Cesantia anual</t>
  </si>
  <si>
    <t>intereses cesantias</t>
  </si>
  <si>
    <t>Vacaciones 15 dias</t>
  </si>
  <si>
    <t>Prima 30 dias</t>
  </si>
  <si>
    <t>OTROS COSTOS</t>
  </si>
  <si>
    <t>Botas y overol</t>
  </si>
  <si>
    <t>SEGURIDAD SOCIAL</t>
  </si>
  <si>
    <t>Pensiones</t>
  </si>
  <si>
    <t>DESMONTE TANQUE ELEVADO DE A.C.</t>
  </si>
  <si>
    <t>Medicina familiar</t>
  </si>
  <si>
    <t>Riesgos profesionales</t>
  </si>
  <si>
    <t>APORTES SENA</t>
  </si>
  <si>
    <t>Aporte ordinario</t>
  </si>
  <si>
    <t>F.I.C.</t>
  </si>
  <si>
    <t>OTROS APORTES</t>
  </si>
  <si>
    <t>I.C.B.F.</t>
  </si>
  <si>
    <t>Subsidio familiar</t>
  </si>
  <si>
    <t>VALOR REAL DEL SALARIO</t>
  </si>
  <si>
    <t>CONCEPTO</t>
  </si>
  <si>
    <t>Salario mínimo</t>
  </si>
  <si>
    <t>Auxilio transporte</t>
  </si>
  <si>
    <t>Hora diurna</t>
  </si>
  <si>
    <t>Hora nocturna</t>
  </si>
  <si>
    <t>Hora extra diurna</t>
  </si>
  <si>
    <t>Hora extra noctuna</t>
  </si>
  <si>
    <t>SUBSIDIO TRANSPORTE</t>
  </si>
  <si>
    <t>TOTAL MENSUAL</t>
  </si>
  <si>
    <t>ANUAL+SUBSIDIO TRANSP.</t>
  </si>
  <si>
    <t>C</t>
  </si>
  <si>
    <t>D</t>
  </si>
  <si>
    <t>E</t>
  </si>
  <si>
    <t>BASE</t>
  </si>
  <si>
    <t>FACTOR</t>
  </si>
  <si>
    <t>%</t>
  </si>
  <si>
    <t>Cesan</t>
  </si>
  <si>
    <t>DESMONTE DE PORTON METALICO DE 3.00X2.30 M</t>
  </si>
  <si>
    <t>AYUDANTE PRACTICO</t>
  </si>
  <si>
    <t>SECRETARIA</t>
  </si>
  <si>
    <t>CARACOLI DE 1X2X15</t>
  </si>
  <si>
    <t>ABARCO DE 2X2X4,50</t>
  </si>
  <si>
    <t>ABARCO DE 2X4X4,50</t>
  </si>
  <si>
    <t>ABARCO DE 2X6X4,50</t>
  </si>
  <si>
    <t>MACHIMBRE VIROLA</t>
  </si>
  <si>
    <t>GUARDALUZ</t>
  </si>
  <si>
    <t>RINCONERAS O ESQUINERAS</t>
  </si>
  <si>
    <t>MADERA REDONDA</t>
  </si>
  <si>
    <t>PUNTILLAS DE ACERO</t>
  </si>
  <si>
    <t>AYUD.+CADEN.+TOPOG</t>
  </si>
  <si>
    <t>PUNTILLAS DE ½"</t>
  </si>
  <si>
    <t>PUNTILLAS DE 1"</t>
  </si>
  <si>
    <t>PUNTILLAS DE 2"</t>
  </si>
  <si>
    <t>PUNTILLAS DE 3"</t>
  </si>
  <si>
    <t>PUNTILLAS DE 4"</t>
  </si>
  <si>
    <t>ESTACAS 2"x2"x0.30 M</t>
  </si>
  <si>
    <t>ESTACAS 2"x2"x0.50 M</t>
  </si>
  <si>
    <t>ESTACAS 2"x2"x0.70 M</t>
  </si>
  <si>
    <t>TARIFA</t>
  </si>
  <si>
    <t>DESMONTE APARATOS SANITARIOS</t>
  </si>
  <si>
    <t>DESMONTE CUBIERTA A. C.</t>
  </si>
  <si>
    <t>DESMONTE VENTANAS</t>
  </si>
  <si>
    <t>CANT.</t>
  </si>
  <si>
    <t>BARRANCABERMEJA</t>
  </si>
  <si>
    <t>OBRA:</t>
  </si>
  <si>
    <t xml:space="preserve"> 1.EQUIPO Y HERRAMIENTAS</t>
  </si>
  <si>
    <t>(1 equipo)</t>
  </si>
  <si>
    <t>unidad/día</t>
  </si>
  <si>
    <t>( c )</t>
  </si>
  <si>
    <t>( a )</t>
  </si>
  <si>
    <t>( b )</t>
  </si>
  <si>
    <t>( axb )/( c )</t>
  </si>
  <si>
    <t xml:space="preserve"> 2.MATERIALES</t>
  </si>
  <si>
    <t>( d )</t>
  </si>
  <si>
    <t>( e )</t>
  </si>
  <si>
    <t>( dxe )</t>
  </si>
  <si>
    <t>integral/día</t>
  </si>
  <si>
    <t>( f )</t>
  </si>
  <si>
    <t>( g )</t>
  </si>
  <si>
    <t>( h )</t>
  </si>
  <si>
    <t>( fxg )/( h )</t>
  </si>
  <si>
    <t>SUB-TOTAL MATERIALES:</t>
  </si>
  <si>
    <t xml:space="preserve"> 4.OTROS CONCEPTOS</t>
  </si>
  <si>
    <t>( i )</t>
  </si>
  <si>
    <t>( j )</t>
  </si>
  <si>
    <t>( k )</t>
  </si>
  <si>
    <t>( i*j*k )</t>
  </si>
  <si>
    <t>TOTAL COSTO DIRECTO: ( 1 + 2 + 3 + 4 )</t>
  </si>
  <si>
    <t>DEMOLICION COLUMNAS EN MAMPOSTERIA</t>
  </si>
  <si>
    <t>DEMOLICION CIMIENTO CONCRETO CICLOPEO</t>
  </si>
  <si>
    <t>DEMOLICION VIGAS Y COLUMNAS INCLUYE ACARREO</t>
  </si>
  <si>
    <t xml:space="preserve">SUM.E INST. AIRE ACONDICIONADO INCLUYE PUNTO ELECTRICO </t>
  </si>
  <si>
    <t>LIMPIEZA Y ADECUACION TERRENO</t>
  </si>
  <si>
    <r>
      <t>CAMPAMENTO 20 M</t>
    </r>
    <r>
      <rPr>
        <vertAlign val="superscript"/>
        <sz val="10"/>
        <rFont val="Arial"/>
        <family val="2"/>
      </rPr>
      <t>2</t>
    </r>
  </si>
  <si>
    <t>AMARRE PARA TEJA</t>
  </si>
  <si>
    <t>TEJA ZINC 3.0 M</t>
  </si>
  <si>
    <t>EQUIPOS</t>
  </si>
  <si>
    <t>INTEGRAL</t>
  </si>
  <si>
    <t>PINTURA VINILO 3 MANOS</t>
  </si>
  <si>
    <t>PLACA MACIZA h = 0.08 m, REFUERZO Ø 1/2" c/0.12 m Y Ø 3/8" c/0.15 m</t>
  </si>
  <si>
    <t>ESTUCO Y PINTURA EXTERIORES</t>
  </si>
  <si>
    <t>PINTURA PARA EXTERIORES</t>
  </si>
  <si>
    <t>PINTURA EPOXICA</t>
  </si>
  <si>
    <t>2. EXCAVACIONES Y RELLENOS</t>
  </si>
  <si>
    <t>1. PRELIMINARES</t>
  </si>
  <si>
    <t>CAPACETE ½" PLASTICO</t>
  </si>
  <si>
    <t>CAPACETE 1" PLASTICO</t>
  </si>
  <si>
    <t>CAPACETE 1½" PLASTICO PLASTICO</t>
  </si>
  <si>
    <t>CAPACETE 3/4" PLASTICO</t>
  </si>
  <si>
    <t>CAJA PARA CONTADOR</t>
  </si>
  <si>
    <t>CONTADOR MONOFASICO 10/15 A.</t>
  </si>
  <si>
    <t>RELLENO DE LA MISMA EXCAVACION</t>
  </si>
  <si>
    <t>RELLENO CON MATERIAL GRANULAR (CASCAJILLO)</t>
  </si>
  <si>
    <t>RELLENO CON MATERIAL SELECCIONADO (RECEBO)</t>
  </si>
  <si>
    <t>ACARREO LOCAL</t>
  </si>
  <si>
    <t>RELLENO CON MATERIAL SELECCIONADO (ARENA)</t>
  </si>
  <si>
    <t>3. DESAGUES</t>
  </si>
  <si>
    <t>TUBERIA GRES Ø 3"</t>
  </si>
  <si>
    <t>TUBERIA GRES Ø 4"</t>
  </si>
  <si>
    <t>ACCESORIO GRES Ø 3"</t>
  </si>
  <si>
    <t>ACCESORIO GRES Ø 4"</t>
  </si>
  <si>
    <t>TUBERIA GRES Ø 6"</t>
  </si>
  <si>
    <t>ACCESORIO GRES Ø 6"</t>
  </si>
  <si>
    <t>TUBERIA GRES Ø 8"</t>
  </si>
  <si>
    <t>ACCESORIO GRES Ø 8"</t>
  </si>
  <si>
    <t>TUBERIA DRENAJE GRES Ø 4"</t>
  </si>
  <si>
    <t>TUBERIA DRENAJE GRES Ø 6"</t>
  </si>
  <si>
    <t>ALAMBRE NEGRO</t>
  </si>
  <si>
    <t>4. CIMIENTOS</t>
  </si>
  <si>
    <t>5. ESTRUCTURAS</t>
  </si>
  <si>
    <t>6. INSTALACIONES SANITARIAS</t>
  </si>
  <si>
    <t>UN</t>
  </si>
  <si>
    <t>7. INSTALACIONES HIDRAULICAS</t>
  </si>
  <si>
    <t>CONEXIÓN TANQUE ELEVADO PVC</t>
  </si>
  <si>
    <t xml:space="preserve">REGISTRO 1" </t>
  </si>
  <si>
    <t xml:space="preserve">REGISTRO 2" </t>
  </si>
  <si>
    <t>LLAVE DE PASO 1/2"</t>
  </si>
  <si>
    <t>LLAVE DE PASO 1"</t>
  </si>
  <si>
    <t>4. ESTRUCTURAS</t>
  </si>
  <si>
    <t>VIGA AEREA DE 0.10x0.20  EN CONCRETO DE 3000 PSI REFUERZO 4 Ø 1/2", 12 FLEJES Ø 3/8"</t>
  </si>
  <si>
    <t>DINTEL EN CONCRETO DE 3000 PSI 0.10 x 0.10 M, CON REFUERZO 2 Ø 3/8" + 6 Ø 1/4"</t>
  </si>
  <si>
    <t>4. ESTRUCTURA</t>
  </si>
  <si>
    <t>CONSTRUCCIÓN PUNTO HIDRÁULICO EN PVC</t>
  </si>
  <si>
    <t>5. INSTALACIONES HIDROSANITARIAS</t>
  </si>
  <si>
    <t>SUMINISTRO E INSTALACIÓN RED HIDRAULICA EN PVC Ø 11/2"</t>
  </si>
  <si>
    <t>SUMINISTRO E INSTALACIÓN RED HIDRAULICA EN  PVC Ø 1"</t>
  </si>
  <si>
    <t>SUMINISTRO E INSTALACIÓN RED HIDRAULICA EN  PVC Ø 3/4"</t>
  </si>
  <si>
    <t>SUMINISTRO E INSTALACIÓN RED HIDRAULICA EN PVC Ø 1/2"</t>
  </si>
  <si>
    <t>5.INSTALACIONES HIDROSANITARIAS</t>
  </si>
  <si>
    <t xml:space="preserve">CONSTRUCCIÓN PUNTO SANITARIO PVC Ø 2" </t>
  </si>
  <si>
    <t>CONSTRUCCIÓN PUNTO SANITARIO PVC Ø 3" (SIFON)</t>
  </si>
  <si>
    <t>5.  INSTALACIONES HIDROSANITARIAS</t>
  </si>
  <si>
    <t>CONSTRUCCIÓN PUNTO SANITARIO PVC Ø 4"</t>
  </si>
  <si>
    <t>CONSTRUCCIÓN CAJA DE INSPECCION 0.60 x 0.60 M</t>
  </si>
  <si>
    <t>CONSTRUCCIÓN CAJA DE INSPECCION 0.80 x 0.80 M</t>
  </si>
  <si>
    <t xml:space="preserve">CONSTRUCCIÓN CAJA DE INSPECCION 1.00 x 1.00 M </t>
  </si>
  <si>
    <t>SUMINISTRO E INSTALACION DE LAVAPLATOS EN ACERO INOXIDABLE INCLUYE MEZCLADOR</t>
  </si>
  <si>
    <t>SUMINISTRO E INSTALACIÒN DUCHA MEZCLADORA</t>
  </si>
  <si>
    <t>6. MUROS</t>
  </si>
  <si>
    <t>7. REVOQUE</t>
  </si>
  <si>
    <t>CONSTRUCCIÓN ALISTADO IMPERMEAB. DE PISOS, MORTERO 1:3, e = 3 cm</t>
  </si>
  <si>
    <t>8. PISOS</t>
  </si>
  <si>
    <t>CONSTRUCCIÓN ALISTADO DE PISOS, MORTERO 1:4, e = 3.0 cm</t>
  </si>
  <si>
    <t>SUMINISTRO E INSTALACIÓN DE BALDOSIN DE GRANITO PULIDO 0.33x0.33</t>
  </si>
  <si>
    <t xml:space="preserve">8. PISOS </t>
  </si>
  <si>
    <t>CONSTRUCCIÓN GUARDAESCOBA MEDIA CAÑA EN GRANITO</t>
  </si>
  <si>
    <t xml:space="preserve">CONSTRUCCIÓN PISO EN GRANITO FUNDIDO  INCLUYE PULIDA </t>
  </si>
  <si>
    <t>SUMINISTRO E INSTALACIÓN PISO EN CERAMICA PARA BAÑOS 20.5X20.5 CM</t>
  </si>
  <si>
    <t>SUMINISTRO E INSTALACIÓN ENCHAPE DE PARED CERAMICA BLANCA 20.5X20.5 CM</t>
  </si>
  <si>
    <t>9. ENCHAPE EN BALDOSIN</t>
  </si>
  <si>
    <t>10. ACABADOS</t>
  </si>
  <si>
    <t>11. CIELO RASO</t>
  </si>
  <si>
    <t>SUMINISTRO E INSTALACIÓN CIELO RASO EN LAMINA PLANA DE FIBROCEMENTO INCLUYE PINTURA VINILO TIPO I Y ENTRAMADO EN ALUMINIO</t>
  </si>
  <si>
    <t>12. CARPINTERIA EN MADERA</t>
  </si>
  <si>
    <t>12. CARPINTERIA DE MADERA</t>
  </si>
  <si>
    <t>SUMINISTRO E INSTALACIÓN PUERTA EN MADERA 0.70x2.00 M, INCLUYE MARCO CERRADURA E INSTALACION</t>
  </si>
  <si>
    <t>SUMINISTRO E INSTALACIÓ PUERTA EN MADERA 0.80x2.00 M, INCLUYE MARCO CERRADURA E INSTALACION</t>
  </si>
  <si>
    <t>SUMINISTRO E INSTALACIÓN PUERTA EN MADERA 0.90x2.00 M, INCLUYE MARCO CERRADURA E INSTALACION</t>
  </si>
  <si>
    <t>SUMINISTRO E INSTALACIÓN PUERTA EN MADERA  1.00x2.00 M, INCLUYE MARCO CERRADURA DE SEGURIDAD E INSTALACION</t>
  </si>
  <si>
    <t>SUMINISTRO E INSTALACIÓN PUERTA EN VAIVEN DE (1.85X2.00) CON VIDRIO</t>
  </si>
  <si>
    <t>SUMINISTRO E INSTALACIÓN DE PUERTA DE MADERA  EN VAIVEN DE (1.4X2.00) CON VIDRIO</t>
  </si>
  <si>
    <t>SUMINISTRO E INSTALACIÓN PUERTA MADERA EN VAIVEN DE (0.85X2.00) CON VIDRIO</t>
  </si>
  <si>
    <t>13. CARPINTERIA METALICA</t>
  </si>
  <si>
    <t xml:space="preserve">SUMINISTRO E INSTALACIÓN DE REJA DE SEGURIDAD EN ALUMINIO </t>
  </si>
  <si>
    <t>14. INSTALACIONES ELECTRICAS</t>
  </si>
  <si>
    <t>CONSTRUCCIÓN PUNTO PARA COMPUTADOR (TRIFASICO)</t>
  </si>
  <si>
    <t xml:space="preserve">CONSTRUCCIÓN SALIDA PARA TELEVISION </t>
  </si>
  <si>
    <t>CONSTRUCCIÓN PUNTO DE TELEFONO</t>
  </si>
  <si>
    <t>ARREGLO LAMPARAS FLUORESCENTES EXISTENTES Y SUMINISTRO E INSTALACIÓN DE BALASTRAS</t>
  </si>
  <si>
    <t>BALASTRAS</t>
  </si>
  <si>
    <t>15. OBRAS VARIAS</t>
  </si>
  <si>
    <t>SUMINISTRO E INSTALACIÓN DE CANAL METALICO</t>
  </si>
  <si>
    <t>16. ASEO GENERAL</t>
  </si>
  <si>
    <t>DESMONTE HOJA DE PUERTA EN LAMINA</t>
  </si>
  <si>
    <t>DESMONTE CUBIERTA A. C. Y ENTRAMADO DE MADERA</t>
  </si>
  <si>
    <t>COLUMNA 0.45 x 0.30 M, REFUERZO 4 Ø 1" + 4 Ø 5/8", 12 Ø 3/8"</t>
  </si>
  <si>
    <t>VINILTEX PINTUCO</t>
  </si>
  <si>
    <t>PINTURA EPOXIPOLIAMIDA</t>
  </si>
  <si>
    <t>CATALIZADOR</t>
  </si>
  <si>
    <t>AJUSTADOR 21135</t>
  </si>
  <si>
    <t>KORAZA PINTUCO</t>
  </si>
  <si>
    <t>COLUMNA 0.45 x 0.30 M, REFUERZO 4 Ø 1/2" + 4 Ø 5/8", 12 Ø 3/8"</t>
  </si>
  <si>
    <t xml:space="preserve">DESMONTE CIELO RASO EN  A. C. Y ENTRAMADO EN MADERA </t>
  </si>
  <si>
    <t>RED SUMINISTRO PVC Ø 2"</t>
  </si>
  <si>
    <t>INSTALACIONES HIDRAULICAS</t>
  </si>
  <si>
    <t>MORTERO 1:2 IMPERMEABILIZADO</t>
  </si>
  <si>
    <t>IMPERMEABILIZANTE TEC LIQUIDO 4 KG</t>
  </si>
  <si>
    <t>ACELERANTE TEC 4 KG</t>
  </si>
  <si>
    <t>RETARDANTE TEC 4 KG</t>
  </si>
  <si>
    <t>SUPERPLASTIFICANTE TEC 4 KG</t>
  </si>
  <si>
    <t>REDUCTOR TEC LIQUIDO 4 KG</t>
  </si>
  <si>
    <t>TEC ACRILICO 4 KG</t>
  </si>
  <si>
    <t>SELLANTE (CINTA PVC) O-22 15 MTS</t>
  </si>
  <si>
    <t>THINNER COLORES PLANOS Y BARNIZ</t>
  </si>
  <si>
    <t>ESMALTE SINTETICO PINTULUX</t>
  </si>
  <si>
    <t>ESMALTE DOMESTICO</t>
  </si>
  <si>
    <t>BARNIZ TRANSPARENTE BRILLANTE</t>
  </si>
  <si>
    <r>
      <t>M</t>
    </r>
    <r>
      <rPr>
        <vertAlign val="superscript"/>
        <sz val="11"/>
        <rFont val="Arial"/>
        <family val="2"/>
      </rPr>
      <t>3</t>
    </r>
  </si>
  <si>
    <r>
      <t>M</t>
    </r>
    <r>
      <rPr>
        <vertAlign val="superscript"/>
        <sz val="11"/>
        <rFont val="Arial"/>
        <family val="2"/>
      </rPr>
      <t>3</t>
    </r>
    <r>
      <rPr>
        <sz val="10"/>
        <rFont val="Arial"/>
        <family val="2"/>
      </rPr>
      <t/>
    </r>
  </si>
  <si>
    <r>
      <t>M</t>
    </r>
    <r>
      <rPr>
        <vertAlign val="superscript"/>
        <sz val="11"/>
        <rFont val="Arial"/>
        <family val="2"/>
      </rPr>
      <t>2</t>
    </r>
  </si>
  <si>
    <t>SELLANTE (CINTA PVC) V-15 30 MTS</t>
  </si>
  <si>
    <t>MORTERO 1:3 IMPERMEABILIZADO</t>
  </si>
  <si>
    <t>MORTERO 1:2 (MATERIALES) IMPERMEAB.</t>
  </si>
  <si>
    <t>MORTERO 1:3 (MATERIALES) IMPERMEAB.</t>
  </si>
  <si>
    <t>BLOQUE ARCILLA H10X23X33</t>
  </si>
  <si>
    <t>INSTALACIONES ELECTRICAS</t>
  </si>
  <si>
    <t>CANALETA 43 DE 3.50 M</t>
  </si>
  <si>
    <t>TEJA PLASTICA No. 4 (CAL. 6)</t>
  </si>
  <si>
    <t>CANALETA 43 DE 4.00 M</t>
  </si>
  <si>
    <t>CANALETA 43 DE 4.50 M</t>
  </si>
  <si>
    <t>CANALETA 43 DE 5.00 M</t>
  </si>
  <si>
    <t>GRAFILADO DE  5 MM x 6.0 M</t>
  </si>
  <si>
    <t>GRAFILADO DE 8 MM x 6.0 M.</t>
  </si>
  <si>
    <t>GRAFILADO DE 9 MM x 6.0 M.</t>
  </si>
  <si>
    <t>GRAFILADO DE 10 MM x 6.0 M.</t>
  </si>
  <si>
    <t>VARILLA CORRUGADA ½" x 6.0 M</t>
  </si>
  <si>
    <t>VARILLA CORRUGADA 5/8" x 6.0 M</t>
  </si>
  <si>
    <t>VARILLA  CORRUGADA ¾" x 6.0 M</t>
  </si>
  <si>
    <r>
      <t>VARILLA CORRUGADA 7/8</t>
    </r>
    <r>
      <rPr>
        <b/>
        <sz val="11"/>
        <rFont val="Arial"/>
        <family val="2"/>
      </rPr>
      <t>"</t>
    </r>
    <r>
      <rPr>
        <sz val="11"/>
        <rFont val="Arial"/>
        <family val="2"/>
      </rPr>
      <t xml:space="preserve"> x 6.0 M</t>
    </r>
  </si>
  <si>
    <t>VARILLA CORRUGADA DE 1" x 6.0 M</t>
  </si>
  <si>
    <t>VARILLA LISA ½" x 6.0 M</t>
  </si>
  <si>
    <t>VARILLA LISA ¾" x 6.0 M</t>
  </si>
  <si>
    <t>VARILLA LISA 5/8" x 6.0 M</t>
  </si>
  <si>
    <t>VARILLA LISA 7/8" x 6.0 M</t>
  </si>
  <si>
    <t>VARILLA LISA 1" x 6.0 M</t>
  </si>
  <si>
    <t>VARILLA CUADRADA ½" x 6.0 M</t>
  </si>
  <si>
    <t>CANALETA 43 DE 5.50 M</t>
  </si>
  <si>
    <t>CANALETA 43 DE 6.00 M</t>
  </si>
  <si>
    <t>CANALETA 90 DE 3.75 M</t>
  </si>
  <si>
    <t>CANALETA 90 DE 4.50 M</t>
  </si>
  <si>
    <t>CANALETA 90 DE 5.25 M</t>
  </si>
  <si>
    <t>CANALETA 90 DE 6.00 M</t>
  </si>
  <si>
    <t>CANALETA 90 DE 9.00 M</t>
  </si>
  <si>
    <t>TORNILLO DE ALA CANALETA 43</t>
  </si>
  <si>
    <t>TORNILLO FIJACION CANALETA 90</t>
  </si>
  <si>
    <t>TORNILLO DE ALA CANALETA 90</t>
  </si>
  <si>
    <t>CANALETA 90 DE 3.00 M Cal. 26 ACESCO</t>
  </si>
  <si>
    <t>CANALETA 90 DE 4.50 M Cal. 24 ACESCO</t>
  </si>
  <si>
    <t>CANALETA 90 DE 5.00 M Cal. 24 ACESCO</t>
  </si>
  <si>
    <t>CANALETA 90 DE 6.00 M Cal. 24 ACESCO</t>
  </si>
  <si>
    <t>MATRICULA ELECTRIFICADORA</t>
  </si>
  <si>
    <t>TABLERO 24 CIRCUITOS TRIFASICA</t>
  </si>
  <si>
    <t>CANALETA 90 DE 7.00 M Cal. 24 ACESCO</t>
  </si>
  <si>
    <t>CANALETA 90 DE 8.00 M Cal. 24 ACESCO</t>
  </si>
  <si>
    <t>TORNILLO FIJACION CANALETA ACESCO</t>
  </si>
  <si>
    <t>TORNILLO DE ALA CANALETA 90 ACESCO</t>
  </si>
  <si>
    <t>CINTA AISLANTE 3M</t>
  </si>
  <si>
    <t>TEJA DE BARRO REDONDA PRENS. GRAND</t>
  </si>
  <si>
    <t>TEJA DE BARRO REDONDA PRENS. PEQU.</t>
  </si>
  <si>
    <t>TEJA DE BARRO CUADRAD PRENS. GRAND</t>
  </si>
  <si>
    <t>TANQUE PLASTICO AJOVER K-1000 LTS C/TAPA S/CONEX S/GRIF..........</t>
  </si>
  <si>
    <t>TANQUE PLASTICO AJOVER K-500  LTS C/TAPA S/CONEX S/GRIF..........</t>
  </si>
  <si>
    <t>TANQUE PLASTICO AJOVER K-250  LTS C/TAPA S/CONEXIONES. S/GRIFER</t>
  </si>
  <si>
    <t xml:space="preserve">LAVAPLATOS SOCODA SENCILLO SIN GRIFERIA </t>
  </si>
  <si>
    <t>SUMINISTRO E INSTALACION TANQUE ELEVADO AC DE  1000 LTS</t>
  </si>
  <si>
    <t>TEJA DE BARRO CUADRAD PRENS. PEQU.</t>
  </si>
  <si>
    <t>TEJA BARRO GRANDE RUSTICA</t>
  </si>
  <si>
    <t>ABARCO DE 2X3X4,50</t>
  </si>
  <si>
    <t>CASEINA</t>
  </si>
  <si>
    <t>TAPAPOROS INCOLORO</t>
  </si>
  <si>
    <t>THINNER LIMPIADOR</t>
  </si>
  <si>
    <t>ANTICORROSIVO MINIO-CROM ZINC ROJO</t>
  </si>
  <si>
    <t>COLUMNA 0.25 x 0.30 M, REFUERZO 6 Ø 5/8", 12 Ø 3/8"</t>
  </si>
  <si>
    <t>ZAPATAS 1.20 x 1.20, h = 0.475 M, REFUERZO Ø ½", C/0.15 EN DOS DIRECCIONES</t>
  </si>
  <si>
    <t>ANTICORROSIVO GRIS ECONÓMICO</t>
  </si>
  <si>
    <t>SELLADOR LIJABLE TIPO ECONÓMICO</t>
  </si>
  <si>
    <t>PINTULACA MATE</t>
  </si>
  <si>
    <t>BASE TRANSPARENTE</t>
  </si>
  <si>
    <t>TABLA 1X10X10</t>
  </si>
  <si>
    <t>TABLA 1X8X10</t>
  </si>
  <si>
    <t>TABLA 1X8X15</t>
  </si>
  <si>
    <t>TABLA 1X10X15</t>
  </si>
  <si>
    <t>TABLA 1X12X15</t>
  </si>
  <si>
    <t>TABLON 2X8X10</t>
  </si>
  <si>
    <t>TABLON 2X10X10</t>
  </si>
  <si>
    <t>TABLON 2X8X15</t>
  </si>
  <si>
    <t>TABLON 2X10X15</t>
  </si>
  <si>
    <t>TABLON 2x12x15</t>
  </si>
  <si>
    <t>TABLON 2x12x10</t>
  </si>
  <si>
    <t>TABLA 1X12X10</t>
  </si>
  <si>
    <t>TEJA ESPAÑOLA x 1.6 M</t>
  </si>
  <si>
    <t>TEJA ESPAÑOLA x 0.7 M</t>
  </si>
  <si>
    <t>TEJA ZINC 2.15 M</t>
  </si>
  <si>
    <t>TORNILLO FIJACION CANALETA 43 MADERA</t>
  </si>
  <si>
    <t>TORNILLO FIJACION CANALETA 43 METAL.</t>
  </si>
  <si>
    <t>TENSOR CANALETA 90</t>
  </si>
  <si>
    <t>PAPEL PAROID 20 M</t>
  </si>
  <si>
    <t>MALLA CON VENA 0.5 X 2.00</t>
  </si>
  <si>
    <t>TABLA 1X6X10</t>
  </si>
  <si>
    <t>TABLA 1X4X10</t>
  </si>
  <si>
    <t>BALDOSIN DE GRANITO 0.20x0.20</t>
  </si>
  <si>
    <t>EQUIPO PARA PULIR PISOS</t>
  </si>
  <si>
    <t>PIRLAN ALUMINIO DORADO</t>
  </si>
  <si>
    <t>PISOS Y ENCHAPES</t>
  </si>
  <si>
    <t>ARCADIA 0.205x0.205</t>
  </si>
  <si>
    <t>TOLEDO 0.205x0.205 LISO</t>
  </si>
  <si>
    <t>ROMANA 0.09x0.18</t>
  </si>
  <si>
    <t>GL</t>
  </si>
  <si>
    <t>BROCHAS DE NYLON ½"</t>
  </si>
  <si>
    <t>BROCHAS DE NYLON 1"</t>
  </si>
  <si>
    <t>BROCHAS DE NYLON 2"</t>
  </si>
  <si>
    <t>BROCHAS DE NYLON 3"</t>
  </si>
  <si>
    <t>BROCHAS DE NYLON 5"</t>
  </si>
  <si>
    <t>PAPEL LIJA PARA MADERA</t>
  </si>
  <si>
    <t>PAPEL LIJA AGUA</t>
  </si>
  <si>
    <t>TECNIGREE 0.10x0.20</t>
  </si>
  <si>
    <t>OLIMPIA 0.205x0.205</t>
  </si>
  <si>
    <t>TRACIA 0.205x0.205</t>
  </si>
  <si>
    <t>ESPARTA .205x.205 (Decorpiso)</t>
  </si>
  <si>
    <t>GRANITO ROSADO-BLANCO, 36 KG</t>
  </si>
  <si>
    <t>DILATACION EN BRONCE, 3 M</t>
  </si>
  <si>
    <t>DILATACION EN PLASTICO, 2 M</t>
  </si>
  <si>
    <t>PIRLAN BRONCE, 0.80 M</t>
  </si>
  <si>
    <t>BALDOSIN DE GRANITO PULIDO 0.33x0.33</t>
  </si>
  <si>
    <t>SIKA 2 ACELERANTE 2½  KG</t>
  </si>
  <si>
    <t>PLASTOCRETE DM 4.5 KG</t>
  </si>
  <si>
    <t>JUNTAS (IGAS GRIS)</t>
  </si>
  <si>
    <t xml:space="preserve">SELLO (IGAS NEGRO) </t>
  </si>
  <si>
    <t>SIKA 101 MORTERO BLANCO 10 KG</t>
  </si>
  <si>
    <t>SIKA 101 MORTERO GRIS 10 KG</t>
  </si>
  <si>
    <t>SUMINISTRO E INSTALACIÒN VIDRIO CORRUGADO DE 4 MM</t>
  </si>
  <si>
    <t>VIDRIO DE 4 MM</t>
  </si>
  <si>
    <t>SUMINISTRO E INSTALACIÒN LLAVE CROMADA DE 1/2"</t>
  </si>
  <si>
    <t>ACCESORIOS</t>
  </si>
  <si>
    <t>SUMINISTRO E INSTALACIÒN LLAVE DE REGISTRO DE 3/4"</t>
  </si>
  <si>
    <t>RETIRO DE ESCOMBROS INCLUYE ACARREO EN VOLQUETA</t>
  </si>
  <si>
    <t>CERRAMIENTO FIBRA PLASTICA</t>
  </si>
  <si>
    <t>FIBRA PARA CERRAMIENTO</t>
  </si>
  <si>
    <r>
      <t>VIGA CORREA 0.08x0.20 AEREA, REFUERZO 2 Ø 3/8", 12 FLEJES Ø ¼", en ese (</t>
    </r>
    <r>
      <rPr>
        <sz val="16"/>
        <rFont val="Arial"/>
        <family val="2"/>
      </rPr>
      <t>S</t>
    </r>
    <r>
      <rPr>
        <sz val="10"/>
        <rFont val="Arial"/>
        <family val="2"/>
      </rPr>
      <t>)</t>
    </r>
  </si>
  <si>
    <t xml:space="preserve">MESON DOBLE EN CONCRETO INCLUYE REFUERZO Y ACABADO EN GRANITO PULIDO </t>
  </si>
  <si>
    <t>ANTISOL BLANCO 20 KG</t>
  </si>
  <si>
    <t>ANTISOL ROJO 16 KG</t>
  </si>
  <si>
    <t>PLASTIMENT VZ 20 KG</t>
  </si>
  <si>
    <t>INCRUSTACIONES (6 piezas)</t>
  </si>
  <si>
    <t>DOBLADORA, CADA DOBLES</t>
  </si>
  <si>
    <t>PLATINA 1"x1/8"x6.0 M</t>
  </si>
  <si>
    <t>ANGULO DE 1"x1/8"x6.0 M</t>
  </si>
  <si>
    <t>ANGULO DE 1"x3/16"x6.0 M</t>
  </si>
  <si>
    <t>LAMINA GALVANIZADA CALIBRE 18 1.00x2.00</t>
  </si>
  <si>
    <t>LAMINA GALVANIZADA CALIBRE 18 1.20x2.40</t>
  </si>
  <si>
    <t>LAMINA COL ROL CALIBRE 20 1.00x2.00</t>
  </si>
  <si>
    <t>LAMINA COL ROL CALIBRE 18 1.00x2.00</t>
  </si>
  <si>
    <t>MERULEX I.F. 3 KG</t>
  </si>
  <si>
    <t>16 KG</t>
  </si>
  <si>
    <t>ALAMBRE GALVANIZADO Nº 16</t>
  </si>
  <si>
    <t>TORNILLO MADERA 5/16"</t>
  </si>
  <si>
    <t>CHAZOS 5/16"</t>
  </si>
  <si>
    <t>REMACHE</t>
  </si>
  <si>
    <t>VIGA 0.20 x 0.36 M, REFUERZO 4 Ø 5/8", 12 Ø 3/8"</t>
  </si>
  <si>
    <t>COLUMNA 0.20 x 0.36 M, REFUERZO 4 Ø 5/8", 12 Ø 3/8"</t>
  </si>
  <si>
    <t>MADEFLEX 1.22x2.44</t>
  </si>
  <si>
    <t>MANGUERA LAVAMANOS</t>
  </si>
  <si>
    <t>MANGUERA SANITARIOS</t>
  </si>
  <si>
    <t>TUBERIA GALVANIZADA T-LIV. 1/2"x 6.0 M</t>
  </si>
  <si>
    <t>MUEBLE SANITARIO LINEA ACUACER</t>
  </si>
  <si>
    <t>CONJUNTO GRIF. TANQUE SANIT. GRIVAL</t>
  </si>
  <si>
    <t>REGADERA CORRIENTE GRIVAL</t>
  </si>
  <si>
    <t>MEZCLADOR LAVAPLATOS PICO ALCON</t>
  </si>
  <si>
    <t>LLAVE CROMADA DE COCINA GRIVAL</t>
  </si>
  <si>
    <t>LLAVE CROMADA DE JARDIN CORRIENTE</t>
  </si>
  <si>
    <t>LLAVE SIN CROMAR DE COCINA GRIVAL</t>
  </si>
  <si>
    <t>LLAVE SIN CROMAR DE JARDIN CORRIENTE</t>
  </si>
  <si>
    <t>VALVULA DE COMPUERTA DE 1/2" GRIVAL</t>
  </si>
  <si>
    <t>VALVULA DE COMPUERTA DE 1/2" CORRIENTE</t>
  </si>
  <si>
    <t>LLAVE DE PASO 3/4"</t>
  </si>
  <si>
    <t>LAVAPLATOS ACERO CON ALETA</t>
  </si>
  <si>
    <t>LAVAPLATOS ACERO ECONOMICO</t>
  </si>
  <si>
    <t>LAVAPLATOS ESMALTADO ECONOMICO</t>
  </si>
  <si>
    <t>PERFIL DE ALUMINIO 6.0 M</t>
  </si>
  <si>
    <t>BISAGRA 3"x3" PESADA</t>
  </si>
  <si>
    <t>BISAGRA 2½"x2½" PESADA</t>
  </si>
  <si>
    <t>PAR</t>
  </si>
  <si>
    <t>CERRADURA YALE 396 PORTON</t>
  </si>
  <si>
    <t>CERRADURA SAFE 141 BAÑOS</t>
  </si>
  <si>
    <t xml:space="preserve">CERRADURA BAÑOS (INST.) </t>
  </si>
  <si>
    <t>CERRADURA ALCOBAS (INST.)</t>
  </si>
  <si>
    <t>PLAFON PLASTICO</t>
  </si>
  <si>
    <t>PLAFON LOZA</t>
  </si>
  <si>
    <t>ACELERANTE PARA CONCRET SIKASET L</t>
  </si>
  <si>
    <t>CAJA ELECTRICA CUADRADA PVC</t>
  </si>
  <si>
    <t>CAJA ELECTRICA CUADRADA METALICA</t>
  </si>
  <si>
    <t>CAJA ELECTRICA RECTANGULAR METALICA</t>
  </si>
  <si>
    <t>CAJA ELECTRICA RECTANGULAR PVC</t>
  </si>
  <si>
    <t>BREAKER 15 A/20 A</t>
  </si>
  <si>
    <t>BREAKER 30 A</t>
  </si>
  <si>
    <t>BREAKER 2x50 A</t>
  </si>
  <si>
    <t>BREAKER 3x75 A</t>
  </si>
  <si>
    <t>BREAKER 3x100 A</t>
  </si>
  <si>
    <t>INTERRUPTOR DOBLE LUMINEX</t>
  </si>
  <si>
    <t>INTERRUPTOR SENCILLO LUMINEX</t>
  </si>
  <si>
    <t>TOMA SENCILLA LUMINEX</t>
  </si>
  <si>
    <t>TOMA DOBLE POLARIZADO</t>
  </si>
  <si>
    <t>PUNTO PVC AGUA Ø 1/2", DUCHA</t>
  </si>
  <si>
    <t>PUNTO PVC AGUA Ø 1/2", LAVAMANOS</t>
  </si>
  <si>
    <t>PUNTO PVC AGUA Ø 1/2", SANITARIO</t>
  </si>
  <si>
    <t>TOMA TRIFASICO</t>
  </si>
  <si>
    <t>CAJA DE PASO 30x30x20</t>
  </si>
  <si>
    <t>REGLETA TELEFONICA 10 PARES</t>
  </si>
  <si>
    <t>TUBO GALVANIZADO ¾"x3.0 M</t>
  </si>
  <si>
    <t>HIDROSOLTA</t>
  </si>
  <si>
    <t>ALAMBRE DESNUDO #14</t>
  </si>
  <si>
    <t>CABLE CU THW # 6</t>
  </si>
  <si>
    <t>CABLE CU THW # 8</t>
  </si>
  <si>
    <t>VALVULA HG 2"</t>
  </si>
  <si>
    <t>VALVULA HG 3"</t>
  </si>
  <si>
    <t>CERAMICA .30x.30 TRAFICO 4</t>
  </si>
  <si>
    <t>CERAMICA .40x.40 TRAFICO 4</t>
  </si>
  <si>
    <t>ANGULO ALUMINIO DE ¾"x1/16"x6.0 M</t>
  </si>
  <si>
    <t>LAMINA ICOPOR TEXTURIZADA 0.6x1.2 M</t>
  </si>
  <si>
    <t>LAMINA ICV TEXTURIZADA 0.6x1.2 M</t>
  </si>
  <si>
    <t>M3</t>
  </si>
  <si>
    <t>BASE CONCRETO 2000 PSI, e = 0.075 M</t>
  </si>
  <si>
    <t>CONECTOR BIMETALICO</t>
  </si>
  <si>
    <t>CONCRETO CICLOPEO 3000 PSI, .40x.30</t>
  </si>
  <si>
    <t>VIGA CIMIENTO TRAPEZOIDAL EN CONCRETO 3000 PSI, .20x.40 REFORZADA CON 4 Ø 3/8" Y Ø 1/4" c/.20</t>
  </si>
  <si>
    <t>SOBRECIMIENTO LADRILLO TOLETE e = 0.25 M IMPERMEABILIZADO</t>
  </si>
  <si>
    <t>SOBRECIMIENTO LADRILLO TOLETE e = 0.15 M IMPERMEABILIZADO</t>
  </si>
  <si>
    <t>SOBRECIMIENTO BLOQUE CEMENTO e = 0.20 M IMPERMEABILIZADO</t>
  </si>
  <si>
    <t>SOBRECIMIENTO BLOQUE CEMENTO e = 0.10 M IMPERMEABILIZADO</t>
  </si>
  <si>
    <t>SOBRECIMIENTO EN CONCRETO 3000 PSI .15 x .25 IMPERMEABILIZADO</t>
  </si>
  <si>
    <t>SOBRECIMIENTO EN CONCRETO 3000 PSI .20 x .25 IMPERMEABILIZADO</t>
  </si>
  <si>
    <t>FECHA</t>
  </si>
  <si>
    <t>VIGA AMARRE 0.12x0.30 AEREA, REFUERZO 4 Ø 1/2", 12 FLEJES Ø ¼"</t>
  </si>
  <si>
    <t>SOBRECIMIENTO LADRILLO ARROBERO IMPERMEABILIZADO e = 0.15 M</t>
  </si>
  <si>
    <t>SOBRECIMIENTO LADRILLO TOLETE 0.25 x 0.25 M IMPERMEABILIZADO</t>
  </si>
  <si>
    <t>SOBRECIMIENTO LADRILLO TOLETE 0.15 x 0.25 M IMPERMEABILIZADO</t>
  </si>
  <si>
    <t>COLUMNETA 0.07x0.30 M, REFUERZO 4 Ø 3/8" y Ø ¼" 1 C / 0.20 M</t>
  </si>
  <si>
    <t>COLUMNETA 0.12x0.30 M, REFUERZO 4 Ø 3/8" y Ø ¼" 1 C / 0.20 M</t>
  </si>
  <si>
    <t>AYUDANTE CUAD. TIPO BB</t>
  </si>
  <si>
    <t>CHEQUE BRONCE 1/2" RED WHITE</t>
  </si>
  <si>
    <t>CHEQUE BRONCE 3/4" RED WHITE</t>
  </si>
  <si>
    <t>CHEQUE BRONCE 1" RED WHITE</t>
  </si>
  <si>
    <t>COLUMNETA 0.15x0.30 M, REFUERZO 4 Ø 3/8" y Ø ¼" 1 C / 0.20 M</t>
  </si>
  <si>
    <t>AYUDANTE CUAD. TIPO CC</t>
  </si>
  <si>
    <t xml:space="preserve">OFICIAL CUAD. TIPO AA </t>
  </si>
  <si>
    <t>OFICIAL CUAD. TIPO BB</t>
  </si>
  <si>
    <t>OFICIAL CUAD. TIPO CC</t>
  </si>
  <si>
    <t>AYUD.+OFICIAL CUAD. AA</t>
  </si>
  <si>
    <t>AYUD.+OFICIAL CUAD. BB</t>
  </si>
  <si>
    <t>AYUD.+OFICIAL CUAD. CC</t>
  </si>
  <si>
    <t>3 AYUD.+OFICIAL CUAD AA</t>
  </si>
  <si>
    <t>AYUD.+PRAC.+OFICIAL CUAD. AA</t>
  </si>
  <si>
    <t>PUERTA PIZANO 0.70x2.00 M</t>
  </si>
  <si>
    <t>JAMBA 2"x3.00 M LISA</t>
  </si>
  <si>
    <t>VENTANA ALUMINIO 0.80x1.20 M</t>
  </si>
  <si>
    <t>VENTANA ALUMINIO 1.20x1.20 M</t>
  </si>
  <si>
    <t>VENTANA ALUMINIO 1.60x1.20 M</t>
  </si>
  <si>
    <t>VENTANA ALUMINIO 2.00x1.20 M</t>
  </si>
  <si>
    <t>VENTANA ALUMINIO 0.40x0.50 M</t>
  </si>
  <si>
    <t>CABLE TELEFONICO INTEMPERIE</t>
  </si>
  <si>
    <t>CONTADOR TRIFILAR 15/20 A.</t>
  </si>
  <si>
    <t>FOTOCELDA CON BASE</t>
  </si>
  <si>
    <t>ESTRACTOR SIEMENS 10"</t>
  </si>
  <si>
    <t>LAMPARA FLUORESCENTE SLIN LINE 1x40</t>
  </si>
  <si>
    <t>LAMPARA FLUORESCENTE SLIN LINE 2x48 SOBREPONER</t>
  </si>
  <si>
    <t>LAMPARA FLUORESCENTE SLIN LINE 2x48 INCRUSTAR</t>
  </si>
  <si>
    <t>PERCHA 3 PUESTOS TIPO LIVIANO</t>
  </si>
  <si>
    <t>PERCHA 3 PUESTOS TIPO PESADO</t>
  </si>
  <si>
    <t>CONTADOR TRIFASICO 20/30 A.</t>
  </si>
  <si>
    <t>CINTA BAND D 1/2"x30 M</t>
  </si>
  <si>
    <t>TABLERO 12 CIRCUITOS  TRIFILAR</t>
  </si>
  <si>
    <t>TABLERO 12 CIRCUITOS TRIFASICO</t>
  </si>
  <si>
    <t>TABLERO 18 CIRCUITOS TRIFILAR</t>
  </si>
  <si>
    <t>TABLERO 18 CIRCUITOS TRIFASICO</t>
  </si>
  <si>
    <t>VARILLA COPERWELL 1.80 M</t>
  </si>
  <si>
    <t>VARILLA COPERWELL 2.40 M</t>
  </si>
  <si>
    <t>PUERTA ALUMINIO 0.60x2.00 M</t>
  </si>
  <si>
    <t>PUERTA ALUMINIO 0.70x2.00 M</t>
  </si>
  <si>
    <t>PUERTA ALUMINIO 0.80x2.00 M</t>
  </si>
  <si>
    <t>PUERTA ALUMINIO 1.00x2.00 M</t>
  </si>
  <si>
    <t>PUERTA ALUMINIO 1.20x2.00 M</t>
  </si>
  <si>
    <t>CERRADURA YALE 5304 ALUMINIO</t>
  </si>
  <si>
    <t>SUMINISTRO E INSTALACION CERRADURA PARA PORTON</t>
  </si>
  <si>
    <t>TOMA DOBLE LEVINTONG</t>
  </si>
  <si>
    <t>PUERTA ALUMINIO 2.40x2.00 M</t>
  </si>
  <si>
    <t>VENTANA METALICA MENOR DE 1.00 M2, CON ANTICORROSIVO, SIN VIDRIO NI INSTALACION</t>
  </si>
  <si>
    <t>VENTANA METALICA, CON REJA, ANTICORROSIVO, SIN VIDRIO NI INSTALACION</t>
  </si>
  <si>
    <t>PUERTA METALICA PARA BAÑO DE 0.60-0.70x2.00 M, CON ANTICORROSIVO, SIN  INSTALACION</t>
  </si>
  <si>
    <t>PUERTA METALICA SENCILLA PARA BAÑO 0.80x2.00 M, CON ANTICORROSIVO, SIN  INSTALACION</t>
  </si>
  <si>
    <t>PUERTA METALICA ENTAMBORADA, TUBO CALIBRE 18  DE 0.80-2.40x2.00 M, CON ANTICORROSIVO, SIN  INSTALACION</t>
  </si>
  <si>
    <t>PUERTA METALICA SENCILLA  DE 0.80-2.40x2.00 M, CON ANTICORROSIVO, SIN  INSTALACION</t>
  </si>
  <si>
    <t>ARAÑAS PARA VENTANA</t>
  </si>
  <si>
    <t>OFICIAL CUAD. TIPO DD</t>
  </si>
  <si>
    <t>AYUDANTE CUAD. TIPO DD</t>
  </si>
  <si>
    <t>AYUD.+OFICIAL CUAD. DD</t>
  </si>
  <si>
    <t>VIDRIO ESMERILADO 4 MM</t>
  </si>
  <si>
    <t>VIDRIO CORRUGADO 4 MM</t>
  </si>
  <si>
    <t>TRIPLEX PIZANO (122x244x4)mm.</t>
  </si>
  <si>
    <t>PUERTA PIZANO 0.80x2.00 M</t>
  </si>
  <si>
    <t>REJA PARA EXTERIORES EN TUBO CUADRADO DE 1"x1" - 2"x1"</t>
  </si>
  <si>
    <t>Hora diurna en domin y festiv</t>
  </si>
  <si>
    <t>Hora nocturna en domin y festiv</t>
  </si>
  <si>
    <t>Hora extra en domin y festiva diurna</t>
  </si>
  <si>
    <t>Hora extra en domin y festiva nocturna</t>
  </si>
  <si>
    <t xml:space="preserve">PINTURA </t>
  </si>
  <si>
    <t>TEJA ONDULADA N° 6</t>
  </si>
  <si>
    <t>VENTANA ALUMINIO ANOLOCK</t>
  </si>
  <si>
    <t>TEE ALUMINIO 1"x1/16"x6.0 M</t>
  </si>
  <si>
    <t>COLUMNA 0.20 x 0.25 M, REFUERZO 4 Ø 5/8", 12 Ø 3/8"</t>
  </si>
  <si>
    <t>COLUMNA 0.25 x 0.25 M, REFUERZO 4 Ø 5/8", 12 Ø 3/8"</t>
  </si>
  <si>
    <t>COLUMNA 0.25 x 0.30 M, REFUERZO 4 Ø 5/8", 12 Ø 3/8"</t>
  </si>
  <si>
    <t>VIGA AMARRE 0.12x0.30, REFUERZO 4 Ø 1/2", 12 FLEJES Ø ¼"</t>
  </si>
  <si>
    <t>PUERTA FORTEC 0.60x2.00 M</t>
  </si>
  <si>
    <t>PUERTA FORTEC 0.70x2.00 M</t>
  </si>
  <si>
    <t>PUERTA FORTEC 0.80x2.00 M</t>
  </si>
  <si>
    <t>PUERTA FORTEC 0.90x2.00 M</t>
  </si>
  <si>
    <t>PUERTA FORTEC 1.00x2.00 M</t>
  </si>
  <si>
    <t>TORNILLO LAMINA 3"</t>
  </si>
  <si>
    <t>CHAZOS 3/8"</t>
  </si>
  <si>
    <t xml:space="preserve">INSTALACION DE LAVAMANOS </t>
  </si>
  <si>
    <t xml:space="preserve">INSTALACION DE SANITARIO </t>
  </si>
  <si>
    <t>PINTURA VINILO 3 MANOS PARA CIELO RASO</t>
  </si>
  <si>
    <t>DESMONTE MARCOS Y PUERTAS EN VAIVEN EN MADERA Y VIDRIO</t>
  </si>
  <si>
    <t>DEMOLICION GUARDA ESCOBA EN MEDIA CAÑA</t>
  </si>
  <si>
    <t>PUNTO DESAGUE  Ø 3" (SIFON)</t>
  </si>
  <si>
    <t>DEMOLICION MESON</t>
  </si>
  <si>
    <t>SUMINISTRO E INSTALACION TANQUE ELEVADO AC 250 LTS</t>
  </si>
  <si>
    <t>SUMINISTRO E INSTALACION TANQUE ELEVADO AC 500 LTS</t>
  </si>
  <si>
    <t>SUMINISTRO E INSTALACION TANQUE ELEVADO PLASTICO 250 LTS</t>
  </si>
  <si>
    <t>SUMINISTRO E INSTALACION TANQUE ELEVADO PLASTICO 500 LTS</t>
  </si>
  <si>
    <t>SUMINISTRO E INSTALACION TANQUE ELEVADO PLASTICO 1000 LTS</t>
  </si>
  <si>
    <t>ANALISIS DE PRECIOS UNITARIOS</t>
  </si>
  <si>
    <t>UNIDAD:</t>
  </si>
  <si>
    <t>EXCAVACION A MANO, EN TIERRA HASTA 1.00 M DE PROFUNDIDAD</t>
  </si>
  <si>
    <t>EXCAVACION A MANO, EN TIERRA HASTA 1.50 M DE PROFUNDIDAD</t>
  </si>
  <si>
    <t>EXCAVACION A MANO, EN TIERRA HASTA 2.00 M DE PROFUNDIDAD</t>
  </si>
  <si>
    <t>EXCAVACION A MANO, EN TIERRA ENTRE 2.00 Y 3.00 M DE PROFUNDIDAD</t>
  </si>
  <si>
    <t>EXCAVACION A MANO, EN TIERRA ENTRE 3.00 Y 4.00 M DE PROFUNDIDAD</t>
  </si>
  <si>
    <t>EXCAVACION A MANO, EN TIERRA ENTRE 4.00 Y 5.00 M DE PROFUNDIDAD</t>
  </si>
  <si>
    <t>EXCAVACION A MANO, EN TIERRA ENTRE 5.00 Y 6.00 M DE PROFUNDIDAD</t>
  </si>
  <si>
    <t>EXCAVACION A MANO, EN CONGLOMERADO HASTA 2.00 M DE PROFUNDIDAD</t>
  </si>
  <si>
    <t>EXCAVACION A MANO, EN CONGLOMERADO ENTRE 2.00 Y 3.00 M DE PROFUNDIDAD</t>
  </si>
  <si>
    <t>EXCAVACION A MANO, EN CONGLOMERADO ENTRE 3.00 Y 4.00 M DE PROFUNDIDAD</t>
  </si>
  <si>
    <t>EXCAVACION A MANO, EN CONGLOMERADO ENTRE 4.00 Y 5.00 M DE PROFUNDIDAD</t>
  </si>
  <si>
    <t>EXCAVACION A MANO, EN CONGLOMERADO ENTRE 5.00 Y 6.00 M DE PROFUNDIDAD</t>
  </si>
  <si>
    <t>EXCAVACION A MANO, EN PIEDRA HASTA 2.00 M DE PROFUNDIDAD</t>
  </si>
  <si>
    <t>EXCAVACION A MANO, EN PIEDRA ENTRE 2.00 Y 3.00 M DE PROFUNDIDAD</t>
  </si>
  <si>
    <t>PAÑETE IMPERMEABILIZADO MUROS 1:3 e = 2 cm</t>
  </si>
  <si>
    <t>ENCHAPE PARED 0.205x0.205 REF.3335</t>
  </si>
  <si>
    <t>BINDA EXTRA 10 KG</t>
  </si>
  <si>
    <t>TABLETA DE GRESS 20X20</t>
  </si>
  <si>
    <t>TEJA ETERNIT Nº 3</t>
  </si>
  <si>
    <t>TEJA ETERNIT Nº 5</t>
  </si>
  <si>
    <t>EXCAVACION A MANO, EN PIEDRA ENTRE 3.00 Y 4.00 M DE PROFUNDIDAD</t>
  </si>
  <si>
    <t>EXCAVACION A MANO, EN ROCA HASTA 2.00 M DE PROFUNDIDAD</t>
  </si>
  <si>
    <t>EXCAVACION A MANO, EN ROCA ENTRE 2.00 Y 3.00 M DE PROFUNDIDAD</t>
  </si>
  <si>
    <t>EXCAVACION A MANO, EN ROCA ENTRE 3.00 Y 4.00 M DE PROFUNDIDAD</t>
  </si>
  <si>
    <t>EXCAVACION A MANO, EN ROCA ENTRE 4.00 Y 5.00 M DE PROFUNDIDAD</t>
  </si>
  <si>
    <t>PINTURA ACRILICA PARA CIELO RASO</t>
  </si>
  <si>
    <t>EXCAVACION A MANO EN TIERRA BAJO AGUA, HASTA 2.00 M DE PROFUNDIDAD (INCLUYE BOMBEO)</t>
  </si>
  <si>
    <t>EXCAVACION A MANO EN TIERRA BAJO AGUA, ENTRE 2.00 Y 3.00 M DE PROFUNDIDAD (INCLUYE BOMBEO)</t>
  </si>
  <si>
    <t>EXCAVACION A MANO EN TIERRA BAJO AGUA, ENTRE 3.00 Y 4.00 M DE PROFUNDIDAD (INCLUYE BOMBEO)</t>
  </si>
  <si>
    <t>EXCAVACION A MANO EN TIERRA BAJO AGUA, ENTRE 4.00 Y 5.00 M DE PROFUNDIDAD (INCLUYE BOMBEO)</t>
  </si>
  <si>
    <t>EXCAVACION A MANO EN CONGLOMERADO BAJO AGUA, HASTA 2.00 M DE PROFUNDIDAD (INCLUYE BOMBEO)</t>
  </si>
  <si>
    <t>EXCAVACION A MANO EN CONGLOMERADO BAJO AGUA, ENTRE 2.00 Y 3.00 M DE PROFUNDIDAD (INCLUYE BOMBEO)</t>
  </si>
  <si>
    <t>EXCAVACION A MANO EN CONGLOMERADO BAJO AGUA, ENTRE 3.00 Y 4.00 M DE PROFUNDIDAD (INCLUYE BOMBEO)</t>
  </si>
  <si>
    <t>EXCAVACION A MANO EN CONGLOMERADO BAJO AGUA, ENTRE 4.00 Y 5.00 M DE PROFUNDIDAD (INCLUYE BOMBEO)</t>
  </si>
  <si>
    <t>EXCAVACION A MANO EN CONGLOMERADO BAJO AGUA, ENTRE 5.00 Y 6.00 M DE PROFUNDIDAD (INCLUYE BOMBEO)</t>
  </si>
  <si>
    <t>EXCAVACION A MANO EN PIEDRA BAJO AGUA, HASTA 2.00 M DE PROFUNDIDAD (INCLUYE BOMBEO)</t>
  </si>
  <si>
    <t>EXCAVACION A MANO EN PIEDRA BAJO AGUA, ENTRE 2.00 Y 3.00 M DE PROFUNDIDAD (INCLUYE BOMBEO)</t>
  </si>
  <si>
    <t>EXCAVACION A MANO EN PIEDRA BAJO AGUA, ENTRE 3.00 Y 4.00 M DE PROFUNDIDAD (INCLUYE BOMBEO)</t>
  </si>
  <si>
    <t>EXCAVACION A MANO EN PIEDRA BAJO AGUA, ENTRE 4.00 Y 5.00 M DE PROFUNDIDAD (INCLUYE BOMBEO)</t>
  </si>
  <si>
    <t>EXCAVACION A MANO EN ROCA BAJO AGUA, HASTA 2.00 M DE PROFUNDIDAD (INCLUYE BOMBEO)</t>
  </si>
  <si>
    <t>EXCAVACION A MANO EN ROCA BAJO AGUA, ENTRE 2.00 Y 3.00 M DE PROFUNDIDAD (INCLUYE BOMBEO)</t>
  </si>
  <si>
    <t>EXCAVACION A MANO EN ROCA BAJO AGUA, ENTRE 3.00 Y 4.00 M DE PROFUNDIDAD (INCLUYE BOMBEO)</t>
  </si>
  <si>
    <t>CAJA DE INSPECCION 0.30 x 0.30 x 0.30 INCLUYE EXCAVACION h = 0.75 Y RELLENO</t>
  </si>
  <si>
    <t>CAJA DE INSPECCION 0.40 x 0.40 x 0.40 INCLUYE EXCAVACION h = 0.75 Y RELLENO</t>
  </si>
  <si>
    <t>CAJA DE INSPECCION 0.50 x 0.50 x 0.40 INCLUYE EXCAVACION h = 0.75 Y RELLENO</t>
  </si>
  <si>
    <t>CAJA DE INSPECCION 0.50 x 0.50 x 0.50 INCLUYE EXCAVACION h = 0.75 Y RELLENO</t>
  </si>
  <si>
    <t>CAJA DE INSPECCION 0.70 x 0.70 x 0.70 INCLUYE EXCAVACION h = 1.00 Y RELLENO</t>
  </si>
  <si>
    <t>CAJA DE INSPECCION 0.90 x 0.90 x 0.90 INCLUYE EXCAVACION h = 1.25 Y RELLENO</t>
  </si>
  <si>
    <t>VIGA AMARRE 0.20x0.25, REFUERZO 4 Ø 1/2", 12 FLEJES Ø ¼"</t>
  </si>
  <si>
    <t>ML</t>
  </si>
  <si>
    <t>CODIGO:</t>
  </si>
  <si>
    <t>FECHA:</t>
  </si>
  <si>
    <t>CAPITULO:</t>
  </si>
  <si>
    <t>ITEM:</t>
  </si>
  <si>
    <t>TABLERO 4 CIRCUITOS MONOFASICO</t>
  </si>
  <si>
    <t>CODIGO</t>
  </si>
  <si>
    <t>DESCRIPCION</t>
  </si>
  <si>
    <t>RENDIMIENTO</t>
  </si>
  <si>
    <t>VALOR PARCIAL</t>
  </si>
  <si>
    <t/>
  </si>
  <si>
    <t>UNIDAD</t>
  </si>
  <si>
    <t>ALAMBRE DESNUDO #16</t>
  </si>
  <si>
    <t>CABLE CU THW # 4</t>
  </si>
  <si>
    <t>CABLE CU THW # 2/0</t>
  </si>
  <si>
    <t>CERRADURA YALE 5315 HIERRO</t>
  </si>
  <si>
    <t>ESTRACTOR SIEMENS 12"</t>
  </si>
  <si>
    <t>VENTILADOR DE TECHO KDK</t>
  </si>
  <si>
    <t xml:space="preserve">CABLE  ENCACUCHETADO 2x12 </t>
  </si>
  <si>
    <t>CABLE  ENCACUCHETADO 2x14</t>
  </si>
  <si>
    <t>CABLE  ENCACUCHETADO 2x16</t>
  </si>
  <si>
    <t>CABLE  ENCACUCHETADO 2x18</t>
  </si>
  <si>
    <t>CANTIDAD</t>
  </si>
  <si>
    <t>PRECIO UNITARIO</t>
  </si>
  <si>
    <t>TUBO GRESS DE 4"</t>
  </si>
  <si>
    <t>SUB-TOTAL:</t>
  </si>
  <si>
    <t>%DESPERDICIOS:</t>
  </si>
  <si>
    <t xml:space="preserve"> 3.MANO DE OBRA</t>
  </si>
  <si>
    <t>JORNAL</t>
  </si>
  <si>
    <t>INSTALACION MARCO Y PUERTA EN MADERA</t>
  </si>
  <si>
    <t>A.I.U</t>
  </si>
  <si>
    <t>TUBO GRESS DE 6"</t>
  </si>
  <si>
    <t>TUBO GRESS DE 8"</t>
  </si>
  <si>
    <t>OFICIAL ESPECIALIZADO</t>
  </si>
  <si>
    <t>UND</t>
  </si>
  <si>
    <t>MORTERO 1:4 (MATERIALES)</t>
  </si>
  <si>
    <t>HIERRO PDR 60</t>
  </si>
  <si>
    <t>M2</t>
  </si>
  <si>
    <t>ELEVADOR</t>
  </si>
  <si>
    <t>CEMENTO BLANCO</t>
  </si>
  <si>
    <t>TROMPO DE BULTO</t>
  </si>
  <si>
    <t>VIBRADOR A GASOLINA</t>
  </si>
  <si>
    <t>FORMALETA</t>
  </si>
  <si>
    <t>AGUA</t>
  </si>
  <si>
    <t>HIERRO A-37</t>
  </si>
  <si>
    <t>CASETON DE GUADUA</t>
  </si>
  <si>
    <t>VIBROCOMPACTADOR</t>
  </si>
  <si>
    <t>VOLQUETA</t>
  </si>
  <si>
    <t>GANCHO TEJA 150 mm.</t>
  </si>
  <si>
    <t>GUADUA</t>
  </si>
  <si>
    <t>TEJA PLASTICA No. 6 (CAL. 6)</t>
  </si>
  <si>
    <t>PERMA PLAY</t>
  </si>
  <si>
    <t>BROCHAS DE FIQUE</t>
  </si>
  <si>
    <t>MORTERO 1:2 (MATERIALES)</t>
  </si>
  <si>
    <t>MORTERO 1:2 (EN PLANTA)</t>
  </si>
  <si>
    <t>TOPOGRAFO</t>
  </si>
  <si>
    <t>CADENERO</t>
  </si>
  <si>
    <t>BULLDOZER D-6 C</t>
  </si>
  <si>
    <t>RETROEXCAVADORA</t>
  </si>
  <si>
    <t>SANITARIO NOVA</t>
  </si>
  <si>
    <t>LAVAMANOS NOVA</t>
  </si>
  <si>
    <t>VIBRADOR ELECTRICO</t>
  </si>
  <si>
    <t>POLEA COLGANTE</t>
  </si>
  <si>
    <t>TABLEROS DE 1.40 x 1.70</t>
  </si>
  <si>
    <t>LAMINA SARDINEL 2.40 x 0.50</t>
  </si>
  <si>
    <t>LAMINA SARDINEL 2.40 x 0.35</t>
  </si>
  <si>
    <t>CILINDRO DE PRUEBA</t>
  </si>
  <si>
    <t>ANDAMIO COLGANTE</t>
  </si>
  <si>
    <t>CARGADOR 950 81J</t>
  </si>
  <si>
    <t>MOTONIVELADORA 12E</t>
  </si>
  <si>
    <t>C E M E N T O S</t>
  </si>
  <si>
    <t xml:space="preserve">KG </t>
  </si>
  <si>
    <t>BTO</t>
  </si>
  <si>
    <t>A G R E G A D O S</t>
  </si>
  <si>
    <t>LT</t>
  </si>
  <si>
    <t>C O N C R E T O S</t>
  </si>
  <si>
    <t>CAJA PARA CONTADOR TRIFASICO</t>
  </si>
  <si>
    <t>CONCRETO 3500 psi(CON BOMBA)</t>
  </si>
  <si>
    <t>CONCRETO 3500 psi(EN PLANTA)</t>
  </si>
  <si>
    <t>CONCRETO 3000 psi(CON BOMBA)</t>
  </si>
  <si>
    <t>CONCRETO 3000 psi(EN PLANTA)</t>
  </si>
  <si>
    <t>CONCRETO 2500 psi(CON BOMBA)</t>
  </si>
  <si>
    <t>CONCRETO 2500 psi(EN PLANTA)</t>
  </si>
  <si>
    <t>CONCRETO 2000 psi(CON BOMBA)</t>
  </si>
  <si>
    <t>CONCRETO 2000 psi(EN PLANTA)</t>
  </si>
  <si>
    <t>M O R T E R O S</t>
  </si>
  <si>
    <t>MORTERO 1:3 (MATERIALES)</t>
  </si>
  <si>
    <t>MORTERO 1:3 (EN PLANTA)</t>
  </si>
  <si>
    <t>MORTERO 1:4 (EN PLANTA)</t>
  </si>
  <si>
    <t>MORTERO 1:6 (MATERIALES)</t>
  </si>
  <si>
    <t>MORTERO 1:6 (EN PLANTA)</t>
  </si>
  <si>
    <t>LB</t>
  </si>
  <si>
    <t>ALAMBRON DE 1/4" (A-34)</t>
  </si>
  <si>
    <t>LADRILLOS Y BLOQUES</t>
  </si>
  <si>
    <t>KG</t>
  </si>
  <si>
    <t>VIDRIO PLANO 4mm.</t>
  </si>
  <si>
    <t>VIDRIO BRONCE ANTISOL 5mm.</t>
  </si>
  <si>
    <t>MASILLA PARA VIDRIO</t>
  </si>
  <si>
    <t>CARPINTERIA DE MADERA</t>
  </si>
  <si>
    <t>CARPINTERIA METALICA</t>
  </si>
  <si>
    <t>CERRADURA PUERTA PPAL. (INST.)</t>
  </si>
  <si>
    <t xml:space="preserve">SUMINISTRO, INSTALACION  LAMPARA TECHO SLIM LINE 48" DE SOBREPONER, ALAMBRE CONTINUIDAD DESNUDO Nº 16, TUBERIA PVC Ø 1/2". </t>
  </si>
  <si>
    <t xml:space="preserve">SUMINISTRO, INSTALACION  LAMPARA TECHO SLIM LINE 48" DE INCRUSTAR, ALAMBRE CONTINUIDAD DESNUDO Nº 16, TUBERIA PVC Ø 1/2". </t>
  </si>
  <si>
    <t>BISAGRA VAIVEN DE PISO</t>
  </si>
  <si>
    <t>CELOSIA EN ALUMINIO</t>
  </si>
  <si>
    <t>MARCO VENTANA METALICA</t>
  </si>
  <si>
    <t>MARCO PUERTA METALICA</t>
  </si>
  <si>
    <t>TORNILLO MADERA 2" x 12</t>
  </si>
  <si>
    <t>P I N T U R A</t>
  </si>
  <si>
    <t>REMOVEDOR No. 1020</t>
  </si>
  <si>
    <t>APARATOS SANITARIOS</t>
  </si>
  <si>
    <t>ORGANIZADOR VANITY (17x19)</t>
  </si>
  <si>
    <t>LAVADERO PREFABRICADO</t>
  </si>
  <si>
    <t>TUBO CORTINA DUCHA</t>
  </si>
  <si>
    <t>TANQUE CILINDRICO A.C. 250 LTS</t>
  </si>
  <si>
    <t>TANQUE CILINDRICO A.C. 500 LTS</t>
  </si>
  <si>
    <t>TANQUE CILINDRICO A.C. 1000 LTS</t>
  </si>
  <si>
    <t>LAVAPLATOS ESMALTADO</t>
  </si>
  <si>
    <t>CIELORASOS</t>
  </si>
  <si>
    <t>TEJA SHINGLE</t>
  </si>
  <si>
    <t>BASE FELT</t>
  </si>
  <si>
    <t>LAMINA DURACUSTIC</t>
  </si>
  <si>
    <t>FRESCASA CON PAPEL</t>
  </si>
  <si>
    <t>C U B I E R T A S</t>
  </si>
  <si>
    <t>CURVA 90 1/2"</t>
  </si>
  <si>
    <t>CURVA 90 3/4"</t>
  </si>
  <si>
    <t>ADAPTADOR TERMINAL 1/2"</t>
  </si>
  <si>
    <t>ADAPTADOR TERMINAL 3/4"</t>
  </si>
  <si>
    <t>ALAMBRE DE COBRE AISLADO #10</t>
  </si>
  <si>
    <t>ALAMBRE DE COBRE AISLADO #12</t>
  </si>
  <si>
    <t>ALAMBRE DE COBRE AISLADO #14</t>
  </si>
  <si>
    <t>CABLE MULTIPAR TELEFONICO 6x2x05</t>
  </si>
  <si>
    <t>INTERRUPTOR Y TOMA SENCILLA</t>
  </si>
  <si>
    <t>INTERRUPTOR TRIPLE</t>
  </si>
  <si>
    <t>TOMA TELEFONICA</t>
  </si>
  <si>
    <t>TOMA 20 AMPERIOS 220 V.</t>
  </si>
  <si>
    <t>TIMBRE</t>
  </si>
  <si>
    <t>SALIDA DE TV</t>
  </si>
  <si>
    <t>AISLADOR TIPO CARRETE</t>
  </si>
  <si>
    <t>CODO GALVANIZADO 90x1/2</t>
  </si>
  <si>
    <t>TEE GALVANIZADA 1/2"</t>
  </si>
  <si>
    <t>TAPON HEMBRA GALVANIZADO 1/2"</t>
  </si>
  <si>
    <t>TAPON MACHO GALVANIZADO 1/2"</t>
  </si>
  <si>
    <t>UNION GALVANIZADA 1/2"</t>
  </si>
  <si>
    <t>UNIVERSAL GALVANIZADO 1/2"</t>
  </si>
  <si>
    <t>NIPLE GALVANIZADO 1/2x2"</t>
  </si>
  <si>
    <t xml:space="preserve">TEFLON </t>
  </si>
  <si>
    <t>REGISTRO 1/2"</t>
  </si>
  <si>
    <t xml:space="preserve">REGISTRO 3/4" </t>
  </si>
  <si>
    <t>G R I F E R I A</t>
  </si>
  <si>
    <t>CONJUNTO GRIF. PARA ORINAL</t>
  </si>
  <si>
    <t>REGISTRO DUCHA LINEA CORRIENTE</t>
  </si>
  <si>
    <t>VALVULA DE REGULACION DE 1/2"</t>
  </si>
  <si>
    <t>V A R I O S</t>
  </si>
  <si>
    <t>POSTE DE CONCRET0 12M-1050 KG</t>
  </si>
  <si>
    <t>POSTE DE CONCRETO 12M-850 KG</t>
  </si>
  <si>
    <t>CRUCETA METALICA DE 2 Mts.</t>
  </si>
  <si>
    <t>CONTRAMAESTRO</t>
  </si>
  <si>
    <t>MAESTRO</t>
  </si>
  <si>
    <t>CELADOR</t>
  </si>
  <si>
    <t>ALMACENISTA</t>
  </si>
  <si>
    <t>INGENIERO RESIDENTE</t>
  </si>
  <si>
    <t>PORCENTAJE</t>
  </si>
  <si>
    <t>Vacaciones</t>
  </si>
  <si>
    <t>Prima de Servicios</t>
  </si>
  <si>
    <t>Subsidio de Transporte</t>
  </si>
  <si>
    <t>Aportes al Sena</t>
  </si>
  <si>
    <t>SALARIO MINIMO</t>
  </si>
  <si>
    <t>MANIJA PARA VENTANA</t>
  </si>
  <si>
    <t>MANIJA PARA PUERTA</t>
  </si>
  <si>
    <t>ANGULO DE 3/4"x1/8"x6.0 M</t>
  </si>
  <si>
    <t>TRIPLEX MP (150x240x7)mm.</t>
  </si>
  <si>
    <t>TRIPLEX MP (150x240x10)mm.</t>
  </si>
  <si>
    <t>MARCO MADERA PARA PUERTA</t>
  </si>
  <si>
    <t>CEDRO</t>
  </si>
  <si>
    <r>
      <t>PIE</t>
    </r>
    <r>
      <rPr>
        <vertAlign val="superscript"/>
        <sz val="11"/>
        <rFont val="Arial"/>
        <family val="2"/>
      </rPr>
      <t>3</t>
    </r>
  </si>
  <si>
    <t>LAMINA GALVANIZADA CALIBRE 20 1.00x2.00</t>
  </si>
  <si>
    <t>LAMINA GALVANIZADA CALIBRE 20 1.20x2.40</t>
  </si>
  <si>
    <t>MOVIMIENTOS DE TIERRA</t>
  </si>
  <si>
    <t>CONCRETOS Y MORTEROS</t>
  </si>
  <si>
    <t>CIMIENTOS</t>
  </si>
  <si>
    <t>DESAGUES</t>
  </si>
  <si>
    <t>ESTRUCTURAS</t>
  </si>
  <si>
    <t>PAÑETES</t>
  </si>
  <si>
    <t>TABLETA DE GRESS DE 20X20</t>
  </si>
  <si>
    <t>CIELO RASOS</t>
  </si>
  <si>
    <t>ESTUCO Y PINTURA</t>
  </si>
  <si>
    <t>CARPINTERIA METALICA Y ALUMINIO</t>
  </si>
  <si>
    <t>SELLO PUNTOS SANITARIOS</t>
  </si>
  <si>
    <t>TUBO 1"x1"x6.00 M</t>
  </si>
  <si>
    <t>TUBO 1"x2"x6.00 M</t>
  </si>
  <si>
    <t>TUBO 3"x11/2"x6.00 M</t>
  </si>
  <si>
    <t>PLATINA 3/4"x1/8"x6.0 M</t>
  </si>
  <si>
    <t>PLATINA 1/2"x1/8"x6.0 M</t>
  </si>
  <si>
    <t>SOLDADURA 6013 3/32</t>
  </si>
  <si>
    <t>GOZNES 3"</t>
  </si>
  <si>
    <t>GOZNES 4"</t>
  </si>
  <si>
    <t>RODACHINES</t>
  </si>
  <si>
    <t>Aportes a Bienestar Familiar</t>
  </si>
  <si>
    <t>Caja de Compensación Familiar</t>
  </si>
  <si>
    <t>Dotación</t>
  </si>
  <si>
    <t>FIC. Sena</t>
  </si>
  <si>
    <t>TOTAL PRESTACIONES SOCIALES</t>
  </si>
  <si>
    <t>ANALISIS DE PRESTACIONES SOCIALES</t>
  </si>
  <si>
    <t>Cesantías</t>
  </si>
  <si>
    <t>Intereses sobre Cesantías</t>
  </si>
  <si>
    <t>Instituto de Seguros Sociales (Salud)</t>
  </si>
  <si>
    <t>Instituto de Seguros Sociales (Pensión)</t>
  </si>
  <si>
    <t>Riesgos Profesionales</t>
  </si>
  <si>
    <t>Seguro Colectivo</t>
  </si>
  <si>
    <t>CONCRETO 1:2:2-3500 psi(MATERIALES)</t>
  </si>
  <si>
    <t>CONCRETO 1:2:3-3000 psi(MATERIALES)</t>
  </si>
  <si>
    <t>CONCRETO 1:2:4-2500 psi(MATERIALES)</t>
  </si>
  <si>
    <t>ADITIVOS PARA CONCRETO Y MORTEROS</t>
  </si>
  <si>
    <t>INSTALACION ELECTRICA Y TELEFONICA</t>
  </si>
  <si>
    <t>ACEROS DE REFUERZO, ALAMBRES Y PUNTILLAS</t>
  </si>
  <si>
    <t>VR. UNITARIO</t>
  </si>
  <si>
    <t>MARMOLINA 65 KG</t>
  </si>
  <si>
    <t>PRECIO UNITARIO TOTAL:</t>
  </si>
  <si>
    <t>EQUIPO TOPOGRAFIA</t>
  </si>
  <si>
    <t>DEMOLICION VIGAS Y COLUMNAS</t>
  </si>
  <si>
    <t>GRUA EXTENSION</t>
  </si>
  <si>
    <t>INSTALACIONES SANITARIAS</t>
  </si>
  <si>
    <t>SECRETARIA DE INFRAESTRUCTURA</t>
  </si>
  <si>
    <t>EQUIPO DE SOLDADURA</t>
  </si>
  <si>
    <t>EQUIPO DE OXICORTE</t>
  </si>
  <si>
    <t>PULIDORA</t>
  </si>
  <si>
    <t>DESPERDICIO:</t>
  </si>
  <si>
    <t>A.I.U.</t>
  </si>
  <si>
    <t>HERRAMIENTAS MENORES</t>
  </si>
  <si>
    <t>CASCAJILLO</t>
  </si>
  <si>
    <t>PIEDRA</t>
  </si>
  <si>
    <t>ESPECIAL</t>
  </si>
  <si>
    <t>RECEBO</t>
  </si>
  <si>
    <t xml:space="preserve">ARENA </t>
  </si>
  <si>
    <r>
      <t>M</t>
    </r>
    <r>
      <rPr>
        <vertAlign val="superscript"/>
        <sz val="10"/>
        <rFont val="Arial"/>
        <family val="2"/>
      </rPr>
      <t>3</t>
    </r>
  </si>
  <si>
    <r>
      <t>M</t>
    </r>
    <r>
      <rPr>
        <vertAlign val="superscript"/>
        <sz val="10"/>
        <rFont val="Arial"/>
        <family val="2"/>
      </rPr>
      <t>2</t>
    </r>
  </si>
  <si>
    <t>CEMENTO GRIS</t>
  </si>
  <si>
    <t>PLASTIESTUCO</t>
  </si>
  <si>
    <t>CONCRETO 1:2:2 3500 psi</t>
  </si>
  <si>
    <t>LTS</t>
  </si>
  <si>
    <t>TARIFA DIA</t>
  </si>
  <si>
    <t>MOTOBOMBA 3"</t>
  </si>
  <si>
    <t>MOTOBOMBA 2"</t>
  </si>
  <si>
    <t>PARAL TELESCOPICO 3 MTS</t>
  </si>
  <si>
    <t>PARAL TELESCOPICO 4 MTS</t>
  </si>
  <si>
    <t>PARAL TELESCOPICO 1 MTS</t>
  </si>
  <si>
    <t>VIGA CIMIENTO TEE INVERTIDA CONCRETO 3000 PSI, .20x.40 REFORZADA CON 6 Ø 3/8" Y Ø 1/4" c/.20</t>
  </si>
  <si>
    <t>VIGA CIMIENTO LINDERO EN CONCRETO 3000 PSI, .20x.40 REFORZADA CON 5 Ø 3/8" Y Ø 1/4" c/.20</t>
  </si>
  <si>
    <t>POLEA DE GARRUCHA 6"</t>
  </si>
  <si>
    <t>POLEA DE GARRUCHA 4"</t>
  </si>
  <si>
    <t>DIFERENCIAL 1.0 TON</t>
  </si>
  <si>
    <t>DIFERENCIAL 5.0 TON</t>
  </si>
  <si>
    <t>TILFOR 2.0 TON</t>
  </si>
  <si>
    <t>TILFOR 5.0 TON</t>
  </si>
  <si>
    <t>CERCHA METALICA 3.0 MTS</t>
  </si>
  <si>
    <t>MESA TRABAJO TRIPODE</t>
  </si>
  <si>
    <t>SEÑORITA 3.0 TON</t>
  </si>
  <si>
    <t>CIZALLA BANCO</t>
  </si>
  <si>
    <t>CIZALLA TIJERA</t>
  </si>
  <si>
    <t>MARTILLO PARA COMPRESOR</t>
  </si>
  <si>
    <t>PUNTEROS PARA PAVIMENTO</t>
  </si>
  <si>
    <t>PORRA 20 LBS</t>
  </si>
  <si>
    <t>BARRA</t>
  </si>
  <si>
    <t>ANGULOS (2)</t>
  </si>
  <si>
    <t>TUBOS TARIMA</t>
  </si>
  <si>
    <t>TUBO PASAMANOS</t>
  </si>
  <si>
    <t>FORMALETA TAPA COLUMNA 30*240</t>
  </si>
  <si>
    <t xml:space="preserve">COMPRESOR </t>
  </si>
  <si>
    <t>LAMINA SARDINEL 2.00 x 0.35</t>
  </si>
  <si>
    <t>CONCRETO 1:2:3 3000 psi</t>
  </si>
  <si>
    <t>MATERIALES CONCRETO</t>
  </si>
  <si>
    <t>CONCRETO 1:2:4 2500 psi</t>
  </si>
  <si>
    <t>CONCRETO 1:3:5 2000 psi</t>
  </si>
  <si>
    <t>CONCRETO 1:3:5-2000 PSI(MATERIALES)</t>
  </si>
  <si>
    <t>MORTERO 1:2</t>
  </si>
  <si>
    <t>IVA</t>
  </si>
  <si>
    <t>PRECIO LISTA</t>
  </si>
  <si>
    <t>MORTERO 1:3</t>
  </si>
  <si>
    <t>MORTERO 1:4</t>
  </si>
  <si>
    <t>MORTERO 1:6</t>
  </si>
  <si>
    <t>MORTERO 1:5</t>
  </si>
  <si>
    <t>MORTERO 1:5 (MATERIALES)</t>
  </si>
  <si>
    <t>MORTERO 1:5 (EN PLANTA)</t>
  </si>
  <si>
    <t>HIERRO CHIPA 3/8"</t>
  </si>
  <si>
    <t>HIERRO CHIPA ¼"</t>
  </si>
  <si>
    <t>ARROBERO</t>
  </si>
  <si>
    <t>BLOQUE ARCILLA H7</t>
  </si>
  <si>
    <t>BLOQUE ARCILLA H15</t>
  </si>
  <si>
    <t>BLOQUE DE CEMENTO H10</t>
  </si>
  <si>
    <t>BLOQUE CEMENTO H15</t>
  </si>
  <si>
    <t>LADRILLO ARCILLA H10X20X40</t>
  </si>
  <si>
    <t>CAL NARE DE 8 KG</t>
  </si>
  <si>
    <t>YESO 25 KG</t>
  </si>
  <si>
    <t>CAOLIN 25 KG</t>
  </si>
  <si>
    <t>TOLETE COMUN</t>
  </si>
  <si>
    <t>HOFFMAN</t>
  </si>
  <si>
    <t>HOFFMAN VITRIFICADO</t>
  </si>
  <si>
    <t>BALDOSIN DE CEMENTO UN TONO</t>
  </si>
  <si>
    <t>BALDOSIN DE CEMENTO FILIGRANA</t>
  </si>
  <si>
    <t>BALDOSIN DE CEMENTO RETAL MARMOL</t>
  </si>
  <si>
    <t>TABLON VITRIFICADO 7x 12</t>
  </si>
  <si>
    <t>TABLON VITRIFICADO12x 25</t>
  </si>
  <si>
    <t>TABLON VITRIFICADO 25x 25 GRAFILADO</t>
  </si>
  <si>
    <t>TABLON VITRIFICADO 25x 25 TIPO A</t>
  </si>
  <si>
    <t>CERAMICA 33x33 TRAFICO 4</t>
  </si>
  <si>
    <t>CERAMICA 33x33 TRAFICO 5</t>
  </si>
  <si>
    <t>GRAVILLA 65 KG</t>
  </si>
  <si>
    <t>GRANITO GRIS # 2, 30 KG</t>
  </si>
  <si>
    <t>SILICONA</t>
  </si>
  <si>
    <t>LAVAMANOS ROYAL</t>
  </si>
  <si>
    <t>TUBO GRESS DE 3"</t>
  </si>
  <si>
    <t>ACCESORIO GRES DE 3"</t>
  </si>
  <si>
    <t>ACCESORIO GRES DE 4"</t>
  </si>
  <si>
    <t>SEMICODO GRES 4"</t>
  </si>
  <si>
    <t>TUBERIA DRENAJE GRES DE 4"</t>
  </si>
  <si>
    <t>ACCESORIO GRES DE 6"</t>
  </si>
  <si>
    <t>SEMICODO GRES 6"</t>
  </si>
  <si>
    <t>2. MOVIMIENTOS DE TIERRA</t>
  </si>
  <si>
    <t xml:space="preserve">CONSTRUCCIÓN VIGA CIMIENTO CONCRETO 3000 PSI, 0.20x0.20 M  REFORZADA CON 4 Ø 1/2" Y Ø 3/8" c/.10 </t>
  </si>
  <si>
    <t>3. CIMIENTOS</t>
  </si>
  <si>
    <t>CONSTRUCCIÓN TANQUE ELEVADO</t>
  </si>
  <si>
    <t xml:space="preserve">SEGÚN DISEÑO </t>
  </si>
  <si>
    <t>CONSTRUCCIÓN TANQUE SUBTERRANEO</t>
  </si>
  <si>
    <t xml:space="preserve">CONSTRUCCIÒN ESTRUCTURA EN CONCRETO PARA TANQUE SUBTERRANEO SEGÚN DISEÑO INCLUYE EXCAVACIÓN </t>
  </si>
  <si>
    <t>TUBERIA DRENAJE GRES DE 6"</t>
  </si>
  <si>
    <t>SIFON DE GRES 6"</t>
  </si>
  <si>
    <t>ACCESORIO GRES DE 8"</t>
  </si>
  <si>
    <t>TUBO GRESS DE 10"</t>
  </si>
  <si>
    <t>ACCESORIO GRES DE 10"</t>
  </si>
  <si>
    <t>TUBERIA DE GRES DE 14"x1.5 M AA MOORE</t>
  </si>
  <si>
    <t>TUBERIA DE GRES DE 16"x1.5 M AA MOORE</t>
  </si>
  <si>
    <t>TUBERIA DE GRES DE 18"x1.5 M AA MOORE</t>
  </si>
  <si>
    <t>TUBERIA DE GRES DE 21"x1.5 M AA MOORE</t>
  </si>
  <si>
    <t>TUBERIA DE GRES DE 24"x1.5 M AA MOORE</t>
  </si>
  <si>
    <t>TUBERIA DE GRES DE 27"x1.5 M AA MOORE</t>
  </si>
  <si>
    <t>TUBERIA DE GRES DE 30"x1.5 M AA MOORE</t>
  </si>
  <si>
    <t>TUBERIA GRES</t>
  </si>
  <si>
    <t>ADAPTADOR TERMINAL 1"</t>
  </si>
  <si>
    <t>ADAPTADOR TERMINAL 1 1/4"</t>
  </si>
  <si>
    <t>ADAPTADOR TERMINAL 1 1/2"</t>
  </si>
  <si>
    <t>ADAPTADOR TERMINAL 2"</t>
  </si>
  <si>
    <t>ADAPTADOR TERMINAL 3"</t>
  </si>
  <si>
    <t>CURVA 1/2"</t>
  </si>
  <si>
    <t>CURVA 3/4"</t>
  </si>
  <si>
    <t>CURVA 1"</t>
  </si>
  <si>
    <t>CURVA 1 1/4"</t>
  </si>
  <si>
    <t>CURVA 1 1/2"</t>
  </si>
  <si>
    <t>CURVA 2"</t>
  </si>
  <si>
    <t>CURVA 3"</t>
  </si>
  <si>
    <t>CAJA ELECTRICA OCTOGONAL METALICA</t>
  </si>
  <si>
    <t>CAJA ELECTRICA OCTOGONAL PVC</t>
  </si>
  <si>
    <t>CAUCHO PARA DOBLAR TUBO ½"</t>
  </si>
  <si>
    <t>CAUCHO PARA DOBLAR TUBO 3/4"</t>
  </si>
  <si>
    <t>CAUCHO PARA DOBLAR TUBO 1"</t>
  </si>
  <si>
    <t>TUBERIA PVC Y ACCESORIOS</t>
  </si>
  <si>
    <t>TUBO PVC PRESION 1/2" x 6.0 M</t>
  </si>
  <si>
    <t>TUBO PVC PRESION 3/4" x 6.0 M</t>
  </si>
  <si>
    <t>TUBO PVC PRESION 1" x 6.0 M</t>
  </si>
  <si>
    <t>TUBO PVC PRESION 1 1/4" x 6.0 M</t>
  </si>
  <si>
    <t>TUBO PVC PRESION 1 1/2" x 6.0 M</t>
  </si>
  <si>
    <t>TUBO PVC PRESION 2" x 6.0 M</t>
  </si>
  <si>
    <t>TUBO PVC PRESION 2 1/2" x 6.0 M</t>
  </si>
  <si>
    <t>TUBO PVC PRESION 3" x 6.0 M</t>
  </si>
  <si>
    <t>TUBO PVC PRESION 4" x 6.0 M</t>
  </si>
  <si>
    <t>TUBO PVC CONDUIT 3/4" x 3.0 M</t>
  </si>
  <si>
    <t>TUBO PVC CONDUIT 1/2" x 3.0 M</t>
  </si>
  <si>
    <t>TUBO PVC CONDUIT 1" x 3.0 M</t>
  </si>
  <si>
    <t>TUBO PVC CONDUIT 1 1/4" x 3.0 M</t>
  </si>
  <si>
    <t>TUBO PVC CONDUIT 1 1/2" x 3.0 M</t>
  </si>
  <si>
    <t>TUBO PVC CONDUIT 2" x 3.0 M</t>
  </si>
  <si>
    <t>TUBO PVC CONDUIT 3" x 3.0 M</t>
  </si>
  <si>
    <t>TUBO CONDUFLEX ½"</t>
  </si>
  <si>
    <t>TUBO PVC U.Z. RDE 21 2" x 6.0 M</t>
  </si>
  <si>
    <t>TUBO PVC U.Z. RDE 21 2 1/2" x 6.0 M</t>
  </si>
  <si>
    <t>TUBO PVC U.Z. RDE 21 3" x 6.0 M</t>
  </si>
  <si>
    <t>TUBO PVC U.Z. RDE 21 4" x 6.0 M</t>
  </si>
  <si>
    <t>TUBO PF 1/2"</t>
  </si>
  <si>
    <t>TUBO CPVC 1/2" x 3.0 M</t>
  </si>
  <si>
    <t>TUBO PVC PRESION LINEA 80 1" x 6.0 M</t>
  </si>
  <si>
    <t>INTERRUPTOR SENCILLO CONMUTABLE</t>
  </si>
  <si>
    <t>INTERRUPTOR DOBLE CONMUTABLE</t>
  </si>
  <si>
    <t>CABLE ANTENA TV 75 OHM</t>
  </si>
  <si>
    <t>TABLERO 6 CIRCUITOS MONOFASICO</t>
  </si>
  <si>
    <t>TABLERO 6 CIRCUITOS TRIFASICO</t>
  </si>
  <si>
    <t>TABLERO 6 CIRCUITOS TRIFILAR</t>
  </si>
  <si>
    <t>REJILLA PLASTICA PARA PISO</t>
  </si>
  <si>
    <t>MEZCLADOR LAVAPLATOS GRIVAL</t>
  </si>
  <si>
    <t>CABLE CU THW # 1/0 AISLADO</t>
  </si>
  <si>
    <t>CABLE CU THW # 2 AISLADO</t>
  </si>
  <si>
    <t xml:space="preserve">CABLE 2x22 </t>
  </si>
  <si>
    <t>TUBO PVC PRESION LINEA 80 1/2" x 6.0 M</t>
  </si>
  <si>
    <t>TUBO PVC PRESION LINEA 80 3/4" x 6.0 M</t>
  </si>
  <si>
    <t>TUBO PVC SANITARIO 1 1/2"x 5.0 M</t>
  </si>
  <si>
    <t>TUBO PVC LLUVIAS 1 1/2"x 5.0 M</t>
  </si>
  <si>
    <t>UNIVERSAL LISA 1/2"</t>
  </si>
  <si>
    <t>UNIVERSAL LISA 3/4"</t>
  </si>
  <si>
    <t>UNIVERSAL LISA 1"</t>
  </si>
  <si>
    <t>UNIVERSAL LISA 1 1/4"</t>
  </si>
  <si>
    <t>UNIVERSAL LISA 1 1/2"</t>
  </si>
  <si>
    <t>UNIVERSAL LISA 2"</t>
  </si>
  <si>
    <t>UNIVERSAL LISA 3"</t>
  </si>
  <si>
    <t>UNIVERSAL LISA 4"</t>
  </si>
  <si>
    <t>UNIVERSAL ROSCADA 1/2"</t>
  </si>
  <si>
    <t>UNIVERSAL ROSCADA 3/4"</t>
  </si>
  <si>
    <t>UNIVERSAL ROSCADA 1"</t>
  </si>
  <si>
    <t>UNIVERSAL ROSCADA 1 1/4"</t>
  </si>
  <si>
    <t>UNIVERSAL ROSCADA 1 1/2"</t>
  </si>
  <si>
    <t>UNIVERSAL ROSCADA 2"</t>
  </si>
  <si>
    <t>UNIVERSAL ROSCADA 3"</t>
  </si>
  <si>
    <t>UNIVERSAL ROSCADA 4"</t>
  </si>
  <si>
    <t>BUJES SOLDADOS 3/4"x1/2"</t>
  </si>
  <si>
    <t>DESMONTE MARCOS Y PUERTA EN MADERA Y METALICA</t>
  </si>
  <si>
    <t>BUJES SOLDADOS 1"x1/2"</t>
  </si>
  <si>
    <t>BUJES SOLDADOS 1"x3/4"</t>
  </si>
  <si>
    <t>BUJES SOLDADOS 1 1/4"x1"</t>
  </si>
  <si>
    <t>BUJES SOLDADOS 1 1/4"x3/4"</t>
  </si>
  <si>
    <t>BUJES SOLDADOS 1 1/2"x1/2"</t>
  </si>
  <si>
    <t>BUJES SOLDADOS 1 1/2"x3/4"</t>
  </si>
  <si>
    <t>BUJES SOLDADOS 1 1/2"x1"</t>
  </si>
  <si>
    <t>BUJES SOLDADOS 1 1/2"x1/4"</t>
  </si>
  <si>
    <t>BUJES SOLDADOS 2"x1/2"</t>
  </si>
  <si>
    <t>BUJES SOLDADOS 2"x3/4"</t>
  </si>
  <si>
    <t>AYUDANTE CUAD. TIPO AA</t>
  </si>
  <si>
    <t>LOCALIZACION Y REPLANTEO MANUAL</t>
  </si>
  <si>
    <t>DEMOLICION MUROS E=0.15 M INCLUYE ACARREO</t>
  </si>
  <si>
    <t xml:space="preserve">DEMOLICION PLACA MACIZA 0.15 M INCLUYE ACARREO </t>
  </si>
  <si>
    <t>DEMOLICION PLACA PISO INCLUYE ACARREO</t>
  </si>
  <si>
    <t>DEMOLICION PISO EXISTENTE (BALDOSA)</t>
  </si>
  <si>
    <t>BUJES SOLDADOS 2"x1"</t>
  </si>
  <si>
    <t>BUJES SOLDADOS 2"x1 1/4"</t>
  </si>
  <si>
    <t>BUJES SOLDADOS 2"x1 1/2"</t>
  </si>
  <si>
    <t>BUJES SOLDADOS 2 1/2"x1 1/2"</t>
  </si>
  <si>
    <t>BUJES SOLDADOS 2 1/2"x2"</t>
  </si>
  <si>
    <t>BUJES SOLDADOS 3"x2"</t>
  </si>
  <si>
    <t>BUJES SOLDADOS 3"x2 1/2"</t>
  </si>
  <si>
    <t>BUJES SOLDADOS 4"x3"</t>
  </si>
  <si>
    <t>BUJES ROSCADOS 1"x1/2"</t>
  </si>
  <si>
    <t>BUJES ROSCADOS 1 1/4"x1"</t>
  </si>
  <si>
    <t>BUJES ROSCADOS 1 1/4"x3/4"</t>
  </si>
  <si>
    <t>BUJES ROSCADOS 1 1/2"x1/2"</t>
  </si>
  <si>
    <t>BUJES ROSCADOS 1 1/2"x3/4"</t>
  </si>
  <si>
    <t>BUJES ROSCADOS 1 1/2"x1"</t>
  </si>
  <si>
    <t>BUJES ROSCADOS 1 1/2"x1/4"</t>
  </si>
  <si>
    <t>BUJES ROSCADOS 2"x1/2"</t>
  </si>
  <si>
    <t>BUJES ROSCADOS 2"x3/4"</t>
  </si>
  <si>
    <t>BUJES ROSCADOS 2"x1"</t>
  </si>
  <si>
    <t>BUJES ROSCADOS 2"x1 1/4"</t>
  </si>
  <si>
    <t>BUJES ROSCADOS 2"x1 1/2"</t>
  </si>
  <si>
    <t>BUJES ROSCADOS 3/4"x1/2"</t>
  </si>
  <si>
    <t>BUJES ROSCADOS 1"x3/4"</t>
  </si>
  <si>
    <t>BUJES ROSCADOS 3"x2"</t>
  </si>
  <si>
    <t>BUJES ROSCADOS 4"x3"</t>
  </si>
  <si>
    <t>BUJES ROSCADOS 4"x2"</t>
  </si>
  <si>
    <t>UNION CPVC ½"</t>
  </si>
  <si>
    <t>TUBERIA AGUAS LLUVIAS PVC Ø 3"</t>
  </si>
  <si>
    <t>TUBERIA AGUAS LLUVIAS PVC Ø 4"</t>
  </si>
  <si>
    <t>TUBERIA AGUAS NEGRAS PVC Ø 3"</t>
  </si>
  <si>
    <t>TUBERIA REVENTILACION PVC Ø 2"</t>
  </si>
  <si>
    <t>TUBERIA REVENTILACION PVC Ø 3"</t>
  </si>
  <si>
    <t>PUNTO DESAGUE GRES Ø 4" (SANITARIO)</t>
  </si>
  <si>
    <t>HIERRO Ø 3/8" Corte y figurado</t>
  </si>
  <si>
    <t>HIERRO Ø 1/4" Corte y figurado</t>
  </si>
  <si>
    <t>EXCAVACION A MANO, MATERIAL SUELTO</t>
  </si>
  <si>
    <t>EXCAVACION  A MANO, MATERIAL SUELTO HUMEDO</t>
  </si>
  <si>
    <t>EXCAVACION  A MANO, MATERIAL BLANDO SECO</t>
  </si>
  <si>
    <t>EXCAVACION  A MANO, MATERIAL BLANDO HUMEDO</t>
  </si>
  <si>
    <t>EXCAVACION  A MANO, MATERIAL DURO SECO</t>
  </si>
  <si>
    <t>DESMONTE Y REINSTALACIÒN DE UNIDAD ODONTOLOGICA</t>
  </si>
  <si>
    <t>CONSTRUCCION BASE PARA PUERTA DE CORREDERA EN MESON 0.10X0.10 M EN CONCRETO DE 2000 PSI</t>
  </si>
  <si>
    <t xml:space="preserve">CERAMICA PISO 20.5X20.5 CM </t>
  </si>
  <si>
    <t>IMPERMEABILIZACION DE PLACA PERMA PLY 3 CAPAS</t>
  </si>
  <si>
    <t>ALUMOL - RECUBRIMIENTO ALUMINIO</t>
  </si>
  <si>
    <t>ASFALTO TIPO 190/220 200 KG</t>
  </si>
  <si>
    <t>PERMA GLAS 6 FIBERGLASS</t>
  </si>
  <si>
    <t>CORREA METALICA DE 3/8" Y CELOSIA DE 1/4"</t>
  </si>
  <si>
    <t>VARILLA DE 3/8" X 6.0 M</t>
  </si>
  <si>
    <t>SUMINISTRO E INSTALACION CORREA METALICA DE 1/2" Y CELOSIA DE 3/8"</t>
  </si>
  <si>
    <t>PINTURA FACHADA CON PIGMENTO SOBRE GRANIPLAST</t>
  </si>
  <si>
    <t>PIGMENTO SOBRE GRANIPLAST PREPARADO</t>
  </si>
  <si>
    <t>OTROS</t>
  </si>
  <si>
    <t xml:space="preserve">  </t>
  </si>
  <si>
    <t>PINTURA</t>
  </si>
  <si>
    <t>LAMINA EN ACRILICO</t>
  </si>
  <si>
    <t>BISAGRAS, TORNILLERIA</t>
  </si>
  <si>
    <t>LAMINA EN FORMICA</t>
  </si>
  <si>
    <t>GUIA</t>
  </si>
  <si>
    <t>SUMINISTRO E INSTALACION MUEBLE EN FORMICA CON SEPARADORES PARA LA TOMA DE MUESTRAS</t>
  </si>
  <si>
    <t>CONSTRUCCION PUNTO ELECTRICO ESPECIAL (110 V - 220 V)</t>
  </si>
  <si>
    <t>CAJA PARA INTERRUPTOR DE CORTE</t>
  </si>
  <si>
    <t>TUBERIA TIPO PESADO</t>
  </si>
  <si>
    <t xml:space="preserve">ELECTRICISTA </t>
  </si>
  <si>
    <t>TABLERO PRINCIPAL</t>
  </si>
  <si>
    <t>TOTALIZADOR GENERAL</t>
  </si>
  <si>
    <t>BARRAJES</t>
  </si>
  <si>
    <t>INTERRUPTORES DE CORTE</t>
  </si>
  <si>
    <t>BASE APOYO EN CONCRETO</t>
  </si>
  <si>
    <t>CONDUCTOR No. 6</t>
  </si>
  <si>
    <t xml:space="preserve">TABLEROS DE DISTRIBUCIÒN </t>
  </si>
  <si>
    <t>SUMINISTRO E INSTALACIÒN TABLERO DE DISTRIBUCIÒN TRIFASICO (Caja de interruptores tipo LUMINEX con 3 barrajes y de 18 elementos de protecciòn)</t>
  </si>
  <si>
    <t>TERMINAL CONDUIT</t>
  </si>
  <si>
    <t>ALAMBRE No. 12</t>
  </si>
  <si>
    <t>ALAMBRE DESNUDO</t>
  </si>
  <si>
    <t>TUBO CONDUIT 1/2"</t>
  </si>
  <si>
    <t>CAJA INTERRUPTOR O TOMA</t>
  </si>
  <si>
    <t xml:space="preserve">CAJA INTERRUPTOR </t>
  </si>
  <si>
    <t>TOMA ESPECIAL</t>
  </si>
  <si>
    <t xml:space="preserve">CAJA METALICA </t>
  </si>
  <si>
    <t xml:space="preserve">INTERRUPTOR </t>
  </si>
  <si>
    <t>TOMA CORRIENTE</t>
  </si>
  <si>
    <t>CONSTRUCCION PUNTO ESPECIAL TRIFASICO</t>
  </si>
  <si>
    <t xml:space="preserve">TERMINAL CONDUIT </t>
  </si>
  <si>
    <t>EXCAVACION  A MANO, MATERIAL DURO HUMEDO</t>
  </si>
  <si>
    <t>EXCAVACION DE DERRUMBE, HASTA 2.00 M DE PROFUNDIDAD</t>
  </si>
  <si>
    <t>EXCAVACION DE DERRUMBE, ENTRE 2.00 Y 3.00 M DE PROFUNDIDAD</t>
  </si>
  <si>
    <t>EXCAVACION DE DERRUMBE, ENTRE 3.00 Y 4.00 M DE PROFUNDIDAD</t>
  </si>
  <si>
    <t>EXCAVACION DE DERRUMBE, ENTRE 4.00 Y 5.00 M DE PROFUNDIDAD</t>
  </si>
  <si>
    <t>EXCAVACION DE DERRUMBE, ENTRE 5.00 Y 6.00 M DE PROFUNDIDAD</t>
  </si>
  <si>
    <t>CODO CPVC ½"x90º</t>
  </si>
  <si>
    <t>CODO CPVC ½"x45º</t>
  </si>
  <si>
    <t>GLB</t>
  </si>
  <si>
    <t>8. INSTALACIONES ELECTRICAS</t>
  </si>
  <si>
    <t>ACOMETIDA PARCIAL MONOFASICA (110 VOLTIOS) Ø 1 1/4", 1N° 10+1N° 10</t>
  </si>
  <si>
    <t>ACOMETIDA BIFASICA TRIFILAR (220/110 VOLTIOS) AEREA PVC, INCLUYE CONECTORES BIMETALICOS, 2 # 8 + 1 # 10, LONG. 15.00 M.</t>
  </si>
  <si>
    <t>SUMINISTRO, INSTALACION Y CONEXIÓN DE CONTADOR TRIFASICO 20/30 AMP.Incluye caja, matricula y protección de 3x75 AMP.</t>
  </si>
  <si>
    <t>SUMINISTRO, INSTALACION Y CONEXIÓN DE CONTADOR BIFASICO TRIFILAR 15/20 AMP. Incluye caja, matricula y protección de 2x50 AMP.</t>
  </si>
  <si>
    <t>SUMINISTRO, INSTALACION Y CONEXIÓN DE CONTADOR MONOFASICO TRIFILAR 10/15 AMP. Incluye caja, matricula y protección de 1x30 AMP.</t>
  </si>
  <si>
    <t>SUMINISTRO, INSTALACION LINEA A TIERRA, Incluye varilla Coperwell de 1.80 M, alambre Nº 14 desnudo y ducto PVC tipo pesado Ø ¾"</t>
  </si>
  <si>
    <t>MT</t>
  </si>
  <si>
    <t>SUMINISTRO, INSTALACION LINEA A TIERRA, Incluye varilla Coperwell de 2.40 M, alambre Nº 14 desnudo y ducto PVC tipo pesado Ø ¾"</t>
  </si>
  <si>
    <t>SUMINISTRO, INSTALACION TABLERO DE 4 CIRCUITOS MONOFASICO, Incluye 4 tacos de 20 AMP.</t>
  </si>
  <si>
    <t>SUMINISTRO, INSTALACION TABLERO DE 6 CIRCUITOS TRIFILAR, Incluye 6 tacos de 20 AMP.</t>
  </si>
  <si>
    <t>SUMINISTRO, INSTALACION TABLERO DE 6 CIRCUITOS TRIFASICO, Incluye 6 tacos de 20 AMP.</t>
  </si>
  <si>
    <t>SUMINISTRO, INSTALACION TABLERO DE 12 CIRCUITOS TRIFILAR, Incluye 12 tacos de 20 AMP.</t>
  </si>
  <si>
    <t>SUMINISTRO, INSTALACION TABLERO DE 12 CIRCUITOS TRIFASICO, Incluye 12 tacos de 20 AMP.</t>
  </si>
  <si>
    <t>CONSTRUCCION PUNTO ELECTRICO</t>
  </si>
  <si>
    <t>ANDEN EN CONCRETO E=0.10 DE 2500 PSI</t>
  </si>
  <si>
    <t>SUMINISTRO, INSTALACION TABLERO DE 18 CIRCUITOS TRIFILAR, Incluye 18 tacos de 20 AMP.</t>
  </si>
  <si>
    <t>SUMINISTRO, INSTALACION TABLERO DE 18 CIRCUITOS TRIFASICO, Incluye 18 tacos de 20 AMP.</t>
  </si>
  <si>
    <t>SUMINISTRO, INSTALACION TABLERO DE 24 CIRCUITOS TRIFASICO, Incluye 18 tacos de 20 AMP.</t>
  </si>
  <si>
    <t>SUMINISTRO, INSTALACION LAMPARA - TOMA / ECONOMICA</t>
  </si>
  <si>
    <t>SUMINISTRO, INSTALACION ACOMETIDA PARCIAL 30.0 M ALAMBRE Nº 8, ALAMBRE CONTINUIDAD DESNUDO Nº 14, PVC Ø 1".</t>
  </si>
  <si>
    <t>SUMINISTRO, INSTALACION SALIDA BIFASICA SENCILLA, ALAMBRE CONTINUIDAD DESNUDO Nº 16, TUBERIA PVC Ø 1/2".</t>
  </si>
  <si>
    <t>SUMINISTRO, INSTALACION SALIDA BIFASICA DOBLE POLARIZADO, ALAMBRE CONTINUIDAD DESNUDO Nº 16, TUBERIA PVC Ø 1/2".</t>
  </si>
  <si>
    <t>SUMINISTRO, INSTALACION SALIDA LAMPARA CONMUTABLE, ALAMBRE CONTINUIDAD DESNUDO Nº 16, TUBERIA PVC Ø 1/2".</t>
  </si>
  <si>
    <t>SUMINISTRO, INSTALACION SALIDA LAMPARA/TOMA, ALAMBRE CONTINUIDAD DESNUDO Nº 16, TUBERIA PVC Ø 1/2".</t>
  </si>
  <si>
    <t>SUMINISTRO, INSTALACION SALIDA TIMBRE, INCLUYE TIMBRE, TUBERIA PVC Ø 1/2".</t>
  </si>
  <si>
    <t>SUMINISTRO, INSTALACION SALIDA VENTILADOR, ALAMBRE CONTINUIDAD DESNUDO Nº 16, TUBERIA PVC Ø 1/2". NO INCLUYE VENTILADOR</t>
  </si>
  <si>
    <t>SUMINISTRO, INSTALACION SALIDA VENTILADOR, ALAMBRE CONTINUIDAD DESNUDO Nº 16, TUBERIA PVC Ø 1/2". INCLUYE VENTILADOR</t>
  </si>
  <si>
    <t>HIERRO GRAFILADO DE 3/8 60000</t>
  </si>
  <si>
    <t>MUNICIPIO DE BARRANCABERMEJA</t>
  </si>
  <si>
    <t xml:space="preserve">SUMINISTRO, INSTALACION SALIDA LAMPARA TECHO, ALAMBRE CONTINUIDAD DESNUDO Nº 16, TUBERIA PVC Ø 1/2". </t>
  </si>
  <si>
    <t xml:space="preserve">SUMINISTRO, INSTALACION SALIDA LAMPARA MURO, ALAMBRE CONTINUIDAD DESNUDO Nº 16, TUBERIA PVC Ø 1/2". </t>
  </si>
  <si>
    <t>9. MAMPOSTERIA</t>
  </si>
  <si>
    <t xml:space="preserve">ALFAGIA EN CONCRETO ARMADO 3000 psi, 0.15x.08 M, </t>
  </si>
  <si>
    <t>ALFAGIA EN CONCRETO ARMADO 3000 psi, 0.25x0.08 M</t>
  </si>
  <si>
    <t>ALFAGIA LADRILLO PRENSADO A LA VISTA, 0.24x0.11 M, MORTERO DE PEGA 1:4, e = 1.0 Cm</t>
  </si>
  <si>
    <t>ALFAGIA EN LADRILLO COCIDO A LA VISTA e = 0.24 M, MORTERO DE PEGA 1:4, e = 1.0 Cm</t>
  </si>
  <si>
    <t>ALFAGIA EN BLOQUE DE CEMENTO A LA VISTA e = 0.10 M, MORTERO DE PEGA 1:4, e = 1.0 Cm</t>
  </si>
  <si>
    <t>MURO LADRILLO TOLETE COMÚN, Ancho = 0.25 M, MORTERO DE PEGA 1:4, e = 1.5 Cm</t>
  </si>
  <si>
    <t>MURO LADRILLO TOLETE COMUN e = 0.12 M, MORTERO DE PEGA 1:4, e = 1.5 Cm</t>
  </si>
  <si>
    <t>MURO LADRILLO TOLETE COMUN e = 0.07 M, MORTERO DE PEGA 1:4, e = 1.5 Cm</t>
  </si>
  <si>
    <t>MURO LADRILLO PRENSADO A LA VISTA e = 0.25 M, MORTERO DE PEGA 1:4, e = 1.5 Cm</t>
  </si>
  <si>
    <t>MURO LADRILLO PRENSADO A LA VISTA e = 0.12 M, MORTERO DE PEGA 1:4, e = 1.5 Cm</t>
  </si>
  <si>
    <t>MURO LADRILLO PRENSADO A LA VISTA e = 0.06 M, MORTERO DE PEGA 1:4, e = 1.5 Cm</t>
  </si>
  <si>
    <t>MURO LADRILLO ARROBERO e = 0.33 M, MORTERO DE PEGA 1:4, e = 1.5 Cm</t>
  </si>
  <si>
    <t>MURO LADRILLO ARROBERO e = 0.15 M, MORTERO DE PEGA 1:4, e = 1.5 Cm</t>
  </si>
  <si>
    <t>MURO LADRILLO ARROBERO e = 0.08 M, MORTERO DE PEGA 1:4, e = 1.5 Cm</t>
  </si>
  <si>
    <t>MURO BLOQUE CEMENTO e = 0.15 M, MORTERO DE PEGA 1:4, e = 1.5 Cm</t>
  </si>
  <si>
    <t>MURO BLOQUE DE CEMENTO e = 0.10 M, MORTERO DE PEGA 1:4, e = 1.5 Cm</t>
  </si>
  <si>
    <t>MURO BLOQUE DE CEMENTO e = 0.20 M, MORTERO DE PEGA 1:4, e = 1.5 Cm</t>
  </si>
  <si>
    <t>MURO BLOQUE ARCILLA H7 e = 0.07 M, MORTERO DE PEGA 1:4, e = 1.5 Cm</t>
  </si>
  <si>
    <t>MURO BLOQUE ARCILLA H7 e = 0.23 M, MORTERO DE PEGA 1:4, e = 1.5 Cm</t>
  </si>
  <si>
    <t>MURO BLOQUE ARCILLA H10 e = 0.10 M, MORTERO DE PEGA 1:4, e = 1.5 Cm</t>
  </si>
  <si>
    <t>MURO BLOQUE ARCILLA H10 e = 0.23 M, MORTERO DE PEGA 1:4, e = 1.5 Cm</t>
  </si>
  <si>
    <t>MURO BLOQUE ARCILLA H15 e = 0.12 M, MORTERO DE PEGA 1:4, e = 1.5 Cm</t>
  </si>
  <si>
    <t>MURO BLOQUE ARCILLA H15 e = 0.23 M, MORTERO DE PEGA 1:4, e = 1.5 Cm</t>
  </si>
  <si>
    <t>10. CUBIERTA</t>
  </si>
  <si>
    <t>.</t>
  </si>
  <si>
    <t>CANALETA 90 DE 7.50 M</t>
  </si>
  <si>
    <t>TEJA DE BARRO</t>
  </si>
  <si>
    <t>TEJA ESPAÑOLA</t>
  </si>
  <si>
    <t>TEJA TRANSPARENTE Nº 4</t>
  </si>
  <si>
    <t>TEJA TRANSPARENTE Nº 6</t>
  </si>
  <si>
    <t>ENTRAMADO MADERA TEJA ONDULADA</t>
  </si>
  <si>
    <t>11. PAÑETES</t>
  </si>
  <si>
    <t>ENTRAMADO MADERA CIELO RASO</t>
  </si>
  <si>
    <t>FILOS Y DILATACIONES</t>
  </si>
  <si>
    <t>GOTEROS</t>
  </si>
  <si>
    <t>MALLA BAJO ENTRAMADO</t>
  </si>
  <si>
    <t>PAÑETE BAJO MALLA 1:4 e = 2.5 cm</t>
  </si>
  <si>
    <t>PAÑETE BAJO MALLA 1:5 e = 2.5 cm</t>
  </si>
  <si>
    <t>PAÑETE CULATAS 1:4 e = 3.0 cm</t>
  </si>
  <si>
    <t>PAÑETE CULATAS 1:5 e = 3.0 cm</t>
  </si>
  <si>
    <t>PAÑETE LISO MUROS 1:4 e = 1.5 cm</t>
  </si>
  <si>
    <t>PAÑETE LISO MUROS 1:4 e = 2.0 cm</t>
  </si>
  <si>
    <t>PAÑETE LISO MUROS 1:5 e = 1.5 cm</t>
  </si>
  <si>
    <t>PAÑETE LISO MUROS 1:5 e = 2.0 cm</t>
  </si>
  <si>
    <t>PAÑETE LISO PLACAS 1:4 e = 2.0 cm</t>
  </si>
  <si>
    <t>PAÑETE LISO PLACAS 1:5 e = 2.0 cm</t>
  </si>
  <si>
    <t>PAÑETE RUSTICO MURO 1:5 e = 2.0 cm</t>
  </si>
  <si>
    <t>PAÑETE RUSTICO PLACA 1:5 e = 2.5 cm</t>
  </si>
  <si>
    <t>12. PISOS</t>
  </si>
  <si>
    <t>BOTON TIMBRE SOBRE MURO LUMINEX</t>
  </si>
  <si>
    <t>ALISTADO DE TERRAZAS, MORTERO 1:5, e = 8.0 cm</t>
  </si>
  <si>
    <t>CONCRETO 2500 PSI PARA ANDENES e = 10 cm</t>
  </si>
  <si>
    <t>CONCRETO BASE GRADAS e = 10 cm</t>
  </si>
  <si>
    <t>CONCRETO ESTRIADO RAMPAS e = 15 cm</t>
  </si>
  <si>
    <t>CONCRETO 2500 PSI, SARDINELES h = 40 cm</t>
  </si>
  <si>
    <t>PLACA BASE CONCRETO 2500 PSI, e = 7 cm</t>
  </si>
  <si>
    <t>PLACA BASE CONCRETO 2500 PSI, e = 10 cm</t>
  </si>
  <si>
    <t>PLACA BASE CONCRETO 2500 PSI, e = 15 cm</t>
  </si>
  <si>
    <t>BALDOSIN DE CTO TEXTURA RETAL DE MARMOL 0.30x0.30</t>
  </si>
  <si>
    <t>BALDOSIN DE CEMENTO TEXTURA FILIGRANA  0.25x0.25</t>
  </si>
  <si>
    <t>BALDOSIN DE CEMENTO UN TONO  0.20x0.20</t>
  </si>
  <si>
    <t xml:space="preserve">DEMOLICION GUARDA ESCOBA </t>
  </si>
  <si>
    <t>DEMOLICION ENCHAPE</t>
  </si>
  <si>
    <t>ARREGLO SANITARIO</t>
  </si>
  <si>
    <t>GUARDAESCOBA GRAVILLA</t>
  </si>
  <si>
    <t>GRADAS GRAVILLA 0.27x0.17</t>
  </si>
  <si>
    <t>GRAVILLA LAVADA.</t>
  </si>
  <si>
    <t>PASO ESCALERA GRANITO</t>
  </si>
  <si>
    <t>CERAMICA TRAFICO PESADO 4 .30x.30</t>
  </si>
  <si>
    <t>CERAMICA TRAFICO PESADO 4 .33x.33</t>
  </si>
  <si>
    <t>CERAMICA TRAFICO PESADO 4 .40x.40</t>
  </si>
  <si>
    <t>TUBO PVC SANITARIO 2"x 6.0 M</t>
  </si>
  <si>
    <t>TUBO PVC LLUVIAS 2"x 6.0 M</t>
  </si>
  <si>
    <t>TUBO PVC LLUVIAS 3"x 6.0 M</t>
  </si>
  <si>
    <t>TUBO PVC LLUVIAS 4"x 6.0 M</t>
  </si>
  <si>
    <t>CERAMICA TRAFICO PESADO 5 .33x.33</t>
  </si>
  <si>
    <t>CERAMICA OLIMPIA 0.205x0.205</t>
  </si>
  <si>
    <t>CERAMICA TRACIA 0.205x0.205</t>
  </si>
  <si>
    <t>CERAMICA ESPARTA 0.205x0.205 (Decorpiso)</t>
  </si>
  <si>
    <t xml:space="preserve">TABLON VITRIFICADO 7x25 </t>
  </si>
  <si>
    <t xml:space="preserve">TABLON VITRIFICADO 12x25 </t>
  </si>
  <si>
    <t xml:space="preserve">TABLON VITRIFICADO 25x25 GRAFILADO </t>
  </si>
  <si>
    <t>TABLON VITRIFICADO 25x25 TIPO A</t>
  </si>
  <si>
    <t>13. CIELO RASOS</t>
  </si>
  <si>
    <t>LAMINA PLANA ETERNIT, incluye entramado de madera</t>
  </si>
  <si>
    <t>LAMINA MADEFLEX, incluye entramado de madera</t>
  </si>
  <si>
    <t>LISTON MACHIHEMBRADO VIROLA, incluye entramado de madera</t>
  </si>
  <si>
    <t>LAMINA ICOPOR TEXTURIZADO 0.6x1.2 M, incluye entramado en aluminio</t>
  </si>
  <si>
    <t>LAMINA IVC TEXTURIZADO 0.6x1.2 M, incluye entramado en aluminio</t>
  </si>
  <si>
    <t>14. APARATOS HIDROSANITARIOS</t>
  </si>
  <si>
    <t>SUMINISTRO E INSTALACION DE SANITARIO ACUACER, INCLUYE PUNTO HIDRAULICO</t>
  </si>
  <si>
    <t>SUMINISTRO E INSTALACION DE SANITARIO NOVA, INCLUYE PUNTO HIDRAULICO</t>
  </si>
  <si>
    <t>SUMINISTRO E INSTALACION DE SANITARIO TIFFANY, INCLUYE PUNTO HIDRAULICO</t>
  </si>
  <si>
    <t>SUMINISTRO E INSTALACION DE LAVAMANOS ACUACER, INCLUYE PUNTO HIDRAULICO</t>
  </si>
  <si>
    <t>SUMINISTRO E INSTALACION DE LAVAMANOS NOVA, INCLUYE PUNTO HIDRAULICO</t>
  </si>
  <si>
    <t>SUMINISTRO E INSTALACION DE LAVAMANOS TIFFANY, INCLUYE PUNTO HIDRAULICO</t>
  </si>
  <si>
    <t>SUMINISTRO E INSTALACION DE ORINAL MEDIANO, INCLUYE PUNTO HIDRAULICO</t>
  </si>
  <si>
    <t>SUMINISTRO E INSTALACION DE ORINAL RESIDENCIAL, INCLUYE PUNTO HIDRAULICO</t>
  </si>
  <si>
    <t>15. CARPINTERIA DE MADERA</t>
  </si>
  <si>
    <t>HOJA FORTEC 0.90x2.00 M, NO INCLUYE MARCO NI CERRADURA</t>
  </si>
  <si>
    <t>HOJA FORTEC 1.00x2.00 M, NO INCLUYE MARCO NI CERRADURA</t>
  </si>
  <si>
    <t>HOJA PIZANO 0.70x2.00 M, NO INCLUYE MARCO NI CERRADURA</t>
  </si>
  <si>
    <t>HOJA PIZANO 0.80x2.00 M, NO INCLUYE MARCO NI CERRADURA</t>
  </si>
  <si>
    <t xml:space="preserve">FINISHER </t>
  </si>
  <si>
    <t>PRESTACIONES SOCIALES</t>
  </si>
  <si>
    <t>JORNAL INTEGRAL</t>
  </si>
  <si>
    <t>HOJA FORTEC 0.60x2.00 M, INCLUYE MARCO CERRADURA E INSTALACION</t>
  </si>
  <si>
    <t>PUNTO SANITARIO PVC Ø 3" : Ø 4"</t>
  </si>
  <si>
    <t>ALAMBRE ENCAUCHETADO No. 0</t>
  </si>
  <si>
    <t>INTERRUPTORES DE CORTE DE CIRCUITO 75 A</t>
  </si>
  <si>
    <t>CONTADORES</t>
  </si>
  <si>
    <t>SUMINISTRO E INSTALACION TABLERO DE CONTADOR Y TOTALIZADORES (Caja de barrajes con elemento de corte y accesorios con polo a tierra para protección)</t>
  </si>
  <si>
    <t>SUB-ACOMETIDA PARA TABLEROS DE DISTRIBUCIÒN (Incluye Sub-acometida trifasica en conductor No. 6 )</t>
  </si>
  <si>
    <t>SUMINISTRO E INSTALACIÒN TABLERO DE DISTRIBUCIÒN TRIFASICO (Caja de interruptores tipo LUMINEX con 3 barrajes y de 24 elementos de protecciòn y polo a tierra con preparación química)</t>
  </si>
  <si>
    <t>ACOMETIDA ELECTRICA GENERAL (Incluye acometida electrica subterranea en tuberia PVC tipo pesado, conductor No. 2 e interruptor de corte Incluye unificación de medida y polo a tierra para protección)</t>
  </si>
  <si>
    <t>CONSTRUCCION PUNTO ELECTRICO (110-220 v)</t>
  </si>
  <si>
    <t>SUMINISTRO E INSTALACIÓN DE RED SANITARIA PVC Ø 2"</t>
  </si>
  <si>
    <t>SUMINISTRO E INSTALACIÓN RED SANITARIA PVC Ø 4"</t>
  </si>
  <si>
    <t>SUMINISTRO E INSTALACIÓN RED SANITARIA PVC Ø 6"</t>
  </si>
  <si>
    <t>HOJA PIZANO 0.70x2.00 M, INCLUYE MARCO CERRADURA E INSTALACION</t>
  </si>
  <si>
    <t>HOJA PIZANO 0.80x2.00 M, INCLUYE MARCO CERRADURA E INSTALACION</t>
  </si>
  <si>
    <t>16. CARPINTERIA METALICA</t>
  </si>
  <si>
    <t>DINTEL 0.15 x 0.15, 3000 PSI, 4 Ø 1/2" + 6 Ø 1/4"</t>
  </si>
  <si>
    <t>SUMINISTRO E INSTALACION CANASTA DE SEGURIDAD PARA AIRE ACONDICIONADO 0.90x0.60x0.50, Ø ½" CUADRADO</t>
  </si>
  <si>
    <t>SUMINISTRO E INSTALACION REJILLA PARA CUNETA a = 0.20 M, ANGULO 1"x3/16", VARILLA CORRUGADA Ø 1/2", C/ 5 CM</t>
  </si>
  <si>
    <t>SECRETARIA DE INFRAESTRUCTURA MUNICIPIO DE BARRANCABERMEJA</t>
  </si>
  <si>
    <t>SUMINISTRO E INSTALACION REJILLA PARA CUNETA a = 0.30 M, ANGULO 1"x3/16", VARILLA CORRUGADA Ø 1/2", C/ 5 CM</t>
  </si>
  <si>
    <t>SUMINISTRO E INSTALACION VENTANA CORREDIZA 1.60x1.20 M, TUBO 1"x1"</t>
  </si>
  <si>
    <t>SUMINISTRO E INSTALACION VENTANA FIJA, CON UN ABRA,  1.60x1.20 M, ANGULO 3/4"x1/8", LAMINA COL ROL CALIB. 18</t>
  </si>
  <si>
    <t>SUMINISTRO E INSTALACION VENTANA FIJA, CON DOS ABRAS,  2.00x1.20 M, ANGULO 3/4"x1/8", LAMINA COL ROL CALIB. 18</t>
  </si>
  <si>
    <t>SUMINISTRO E INSTALACION PORTON 2.50x2.20 M, TRES ABRAS, LAMINA GALVANIZADA CALIBRE 18</t>
  </si>
  <si>
    <t>SUMINISTRO E INSTALACION PUERTA ENTAMBORADA 1.0x2.0x(0.07-0.10) M, LAMINA COL ROLE CALIBRE 20</t>
  </si>
  <si>
    <t>SUMINISTRO E INSTALACION ARAÑA DE SEGURIDAD PARA VENTANAS, Ø ½" CUADRADO</t>
  </si>
  <si>
    <t>17. ESTUCO Y PINTURA</t>
  </si>
  <si>
    <t>ANTICORROSIVO SOBRE LAMINA</t>
  </si>
  <si>
    <t>ANTICORROSIVO SOBRE LAMINA LLENA</t>
  </si>
  <si>
    <t>CARBURO SOBRE PAÑETE</t>
  </si>
  <si>
    <t>ESMALTE SOBRE LAMINA</t>
  </si>
  <si>
    <t>ESMALTE SOBRE LAMINA LLENA</t>
  </si>
  <si>
    <t>ESMALTE SOBRE MADERA LLENA</t>
  </si>
  <si>
    <t>ESMALTE SOBRE MADERA</t>
  </si>
  <si>
    <t>ESMALTE SOBRE MARCOS LAMINA</t>
  </si>
  <si>
    <t>ESMALTE SOBRE MARCOS MADERA</t>
  </si>
  <si>
    <t>ESTUCO</t>
  </si>
  <si>
    <t>ESTUCO Y VINILO 3 MANOS</t>
  </si>
  <si>
    <t>MARMOLINA SOBRE PAÑETE</t>
  </si>
  <si>
    <t>VINILO SOBRE PAÑETE 2 MANOS</t>
  </si>
  <si>
    <t>APLICACIÓN PLASTIESTUCO</t>
  </si>
  <si>
    <t>APLICACIÓN PLASTIESTUCO Y TRES MANOS VINILO</t>
  </si>
  <si>
    <t>MACHO CPVC ½"</t>
  </si>
  <si>
    <t>TEE CPVC ½"</t>
  </si>
  <si>
    <t>TAPON SOLDADO CPVC ½"</t>
  </si>
  <si>
    <t>UNIVERSAL CPVC ½"</t>
  </si>
  <si>
    <t>HEMBRA CPVC ½"</t>
  </si>
  <si>
    <t>BUJE SOLDADO CPVC ½"</t>
  </si>
  <si>
    <t>TEE PRESION ½"</t>
  </si>
  <si>
    <t>TEE PRESION 3/4"</t>
  </si>
  <si>
    <t>TEE PRESION 1"</t>
  </si>
  <si>
    <t>TEE PRESION 1 1/4"</t>
  </si>
  <si>
    <t>TEE PRESION 1 1/2"</t>
  </si>
  <si>
    <t>TEE PRESION 2"</t>
  </si>
  <si>
    <t>TEE PRESION 2 ½"</t>
  </si>
  <si>
    <t>TEE PRESION 3"</t>
  </si>
  <si>
    <t>TEE PRESION 4"</t>
  </si>
  <si>
    <t>CODO PRESION ½"</t>
  </si>
  <si>
    <t>CODO PRESION 3/4"</t>
  </si>
  <si>
    <t>CODO PRESION 1"</t>
  </si>
  <si>
    <t>CODO PRESION 1 1/4"</t>
  </si>
  <si>
    <t>CODO PRESION 1 1/2"</t>
  </si>
  <si>
    <t>CODO PRESION 2"</t>
  </si>
  <si>
    <t>CODO PRESION 2 ½"</t>
  </si>
  <si>
    <t>CODO PRESION 3"</t>
  </si>
  <si>
    <t>CODO PRESION 4"</t>
  </si>
  <si>
    <t>UNION PRESION 3/4"</t>
  </si>
  <si>
    <t>UNION PRESION 1"</t>
  </si>
  <si>
    <t>UNION PRESION 1 1/4"</t>
  </si>
  <si>
    <t>UNION PRESION 1 1/2"</t>
  </si>
  <si>
    <t>UNION PRESION 2"</t>
  </si>
  <si>
    <t>UNION PRESION 2 ½"</t>
  </si>
  <si>
    <t>UNION PRESION 3"</t>
  </si>
  <si>
    <t>UNION PRESION 4"</t>
  </si>
  <si>
    <t>UNION PRESION ½"</t>
  </si>
  <si>
    <t>ADAPTADOR MACHO PRESION 3/4"</t>
  </si>
  <si>
    <t>ADAPTADOR MACHO PRESION 1"</t>
  </si>
  <si>
    <t>ADAPTADOR MACHO PRESION 1 1/4"</t>
  </si>
  <si>
    <t>ADAPTADOR MACHO PRESION 1 1/2"</t>
  </si>
  <si>
    <t>ADAPTADOR MACHO PRESION 2"</t>
  </si>
  <si>
    <t>ADAPTADOR MACHO PRESION 2 ½"</t>
  </si>
  <si>
    <t>ADAPTADOR MACHO PRESION 3"</t>
  </si>
  <si>
    <t>ADAPTADOR MACHO PRESION 4"</t>
  </si>
  <si>
    <t>ADAPTADOR MACHO PRESION ½"</t>
  </si>
  <si>
    <t>ADAPTADOR HEMBRA PRESION 3/4"</t>
  </si>
  <si>
    <t>ADAPTADOR HEMBRA PRESION 1"</t>
  </si>
  <si>
    <t>ADAPTADOR HEMBRA PRESION 1 1/4"</t>
  </si>
  <si>
    <t>ADAPTADOR HEMBRA PRESION 1 1/2"</t>
  </si>
  <si>
    <t>ADAPTADOR HEMBRA PRESION 2"</t>
  </si>
  <si>
    <t>ADAPTADOR HEMBRA PRESION 2 ½"</t>
  </si>
  <si>
    <t>ADAPTADOR HEMBRA PRESION 3"</t>
  </si>
  <si>
    <t>ADAPTADOR HEMBRA PRESION 4"</t>
  </si>
  <si>
    <t>ADAPTADOR HEMBRA PRESION ½"</t>
  </si>
  <si>
    <t>TAPON SOLDADO PRESION 3/4"</t>
  </si>
  <si>
    <t>TAPON SOLDADO PRESION 1"</t>
  </si>
  <si>
    <t>TAPON SOLDADO PRESION 1 1/4"</t>
  </si>
  <si>
    <t>TAPON SOLDADO PRESION 1 1/2"</t>
  </si>
  <si>
    <t>TAPON SOLDADO PRESION 2"</t>
  </si>
  <si>
    <t>TAPON SOLDADO PRESION 2 ½"</t>
  </si>
  <si>
    <t>TAPON SOLDADO PRESION 3"</t>
  </si>
  <si>
    <t>TAPON SOLDADO PRESION 4"</t>
  </si>
  <si>
    <t>TAPON SOLDADO PRESION ½"</t>
  </si>
  <si>
    <t>TAPON ROSCADO PRESION 3/4"</t>
  </si>
  <si>
    <t>TAPON ROSCADO PRESION 1"</t>
  </si>
  <si>
    <t>TAPON ROSCADO PRESION 1 1/4"</t>
  </si>
  <si>
    <t>kg</t>
  </si>
  <si>
    <t>CERRADURA YALE 396 1/4</t>
  </si>
  <si>
    <t>CHAPA CANTONERA</t>
  </si>
  <si>
    <t>TUBERIA CUADRADA 1''x6.0M</t>
  </si>
  <si>
    <t>ANTICORROSIVO OXIDO DE HIERRO ROJO 310</t>
  </si>
  <si>
    <t>ANTICORROSIVO PROTECTOR</t>
  </si>
  <si>
    <t>BROCHAS MONA 4"</t>
  </si>
  <si>
    <t xml:space="preserve">PLASTIESTUCO </t>
  </si>
  <si>
    <t>TOKENET 1  IMPERMEABIL.1 KILO</t>
  </si>
  <si>
    <t>TEJA ONDULADA Nº 6</t>
  </si>
  <si>
    <t>TUBO PVC SANITARIO 3"x 6.0 M Pesada</t>
  </si>
  <si>
    <t>TUBO PVC SANITARIO 4"x 6.0 M Pesada</t>
  </si>
  <si>
    <t>TUBO PVC SANITARIO 6"x 6.0 M Pesada</t>
  </si>
  <si>
    <t>TUBO PVC SANITARIO 3"x 6.0 M Liviana</t>
  </si>
  <si>
    <t>TUBO PVC SANITARIO 4"x 6.0 M Liviana</t>
  </si>
  <si>
    <t>TUBO PVC SANITARIO 6"x 6.0 M Liviana</t>
  </si>
  <si>
    <t>PAVIMENTO</t>
  </si>
  <si>
    <t>SUM. E INST. DE MATERIAL SELECCIONADO HASTA EL NIVEL DE SUBBASE</t>
  </si>
  <si>
    <t xml:space="preserve">SUM. E INST. DE  SUBBASE GRANULAR (e= 0,25 m) </t>
  </si>
  <si>
    <t>IMPRIMACION</t>
  </si>
  <si>
    <t>RIEGO DE LIGA</t>
  </si>
  <si>
    <t>ALCALDIA MUNICIPAL</t>
  </si>
  <si>
    <t>18. VIAS</t>
  </si>
  <si>
    <t>LOCALIZACION Y REPLANTEO</t>
  </si>
  <si>
    <t>LIMPIEZA Y DESMONTE ZONA DE TRABAJO</t>
  </si>
  <si>
    <t>DESCAPOTE CON MAQUINARIA</t>
  </si>
  <si>
    <t>EXCAVACION EN MATERIAL COMUN</t>
  </si>
  <si>
    <t>EXCAVACION EN MATERIAL COMUN CON RETROEXCAVADORA</t>
  </si>
  <si>
    <t>RELLENO CON MATERIAL SELECCIONADO Y COMPACTADO CON MAQUINARIA PESADA</t>
  </si>
  <si>
    <t>SECRETARIA DE OBRAS PUBLICAS</t>
  </si>
  <si>
    <t>UNIDAD TECNICA</t>
  </si>
  <si>
    <t>CONFORMACION DE LA CALZADA EXISTENTE</t>
  </si>
  <si>
    <t>SUMINISTRO E INSTALACION DE MEZCLA DENSA EN FRIO TIPO MDF-3: (e= 0,07)</t>
  </si>
  <si>
    <t>CARROTANQUE IRRIGADOR</t>
  </si>
  <si>
    <t>CARROTANQUE DE AGUA</t>
  </si>
  <si>
    <t>COMPACTADOR DE LLANTAS</t>
  </si>
  <si>
    <t>MEZCLA DENSA EN FRIO TIPO MDF-3</t>
  </si>
  <si>
    <t>RASTRILLERO</t>
  </si>
  <si>
    <t>EMULSION DE ROMPIMENTO LENTO (CLR)</t>
  </si>
  <si>
    <t>AFIRMADO</t>
  </si>
  <si>
    <t>SUM. E INST. DE SUBBASE GRANULAR (e=0,25m)</t>
  </si>
  <si>
    <t>SUBBASE GRANULAR PUESTA EN OBRA</t>
  </si>
  <si>
    <t>SUM. E INST. DE BASE GRANULAR (e=0,15m)</t>
  </si>
  <si>
    <t>BASE GRANULAR PUESTA EN OBRA</t>
  </si>
  <si>
    <t>SUM. E INST. DE BASE ASFALTICA (e= 0,08 m) MDC-1 CON ASFALTO MODIFICADO CON POLIMEROS</t>
  </si>
  <si>
    <t>MEZCLA ASFALTICA MDC-1 CON ASFALTO CON POLIMEROS REDUCTORES DE LA SUCEPTIBILIDAD TERMICA</t>
  </si>
  <si>
    <t>MEZCLA ASFALTICA MDC-2 CON ASFALTO CON POLIMEROS REDUCTORES DE LA SUCEPTIBILIDAD TERMICA</t>
  </si>
  <si>
    <t>EMULSION DE ROMPIMENTO RAPIDO (CRR-1 O CRR-2)</t>
  </si>
  <si>
    <t>SUM. E INST. DE BASE ASFALTICA (e= 0,05 m) MDC-2 CON ASFALTO MODIFICADO CON POLIMEROS</t>
  </si>
  <si>
    <t>SUM. E INSAT DE SUBBASE GRANULAR BASE ANDENES Y SARDINELES</t>
  </si>
  <si>
    <t>MOBILIARIO URBANO</t>
  </si>
  <si>
    <t>SARDINEL EN CONCRETO PREFABRICADO TIPO A-85 (0,8 x 0,35 x 0,20)</t>
  </si>
  <si>
    <t>SARDINEL PREFABRICADO TIPO A-85</t>
  </si>
  <si>
    <t>ADOQUIN SANTAFE TIPO CUARTO 26</t>
  </si>
  <si>
    <t>ADOQUIN SANTAFE TIPO ESPAÑOL 4cm</t>
  </si>
  <si>
    <t>ARENA FINA</t>
  </si>
  <si>
    <t>SUM. E INSAT DE BASE EN ARENA GRUESA</t>
  </si>
  <si>
    <t xml:space="preserve">SUM E INST. ADOQUIN PEATONAL 26*6*6 </t>
  </si>
  <si>
    <t>SUM. E INSAT DE BASE EN ARENA FINA</t>
  </si>
  <si>
    <t>RANA</t>
  </si>
  <si>
    <t>SUM E INST. ADOQUIN PEATONAL 20*10*6</t>
  </si>
  <si>
    <t>TUBO GEODREN (FILTRO) 2"</t>
  </si>
  <si>
    <t>TUBO GEODREN (FILTRO) 4"</t>
  </si>
  <si>
    <t>BANCA EN MADERA</t>
  </si>
  <si>
    <t>SALARIO</t>
  </si>
  <si>
    <t>SUMINISTRO E INSTALACION DE BANCAS EN MADERA</t>
  </si>
  <si>
    <t>MOBILIRARIO URBANO</t>
  </si>
  <si>
    <t xml:space="preserve"> RUEDA CARRUSEL DE 2,10MTS DE DIAM. DOBLE BALINERA </t>
  </si>
  <si>
    <t>SUMINISTRO E INSTALACION DE UNA RUEDA CARRUSEL DE 2.10 MTS DE DIAMETRO, DOBLE BALINERA, ESTRUCTURA METALICA PINTADA EN BASE ANTICORROSIVA, ASIENTOS EN MADERA DECORADOS EN COLORES SURTIDOS</t>
  </si>
  <si>
    <t>SUMINISTRO E INSTALACIÒN DE VALLA INFORMATIVA 2 X 4 m</t>
  </si>
  <si>
    <t>VALLA DE IDENTIFICACION DE 2 X 4 M INCLUIDOS SOPORTES METALICOS (CERCHAS)</t>
  </si>
  <si>
    <t>SUMINISTRO E INSTALACIÒN DE VALLAS PORTATILES DE 0,7 X 1,2 m</t>
  </si>
  <si>
    <t>VALLA PORTATIL EN MADERA</t>
  </si>
  <si>
    <t>volver</t>
  </si>
  <si>
    <t>TABLERO DE 1.20 X 0.60</t>
  </si>
  <si>
    <t>TABLERO DE 1.20 X 0.45</t>
  </si>
  <si>
    <t>ANDAMIO TUBULAR 1.50 m</t>
  </si>
  <si>
    <t>ANDAMIO TUBULAR 2 m</t>
  </si>
  <si>
    <t>TABLONES 3m</t>
  </si>
  <si>
    <t>Alq. Y Equip Torres Flotantes</t>
  </si>
  <si>
    <t>Ar&amp;San</t>
  </si>
  <si>
    <t>TUBO PVC SANITARIO 2"x 6.0 M Pesada</t>
  </si>
  <si>
    <t>TUBO PVC SANITARIO 8"x 6.0 M Pesada</t>
  </si>
  <si>
    <t>BASE DE DATOS</t>
  </si>
  <si>
    <t>ENTRAMADO METALICO PARA TEJA ONDULADA</t>
  </si>
  <si>
    <t>SARDINEL EN CONCRETO PREFABRICADO (0,8 x 0,5 x 0,20)</t>
  </si>
  <si>
    <t>TARIFA HORA</t>
  </si>
  <si>
    <t>SARDINEL PREFABRICADO TIPO (0,8 X 0,5 X 0,2)</t>
  </si>
  <si>
    <t>SUM. E INSTALACION BOLO PARA MEJORAMIENTO EN LA SUBRASANTE</t>
  </si>
  <si>
    <t>BOLO DE RIO</t>
  </si>
  <si>
    <t>VOL-PESO O CANT</t>
  </si>
  <si>
    <t>DIST</t>
  </si>
  <si>
    <t>M3-KM</t>
  </si>
  <si>
    <t>VALOR UNIT</t>
  </si>
  <si>
    <t>SUM. E INST. DE TRITURADO 3/4 " (CASCAJILLO) PARA MEJORAMIENTO DE SUBRASANTE</t>
  </si>
  <si>
    <t>TRITURADO 3/4 "</t>
  </si>
  <si>
    <t>SUMINISTRO E INSTALACION DE GEOTEXTIL NT 1600</t>
  </si>
  <si>
    <t>GEOTEXTIL NT 1600</t>
  </si>
  <si>
    <t>asoc. Paz del rio</t>
  </si>
  <si>
    <t>CONSTRUCCION GAVION DE 2 X 1 X 1</t>
  </si>
  <si>
    <t>MINI CARGADOR BOBCAT</t>
  </si>
  <si>
    <t>MALLA PARA GAVION 2 X 1 X 1 TRIPLE TORCION CALIBRE 12</t>
  </si>
  <si>
    <t>ALAMBRE GALVANIZADO CALIBRE 12</t>
  </si>
  <si>
    <t>TRANSPORTE MATERIALES HASTA OBRA</t>
  </si>
  <si>
    <t>FOMALETA</t>
  </si>
  <si>
    <t>Enero de 2010</t>
  </si>
  <si>
    <t>CONSTRUCCION DE SUBDRÉN EN TUBERIA PVC 4" PERFORADA</t>
  </si>
  <si>
    <t>TUBERIA PVC 4 " PERFORADA</t>
  </si>
  <si>
    <t>TRANSPORTE BOLO</t>
  </si>
  <si>
    <t>VIGA REFORZADA DE CONFINAMIENTO 0,35 X 0,20 METROS</t>
  </si>
  <si>
    <t>GENERADOR ELECTRICO</t>
  </si>
  <si>
    <t>ACERO DE REFUERZO FIGURADO</t>
  </si>
  <si>
    <t>KL</t>
  </si>
  <si>
    <t>ARENA PARA APOYO Y NIVELACION DE TUBERIAS</t>
  </si>
  <si>
    <t>CORTE DE ARBOL CON EXTRACCION DE RAIZ</t>
  </si>
  <si>
    <t>MOTOSIERRA A GASOLINA</t>
  </si>
  <si>
    <t>OPERADOR SIERRA</t>
  </si>
  <si>
    <t>MALLA ELECTROSOLDADA 15 X 15 X 4mm (2.4m X 6m)</t>
  </si>
  <si>
    <t>ESTRUCTURAS DE CONCRETO</t>
  </si>
  <si>
    <t>LAGRIMALES EN TUBERÍA SANITARIA PVC 2" L= 0,20 M @ 1.0 M</t>
  </si>
  <si>
    <t>UNID</t>
  </si>
  <si>
    <t>SEGUETA</t>
  </si>
  <si>
    <t>TUBERIA NOVAFORT 10 "</t>
  </si>
  <si>
    <t>TUBERIA NOVAFORT 12 "</t>
  </si>
  <si>
    <t>TUBERIA NOVAFORT 14 "</t>
  </si>
  <si>
    <t>Ferromateriales</t>
  </si>
  <si>
    <t>Hierros y laminas</t>
  </si>
  <si>
    <t>MALLA ELECTROSOLDADA Q 4    15 X 15 X 5.5mm (2.4m X 6m)</t>
  </si>
  <si>
    <t>MALLA ELECTROSOLDADA Q 5    15 X 15 X 6mm (2.4m X 6m)</t>
  </si>
  <si>
    <t>MATERIALES DE OBRA</t>
  </si>
  <si>
    <t>MANO DE OBRA   AÑO 2010</t>
  </si>
  <si>
    <t>AÑO 2010</t>
  </si>
  <si>
    <t>Agosto de 2010</t>
  </si>
</sst>
</file>

<file path=xl/styles.xml><?xml version="1.0" encoding="utf-8"?>
<styleSheet xmlns="http://schemas.openxmlformats.org/spreadsheetml/2006/main">
  <numFmts count="21">
    <numFmt numFmtId="41" formatCode="_(* #,##0_);_(* \(#,##0\);_(* &quot;-&quot;_);_(@_)"/>
    <numFmt numFmtId="164" formatCode="_ &quot;$&quot;\ * #,##0.00_ ;_ &quot;$&quot;\ * \-#,##0.00_ ;_ &quot;$&quot;\ * &quot;-&quot;??_ ;_ @_ "/>
    <numFmt numFmtId="165" formatCode="[$$-2C0A]#,##0"/>
    <numFmt numFmtId="166" formatCode="[$$-240A]\ #,##0.00"/>
    <numFmt numFmtId="167" formatCode="_-* #,##0.00\ _P_t_s_-;\-* #,##0.00\ _P_t_s_-;_-* &quot;-&quot;\ _P_t_s_-;_-@_-"/>
    <numFmt numFmtId="168" formatCode="_-* #,##0.000000000\ _P_t_s_-;\-* #,##0.000000000\ _P_t_s_-;_-* &quot;-&quot;\ _P_t_s_-;_-@_-"/>
    <numFmt numFmtId="169" formatCode="#\ ???/???"/>
    <numFmt numFmtId="170" formatCode="0.000"/>
    <numFmt numFmtId="171" formatCode="[$$-2C0A]\ #,##0.00"/>
    <numFmt numFmtId="172" formatCode="mmmm\ d\,\ yyyy"/>
    <numFmt numFmtId="173" formatCode="0.0000"/>
    <numFmt numFmtId="174" formatCode="&quot;$&quot;\ #,##0"/>
    <numFmt numFmtId="175" formatCode="&quot;$&quot;\ #.##0"/>
    <numFmt numFmtId="176" formatCode="0.0"/>
    <numFmt numFmtId="177" formatCode="[$$-2C0A]\ #,##0"/>
    <numFmt numFmtId="178" formatCode="[$$-2C0A]#,##0.0"/>
    <numFmt numFmtId="179" formatCode="mmmm\ d\,\ \y\y\y\y"/>
    <numFmt numFmtId="180" formatCode="[$$-2C0A]#,##0.00"/>
    <numFmt numFmtId="181" formatCode="_ &quot;$&quot;\ * #,##0.0_ ;_ &quot;$&quot;\ * \-#,##0.0_ ;_ &quot;$&quot;\ * &quot;-&quot;??_ ;_ @_ "/>
    <numFmt numFmtId="182" formatCode="mmmm\-yy"/>
    <numFmt numFmtId="183" formatCode="[$$-240A]\ #,##0"/>
  </numFmts>
  <fonts count="32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vertAlign val="superscript"/>
      <sz val="10"/>
      <name val="Arial"/>
      <family val="2"/>
    </font>
    <font>
      <b/>
      <sz val="9"/>
      <name val="Arial"/>
      <family val="2"/>
    </font>
    <font>
      <sz val="14"/>
      <name val="Arial"/>
      <family val="2"/>
    </font>
    <font>
      <b/>
      <sz val="14"/>
      <name val="Garamond"/>
      <family val="1"/>
    </font>
    <font>
      <b/>
      <sz val="12"/>
      <name val="Garamond"/>
      <family val="1"/>
    </font>
    <font>
      <b/>
      <sz val="11"/>
      <name val="Garamond"/>
      <family val="1"/>
    </font>
    <font>
      <u/>
      <sz val="10"/>
      <color indexed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vertAlign val="superscript"/>
      <sz val="11"/>
      <name val="Arial"/>
      <family val="2"/>
    </font>
    <font>
      <b/>
      <sz val="11"/>
      <name val="Arial"/>
      <family val="2"/>
    </font>
    <font>
      <sz val="16"/>
      <name val="Arial"/>
      <family val="2"/>
    </font>
    <font>
      <sz val="10"/>
      <name val="Symbol"/>
      <family val="1"/>
      <charset val="2"/>
    </font>
    <font>
      <sz val="8"/>
      <name val="Arial"/>
      <family val="2"/>
    </font>
    <font>
      <b/>
      <sz val="9"/>
      <name val="Verdana"/>
      <family val="2"/>
    </font>
    <font>
      <sz val="9"/>
      <name val="Verdana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u/>
      <sz val="10"/>
      <color indexed="12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5">
    <xf numFmtId="0" fontId="0" fillId="0" borderId="0">
      <alignment vertical="top"/>
    </xf>
    <xf numFmtId="0" fontId="13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/>
    <xf numFmtId="0" fontId="24" fillId="0" borderId="0"/>
    <xf numFmtId="0" fontId="1" fillId="0" borderId="0">
      <alignment vertical="top"/>
    </xf>
  </cellStyleXfs>
  <cellXfs count="1133">
    <xf numFmtId="0" fontId="0" fillId="0" borderId="0" xfId="0">
      <alignment vertical="top"/>
    </xf>
    <xf numFmtId="0" fontId="0" fillId="0" borderId="1" xfId="0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0" fillId="0" borderId="1" xfId="0" applyBorder="1">
      <alignment vertical="top"/>
    </xf>
    <xf numFmtId="0" fontId="0" fillId="0" borderId="0" xfId="0" applyBorder="1">
      <alignment vertical="top"/>
    </xf>
    <xf numFmtId="165" fontId="0" fillId="0" borderId="0" xfId="0" applyNumberFormat="1" applyBorder="1">
      <alignment vertical="top"/>
    </xf>
    <xf numFmtId="2" fontId="4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2" fontId="0" fillId="0" borderId="0" xfId="0" applyNumberFormat="1">
      <alignment vertical="top"/>
    </xf>
    <xf numFmtId="2" fontId="0" fillId="0" borderId="1" xfId="0" applyNumberFormat="1" applyBorder="1">
      <alignment vertical="top"/>
    </xf>
    <xf numFmtId="0" fontId="0" fillId="0" borderId="2" xfId="0" applyBorder="1">
      <alignment vertical="top"/>
    </xf>
    <xf numFmtId="41" fontId="6" fillId="0" borderId="0" xfId="2" applyFont="1" applyFill="1" applyBorder="1"/>
    <xf numFmtId="167" fontId="6" fillId="0" borderId="0" xfId="2" applyNumberFormat="1" applyFont="1" applyFill="1" applyBorder="1" applyAlignment="1"/>
    <xf numFmtId="167" fontId="0" fillId="0" borderId="0" xfId="2" applyNumberFormat="1" applyFont="1"/>
    <xf numFmtId="167" fontId="0" fillId="0" borderId="1" xfId="2" applyNumberFormat="1" applyFont="1" applyBorder="1" applyAlignment="1">
      <alignment horizontal="center"/>
    </xf>
    <xf numFmtId="2" fontId="0" fillId="0" borderId="0" xfId="0" applyNumberFormat="1" applyBorder="1" applyAlignment="1">
      <alignment horizontal="right"/>
    </xf>
    <xf numFmtId="2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left"/>
    </xf>
    <xf numFmtId="0" fontId="0" fillId="0" borderId="0" xfId="0" applyAlignment="1"/>
    <xf numFmtId="168" fontId="0" fillId="0" borderId="0" xfId="0" applyNumberFormat="1" applyAlignment="1">
      <alignment horizontal="center"/>
    </xf>
    <xf numFmtId="167" fontId="0" fillId="0" borderId="0" xfId="2" applyNumberFormat="1" applyFont="1" applyAlignment="1">
      <alignment horizontal="center"/>
    </xf>
    <xf numFmtId="168" fontId="0" fillId="0" borderId="1" xfId="0" applyNumberFormat="1" applyBorder="1" applyAlignment="1">
      <alignment horizontal="center"/>
    </xf>
    <xf numFmtId="0" fontId="3" fillId="0" borderId="0" xfId="0" applyFont="1">
      <alignment vertical="top"/>
    </xf>
    <xf numFmtId="167" fontId="3" fillId="0" borderId="0" xfId="2" applyNumberFormat="1" applyFont="1"/>
    <xf numFmtId="167" fontId="3" fillId="0" borderId="0" xfId="2" applyNumberFormat="1" applyFont="1" applyAlignment="1">
      <alignment horizontal="center"/>
    </xf>
    <xf numFmtId="168" fontId="3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165" fontId="0" fillId="0" borderId="0" xfId="0" applyNumberFormat="1" applyAlignment="1">
      <alignment horizontal="center"/>
    </xf>
    <xf numFmtId="0" fontId="9" fillId="0" borderId="4" xfId="0" applyFont="1" applyBorder="1" applyAlignment="1">
      <alignment horizontal="center"/>
    </xf>
    <xf numFmtId="165" fontId="3" fillId="0" borderId="1" xfId="2" applyNumberFormat="1" applyFont="1" applyBorder="1" applyAlignment="1">
      <alignment horizontal="center"/>
    </xf>
    <xf numFmtId="2" fontId="4" fillId="0" borderId="0" xfId="0" applyNumberFormat="1" applyFont="1" applyAlignment="1">
      <alignment horizontal="center"/>
    </xf>
    <xf numFmtId="0" fontId="3" fillId="0" borderId="1" xfId="0" applyFont="1" applyBorder="1">
      <alignment vertical="top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7" fontId="0" fillId="0" borderId="2" xfId="2" applyNumberFormat="1" applyFont="1" applyBorder="1" applyAlignment="1">
      <alignment horizontal="center"/>
    </xf>
    <xf numFmtId="167" fontId="0" fillId="0" borderId="6" xfId="2" applyNumberFormat="1" applyFont="1" applyBorder="1" applyAlignment="1">
      <alignment horizontal="center"/>
    </xf>
    <xf numFmtId="0" fontId="0" fillId="0" borderId="6" xfId="0" applyBorder="1" applyAlignment="1">
      <alignment horizontal="center"/>
    </xf>
    <xf numFmtId="168" fontId="0" fillId="0" borderId="2" xfId="0" applyNumberFormat="1" applyBorder="1" applyAlignment="1">
      <alignment horizontal="center"/>
    </xf>
    <xf numFmtId="0" fontId="0" fillId="0" borderId="7" xfId="0" applyBorder="1">
      <alignment vertical="top"/>
    </xf>
    <xf numFmtId="0" fontId="0" fillId="0" borderId="8" xfId="0" applyBorder="1" applyAlignment="1">
      <alignment horizontal="center"/>
    </xf>
    <xf numFmtId="165" fontId="0" fillId="0" borderId="8" xfId="2" applyNumberFormat="1" applyFont="1" applyBorder="1" applyAlignment="1">
      <alignment horizontal="center"/>
    </xf>
    <xf numFmtId="165" fontId="0" fillId="0" borderId="8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4" fillId="0" borderId="10" xfId="0" applyFont="1" applyBorder="1">
      <alignment vertical="top"/>
    </xf>
    <xf numFmtId="0" fontId="4" fillId="0" borderId="5" xfId="0" applyFont="1" applyBorder="1" applyAlignment="1">
      <alignment horizontal="center"/>
    </xf>
    <xf numFmtId="0" fontId="4" fillId="0" borderId="5" xfId="0" applyFont="1" applyBorder="1">
      <alignment vertical="top"/>
    </xf>
    <xf numFmtId="165" fontId="0" fillId="0" borderId="5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0" xfId="0" applyBorder="1">
      <alignment vertical="top"/>
    </xf>
    <xf numFmtId="0" fontId="0" fillId="0" borderId="5" xfId="0" applyBorder="1">
      <alignment vertical="top"/>
    </xf>
    <xf numFmtId="165" fontId="0" fillId="0" borderId="5" xfId="2" applyNumberFormat="1" applyFont="1" applyBorder="1" applyAlignment="1">
      <alignment horizontal="center"/>
    </xf>
    <xf numFmtId="167" fontId="0" fillId="0" borderId="5" xfId="2" applyNumberFormat="1" applyFont="1" applyBorder="1" applyAlignment="1">
      <alignment horizontal="center"/>
    </xf>
    <xf numFmtId="167" fontId="0" fillId="0" borderId="11" xfId="2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165" fontId="4" fillId="0" borderId="5" xfId="2" applyNumberFormat="1" applyFont="1" applyBorder="1" applyAlignment="1">
      <alignment horizontal="center"/>
    </xf>
    <xf numFmtId="10" fontId="4" fillId="0" borderId="5" xfId="2" applyNumberFormat="1" applyFont="1" applyBorder="1" applyAlignment="1">
      <alignment horizontal="center"/>
    </xf>
    <xf numFmtId="10" fontId="4" fillId="0" borderId="11" xfId="2" applyNumberFormat="1" applyFont="1" applyBorder="1" applyAlignment="1">
      <alignment horizontal="center"/>
    </xf>
    <xf numFmtId="0" fontId="3" fillId="0" borderId="10" xfId="0" applyFont="1" applyBorder="1">
      <alignment vertical="top"/>
    </xf>
    <xf numFmtId="0" fontId="3" fillId="0" borderId="5" xfId="0" applyFont="1" applyBorder="1">
      <alignment vertical="top"/>
    </xf>
    <xf numFmtId="10" fontId="0" fillId="0" borderId="5" xfId="2" applyNumberFormat="1" applyFont="1" applyBorder="1" applyAlignment="1">
      <alignment horizontal="center"/>
    </xf>
    <xf numFmtId="10" fontId="0" fillId="0" borderId="11" xfId="2" applyNumberFormat="1" applyFont="1" applyBorder="1" applyAlignment="1">
      <alignment horizontal="center"/>
    </xf>
    <xf numFmtId="169" fontId="0" fillId="0" borderId="5" xfId="0" applyNumberFormat="1" applyBorder="1">
      <alignment vertical="top"/>
    </xf>
    <xf numFmtId="10" fontId="0" fillId="0" borderId="5" xfId="0" applyNumberFormat="1" applyBorder="1">
      <alignment vertical="top"/>
    </xf>
    <xf numFmtId="13" fontId="0" fillId="0" borderId="5" xfId="0" applyNumberFormat="1" applyBorder="1">
      <alignment vertical="top"/>
    </xf>
    <xf numFmtId="0" fontId="3" fillId="0" borderId="12" xfId="0" applyFont="1" applyBorder="1">
      <alignment vertical="top"/>
    </xf>
    <xf numFmtId="0" fontId="3" fillId="0" borderId="13" xfId="0" applyFont="1" applyBorder="1" applyAlignment="1">
      <alignment horizontal="center"/>
    </xf>
    <xf numFmtId="0" fontId="3" fillId="0" borderId="13" xfId="0" applyFont="1" applyBorder="1">
      <alignment vertical="top"/>
    </xf>
    <xf numFmtId="165" fontId="3" fillId="0" borderId="13" xfId="2" applyNumberFormat="1" applyFont="1" applyBorder="1" applyAlignment="1">
      <alignment horizontal="center"/>
    </xf>
    <xf numFmtId="10" fontId="3" fillId="0" borderId="13" xfId="2" applyNumberFormat="1" applyFont="1" applyBorder="1" applyAlignment="1">
      <alignment horizontal="center"/>
    </xf>
    <xf numFmtId="10" fontId="3" fillId="0" borderId="14" xfId="2" applyNumberFormat="1" applyFont="1" applyBorder="1" applyAlignment="1">
      <alignment horizontal="center"/>
    </xf>
    <xf numFmtId="3" fontId="3" fillId="0" borderId="1" xfId="2" applyNumberFormat="1" applyFont="1" applyBorder="1" applyAlignment="1">
      <alignment horizontal="center"/>
    </xf>
    <xf numFmtId="1" fontId="0" fillId="0" borderId="0" xfId="2" applyNumberFormat="1" applyFont="1" applyAlignment="1">
      <alignment horizontal="center"/>
    </xf>
    <xf numFmtId="3" fontId="0" fillId="0" borderId="0" xfId="2" applyNumberFormat="1" applyFont="1" applyAlignment="1">
      <alignment horizontal="center"/>
    </xf>
    <xf numFmtId="0" fontId="0" fillId="0" borderId="13" xfId="0" applyBorder="1" applyAlignment="1">
      <alignment horizontal="center"/>
    </xf>
    <xf numFmtId="49" fontId="0" fillId="0" borderId="15" xfId="2" applyNumberFormat="1" applyFont="1" applyBorder="1" applyAlignment="1">
      <alignment horizontal="center"/>
    </xf>
    <xf numFmtId="10" fontId="0" fillId="0" borderId="1" xfId="0" applyNumberFormat="1" applyBorder="1">
      <alignment vertical="top"/>
    </xf>
    <xf numFmtId="165" fontId="0" fillId="0" borderId="2" xfId="0" applyNumberFormat="1" applyBorder="1">
      <alignment vertical="top"/>
    </xf>
    <xf numFmtId="2" fontId="0" fillId="0" borderId="2" xfId="0" applyNumberFormat="1" applyBorder="1">
      <alignment vertical="top"/>
    </xf>
    <xf numFmtId="165" fontId="0" fillId="0" borderId="5" xfId="0" applyNumberFormat="1" applyBorder="1">
      <alignment vertical="top"/>
    </xf>
    <xf numFmtId="2" fontId="0" fillId="0" borderId="5" xfId="0" applyNumberFormat="1" applyBorder="1">
      <alignment vertical="top"/>
    </xf>
    <xf numFmtId="0" fontId="0" fillId="0" borderId="16" xfId="0" applyBorder="1">
      <alignment vertical="top"/>
    </xf>
    <xf numFmtId="165" fontId="0" fillId="0" borderId="16" xfId="0" applyNumberFormat="1" applyBorder="1">
      <alignment vertical="top"/>
    </xf>
    <xf numFmtId="2" fontId="0" fillId="0" borderId="16" xfId="0" applyNumberFormat="1" applyBorder="1">
      <alignment vertical="top"/>
    </xf>
    <xf numFmtId="0" fontId="0" fillId="0" borderId="2" xfId="0" applyBorder="1" applyAlignment="1">
      <alignment horizontal="center"/>
    </xf>
    <xf numFmtId="41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left"/>
    </xf>
    <xf numFmtId="0" fontId="0" fillId="0" borderId="17" xfId="0" applyBorder="1">
      <alignment vertical="top"/>
    </xf>
    <xf numFmtId="0" fontId="0" fillId="0" borderId="18" xfId="0" applyBorder="1">
      <alignment vertical="top"/>
    </xf>
    <xf numFmtId="2" fontId="0" fillId="0" borderId="19" xfId="0" applyNumberFormat="1" applyBorder="1" applyAlignment="1">
      <alignment horizontal="right"/>
    </xf>
    <xf numFmtId="0" fontId="0" fillId="0" borderId="20" xfId="0" applyBorder="1" applyAlignment="1">
      <alignment horizontal="right"/>
    </xf>
    <xf numFmtId="0" fontId="0" fillId="0" borderId="21" xfId="0" applyBorder="1" applyAlignment="1">
      <alignment horizontal="left"/>
    </xf>
    <xf numFmtId="0" fontId="0" fillId="0" borderId="0" xfId="0" applyAlignment="1">
      <alignment horizontal="left"/>
    </xf>
    <xf numFmtId="2" fontId="0" fillId="0" borderId="5" xfId="0" applyNumberFormat="1" applyBorder="1" applyAlignment="1">
      <alignment horizontal="center"/>
    </xf>
    <xf numFmtId="0" fontId="5" fillId="2" borderId="22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2" fontId="5" fillId="2" borderId="2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2" fontId="5" fillId="2" borderId="5" xfId="0" applyNumberFormat="1" applyFont="1" applyFill="1" applyBorder="1" applyAlignment="1">
      <alignment horizontal="center"/>
    </xf>
    <xf numFmtId="0" fontId="5" fillId="2" borderId="23" xfId="0" applyFont="1" applyFill="1" applyBorder="1" applyAlignment="1">
      <alignment horizontal="center"/>
    </xf>
    <xf numFmtId="0" fontId="5" fillId="2" borderId="16" xfId="0" applyFont="1" applyFill="1" applyBorder="1" applyAlignment="1">
      <alignment horizontal="center"/>
    </xf>
    <xf numFmtId="2" fontId="5" fillId="2" borderId="16" xfId="0" applyNumberFormat="1" applyFont="1" applyFill="1" applyBorder="1" applyAlignment="1">
      <alignment horizontal="center"/>
    </xf>
    <xf numFmtId="0" fontId="5" fillId="2" borderId="24" xfId="0" applyFont="1" applyFill="1" applyBorder="1" applyAlignment="1">
      <alignment horizontal="center"/>
    </xf>
    <xf numFmtId="165" fontId="0" fillId="0" borderId="13" xfId="0" applyNumberFormat="1" applyBorder="1">
      <alignment vertical="top"/>
    </xf>
    <xf numFmtId="0" fontId="5" fillId="2" borderId="25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5" fillId="2" borderId="26" xfId="0" applyFont="1" applyFill="1" applyBorder="1" applyAlignment="1">
      <alignment horizontal="center"/>
    </xf>
    <xf numFmtId="165" fontId="0" fillId="0" borderId="25" xfId="0" applyNumberFormat="1" applyBorder="1">
      <alignment vertical="top"/>
    </xf>
    <xf numFmtId="165" fontId="0" fillId="0" borderId="11" xfId="0" applyNumberFormat="1" applyBorder="1">
      <alignment vertical="top"/>
    </xf>
    <xf numFmtId="165" fontId="0" fillId="0" borderId="26" xfId="0" applyNumberFormat="1" applyBorder="1">
      <alignment vertical="top"/>
    </xf>
    <xf numFmtId="165" fontId="0" fillId="0" borderId="27" xfId="0" applyNumberFormat="1" applyBorder="1">
      <alignment vertical="top"/>
    </xf>
    <xf numFmtId="2" fontId="0" fillId="0" borderId="15" xfId="0" applyNumberFormat="1" applyBorder="1">
      <alignment vertical="top"/>
    </xf>
    <xf numFmtId="0" fontId="5" fillId="2" borderId="28" xfId="0" applyFont="1" applyFill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5" fillId="0" borderId="1" xfId="0" applyNumberFormat="1" applyFont="1" applyBorder="1">
      <alignment vertical="top"/>
    </xf>
    <xf numFmtId="165" fontId="5" fillId="0" borderId="29" xfId="0" applyNumberFormat="1" applyFont="1" applyBorder="1">
      <alignment vertical="top"/>
    </xf>
    <xf numFmtId="2" fontId="5" fillId="0" borderId="30" xfId="0" applyNumberFormat="1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165" fontId="5" fillId="0" borderId="32" xfId="0" applyNumberFormat="1" applyFont="1" applyBorder="1">
      <alignment vertical="top"/>
    </xf>
    <xf numFmtId="165" fontId="5" fillId="0" borderId="27" xfId="0" applyNumberFormat="1" applyFont="1" applyBorder="1">
      <alignment vertical="top"/>
    </xf>
    <xf numFmtId="0" fontId="0" fillId="0" borderId="3" xfId="0" applyBorder="1" applyAlignment="1">
      <alignment horizontal="left"/>
    </xf>
    <xf numFmtId="0" fontId="0" fillId="0" borderId="33" xfId="0" applyBorder="1" applyAlignment="1">
      <alignment horizontal="left"/>
    </xf>
    <xf numFmtId="0" fontId="0" fillId="0" borderId="0" xfId="0" applyBorder="1" applyAlignment="1">
      <alignment horizontal="left"/>
    </xf>
    <xf numFmtId="41" fontId="0" fillId="0" borderId="22" xfId="0" applyNumberFormat="1" applyBorder="1" applyAlignment="1">
      <alignment horizontal="left"/>
    </xf>
    <xf numFmtId="0" fontId="0" fillId="0" borderId="34" xfId="0" applyBorder="1" applyAlignment="1">
      <alignment horizontal="left"/>
    </xf>
    <xf numFmtId="10" fontId="5" fillId="0" borderId="1" xfId="0" applyNumberFormat="1" applyFont="1" applyBorder="1">
      <alignment vertical="top"/>
    </xf>
    <xf numFmtId="165" fontId="0" fillId="0" borderId="0" xfId="0" applyNumberFormat="1" applyAlignment="1">
      <alignment horizontal="right"/>
    </xf>
    <xf numFmtId="2" fontId="0" fillId="0" borderId="2" xfId="0" applyNumberFormat="1" applyBorder="1" applyAlignment="1"/>
    <xf numFmtId="2" fontId="0" fillId="0" borderId="5" xfId="0" applyNumberFormat="1" applyBorder="1" applyAlignment="1"/>
    <xf numFmtId="2" fontId="0" fillId="0" borderId="5" xfId="2" applyNumberFormat="1" applyFont="1" applyBorder="1" applyAlignment="1"/>
    <xf numFmtId="2" fontId="0" fillId="0" borderId="16" xfId="0" applyNumberFormat="1" applyBorder="1" applyAlignment="1"/>
    <xf numFmtId="2" fontId="12" fillId="0" borderId="0" xfId="0" applyNumberFormat="1" applyFont="1" applyBorder="1" applyAlignment="1">
      <alignment horizontal="center"/>
    </xf>
    <xf numFmtId="0" fontId="5" fillId="0" borderId="0" xfId="0" applyFont="1">
      <alignment vertical="top"/>
    </xf>
    <xf numFmtId="2" fontId="0" fillId="0" borderId="5" xfId="2" applyNumberFormat="1" applyFont="1" applyBorder="1" applyAlignment="1">
      <alignment horizontal="center"/>
    </xf>
    <xf numFmtId="2" fontId="0" fillId="0" borderId="11" xfId="0" applyNumberFormat="1" applyBorder="1" applyAlignment="1">
      <alignment horizontal="right"/>
    </xf>
    <xf numFmtId="2" fontId="0" fillId="0" borderId="5" xfId="0" applyNumberFormat="1" applyBorder="1" applyAlignment="1">
      <alignment horizontal="right"/>
    </xf>
    <xf numFmtId="0" fontId="0" fillId="0" borderId="5" xfId="0" applyNumberFormat="1" applyBorder="1">
      <alignment vertical="top"/>
    </xf>
    <xf numFmtId="170" fontId="0" fillId="0" borderId="2" xfId="0" applyNumberFormat="1" applyBorder="1">
      <alignment vertical="top"/>
    </xf>
    <xf numFmtId="170" fontId="0" fillId="0" borderId="5" xfId="0" applyNumberFormat="1" applyBorder="1">
      <alignment vertical="top"/>
    </xf>
    <xf numFmtId="2" fontId="0" fillId="0" borderId="22" xfId="0" applyNumberFormat="1" applyBorder="1">
      <alignment vertical="top"/>
    </xf>
    <xf numFmtId="2" fontId="0" fillId="0" borderId="33" xfId="0" applyNumberFormat="1" applyBorder="1">
      <alignment vertical="top"/>
    </xf>
    <xf numFmtId="170" fontId="0" fillId="0" borderId="22" xfId="0" applyNumberFormat="1" applyBorder="1">
      <alignment vertical="top"/>
    </xf>
    <xf numFmtId="2" fontId="0" fillId="0" borderId="2" xfId="0" applyNumberFormat="1" applyBorder="1" applyAlignment="1">
      <alignment horizontal="right"/>
    </xf>
    <xf numFmtId="2" fontId="0" fillId="0" borderId="5" xfId="2" applyNumberFormat="1" applyFont="1" applyBorder="1" applyAlignment="1">
      <alignment horizontal="right"/>
    </xf>
    <xf numFmtId="170" fontId="0" fillId="0" borderId="5" xfId="2" applyNumberFormat="1" applyFont="1" applyBorder="1" applyAlignment="1">
      <alignment horizontal="center"/>
    </xf>
    <xf numFmtId="170" fontId="0" fillId="0" borderId="33" xfId="0" applyNumberFormat="1" applyBorder="1">
      <alignment vertical="top"/>
    </xf>
    <xf numFmtId="165" fontId="6" fillId="0" borderId="0" xfId="2" applyNumberFormat="1" applyFont="1" applyFill="1" applyBorder="1"/>
    <xf numFmtId="0" fontId="10" fillId="0" borderId="0" xfId="0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2" fontId="11" fillId="0" borderId="0" xfId="0" applyNumberFormat="1" applyFont="1" applyFill="1" applyBorder="1" applyAlignment="1">
      <alignment horizontal="center"/>
    </xf>
    <xf numFmtId="2" fontId="12" fillId="0" borderId="0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2" fontId="0" fillId="0" borderId="5" xfId="0" applyNumberFormat="1" applyFill="1" applyBorder="1">
      <alignment vertical="top"/>
    </xf>
    <xf numFmtId="165" fontId="0" fillId="0" borderId="5" xfId="0" applyNumberFormat="1" applyFill="1" applyBorder="1">
      <alignment vertical="top"/>
    </xf>
    <xf numFmtId="165" fontId="0" fillId="0" borderId="11" xfId="0" applyNumberFormat="1" applyFill="1" applyBorder="1">
      <alignment vertical="top"/>
    </xf>
    <xf numFmtId="0" fontId="0" fillId="0" borderId="0" xfId="0" applyAlignment="1">
      <alignment horizontal="left" vertical="top"/>
    </xf>
    <xf numFmtId="170" fontId="0" fillId="0" borderId="2" xfId="0" applyNumberFormat="1" applyBorder="1" applyAlignment="1">
      <alignment horizontal="right"/>
    </xf>
    <xf numFmtId="0" fontId="0" fillId="0" borderId="5" xfId="0" applyBorder="1" applyAlignment="1">
      <alignment horizontal="right"/>
    </xf>
    <xf numFmtId="167" fontId="3" fillId="0" borderId="5" xfId="2" applyNumberFormat="1" applyFont="1" applyBorder="1" applyAlignment="1">
      <alignment horizontal="center"/>
    </xf>
    <xf numFmtId="171" fontId="3" fillId="0" borderId="1" xfId="2" applyNumberFormat="1" applyFont="1" applyBorder="1" applyAlignment="1">
      <alignment horizontal="center"/>
    </xf>
    <xf numFmtId="171" fontId="0" fillId="0" borderId="0" xfId="0" applyNumberFormat="1" applyAlignment="1">
      <alignment horizontal="center"/>
    </xf>
    <xf numFmtId="171" fontId="0" fillId="0" borderId="0" xfId="0" applyNumberFormat="1">
      <alignment vertical="top"/>
    </xf>
    <xf numFmtId="172" fontId="0" fillId="0" borderId="34" xfId="0" applyNumberFormat="1" applyBorder="1" applyAlignment="1">
      <alignment horizontal="right"/>
    </xf>
    <xf numFmtId="173" fontId="0" fillId="0" borderId="22" xfId="0" applyNumberFormat="1" applyBorder="1">
      <alignment vertical="top"/>
    </xf>
    <xf numFmtId="167" fontId="4" fillId="0" borderId="35" xfId="2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65" fontId="4" fillId="0" borderId="0" xfId="2" applyNumberFormat="1" applyFont="1" applyBorder="1" applyAlignment="1">
      <alignment horizontal="center"/>
    </xf>
    <xf numFmtId="0" fontId="14" fillId="0" borderId="0" xfId="0" applyFont="1">
      <alignment vertical="top"/>
    </xf>
    <xf numFmtId="0" fontId="14" fillId="0" borderId="1" xfId="0" applyFont="1" applyFill="1" applyBorder="1">
      <alignment vertical="top"/>
    </xf>
    <xf numFmtId="0" fontId="14" fillId="0" borderId="15" xfId="0" applyFont="1" applyFill="1" applyBorder="1">
      <alignment vertical="top"/>
    </xf>
    <xf numFmtId="0" fontId="14" fillId="0" borderId="0" xfId="0" applyFont="1" applyFill="1">
      <alignment vertical="top"/>
    </xf>
    <xf numFmtId="0" fontId="14" fillId="0" borderId="0" xfId="0" applyFont="1" applyFill="1" applyBorder="1">
      <alignment vertical="top"/>
    </xf>
    <xf numFmtId="0" fontId="14" fillId="0" borderId="1" xfId="0" applyNumberFormat="1" applyFont="1" applyFill="1" applyBorder="1">
      <alignment vertical="top"/>
    </xf>
    <xf numFmtId="0" fontId="14" fillId="0" borderId="15" xfId="0" applyFont="1" applyBorder="1">
      <alignment vertical="top"/>
    </xf>
    <xf numFmtId="0" fontId="14" fillId="0" borderId="1" xfId="0" applyFont="1" applyBorder="1">
      <alignment vertical="top"/>
    </xf>
    <xf numFmtId="0" fontId="14" fillId="0" borderId="2" xfId="0" applyFont="1" applyFill="1" applyBorder="1">
      <alignment vertical="top"/>
    </xf>
    <xf numFmtId="0" fontId="16" fillId="0" borderId="0" xfId="0" applyFont="1">
      <alignment vertical="top"/>
    </xf>
    <xf numFmtId="0" fontId="16" fillId="0" borderId="30" xfId="0" applyFont="1" applyBorder="1">
      <alignment vertical="top"/>
    </xf>
    <xf numFmtId="0" fontId="16" fillId="0" borderId="38" xfId="0" applyFont="1" applyBorder="1">
      <alignment vertical="top"/>
    </xf>
    <xf numFmtId="0" fontId="14" fillId="0" borderId="0" xfId="0" applyFont="1" applyAlignment="1">
      <alignment horizontal="center"/>
    </xf>
    <xf numFmtId="165" fontId="14" fillId="0" borderId="0" xfId="0" applyNumberFormat="1" applyFont="1">
      <alignment vertical="top"/>
    </xf>
    <xf numFmtId="0" fontId="14" fillId="0" borderId="1" xfId="0" applyFont="1" applyFill="1" applyBorder="1" applyAlignment="1">
      <alignment horizontal="center"/>
    </xf>
    <xf numFmtId="165" fontId="14" fillId="0" borderId="27" xfId="0" applyNumberFormat="1" applyFont="1" applyFill="1" applyBorder="1">
      <alignment vertical="top"/>
    </xf>
    <xf numFmtId="0" fontId="14" fillId="0" borderId="15" xfId="0" applyFont="1" applyFill="1" applyBorder="1" applyAlignment="1">
      <alignment horizontal="center"/>
    </xf>
    <xf numFmtId="165" fontId="14" fillId="0" borderId="29" xfId="0" applyNumberFormat="1" applyFont="1" applyFill="1" applyBorder="1">
      <alignment vertical="top"/>
    </xf>
    <xf numFmtId="0" fontId="14" fillId="0" borderId="0" xfId="0" applyFont="1" applyFill="1" applyAlignment="1">
      <alignment horizontal="center"/>
    </xf>
    <xf numFmtId="165" fontId="14" fillId="0" borderId="0" xfId="0" applyNumberFormat="1" applyFont="1" applyFill="1">
      <alignment vertical="top"/>
    </xf>
    <xf numFmtId="0" fontId="14" fillId="0" borderId="0" xfId="0" applyFont="1" applyFill="1" applyBorder="1" applyAlignment="1">
      <alignment horizontal="center"/>
    </xf>
    <xf numFmtId="165" fontId="14" fillId="0" borderId="0" xfId="0" applyNumberFormat="1" applyFont="1" applyFill="1" applyBorder="1">
      <alignment vertical="top"/>
    </xf>
    <xf numFmtId="165" fontId="14" fillId="0" borderId="29" xfId="0" applyNumberFormat="1" applyFont="1" applyBorder="1">
      <alignment vertical="top"/>
    </xf>
    <xf numFmtId="165" fontId="14" fillId="0" borderId="27" xfId="0" applyNumberFormat="1" applyFont="1" applyFill="1" applyBorder="1" applyAlignment="1"/>
    <xf numFmtId="165" fontId="14" fillId="0" borderId="25" xfId="0" applyNumberFormat="1" applyFont="1" applyFill="1" applyBorder="1">
      <alignment vertical="top"/>
    </xf>
    <xf numFmtId="0" fontId="14" fillId="0" borderId="42" xfId="0" applyFont="1" applyFill="1" applyBorder="1">
      <alignment vertical="top"/>
    </xf>
    <xf numFmtId="0" fontId="16" fillId="0" borderId="6" xfId="0" applyFont="1" applyBorder="1">
      <alignment vertical="top"/>
    </xf>
    <xf numFmtId="0" fontId="16" fillId="0" borderId="41" xfId="0" applyFont="1" applyBorder="1">
      <alignment vertical="top"/>
    </xf>
    <xf numFmtId="0" fontId="16" fillId="0" borderId="0" xfId="0" applyFont="1" applyBorder="1">
      <alignment vertical="top"/>
    </xf>
    <xf numFmtId="0" fontId="14" fillId="0" borderId="6" xfId="0" applyFont="1" applyBorder="1">
      <alignment vertical="top"/>
    </xf>
    <xf numFmtId="0" fontId="14" fillId="0" borderId="8" xfId="0" applyFont="1" applyBorder="1">
      <alignment vertical="top"/>
    </xf>
    <xf numFmtId="0" fontId="14" fillId="0" borderId="16" xfId="0" applyFont="1" applyBorder="1">
      <alignment vertical="top"/>
    </xf>
    <xf numFmtId="0" fontId="14" fillId="0" borderId="0" xfId="0" applyFont="1" applyBorder="1" applyAlignment="1"/>
    <xf numFmtId="0" fontId="14" fillId="0" borderId="0" xfId="0" applyFont="1" applyBorder="1" applyAlignment="1" applyProtection="1">
      <alignment horizontal="center"/>
    </xf>
    <xf numFmtId="0" fontId="14" fillId="0" borderId="0" xfId="0" applyFont="1" applyAlignment="1"/>
    <xf numFmtId="165" fontId="14" fillId="0" borderId="6" xfId="0" applyNumberFormat="1" applyFont="1" applyBorder="1">
      <alignment vertical="top"/>
    </xf>
    <xf numFmtId="10" fontId="14" fillId="0" borderId="42" xfId="0" applyNumberFormat="1" applyFont="1" applyBorder="1">
      <alignment vertical="top"/>
    </xf>
    <xf numFmtId="165" fontId="14" fillId="0" borderId="32" xfId="0" applyNumberFormat="1" applyFont="1" applyBorder="1">
      <alignment vertical="top"/>
    </xf>
    <xf numFmtId="10" fontId="14" fillId="0" borderId="1" xfId="0" applyNumberFormat="1" applyFont="1" applyBorder="1">
      <alignment vertical="top"/>
    </xf>
    <xf numFmtId="165" fontId="14" fillId="0" borderId="27" xfId="0" applyNumberFormat="1" applyFont="1" applyBorder="1">
      <alignment vertical="top"/>
    </xf>
    <xf numFmtId="10" fontId="14" fillId="0" borderId="16" xfId="0" applyNumberFormat="1" applyFont="1" applyBorder="1">
      <alignment vertical="top"/>
    </xf>
    <xf numFmtId="165" fontId="14" fillId="0" borderId="26" xfId="0" applyNumberFormat="1" applyFont="1" applyBorder="1">
      <alignment vertical="top"/>
    </xf>
    <xf numFmtId="0" fontId="14" fillId="0" borderId="34" xfId="0" applyFont="1" applyBorder="1">
      <alignment vertical="top"/>
    </xf>
    <xf numFmtId="10" fontId="14" fillId="0" borderId="15" xfId="0" applyNumberFormat="1" applyFont="1" applyBorder="1">
      <alignment vertical="top"/>
    </xf>
    <xf numFmtId="10" fontId="14" fillId="0" borderId="0" xfId="0" applyNumberFormat="1" applyFont="1" applyBorder="1">
      <alignment vertical="top"/>
    </xf>
    <xf numFmtId="2" fontId="18" fillId="0" borderId="0" xfId="0" applyNumberFormat="1" applyFont="1" applyAlignment="1">
      <alignment horizontal="left"/>
    </xf>
    <xf numFmtId="2" fontId="14" fillId="0" borderId="0" xfId="0" applyNumberFormat="1" applyFont="1" applyAlignment="1">
      <alignment horizontal="left"/>
    </xf>
    <xf numFmtId="165" fontId="14" fillId="0" borderId="0" xfId="0" applyNumberFormat="1" applyFont="1" applyBorder="1" applyAlignment="1"/>
    <xf numFmtId="2" fontId="16" fillId="0" borderId="0" xfId="0" applyNumberFormat="1" applyFont="1" applyAlignment="1">
      <alignment horizontal="left"/>
    </xf>
    <xf numFmtId="165" fontId="14" fillId="0" borderId="0" xfId="0" applyNumberFormat="1" applyFont="1" applyBorder="1" applyAlignment="1" applyProtection="1">
      <alignment horizontal="center"/>
    </xf>
    <xf numFmtId="4" fontId="14" fillId="0" borderId="32" xfId="0" applyNumberFormat="1" applyFont="1" applyBorder="1" applyAlignment="1" applyProtection="1">
      <alignment horizontal="center"/>
    </xf>
    <xf numFmtId="4" fontId="14" fillId="0" borderId="27" xfId="0" applyNumberFormat="1" applyFont="1" applyBorder="1" applyAlignment="1" applyProtection="1">
      <alignment horizontal="center"/>
    </xf>
    <xf numFmtId="4" fontId="14" fillId="0" borderId="29" xfId="0" applyNumberFormat="1" applyFont="1" applyBorder="1" applyAlignment="1" applyProtection="1">
      <alignment horizontal="center"/>
    </xf>
    <xf numFmtId="165" fontId="14" fillId="0" borderId="0" xfId="0" applyNumberFormat="1" applyFont="1" applyAlignment="1"/>
    <xf numFmtId="165" fontId="8" fillId="0" borderId="40" xfId="0" applyNumberFormat="1" applyFont="1" applyBorder="1" applyAlignment="1" applyProtection="1">
      <alignment horizontal="center"/>
    </xf>
    <xf numFmtId="0" fontId="0" fillId="0" borderId="17" xfId="0" applyNumberFormat="1" applyBorder="1">
      <alignment vertical="top"/>
    </xf>
    <xf numFmtId="0" fontId="0" fillId="0" borderId="18" xfId="0" applyNumberFormat="1" applyBorder="1">
      <alignment vertical="top"/>
    </xf>
    <xf numFmtId="0" fontId="0" fillId="0" borderId="21" xfId="0" applyNumberFormat="1" applyBorder="1">
      <alignment vertical="top"/>
    </xf>
    <xf numFmtId="0" fontId="0" fillId="0" borderId="21" xfId="0" applyNumberFormat="1" applyBorder="1" applyAlignment="1">
      <alignment horizontal="left"/>
    </xf>
    <xf numFmtId="0" fontId="5" fillId="2" borderId="24" xfId="0" applyNumberFormat="1" applyFont="1" applyFill="1" applyBorder="1" applyAlignment="1">
      <alignment horizontal="center"/>
    </xf>
    <xf numFmtId="0" fontId="5" fillId="2" borderId="28" xfId="0" applyNumberFormat="1" applyFont="1" applyFill="1" applyBorder="1" applyAlignment="1">
      <alignment horizontal="center"/>
    </xf>
    <xf numFmtId="0" fontId="0" fillId="0" borderId="0" xfId="0" applyNumberFormat="1">
      <alignment vertical="top"/>
    </xf>
    <xf numFmtId="0" fontId="0" fillId="0" borderId="39" xfId="0" applyNumberFormat="1" applyBorder="1">
      <alignment vertical="top"/>
    </xf>
    <xf numFmtId="0" fontId="0" fillId="0" borderId="10" xfId="0" applyNumberFormat="1" applyBorder="1" applyAlignment="1">
      <alignment horizontal="left"/>
    </xf>
    <xf numFmtId="0" fontId="14" fillId="0" borderId="2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justify" vertical="justify"/>
    </xf>
    <xf numFmtId="0" fontId="0" fillId="0" borderId="34" xfId="0" applyBorder="1" applyAlignment="1">
      <alignment horizontal="left" vertical="top"/>
    </xf>
    <xf numFmtId="165" fontId="14" fillId="0" borderId="27" xfId="0" applyNumberFormat="1" applyFont="1" applyFill="1" applyBorder="1" applyAlignment="1">
      <alignment horizontal="left" vertical="top" indent="1"/>
    </xf>
    <xf numFmtId="1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 vertical="top"/>
    </xf>
    <xf numFmtId="0" fontId="0" fillId="0" borderId="21" xfId="0" applyNumberFormat="1" applyBorder="1" applyAlignment="1">
      <alignment horizontal="left" vertical="top"/>
    </xf>
    <xf numFmtId="170" fontId="0" fillId="0" borderId="5" xfId="0" applyNumberFormat="1" applyBorder="1" applyAlignment="1"/>
    <xf numFmtId="165" fontId="0" fillId="0" borderId="5" xfId="0" applyNumberFormat="1" applyBorder="1" applyAlignment="1"/>
    <xf numFmtId="165" fontId="0" fillId="0" borderId="11" xfId="0" applyNumberFormat="1" applyBorder="1" applyAlignment="1"/>
    <xf numFmtId="0" fontId="0" fillId="0" borderId="21" xfId="0" applyBorder="1" applyAlignment="1">
      <alignment horizontal="left" vertical="top"/>
    </xf>
    <xf numFmtId="165" fontId="4" fillId="0" borderId="1" xfId="2" applyNumberFormat="1" applyFont="1" applyBorder="1" applyAlignment="1">
      <alignment horizontal="center"/>
    </xf>
    <xf numFmtId="0" fontId="0" fillId="0" borderId="18" xfId="0" applyNumberFormat="1" applyBorder="1" applyAlignment="1">
      <alignment horizontal="left"/>
    </xf>
    <xf numFmtId="0" fontId="0" fillId="0" borderId="11" xfId="0" applyBorder="1">
      <alignment vertical="top"/>
    </xf>
    <xf numFmtId="0" fontId="5" fillId="0" borderId="18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left"/>
    </xf>
    <xf numFmtId="165" fontId="5" fillId="0" borderId="34" xfId="0" applyNumberFormat="1" applyFont="1" applyBorder="1">
      <alignment vertical="top"/>
    </xf>
    <xf numFmtId="0" fontId="0" fillId="0" borderId="16" xfId="0" applyBorder="1" applyAlignment="1">
      <alignment horizontal="center"/>
    </xf>
    <xf numFmtId="0" fontId="0" fillId="0" borderId="3" xfId="0" applyBorder="1" applyAlignment="1">
      <alignment horizontal="left" vertical="top"/>
    </xf>
    <xf numFmtId="0" fontId="1" fillId="0" borderId="0" xfId="4" applyAlignment="1">
      <alignment horizontal="left"/>
    </xf>
    <xf numFmtId="0" fontId="1" fillId="0" borderId="17" xfId="4" applyBorder="1">
      <alignment vertical="top"/>
    </xf>
    <xf numFmtId="0" fontId="1" fillId="0" borderId="0" xfId="4">
      <alignment vertical="top"/>
    </xf>
    <xf numFmtId="0" fontId="1" fillId="0" borderId="18" xfId="4" applyBorder="1">
      <alignment vertical="top"/>
    </xf>
    <xf numFmtId="2" fontId="1" fillId="0" borderId="19" xfId="4" applyNumberFormat="1" applyBorder="1" applyAlignment="1">
      <alignment horizontal="right"/>
    </xf>
    <xf numFmtId="0" fontId="1" fillId="0" borderId="20" xfId="4" applyBorder="1" applyAlignment="1">
      <alignment horizontal="right"/>
    </xf>
    <xf numFmtId="0" fontId="1" fillId="0" borderId="0" xfId="4" applyBorder="1" applyAlignment="1">
      <alignment horizontal="left"/>
    </xf>
    <xf numFmtId="2" fontId="1" fillId="0" borderId="0" xfId="4" applyNumberFormat="1" applyBorder="1" applyAlignment="1">
      <alignment horizontal="right"/>
    </xf>
    <xf numFmtId="172" fontId="1" fillId="0" borderId="34" xfId="4" applyNumberFormat="1" applyBorder="1" applyAlignment="1">
      <alignment horizontal="right"/>
    </xf>
    <xf numFmtId="0" fontId="1" fillId="0" borderId="34" xfId="4" applyBorder="1" applyAlignment="1">
      <alignment horizontal="left"/>
    </xf>
    <xf numFmtId="0" fontId="1" fillId="0" borderId="21" xfId="4" applyBorder="1" applyAlignment="1">
      <alignment horizontal="left"/>
    </xf>
    <xf numFmtId="0" fontId="5" fillId="2" borderId="24" xfId="4" applyFont="1" applyFill="1" applyBorder="1" applyAlignment="1">
      <alignment horizontal="center"/>
    </xf>
    <xf numFmtId="0" fontId="5" fillId="2" borderId="22" xfId="4" applyFont="1" applyFill="1" applyBorder="1" applyAlignment="1">
      <alignment horizontal="center"/>
    </xf>
    <xf numFmtId="0" fontId="5" fillId="2" borderId="2" xfId="4" applyFont="1" applyFill="1" applyBorder="1" applyAlignment="1">
      <alignment horizontal="center"/>
    </xf>
    <xf numFmtId="2" fontId="5" fillId="2" borderId="2" xfId="4" applyNumberFormat="1" applyFont="1" applyFill="1" applyBorder="1" applyAlignment="1">
      <alignment horizontal="center"/>
    </xf>
    <xf numFmtId="0" fontId="5" fillId="2" borderId="25" xfId="4" applyFont="1" applyFill="1" applyBorder="1" applyAlignment="1">
      <alignment horizontal="center"/>
    </xf>
    <xf numFmtId="0" fontId="5" fillId="2" borderId="5" xfId="4" applyFont="1" applyFill="1" applyBorder="1" applyAlignment="1">
      <alignment horizontal="center"/>
    </xf>
    <xf numFmtId="2" fontId="5" fillId="2" borderId="5" xfId="4" applyNumberFormat="1" applyFont="1" applyFill="1" applyBorder="1" applyAlignment="1">
      <alignment horizontal="center"/>
    </xf>
    <xf numFmtId="0" fontId="5" fillId="2" borderId="11" xfId="4" applyFont="1" applyFill="1" applyBorder="1" applyAlignment="1">
      <alignment horizontal="center"/>
    </xf>
    <xf numFmtId="0" fontId="5" fillId="2" borderId="28" xfId="4" applyFont="1" applyFill="1" applyBorder="1" applyAlignment="1">
      <alignment horizontal="center"/>
    </xf>
    <xf numFmtId="0" fontId="5" fillId="2" borderId="23" xfId="4" applyFont="1" applyFill="1" applyBorder="1" applyAlignment="1">
      <alignment horizontal="center"/>
    </xf>
    <xf numFmtId="0" fontId="5" fillId="2" borderId="16" xfId="4" applyFont="1" applyFill="1" applyBorder="1" applyAlignment="1">
      <alignment horizontal="center"/>
    </xf>
    <xf numFmtId="2" fontId="5" fillId="2" borderId="16" xfId="4" applyNumberFormat="1" applyFont="1" applyFill="1" applyBorder="1" applyAlignment="1">
      <alignment horizontal="center"/>
    </xf>
    <xf numFmtId="0" fontId="5" fillId="2" borderId="26" xfId="4" applyFont="1" applyFill="1" applyBorder="1" applyAlignment="1">
      <alignment horizontal="center"/>
    </xf>
    <xf numFmtId="0" fontId="1" fillId="0" borderId="2" xfId="4" applyBorder="1" applyAlignment="1">
      <alignment horizontal="center"/>
    </xf>
    <xf numFmtId="165" fontId="1" fillId="0" borderId="5" xfId="4" applyNumberFormat="1" applyBorder="1">
      <alignment vertical="top"/>
    </xf>
    <xf numFmtId="2" fontId="1" fillId="0" borderId="2" xfId="4" applyNumberFormat="1" applyBorder="1">
      <alignment vertical="top"/>
    </xf>
    <xf numFmtId="165" fontId="1" fillId="0" borderId="25" xfId="4" applyNumberFormat="1" applyBorder="1">
      <alignment vertical="top"/>
    </xf>
    <xf numFmtId="0" fontId="1" fillId="0" borderId="5" xfId="4" applyBorder="1" applyAlignment="1">
      <alignment horizontal="center"/>
    </xf>
    <xf numFmtId="165" fontId="1" fillId="0" borderId="0" xfId="4" applyNumberFormat="1" applyAlignment="1">
      <alignment horizontal="right"/>
    </xf>
    <xf numFmtId="2" fontId="1" fillId="0" borderId="5" xfId="4" applyNumberFormat="1" applyBorder="1">
      <alignment vertical="top"/>
    </xf>
    <xf numFmtId="165" fontId="1" fillId="0" borderId="11" xfId="4" applyNumberFormat="1" applyBorder="1">
      <alignment vertical="top"/>
    </xf>
    <xf numFmtId="0" fontId="1" fillId="0" borderId="5" xfId="4" applyBorder="1" applyAlignment="1">
      <alignment horizontal="left"/>
    </xf>
    <xf numFmtId="0" fontId="1" fillId="0" borderId="13" xfId="4" applyBorder="1" applyAlignment="1">
      <alignment horizontal="center"/>
    </xf>
    <xf numFmtId="165" fontId="1" fillId="0" borderId="13" xfId="4" applyNumberFormat="1" applyBorder="1">
      <alignment vertical="top"/>
    </xf>
    <xf numFmtId="2" fontId="1" fillId="0" borderId="16" xfId="4" applyNumberFormat="1" applyBorder="1">
      <alignment vertical="top"/>
    </xf>
    <xf numFmtId="165" fontId="1" fillId="0" borderId="26" xfId="4" applyNumberFormat="1" applyBorder="1">
      <alignment vertical="top"/>
    </xf>
    <xf numFmtId="2" fontId="5" fillId="0" borderId="30" xfId="4" applyNumberFormat="1" applyFont="1" applyBorder="1" applyAlignment="1">
      <alignment horizontal="center"/>
    </xf>
    <xf numFmtId="165" fontId="5" fillId="0" borderId="29" xfId="4" applyNumberFormat="1" applyFont="1" applyBorder="1">
      <alignment vertical="top"/>
    </xf>
    <xf numFmtId="165" fontId="1" fillId="0" borderId="2" xfId="4" applyNumberFormat="1" applyBorder="1">
      <alignment vertical="top"/>
    </xf>
    <xf numFmtId="0" fontId="1" fillId="0" borderId="3" xfId="4" applyBorder="1" applyAlignment="1">
      <alignment horizontal="left"/>
    </xf>
    <xf numFmtId="0" fontId="1" fillId="0" borderId="5" xfId="4" applyBorder="1">
      <alignment vertical="top"/>
    </xf>
    <xf numFmtId="0" fontId="1" fillId="0" borderId="16" xfId="4" applyBorder="1">
      <alignment vertical="top"/>
    </xf>
    <xf numFmtId="165" fontId="1" fillId="0" borderId="16" xfId="4" applyNumberFormat="1" applyBorder="1">
      <alignment vertical="top"/>
    </xf>
    <xf numFmtId="2" fontId="1" fillId="0" borderId="1" xfId="4" applyNumberFormat="1" applyBorder="1">
      <alignment vertical="top"/>
    </xf>
    <xf numFmtId="165" fontId="1" fillId="0" borderId="27" xfId="4" applyNumberFormat="1" applyBorder="1">
      <alignment vertical="top"/>
    </xf>
    <xf numFmtId="10" fontId="1" fillId="0" borderId="1" xfId="4" applyNumberFormat="1" applyBorder="1">
      <alignment vertical="top"/>
    </xf>
    <xf numFmtId="2" fontId="1" fillId="0" borderId="15" xfId="4" applyNumberFormat="1" applyBorder="1">
      <alignment vertical="top"/>
    </xf>
    <xf numFmtId="0" fontId="5" fillId="0" borderId="31" xfId="4" applyFont="1" applyBorder="1" applyAlignment="1">
      <alignment horizontal="center"/>
    </xf>
    <xf numFmtId="2" fontId="1" fillId="0" borderId="5" xfId="4" applyNumberFormat="1" applyBorder="1" applyAlignment="1">
      <alignment horizontal="center"/>
    </xf>
    <xf numFmtId="2" fontId="1" fillId="0" borderId="11" xfId="4" applyNumberFormat="1" applyBorder="1" applyAlignment="1">
      <alignment horizontal="center"/>
    </xf>
    <xf numFmtId="165" fontId="5" fillId="0" borderId="32" xfId="4" applyNumberFormat="1" applyFont="1" applyBorder="1">
      <alignment vertical="top"/>
    </xf>
    <xf numFmtId="10" fontId="5" fillId="0" borderId="1" xfId="4" applyNumberFormat="1" applyFont="1" applyBorder="1">
      <alignment vertical="top"/>
    </xf>
    <xf numFmtId="165" fontId="5" fillId="0" borderId="27" xfId="4" applyNumberFormat="1" applyFont="1" applyBorder="1">
      <alignment vertical="top"/>
    </xf>
    <xf numFmtId="170" fontId="1" fillId="0" borderId="5" xfId="4" applyNumberFormat="1" applyBorder="1">
      <alignment vertical="top"/>
    </xf>
    <xf numFmtId="173" fontId="0" fillId="0" borderId="5" xfId="0" applyNumberFormat="1" applyBorder="1">
      <alignment vertical="top"/>
    </xf>
    <xf numFmtId="2" fontId="0" fillId="0" borderId="18" xfId="0" applyNumberFormat="1" applyBorder="1">
      <alignment vertical="top"/>
    </xf>
    <xf numFmtId="0" fontId="0" fillId="0" borderId="34" xfId="0" applyBorder="1">
      <alignment vertical="top"/>
    </xf>
    <xf numFmtId="165" fontId="0" fillId="0" borderId="5" xfId="0" applyNumberFormat="1" applyBorder="1" applyAlignment="1">
      <alignment horizontal="right" vertical="top"/>
    </xf>
    <xf numFmtId="0" fontId="0" fillId="0" borderId="0" xfId="0" applyNumberFormat="1" applyBorder="1" applyAlignment="1">
      <alignment horizontal="left"/>
    </xf>
    <xf numFmtId="2" fontId="0" fillId="0" borderId="6" xfId="0" applyNumberFormat="1" applyBorder="1">
      <alignment vertical="top"/>
    </xf>
    <xf numFmtId="2" fontId="0" fillId="0" borderId="0" xfId="0" applyNumberFormat="1" applyBorder="1">
      <alignment vertical="top"/>
    </xf>
    <xf numFmtId="165" fontId="0" fillId="0" borderId="43" xfId="0" applyNumberFormat="1" applyBorder="1">
      <alignment vertical="top"/>
    </xf>
    <xf numFmtId="165" fontId="0" fillId="0" borderId="34" xfId="0" applyNumberFormat="1" applyBorder="1">
      <alignment vertical="top"/>
    </xf>
    <xf numFmtId="173" fontId="0" fillId="0" borderId="2" xfId="0" applyNumberFormat="1" applyBorder="1">
      <alignment vertical="top"/>
    </xf>
    <xf numFmtId="0" fontId="1" fillId="0" borderId="5" xfId="4" applyFont="1" applyBorder="1" applyAlignment="1">
      <alignment horizontal="center"/>
    </xf>
    <xf numFmtId="0" fontId="1" fillId="0" borderId="0" xfId="4" applyBorder="1">
      <alignment vertical="top"/>
    </xf>
    <xf numFmtId="0" fontId="1" fillId="0" borderId="34" xfId="4" applyBorder="1">
      <alignment vertical="top"/>
    </xf>
    <xf numFmtId="2" fontId="20" fillId="0" borderId="5" xfId="0" applyNumberFormat="1" applyFont="1" applyBorder="1">
      <alignment vertical="top"/>
    </xf>
    <xf numFmtId="165" fontId="0" fillId="0" borderId="0" xfId="0" applyNumberFormat="1">
      <alignment vertical="top"/>
    </xf>
    <xf numFmtId="10" fontId="14" fillId="0" borderId="1" xfId="0" applyNumberFormat="1" applyFont="1" applyBorder="1" applyAlignment="1">
      <alignment horizontal="center"/>
    </xf>
    <xf numFmtId="2" fontId="0" fillId="0" borderId="0" xfId="0" applyNumberFormat="1" applyFill="1" applyBorder="1">
      <alignment vertical="top"/>
    </xf>
    <xf numFmtId="2" fontId="5" fillId="0" borderId="0" xfId="0" applyNumberFormat="1" applyFont="1" applyBorder="1" applyAlignment="1">
      <alignment horizontal="left"/>
    </xf>
    <xf numFmtId="2" fontId="4" fillId="0" borderId="18" xfId="0" applyNumberFormat="1" applyFont="1" applyBorder="1" applyAlignment="1">
      <alignment horizontal="left"/>
    </xf>
    <xf numFmtId="2" fontId="4" fillId="0" borderId="0" xfId="0" applyNumberFormat="1" applyFont="1" applyBorder="1" applyAlignment="1">
      <alignment horizontal="right"/>
    </xf>
    <xf numFmtId="165" fontId="4" fillId="0" borderId="34" xfId="0" applyNumberFormat="1" applyFont="1" applyBorder="1" applyAlignment="1">
      <alignment horizontal="right" vertical="top"/>
    </xf>
    <xf numFmtId="0" fontId="22" fillId="2" borderId="1" xfId="0" applyFont="1" applyFill="1" applyBorder="1" applyAlignment="1">
      <alignment horizontal="center" vertical="center" wrapText="1"/>
    </xf>
    <xf numFmtId="175" fontId="22" fillId="2" borderId="1" xfId="0" applyNumberFormat="1" applyFont="1" applyFill="1" applyBorder="1" applyAlignment="1">
      <alignment horizontal="center" vertical="center" wrapText="1"/>
    </xf>
    <xf numFmtId="0" fontId="22" fillId="2" borderId="44" xfId="0" applyFont="1" applyFill="1" applyBorder="1" applyAlignment="1">
      <alignment horizontal="left" vertical="center" wrapText="1"/>
    </xf>
    <xf numFmtId="0" fontId="22" fillId="2" borderId="45" xfId="0" applyFont="1" applyFill="1" applyBorder="1" applyAlignment="1">
      <alignment horizontal="center" vertical="center" wrapText="1"/>
    </xf>
    <xf numFmtId="175" fontId="22" fillId="2" borderId="35" xfId="0" applyNumberFormat="1" applyFont="1" applyFill="1" applyBorder="1" applyAlignment="1">
      <alignment horizontal="right" vertical="center" wrapText="1"/>
    </xf>
    <xf numFmtId="2" fontId="22" fillId="2" borderId="44" xfId="0" applyNumberFormat="1" applyFont="1" applyFill="1" applyBorder="1" applyAlignment="1">
      <alignment horizontal="left" vertical="center" wrapText="1"/>
    </xf>
    <xf numFmtId="0" fontId="23" fillId="2" borderId="45" xfId="0" applyFont="1" applyFill="1" applyBorder="1" applyAlignment="1">
      <alignment horizontal="center" vertical="center" wrapText="1"/>
    </xf>
    <xf numFmtId="165" fontId="23" fillId="2" borderId="35" xfId="0" applyNumberFormat="1" applyFont="1" applyFill="1" applyBorder="1" applyAlignment="1">
      <alignment horizontal="right" vertical="center" wrapText="1"/>
    </xf>
    <xf numFmtId="175" fontId="23" fillId="2" borderId="35" xfId="0" applyNumberFormat="1" applyFont="1" applyFill="1" applyBorder="1" applyAlignment="1">
      <alignment horizontal="right" vertical="center" wrapText="1"/>
    </xf>
    <xf numFmtId="165" fontId="14" fillId="3" borderId="42" xfId="0" applyNumberFormat="1" applyFont="1" applyFill="1" applyBorder="1">
      <alignment vertical="top"/>
    </xf>
    <xf numFmtId="165" fontId="14" fillId="3" borderId="1" xfId="0" applyNumberFormat="1" applyFont="1" applyFill="1" applyBorder="1">
      <alignment vertical="top"/>
    </xf>
    <xf numFmtId="165" fontId="14" fillId="3" borderId="15" xfId="0" applyNumberFormat="1" applyFont="1" applyFill="1" applyBorder="1">
      <alignment vertical="top"/>
    </xf>
    <xf numFmtId="2" fontId="23" fillId="0" borderId="1" xfId="0" applyNumberFormat="1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center" vertical="center" wrapText="1"/>
    </xf>
    <xf numFmtId="165" fontId="23" fillId="0" borderId="1" xfId="0" applyNumberFormat="1" applyFont="1" applyFill="1" applyBorder="1" applyAlignment="1">
      <alignment horizontal="right" vertical="center" wrapText="1"/>
    </xf>
    <xf numFmtId="41" fontId="0" fillId="0" borderId="5" xfId="0" applyNumberFormat="1" applyFill="1" applyBorder="1" applyAlignment="1">
      <alignment horizontal="center"/>
    </xf>
    <xf numFmtId="0" fontId="0" fillId="0" borderId="5" xfId="0" applyFill="1" applyBorder="1">
      <alignment vertical="top"/>
    </xf>
    <xf numFmtId="0" fontId="0" fillId="0" borderId="0" xfId="0" applyFill="1">
      <alignment vertical="top"/>
    </xf>
    <xf numFmtId="167" fontId="0" fillId="0" borderId="5" xfId="2" applyNumberFormat="1" applyFont="1" applyFill="1" applyBorder="1" applyAlignment="1">
      <alignment horizontal="center"/>
    </xf>
    <xf numFmtId="0" fontId="0" fillId="0" borderId="18" xfId="0" applyBorder="1" applyAlignment="1"/>
    <xf numFmtId="0" fontId="0" fillId="0" borderId="33" xfId="0" applyBorder="1" applyAlignment="1"/>
    <xf numFmtId="0" fontId="0" fillId="0" borderId="5" xfId="0" applyFill="1" applyBorder="1" applyAlignment="1">
      <alignment horizontal="center" vertical="top"/>
    </xf>
    <xf numFmtId="0" fontId="6" fillId="0" borderId="0" xfId="0" applyFont="1" applyBorder="1" applyAlignment="1">
      <alignment horizontal="left"/>
    </xf>
    <xf numFmtId="0" fontId="6" fillId="0" borderId="0" xfId="0" applyFont="1" applyBorder="1" applyAlignment="1">
      <alignment horizontal="center"/>
    </xf>
    <xf numFmtId="1" fontId="6" fillId="0" borderId="0" xfId="0" applyNumberFormat="1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0" fontId="6" fillId="0" borderId="18" xfId="0" applyFont="1" applyBorder="1" applyAlignment="1">
      <alignment horizontal="left"/>
    </xf>
    <xf numFmtId="0" fontId="23" fillId="0" borderId="0" xfId="0" applyFont="1" applyFill="1" applyAlignment="1">
      <alignment horizontal="left" vertical="center" wrapText="1"/>
    </xf>
    <xf numFmtId="0" fontId="23" fillId="0" borderId="0" xfId="0" applyFont="1" applyFill="1" applyAlignment="1">
      <alignment horizontal="center" vertical="center" wrapText="1"/>
    </xf>
    <xf numFmtId="175" fontId="23" fillId="0" borderId="0" xfId="0" applyNumberFormat="1" applyFont="1" applyFill="1" applyAlignment="1">
      <alignment horizontal="right" vertical="center" wrapText="1"/>
    </xf>
    <xf numFmtId="165" fontId="0" fillId="0" borderId="2" xfId="0" applyNumberFormat="1" applyFill="1" applyBorder="1">
      <alignment vertical="top"/>
    </xf>
    <xf numFmtId="0" fontId="22" fillId="0" borderId="0" xfId="0" applyFont="1" applyFill="1" applyAlignment="1">
      <alignment horizontal="left" vertical="center" wrapText="1"/>
    </xf>
    <xf numFmtId="2" fontId="23" fillId="0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 vertical="center" wrapText="1"/>
    </xf>
    <xf numFmtId="0" fontId="0" fillId="0" borderId="46" xfId="0" applyBorder="1">
      <alignment vertical="top"/>
    </xf>
    <xf numFmtId="165" fontId="0" fillId="0" borderId="47" xfId="0" applyNumberFormat="1" applyBorder="1" applyAlignment="1">
      <alignment horizontal="center"/>
    </xf>
    <xf numFmtId="0" fontId="0" fillId="0" borderId="48" xfId="0" applyBorder="1">
      <alignment vertical="top"/>
    </xf>
    <xf numFmtId="0" fontId="0" fillId="0" borderId="49" xfId="0" applyBorder="1" applyAlignment="1">
      <alignment horizontal="center"/>
    </xf>
    <xf numFmtId="0" fontId="0" fillId="0" borderId="49" xfId="0" applyBorder="1">
      <alignment vertical="top"/>
    </xf>
    <xf numFmtId="165" fontId="0" fillId="0" borderId="50" xfId="0" applyNumberFormat="1" applyBorder="1" applyAlignment="1">
      <alignment horizontal="center"/>
    </xf>
    <xf numFmtId="0" fontId="0" fillId="0" borderId="51" xfId="0" applyBorder="1">
      <alignment vertical="top"/>
    </xf>
    <xf numFmtId="165" fontId="0" fillId="0" borderId="52" xfId="0" applyNumberFormat="1" applyBorder="1" applyAlignment="1">
      <alignment horizontal="center"/>
    </xf>
    <xf numFmtId="0" fontId="22" fillId="0" borderId="0" xfId="0" applyFont="1" applyFill="1" applyAlignment="1">
      <alignment horizontal="right" vertical="center" wrapText="1"/>
    </xf>
    <xf numFmtId="0" fontId="23" fillId="0" borderId="0" xfId="0" applyFont="1" applyFill="1" applyAlignment="1">
      <alignment horizontal="right" vertical="center" wrapText="1"/>
    </xf>
    <xf numFmtId="2" fontId="0" fillId="0" borderId="0" xfId="0" applyNumberFormat="1" applyFill="1" applyBorder="1" applyAlignment="1">
      <alignment horizontal="center" wrapText="1"/>
    </xf>
    <xf numFmtId="2" fontId="0" fillId="0" borderId="0" xfId="0" applyNumberFormat="1" applyFill="1" applyBorder="1" applyAlignment="1">
      <alignment wrapText="1"/>
    </xf>
    <xf numFmtId="165" fontId="23" fillId="0" borderId="0" xfId="0" applyNumberFormat="1" applyFont="1" applyFill="1" applyBorder="1" applyAlignment="1">
      <alignment horizontal="right" vertical="center" wrapText="1"/>
    </xf>
    <xf numFmtId="2" fontId="0" fillId="0" borderId="0" xfId="0" applyNumberFormat="1" applyBorder="1" applyAlignment="1"/>
    <xf numFmtId="2" fontId="0" fillId="0" borderId="0" xfId="0" applyNumberFormat="1" applyFill="1" applyBorder="1" applyAlignment="1"/>
    <xf numFmtId="2" fontId="0" fillId="0" borderId="0" xfId="0" applyNumberFormat="1" applyFill="1" applyBorder="1" applyAlignment="1">
      <alignment horizontal="left"/>
    </xf>
    <xf numFmtId="0" fontId="23" fillId="0" borderId="0" xfId="0" applyFont="1" applyFill="1" applyBorder="1" applyAlignment="1">
      <alignment horizontal="right" vertical="center" wrapText="1"/>
    </xf>
    <xf numFmtId="0" fontId="0" fillId="0" borderId="0" xfId="0" applyFill="1" applyBorder="1">
      <alignment vertical="top"/>
    </xf>
    <xf numFmtId="0" fontId="0" fillId="4" borderId="18" xfId="0" applyFill="1" applyBorder="1" applyAlignment="1"/>
    <xf numFmtId="0" fontId="0" fillId="4" borderId="33" xfId="0" applyFill="1" applyBorder="1" applyAlignment="1"/>
    <xf numFmtId="0" fontId="0" fillId="4" borderId="2" xfId="0" applyFill="1" applyBorder="1" applyAlignment="1">
      <alignment horizontal="center"/>
    </xf>
    <xf numFmtId="0" fontId="0" fillId="4" borderId="2" xfId="0" applyFill="1" applyBorder="1" applyAlignment="1">
      <alignment horizontal="center" vertical="top"/>
    </xf>
    <xf numFmtId="165" fontId="0" fillId="4" borderId="2" xfId="0" applyNumberFormat="1" applyFill="1" applyBorder="1">
      <alignment vertical="top"/>
    </xf>
    <xf numFmtId="165" fontId="0" fillId="4" borderId="11" xfId="0" applyNumberFormat="1" applyFill="1" applyBorder="1">
      <alignment vertical="top"/>
    </xf>
    <xf numFmtId="41" fontId="0" fillId="4" borderId="5" xfId="0" applyNumberFormat="1" applyFill="1" applyBorder="1" applyAlignment="1">
      <alignment horizontal="center"/>
    </xf>
    <xf numFmtId="0" fontId="0" fillId="4" borderId="5" xfId="0" applyFill="1" applyBorder="1" applyAlignment="1">
      <alignment horizontal="center" vertical="top"/>
    </xf>
    <xf numFmtId="165" fontId="0" fillId="4" borderId="5" xfId="0" applyNumberFormat="1" applyFill="1" applyBorder="1">
      <alignment vertical="top"/>
    </xf>
    <xf numFmtId="0" fontId="0" fillId="4" borderId="5" xfId="0" applyFill="1" applyBorder="1" applyAlignment="1">
      <alignment horizontal="center"/>
    </xf>
    <xf numFmtId="167" fontId="24" fillId="4" borderId="5" xfId="2" applyNumberFormat="1" applyFont="1" applyFill="1" applyBorder="1" applyAlignment="1">
      <alignment horizontal="center"/>
    </xf>
    <xf numFmtId="177" fontId="23" fillId="0" borderId="1" xfId="0" applyNumberFormat="1" applyFont="1" applyFill="1" applyBorder="1" applyAlignment="1">
      <alignment horizontal="right" vertical="center" wrapText="1"/>
    </xf>
    <xf numFmtId="177" fontId="23" fillId="0" borderId="1" xfId="0" applyNumberFormat="1" applyFont="1" applyBorder="1" applyAlignment="1">
      <alignment horizontal="right"/>
    </xf>
    <xf numFmtId="177" fontId="23" fillId="0" borderId="1" xfId="0" applyNumberFormat="1" applyFont="1" applyFill="1" applyBorder="1" applyAlignment="1">
      <alignment horizontal="right"/>
    </xf>
    <xf numFmtId="2" fontId="23" fillId="0" borderId="44" xfId="0" applyNumberFormat="1" applyFont="1" applyFill="1" applyBorder="1" applyAlignment="1">
      <alignment horizontal="left" vertical="center" wrapText="1"/>
    </xf>
    <xf numFmtId="0" fontId="23" fillId="0" borderId="45" xfId="0" applyFont="1" applyFill="1" applyBorder="1" applyAlignment="1">
      <alignment horizontal="center" vertical="center" wrapText="1"/>
    </xf>
    <xf numFmtId="2" fontId="0" fillId="3" borderId="53" xfId="0" applyNumberFormat="1" applyFill="1" applyBorder="1" applyAlignment="1"/>
    <xf numFmtId="2" fontId="0" fillId="3" borderId="54" xfId="0" applyNumberFormat="1" applyFill="1" applyBorder="1" applyAlignment="1"/>
    <xf numFmtId="2" fontId="23" fillId="0" borderId="1" xfId="0" applyNumberFormat="1" applyFont="1" applyBorder="1" applyAlignment="1"/>
    <xf numFmtId="2" fontId="23" fillId="0" borderId="1" xfId="0" applyNumberFormat="1" applyFont="1" applyFill="1" applyBorder="1" applyAlignment="1"/>
    <xf numFmtId="2" fontId="23" fillId="0" borderId="1" xfId="0" applyNumberFormat="1" applyFont="1" applyFill="1" applyBorder="1" applyAlignment="1">
      <alignment horizontal="left"/>
    </xf>
    <xf numFmtId="2" fontId="23" fillId="0" borderId="1" xfId="0" applyNumberFormat="1" applyFont="1" applyFill="1" applyBorder="1" applyAlignment="1">
      <alignment wrapText="1"/>
    </xf>
    <xf numFmtId="2" fontId="23" fillId="0" borderId="1" xfId="0" applyNumberFormat="1" applyFont="1" applyBorder="1" applyAlignment="1">
      <alignment horizontal="center"/>
    </xf>
    <xf numFmtId="2" fontId="23" fillId="0" borderId="1" xfId="0" applyNumberFormat="1" applyFont="1" applyFill="1" applyBorder="1" applyAlignment="1">
      <alignment horizontal="center"/>
    </xf>
    <xf numFmtId="2" fontId="23" fillId="0" borderId="1" xfId="0" applyNumberFormat="1" applyFont="1" applyFill="1" applyBorder="1" applyAlignment="1">
      <alignment horizontal="center" wrapText="1"/>
    </xf>
    <xf numFmtId="177" fontId="23" fillId="0" borderId="1" xfId="0" applyNumberFormat="1" applyFont="1" applyFill="1" applyBorder="1" applyAlignment="1">
      <alignment horizontal="right" wrapText="1"/>
    </xf>
    <xf numFmtId="175" fontId="23" fillId="0" borderId="1" xfId="0" applyNumberFormat="1" applyFont="1" applyFill="1" applyBorder="1" applyAlignment="1">
      <alignment horizontal="right" vertical="center" wrapText="1"/>
    </xf>
    <xf numFmtId="0" fontId="0" fillId="0" borderId="0" xfId="0" applyFill="1" applyAlignment="1">
      <alignment horizontal="left"/>
    </xf>
    <xf numFmtId="165" fontId="5" fillId="0" borderId="29" xfId="0" applyNumberFormat="1" applyFont="1" applyFill="1" applyBorder="1">
      <alignment vertical="top"/>
    </xf>
    <xf numFmtId="0" fontId="0" fillId="0" borderId="17" xfId="0" applyFill="1" applyBorder="1">
      <alignment vertical="top"/>
    </xf>
    <xf numFmtId="2" fontId="0" fillId="0" borderId="19" xfId="0" applyNumberFormat="1" applyFill="1" applyBorder="1" applyAlignment="1">
      <alignment horizontal="right"/>
    </xf>
    <xf numFmtId="0" fontId="0" fillId="0" borderId="20" xfId="0" applyFill="1" applyBorder="1" applyAlignment="1">
      <alignment horizontal="right"/>
    </xf>
    <xf numFmtId="2" fontId="0" fillId="0" borderId="18" xfId="0" applyNumberForma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165" fontId="0" fillId="0" borderId="34" xfId="0" applyNumberFormat="1" applyFill="1" applyBorder="1">
      <alignment vertical="top"/>
    </xf>
    <xf numFmtId="165" fontId="23" fillId="0" borderId="35" xfId="0" applyNumberFormat="1" applyFont="1" applyFill="1" applyBorder="1" applyAlignment="1">
      <alignment horizontal="right" vertical="center" wrapText="1"/>
    </xf>
    <xf numFmtId="165" fontId="23" fillId="0" borderId="1" xfId="0" applyNumberFormat="1" applyFont="1" applyFill="1" applyBorder="1" applyAlignment="1">
      <alignment vertical="center" wrapText="1"/>
    </xf>
    <xf numFmtId="177" fontId="23" fillId="0" borderId="1" xfId="0" applyNumberFormat="1" applyFont="1" applyFill="1" applyBorder="1" applyAlignment="1">
      <alignment vertical="center" wrapText="1"/>
    </xf>
    <xf numFmtId="165" fontId="26" fillId="0" borderId="0" xfId="0" applyNumberFormat="1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0" fillId="0" borderId="21" xfId="0" applyBorder="1">
      <alignment vertical="top"/>
    </xf>
    <xf numFmtId="0" fontId="24" fillId="0" borderId="0" xfId="3" applyAlignment="1">
      <alignment horizontal="left"/>
    </xf>
    <xf numFmtId="0" fontId="24" fillId="0" borderId="17" xfId="3" applyNumberFormat="1" applyBorder="1"/>
    <xf numFmtId="2" fontId="24" fillId="0" borderId="19" xfId="3" applyNumberFormat="1" applyBorder="1" applyAlignment="1">
      <alignment horizontal="right"/>
    </xf>
    <xf numFmtId="0" fontId="24" fillId="0" borderId="20" xfId="3" applyFont="1" applyBorder="1" applyAlignment="1">
      <alignment horizontal="right"/>
    </xf>
    <xf numFmtId="0" fontId="24" fillId="0" borderId="0" xfId="3"/>
    <xf numFmtId="0" fontId="24" fillId="0" borderId="18" xfId="3" applyNumberFormat="1" applyBorder="1"/>
    <xf numFmtId="2" fontId="24" fillId="0" borderId="0" xfId="3" applyNumberFormat="1" applyBorder="1" applyAlignment="1">
      <alignment horizontal="right"/>
    </xf>
    <xf numFmtId="172" fontId="24" fillId="0" borderId="34" xfId="3" applyNumberFormat="1" applyBorder="1" applyAlignment="1">
      <alignment horizontal="right"/>
    </xf>
    <xf numFmtId="0" fontId="24" fillId="0" borderId="34" xfId="3" applyBorder="1" applyAlignment="1">
      <alignment horizontal="left"/>
    </xf>
    <xf numFmtId="0" fontId="24" fillId="0" borderId="21" xfId="3" applyNumberFormat="1" applyBorder="1" applyAlignment="1">
      <alignment horizontal="left"/>
    </xf>
    <xf numFmtId="0" fontId="0" fillId="0" borderId="24" xfId="0" applyNumberFormat="1" applyBorder="1">
      <alignment vertical="top"/>
    </xf>
    <xf numFmtId="0" fontId="24" fillId="0" borderId="21" xfId="3" applyNumberFormat="1" applyBorder="1"/>
    <xf numFmtId="2" fontId="0" fillId="0" borderId="4" xfId="0" applyNumberFormat="1" applyBorder="1">
      <alignment vertical="top"/>
    </xf>
    <xf numFmtId="2" fontId="0" fillId="0" borderId="3" xfId="0" applyNumberFormat="1" applyBorder="1">
      <alignment vertical="top"/>
    </xf>
    <xf numFmtId="178" fontId="0" fillId="0" borderId="11" xfId="0" applyNumberFormat="1" applyBorder="1">
      <alignment vertical="top"/>
    </xf>
    <xf numFmtId="2" fontId="0" fillId="0" borderId="55" xfId="0" applyNumberFormat="1" applyBorder="1">
      <alignment vertical="top"/>
    </xf>
    <xf numFmtId="2" fontId="5" fillId="0" borderId="31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165" fontId="16" fillId="0" borderId="0" xfId="0" applyNumberFormat="1" applyFont="1" applyBorder="1">
      <alignment vertical="top"/>
    </xf>
    <xf numFmtId="0" fontId="4" fillId="0" borderId="20" xfId="3" applyFont="1" applyBorder="1" applyAlignment="1">
      <alignment horizontal="right"/>
    </xf>
    <xf numFmtId="0" fontId="4" fillId="0" borderId="2" xfId="0" applyFont="1" applyBorder="1" applyAlignment="1">
      <alignment horizontal="center" vertical="top"/>
    </xf>
    <xf numFmtId="0" fontId="0" fillId="0" borderId="25" xfId="0" applyNumberFormat="1" applyBorder="1">
      <alignment vertical="top"/>
    </xf>
    <xf numFmtId="2" fontId="4" fillId="0" borderId="2" xfId="0" applyNumberFormat="1" applyFont="1" applyBorder="1">
      <alignment vertical="top"/>
    </xf>
    <xf numFmtId="171" fontId="0" fillId="0" borderId="25" xfId="0" applyNumberFormat="1" applyBorder="1">
      <alignment vertical="top"/>
    </xf>
    <xf numFmtId="177" fontId="0" fillId="0" borderId="25" xfId="0" applyNumberFormat="1" applyBorder="1">
      <alignment vertical="top"/>
    </xf>
    <xf numFmtId="2" fontId="4" fillId="0" borderId="4" xfId="0" applyNumberFormat="1" applyFont="1" applyBorder="1">
      <alignment vertical="top"/>
    </xf>
    <xf numFmtId="177" fontId="0" fillId="0" borderId="11" xfId="0" applyNumberFormat="1" applyBorder="1" applyAlignment="1">
      <alignment horizontal="right"/>
    </xf>
    <xf numFmtId="177" fontId="0" fillId="0" borderId="5" xfId="0" applyNumberFormat="1" applyBorder="1" applyAlignment="1">
      <alignment horizontal="center"/>
    </xf>
    <xf numFmtId="41" fontId="4" fillId="0" borderId="5" xfId="0" applyNumberFormat="1" applyFont="1" applyBorder="1" applyAlignment="1">
      <alignment horizontal="center"/>
    </xf>
    <xf numFmtId="165" fontId="24" fillId="0" borderId="0" xfId="3" applyNumberFormat="1"/>
    <xf numFmtId="2" fontId="23" fillId="0" borderId="1" xfId="0" applyNumberFormat="1" applyFont="1" applyFill="1" applyBorder="1" applyAlignment="1">
      <alignment horizontal="justify" vertical="center"/>
    </xf>
    <xf numFmtId="165" fontId="23" fillId="0" borderId="1" xfId="0" applyNumberFormat="1" applyFont="1" applyFill="1" applyBorder="1" applyAlignment="1">
      <alignment horizontal="center" vertical="center"/>
    </xf>
    <xf numFmtId="177" fontId="23" fillId="0" borderId="1" xfId="0" applyNumberFormat="1" applyFont="1" applyFill="1" applyBorder="1" applyAlignment="1">
      <alignment vertical="center"/>
    </xf>
    <xf numFmtId="0" fontId="4" fillId="0" borderId="0" xfId="3" applyFont="1"/>
    <xf numFmtId="2" fontId="4" fillId="0" borderId="19" xfId="0" applyNumberFormat="1" applyFont="1" applyBorder="1" applyAlignment="1">
      <alignment horizontal="right"/>
    </xf>
    <xf numFmtId="0" fontId="4" fillId="0" borderId="20" xfId="0" applyFont="1" applyBorder="1" applyAlignment="1">
      <alignment horizontal="center"/>
    </xf>
    <xf numFmtId="179" fontId="4" fillId="0" borderId="34" xfId="0" applyNumberFormat="1" applyFont="1" applyBorder="1" applyAlignment="1">
      <alignment horizontal="right"/>
    </xf>
    <xf numFmtId="0" fontId="4" fillId="0" borderId="21" xfId="0" applyNumberFormat="1" applyFont="1" applyBorder="1" applyAlignment="1">
      <alignment horizontal="center"/>
    </xf>
    <xf numFmtId="180" fontId="4" fillId="0" borderId="2" xfId="0" applyNumberFormat="1" applyFont="1" applyBorder="1" applyAlignment="1"/>
    <xf numFmtId="2" fontId="4" fillId="0" borderId="4" xfId="0" applyNumberFormat="1" applyFont="1" applyBorder="1" applyAlignment="1"/>
    <xf numFmtId="165" fontId="4" fillId="0" borderId="25" xfId="0" applyNumberFormat="1" applyFont="1" applyBorder="1" applyAlignment="1"/>
    <xf numFmtId="165" fontId="4" fillId="0" borderId="5" xfId="0" applyNumberFormat="1" applyFont="1" applyBorder="1" applyAlignment="1"/>
    <xf numFmtId="2" fontId="4" fillId="0" borderId="5" xfId="0" applyNumberFormat="1" applyFont="1" applyBorder="1" applyAlignment="1"/>
    <xf numFmtId="165" fontId="4" fillId="0" borderId="11" xfId="0" applyNumberFormat="1" applyFont="1" applyBorder="1" applyAlignment="1"/>
    <xf numFmtId="0" fontId="4" fillId="0" borderId="5" xfId="0" applyFont="1" applyBorder="1" applyAlignment="1">
      <alignment horizontal="left"/>
    </xf>
    <xf numFmtId="0" fontId="4" fillId="0" borderId="13" xfId="0" applyFont="1" applyBorder="1" applyAlignment="1">
      <alignment horizontal="center"/>
    </xf>
    <xf numFmtId="165" fontId="4" fillId="0" borderId="13" xfId="0" applyNumberFormat="1" applyFont="1" applyBorder="1" applyAlignment="1"/>
    <xf numFmtId="2" fontId="4" fillId="0" borderId="16" xfId="0" applyNumberFormat="1" applyFont="1" applyBorder="1" applyAlignment="1"/>
    <xf numFmtId="165" fontId="4" fillId="0" borderId="26" xfId="0" applyNumberFormat="1" applyFont="1" applyBorder="1" applyAlignment="1"/>
    <xf numFmtId="165" fontId="5" fillId="0" borderId="29" xfId="0" applyNumberFormat="1" applyFont="1" applyBorder="1" applyAlignment="1"/>
    <xf numFmtId="2" fontId="5" fillId="0" borderId="0" xfId="0" applyNumberFormat="1" applyFont="1" applyBorder="1" applyAlignment="1">
      <alignment horizontal="center"/>
    </xf>
    <xf numFmtId="165" fontId="5" fillId="0" borderId="0" xfId="0" applyNumberFormat="1" applyFont="1" applyBorder="1" applyAlignment="1"/>
    <xf numFmtId="2" fontId="4" fillId="0" borderId="5" xfId="2" applyNumberFormat="1" applyFont="1" applyBorder="1" applyAlignment="1">
      <alignment horizontal="center"/>
    </xf>
    <xf numFmtId="170" fontId="4" fillId="0" borderId="5" xfId="2" applyNumberFormat="1" applyFont="1" applyBorder="1" applyAlignment="1">
      <alignment horizontal="center"/>
    </xf>
    <xf numFmtId="2" fontId="4" fillId="0" borderId="1" xfId="0" applyNumberFormat="1" applyFont="1" applyBorder="1" applyAlignment="1"/>
    <xf numFmtId="165" fontId="4" fillId="0" borderId="27" xfId="0" applyNumberFormat="1" applyFont="1" applyBorder="1" applyAlignment="1"/>
    <xf numFmtId="10" fontId="4" fillId="0" borderId="1" xfId="0" applyNumberFormat="1" applyFont="1" applyBorder="1" applyAlignment="1"/>
    <xf numFmtId="2" fontId="4" fillId="0" borderId="15" xfId="0" applyNumberFormat="1" applyFont="1" applyBorder="1" applyAlignment="1"/>
    <xf numFmtId="0" fontId="5" fillId="0" borderId="0" xfId="0" applyFont="1" applyBorder="1" applyAlignment="1">
      <alignment horizontal="right"/>
    </xf>
    <xf numFmtId="2" fontId="4" fillId="0" borderId="0" xfId="0" applyNumberFormat="1" applyFont="1" applyBorder="1" applyAlignment="1"/>
    <xf numFmtId="0" fontId="4" fillId="0" borderId="4" xfId="0" applyFont="1" applyBorder="1" applyAlignment="1">
      <alignment horizontal="center"/>
    </xf>
    <xf numFmtId="2" fontId="4" fillId="0" borderId="2" xfId="0" applyNumberFormat="1" applyFont="1" applyBorder="1" applyAlignment="1"/>
    <xf numFmtId="0" fontId="4" fillId="0" borderId="3" xfId="0" applyFont="1" applyBorder="1" applyAlignment="1">
      <alignment horizontal="center"/>
    </xf>
    <xf numFmtId="0" fontId="4" fillId="0" borderId="56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165" fontId="5" fillId="0" borderId="3" xfId="0" applyNumberFormat="1" applyFont="1" applyBorder="1" applyAlignment="1"/>
    <xf numFmtId="165" fontId="5" fillId="0" borderId="32" xfId="0" applyNumberFormat="1" applyFont="1" applyBorder="1" applyAlignment="1"/>
    <xf numFmtId="2" fontId="5" fillId="0" borderId="1" xfId="0" applyNumberFormat="1" applyFont="1" applyBorder="1" applyAlignment="1"/>
    <xf numFmtId="165" fontId="5" fillId="0" borderId="27" xfId="0" applyNumberFormat="1" applyFont="1" applyBorder="1" applyAlignment="1"/>
    <xf numFmtId="174" fontId="0" fillId="0" borderId="0" xfId="0" applyNumberFormat="1" applyBorder="1" applyAlignment="1"/>
    <xf numFmtId="0" fontId="24" fillId="0" borderId="5" xfId="3" applyBorder="1"/>
    <xf numFmtId="0" fontId="4" fillId="0" borderId="17" xfId="0" applyNumberFormat="1" applyFont="1" applyBorder="1" applyAlignment="1">
      <alignment vertical="center"/>
    </xf>
    <xf numFmtId="0" fontId="4" fillId="0" borderId="18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5" xfId="3" applyFont="1" applyBorder="1" applyAlignment="1">
      <alignment horizontal="center"/>
    </xf>
    <xf numFmtId="177" fontId="4" fillId="0" borderId="0" xfId="0" applyNumberFormat="1" applyFont="1" applyBorder="1" applyAlignment="1">
      <alignment vertical="justify" wrapText="1"/>
    </xf>
    <xf numFmtId="0" fontId="4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165" fontId="0" fillId="0" borderId="2" xfId="0" applyNumberFormat="1" applyFill="1" applyBorder="1" applyAlignment="1">
      <alignment horizontal="center" vertical="center"/>
    </xf>
    <xf numFmtId="165" fontId="0" fillId="0" borderId="11" xfId="0" applyNumberFormat="1" applyFill="1" applyBorder="1" applyAlignment="1">
      <alignment horizontal="center" vertical="center"/>
    </xf>
    <xf numFmtId="0" fontId="13" fillId="0" borderId="0" xfId="1" applyAlignment="1" applyProtection="1">
      <alignment horizontal="center" vertical="top"/>
    </xf>
    <xf numFmtId="0" fontId="28" fillId="0" borderId="0" xfId="1" applyFont="1" applyAlignment="1" applyProtection="1">
      <alignment horizontal="center" vertical="top"/>
    </xf>
    <xf numFmtId="0" fontId="13" fillId="0" borderId="1" xfId="1" applyBorder="1" applyAlignment="1" applyProtection="1">
      <alignment horizontal="center" vertical="top"/>
    </xf>
    <xf numFmtId="0" fontId="13" fillId="0" borderId="1" xfId="1" applyFill="1" applyBorder="1" applyAlignment="1" applyProtection="1">
      <alignment horizontal="center" vertical="center" wrapText="1"/>
    </xf>
    <xf numFmtId="0" fontId="28" fillId="0" borderId="1" xfId="1" applyFont="1" applyFill="1" applyBorder="1" applyAlignment="1" applyProtection="1">
      <alignment horizontal="center" vertical="center" wrapText="1"/>
    </xf>
    <xf numFmtId="0" fontId="28" fillId="0" borderId="1" xfId="1" applyFont="1" applyBorder="1" applyAlignment="1" applyProtection="1">
      <alignment horizontal="center" vertical="top"/>
    </xf>
    <xf numFmtId="0" fontId="23" fillId="0" borderId="35" xfId="0" applyFont="1" applyFill="1" applyBorder="1" applyAlignment="1">
      <alignment horizontal="center" vertical="center" wrapText="1"/>
    </xf>
    <xf numFmtId="165" fontId="14" fillId="0" borderId="32" xfId="0" applyNumberFormat="1" applyFont="1" applyFill="1" applyBorder="1">
      <alignment vertical="top"/>
    </xf>
    <xf numFmtId="0" fontId="13" fillId="0" borderId="0" xfId="1" applyProtection="1">
      <alignment vertical="top"/>
    </xf>
    <xf numFmtId="0" fontId="13" fillId="0" borderId="0" xfId="1" applyAlignment="1" applyProtection="1">
      <alignment horizontal="center"/>
    </xf>
    <xf numFmtId="0" fontId="4" fillId="0" borderId="17" xfId="3" applyNumberFormat="1" applyFont="1" applyBorder="1"/>
    <xf numFmtId="2" fontId="4" fillId="0" borderId="19" xfId="3" applyNumberFormat="1" applyFont="1" applyBorder="1" applyAlignment="1">
      <alignment horizontal="right"/>
    </xf>
    <xf numFmtId="0" fontId="4" fillId="0" borderId="18" xfId="3" applyNumberFormat="1" applyFont="1" applyBorder="1"/>
    <xf numFmtId="2" fontId="4" fillId="0" borderId="0" xfId="3" applyNumberFormat="1" applyFont="1" applyBorder="1" applyAlignment="1">
      <alignment horizontal="right"/>
    </xf>
    <xf numFmtId="0" fontId="4" fillId="0" borderId="21" xfId="3" applyNumberFormat="1" applyFont="1" applyBorder="1" applyAlignment="1">
      <alignment horizontal="left"/>
    </xf>
    <xf numFmtId="0" fontId="3" fillId="2" borderId="1" xfId="0" applyFont="1" applyFill="1" applyBorder="1" applyAlignment="1">
      <alignment horizontal="center"/>
    </xf>
    <xf numFmtId="2" fontId="3" fillId="2" borderId="2" xfId="0" applyNumberFormat="1" applyFont="1" applyFill="1" applyBorder="1" applyAlignment="1">
      <alignment horizontal="center"/>
    </xf>
    <xf numFmtId="0" fontId="3" fillId="2" borderId="25" xfId="0" applyFont="1" applyFill="1" applyBorder="1" applyAlignment="1">
      <alignment horizontal="center"/>
    </xf>
    <xf numFmtId="0" fontId="30" fillId="0" borderId="5" xfId="0" applyFont="1" applyBorder="1" applyAlignment="1">
      <alignment horizontal="center"/>
    </xf>
    <xf numFmtId="165" fontId="30" fillId="0" borderId="5" xfId="0" applyNumberFormat="1" applyFont="1" applyBorder="1" applyAlignment="1">
      <alignment vertical="top"/>
    </xf>
    <xf numFmtId="2" fontId="30" fillId="0" borderId="2" xfId="0" applyNumberFormat="1" applyFont="1" applyBorder="1" applyAlignment="1">
      <alignment vertical="top"/>
    </xf>
    <xf numFmtId="165" fontId="30" fillId="0" borderId="25" xfId="0" applyNumberFormat="1" applyFont="1" applyBorder="1" applyAlignment="1">
      <alignment vertical="top"/>
    </xf>
    <xf numFmtId="165" fontId="0" fillId="0" borderId="5" xfId="0" applyNumberFormat="1" applyBorder="1" applyAlignment="1">
      <alignment vertical="top"/>
    </xf>
    <xf numFmtId="2" fontId="0" fillId="0" borderId="5" xfId="0" applyNumberFormat="1" applyBorder="1" applyAlignment="1">
      <alignment vertical="top"/>
    </xf>
    <xf numFmtId="178" fontId="0" fillId="0" borderId="11" xfId="0" applyNumberFormat="1" applyBorder="1" applyAlignment="1">
      <alignment vertical="top"/>
    </xf>
    <xf numFmtId="165" fontId="0" fillId="0" borderId="11" xfId="0" applyNumberFormat="1" applyBorder="1" applyAlignment="1">
      <alignment vertical="top"/>
    </xf>
    <xf numFmtId="165" fontId="0" fillId="0" borderId="13" xfId="0" applyNumberFormat="1" applyBorder="1" applyAlignment="1">
      <alignment vertical="top"/>
    </xf>
    <xf numFmtId="2" fontId="0" fillId="0" borderId="16" xfId="0" applyNumberFormat="1" applyBorder="1" applyAlignment="1">
      <alignment vertical="top"/>
    </xf>
    <xf numFmtId="165" fontId="0" fillId="0" borderId="26" xfId="0" applyNumberFormat="1" applyBorder="1" applyAlignment="1">
      <alignment vertical="top"/>
    </xf>
    <xf numFmtId="2" fontId="3" fillId="0" borderId="30" xfId="0" applyNumberFormat="1" applyFont="1" applyBorder="1" applyAlignment="1">
      <alignment horizontal="center"/>
    </xf>
    <xf numFmtId="165" fontId="3" fillId="0" borderId="29" xfId="0" applyNumberFormat="1" applyFont="1" applyBorder="1" applyAlignment="1">
      <alignment vertical="top"/>
    </xf>
    <xf numFmtId="0" fontId="3" fillId="2" borderId="2" xfId="0" applyFont="1" applyFill="1" applyBorder="1" applyAlignment="1">
      <alignment horizontal="center"/>
    </xf>
    <xf numFmtId="0" fontId="30" fillId="0" borderId="2" xfId="0" applyFont="1" applyBorder="1" applyAlignment="1">
      <alignment vertical="top"/>
    </xf>
    <xf numFmtId="165" fontId="30" fillId="0" borderId="2" xfId="0" applyNumberFormat="1" applyFont="1" applyBorder="1" applyAlignment="1">
      <alignment vertical="top"/>
    </xf>
    <xf numFmtId="41" fontId="30" fillId="0" borderId="5" xfId="0" applyNumberFormat="1" applyFont="1" applyBorder="1" applyAlignment="1">
      <alignment horizontal="center"/>
    </xf>
    <xf numFmtId="0" fontId="4" fillId="0" borderId="5" xfId="3" applyFont="1" applyBorder="1"/>
    <xf numFmtId="174" fontId="30" fillId="0" borderId="0" xfId="0" applyNumberFormat="1" applyFont="1" applyBorder="1" applyAlignment="1"/>
    <xf numFmtId="165" fontId="30" fillId="0" borderId="11" xfId="0" applyNumberFormat="1" applyFont="1" applyBorder="1" applyAlignment="1">
      <alignment vertical="top"/>
    </xf>
    <xf numFmtId="0" fontId="0" fillId="0" borderId="5" xfId="0" applyBorder="1" applyAlignment="1">
      <alignment vertical="top"/>
    </xf>
    <xf numFmtId="0" fontId="0" fillId="0" borderId="16" xfId="0" applyBorder="1" applyAlignment="1">
      <alignment vertical="top"/>
    </xf>
    <xf numFmtId="165" fontId="0" fillId="0" borderId="16" xfId="0" applyNumberFormat="1" applyBorder="1" applyAlignment="1">
      <alignment vertical="top"/>
    </xf>
    <xf numFmtId="2" fontId="0" fillId="0" borderId="1" xfId="0" applyNumberFormat="1" applyBorder="1" applyAlignment="1">
      <alignment vertical="top"/>
    </xf>
    <xf numFmtId="165" fontId="0" fillId="0" borderId="27" xfId="0" applyNumberFormat="1" applyBorder="1" applyAlignment="1">
      <alignment vertical="top"/>
    </xf>
    <xf numFmtId="10" fontId="0" fillId="0" borderId="1" xfId="0" applyNumberFormat="1" applyBorder="1" applyAlignment="1">
      <alignment vertical="top"/>
    </xf>
    <xf numFmtId="2" fontId="0" fillId="0" borderId="15" xfId="0" applyNumberFormat="1" applyBorder="1" applyAlignment="1">
      <alignment vertical="top"/>
    </xf>
    <xf numFmtId="0" fontId="3" fillId="2" borderId="24" xfId="0" applyFont="1" applyFill="1" applyBorder="1" applyAlignment="1"/>
    <xf numFmtId="0" fontId="0" fillId="0" borderId="21" xfId="0" applyBorder="1" applyAlignment="1"/>
    <xf numFmtId="0" fontId="0" fillId="0" borderId="13" xfId="0" applyBorder="1" applyAlignment="1"/>
    <xf numFmtId="0" fontId="3" fillId="0" borderId="31" xfId="0" applyFont="1" applyBorder="1" applyAlignment="1">
      <alignment horizontal="center"/>
    </xf>
    <xf numFmtId="0" fontId="3" fillId="2" borderId="28" xfId="0" applyNumberFormat="1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2" fontId="3" fillId="2" borderId="16" xfId="0" applyNumberFormat="1" applyFont="1" applyFill="1" applyBorder="1" applyAlignment="1">
      <alignment horizontal="center"/>
    </xf>
    <xf numFmtId="0" fontId="3" fillId="2" borderId="26" xfId="0" applyFont="1" applyFill="1" applyBorder="1" applyAlignment="1">
      <alignment horizontal="center"/>
    </xf>
    <xf numFmtId="165" fontId="3" fillId="0" borderId="32" xfId="0" applyNumberFormat="1" applyFont="1" applyBorder="1" applyAlignment="1">
      <alignment vertical="top"/>
    </xf>
    <xf numFmtId="10" fontId="3" fillId="0" borderId="1" xfId="0" applyNumberFormat="1" applyFont="1" applyBorder="1" applyAlignment="1">
      <alignment vertical="top"/>
    </xf>
    <xf numFmtId="165" fontId="3" fillId="0" borderId="27" xfId="0" applyNumberFormat="1" applyFont="1" applyBorder="1" applyAlignment="1">
      <alignment vertical="top"/>
    </xf>
    <xf numFmtId="165" fontId="5" fillId="0" borderId="34" xfId="0" applyNumberFormat="1" applyFont="1" applyBorder="1" applyAlignment="1"/>
    <xf numFmtId="2" fontId="3" fillId="2" borderId="1" xfId="0" applyNumberFormat="1" applyFont="1" applyFill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0" fontId="30" fillId="0" borderId="2" xfId="0" applyFont="1" applyBorder="1" applyAlignment="1">
      <alignment horizontal="center" vertical="top"/>
    </xf>
    <xf numFmtId="0" fontId="0" fillId="0" borderId="0" xfId="0" applyBorder="1" applyAlignment="1">
      <alignment horizontal="center"/>
    </xf>
    <xf numFmtId="165" fontId="30" fillId="0" borderId="3" xfId="0" applyNumberFormat="1" applyFont="1" applyBorder="1" applyAlignment="1">
      <alignment vertical="top"/>
    </xf>
    <xf numFmtId="0" fontId="3" fillId="2" borderId="27" xfId="0" applyFont="1" applyFill="1" applyBorder="1" applyAlignment="1">
      <alignment horizontal="center"/>
    </xf>
    <xf numFmtId="172" fontId="4" fillId="0" borderId="34" xfId="3" applyNumberFormat="1" applyFont="1" applyBorder="1" applyAlignment="1">
      <alignment horizontal="right"/>
    </xf>
    <xf numFmtId="174" fontId="30" fillId="0" borderId="5" xfId="0" applyNumberFormat="1" applyFont="1" applyBorder="1" applyAlignment="1"/>
    <xf numFmtId="165" fontId="30" fillId="0" borderId="11" xfId="0" applyNumberFormat="1" applyFont="1" applyBorder="1" applyAlignment="1">
      <alignment horizontal="right" vertical="top"/>
    </xf>
    <xf numFmtId="0" fontId="3" fillId="2" borderId="38" xfId="0" applyFont="1" applyFill="1" applyBorder="1" applyAlignment="1"/>
    <xf numFmtId="0" fontId="30" fillId="0" borderId="18" xfId="0" applyFont="1" applyBorder="1" applyAlignment="1"/>
    <xf numFmtId="165" fontId="30" fillId="0" borderId="26" xfId="0" applyNumberFormat="1" applyFont="1" applyBorder="1" applyAlignment="1">
      <alignment vertical="top"/>
    </xf>
    <xf numFmtId="0" fontId="3" fillId="0" borderId="19" xfId="0" applyFont="1" applyBorder="1" applyAlignment="1">
      <alignment horizontal="center"/>
    </xf>
    <xf numFmtId="165" fontId="3" fillId="0" borderId="19" xfId="0" applyNumberFormat="1" applyFont="1" applyBorder="1" applyAlignment="1">
      <alignment vertical="top"/>
    </xf>
    <xf numFmtId="176" fontId="30" fillId="0" borderId="2" xfId="0" applyNumberFormat="1" applyFont="1" applyBorder="1" applyAlignment="1">
      <alignment vertical="top"/>
    </xf>
    <xf numFmtId="0" fontId="31" fillId="0" borderId="5" xfId="0" applyFont="1" applyBorder="1" applyAlignment="1">
      <alignment horizontal="left"/>
    </xf>
    <xf numFmtId="165" fontId="31" fillId="0" borderId="5" xfId="0" applyNumberFormat="1" applyFont="1" applyBorder="1" applyAlignment="1">
      <alignment vertical="top"/>
    </xf>
    <xf numFmtId="2" fontId="31" fillId="0" borderId="5" xfId="0" applyNumberFormat="1" applyFont="1" applyBorder="1" applyAlignment="1">
      <alignment vertical="top"/>
    </xf>
    <xf numFmtId="165" fontId="31" fillId="0" borderId="11" xfId="0" applyNumberFormat="1" applyFont="1" applyBorder="1" applyAlignment="1">
      <alignment vertical="top"/>
    </xf>
    <xf numFmtId="0" fontId="31" fillId="0" borderId="5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165" fontId="31" fillId="0" borderId="13" xfId="0" applyNumberFormat="1" applyFont="1" applyBorder="1" applyAlignment="1">
      <alignment vertical="top"/>
    </xf>
    <xf numFmtId="2" fontId="31" fillId="0" borderId="16" xfId="0" applyNumberFormat="1" applyFont="1" applyBorder="1" applyAlignment="1">
      <alignment vertical="top"/>
    </xf>
    <xf numFmtId="165" fontId="31" fillId="0" borderId="26" xfId="0" applyNumberFormat="1" applyFont="1" applyBorder="1" applyAlignment="1">
      <alignment vertical="top"/>
    </xf>
    <xf numFmtId="176" fontId="30" fillId="0" borderId="5" xfId="0" applyNumberFormat="1" applyFont="1" applyBorder="1" applyAlignment="1">
      <alignment vertical="top"/>
    </xf>
    <xf numFmtId="167" fontId="31" fillId="0" borderId="5" xfId="2" applyNumberFormat="1" applyFont="1" applyBorder="1" applyAlignment="1">
      <alignment horizontal="center"/>
    </xf>
    <xf numFmtId="0" fontId="31" fillId="0" borderId="0" xfId="0" applyFont="1" applyAlignment="1"/>
    <xf numFmtId="0" fontId="31" fillId="0" borderId="5" xfId="0" applyFont="1" applyBorder="1" applyAlignment="1">
      <alignment vertical="top"/>
    </xf>
    <xf numFmtId="0" fontId="31" fillId="0" borderId="16" xfId="0" applyFont="1" applyBorder="1" applyAlignment="1">
      <alignment vertical="top"/>
    </xf>
    <xf numFmtId="165" fontId="31" fillId="0" borderId="16" xfId="0" applyNumberFormat="1" applyFont="1" applyBorder="1" applyAlignment="1">
      <alignment vertical="top"/>
    </xf>
    <xf numFmtId="2" fontId="30" fillId="0" borderId="1" xfId="0" applyNumberFormat="1" applyFont="1" applyBorder="1" applyAlignment="1">
      <alignment vertical="top"/>
    </xf>
    <xf numFmtId="165" fontId="30" fillId="0" borderId="27" xfId="0" applyNumberFormat="1" applyFont="1" applyBorder="1" applyAlignment="1">
      <alignment vertical="top"/>
    </xf>
    <xf numFmtId="10" fontId="30" fillId="0" borderId="1" xfId="0" applyNumberFormat="1" applyFont="1" applyBorder="1" applyAlignment="1">
      <alignment vertical="top"/>
    </xf>
    <xf numFmtId="2" fontId="30" fillId="0" borderId="15" xfId="0" applyNumberFormat="1" applyFont="1" applyBorder="1" applyAlignment="1">
      <alignment vertical="top"/>
    </xf>
    <xf numFmtId="0" fontId="30" fillId="0" borderId="21" xfId="0" applyFont="1" applyBorder="1" applyAlignment="1"/>
    <xf numFmtId="0" fontId="30" fillId="0" borderId="13" xfId="0" applyFont="1" applyBorder="1" applyAlignment="1"/>
    <xf numFmtId="0" fontId="30" fillId="0" borderId="13" xfId="0" applyFont="1" applyBorder="1" applyAlignment="1">
      <alignment horizontal="center"/>
    </xf>
    <xf numFmtId="2" fontId="30" fillId="0" borderId="16" xfId="0" applyNumberFormat="1" applyFont="1" applyBorder="1" applyAlignment="1">
      <alignment vertical="top"/>
    </xf>
    <xf numFmtId="2" fontId="30" fillId="0" borderId="24" xfId="0" applyNumberFormat="1" applyFont="1" applyBorder="1" applyAlignment="1">
      <alignment horizontal="center"/>
    </xf>
    <xf numFmtId="2" fontId="30" fillId="0" borderId="5" xfId="0" applyNumberFormat="1" applyFont="1" applyBorder="1" applyAlignment="1">
      <alignment horizontal="center"/>
    </xf>
    <xf numFmtId="1" fontId="30" fillId="0" borderId="5" xfId="0" applyNumberFormat="1" applyFont="1" applyBorder="1" applyAlignment="1">
      <alignment horizontal="center"/>
    </xf>
    <xf numFmtId="165" fontId="30" fillId="0" borderId="34" xfId="0" applyNumberFormat="1" applyFont="1" applyBorder="1" applyAlignment="1">
      <alignment vertical="top"/>
    </xf>
    <xf numFmtId="0" fontId="31" fillId="0" borderId="0" xfId="0" applyFont="1" applyBorder="1" applyAlignment="1">
      <alignment horizontal="center"/>
    </xf>
    <xf numFmtId="0" fontId="3" fillId="0" borderId="53" xfId="0" applyFont="1" applyBorder="1" applyAlignment="1">
      <alignment horizontal="center"/>
    </xf>
    <xf numFmtId="165" fontId="3" fillId="0" borderId="53" xfId="0" applyNumberFormat="1" applyFont="1" applyBorder="1" applyAlignment="1">
      <alignment vertical="top"/>
    </xf>
    <xf numFmtId="172" fontId="14" fillId="0" borderId="1" xfId="0" applyNumberFormat="1" applyFont="1" applyBorder="1" applyAlignment="1">
      <alignment horizontal="center"/>
    </xf>
    <xf numFmtId="176" fontId="30" fillId="0" borderId="5" xfId="0" applyNumberFormat="1" applyFont="1" applyBorder="1" applyAlignment="1">
      <alignment horizontal="center" vertical="top"/>
    </xf>
    <xf numFmtId="164" fontId="4" fillId="0" borderId="2" xfId="0" applyNumberFormat="1" applyFont="1" applyBorder="1" applyAlignment="1"/>
    <xf numFmtId="164" fontId="4" fillId="0" borderId="25" xfId="0" applyNumberFormat="1" applyFont="1" applyBorder="1" applyAlignment="1"/>
    <xf numFmtId="2" fontId="30" fillId="0" borderId="5" xfId="0" applyNumberFormat="1" applyFont="1" applyBorder="1" applyAlignment="1">
      <alignment vertical="top"/>
    </xf>
    <xf numFmtId="0" fontId="31" fillId="0" borderId="21" xfId="0" applyFont="1" applyBorder="1" applyAlignment="1"/>
    <xf numFmtId="0" fontId="31" fillId="0" borderId="13" xfId="0" applyFont="1" applyBorder="1" applyAlignment="1"/>
    <xf numFmtId="0" fontId="31" fillId="0" borderId="0" xfId="0" applyFont="1" applyAlignment="1">
      <alignment horizontal="center"/>
    </xf>
    <xf numFmtId="0" fontId="31" fillId="0" borderId="5" xfId="0" applyFont="1" applyBorder="1" applyAlignment="1"/>
    <xf numFmtId="2" fontId="31" fillId="0" borderId="5" xfId="0" applyNumberFormat="1" applyFont="1" applyBorder="1" applyAlignment="1">
      <alignment horizontal="center"/>
    </xf>
    <xf numFmtId="1" fontId="31" fillId="0" borderId="5" xfId="0" applyNumberFormat="1" applyFont="1" applyBorder="1" applyAlignment="1">
      <alignment horizontal="center"/>
    </xf>
    <xf numFmtId="0" fontId="4" fillId="0" borderId="39" xfId="0" applyFont="1" applyBorder="1" applyAlignment="1"/>
    <xf numFmtId="0" fontId="4" fillId="0" borderId="2" xfId="0" applyFont="1" applyBorder="1" applyAlignment="1"/>
    <xf numFmtId="181" fontId="4" fillId="0" borderId="2" xfId="0" applyNumberFormat="1" applyFont="1" applyBorder="1" applyAlignment="1"/>
    <xf numFmtId="0" fontId="3" fillId="0" borderId="57" xfId="0" applyFont="1" applyBorder="1" applyAlignment="1">
      <alignment horizontal="left"/>
    </xf>
    <xf numFmtId="0" fontId="3" fillId="0" borderId="35" xfId="0" applyFont="1" applyBorder="1" applyAlignment="1">
      <alignment horizontal="left"/>
    </xf>
    <xf numFmtId="2" fontId="3" fillId="0" borderId="31" xfId="0" applyNumberFormat="1" applyFont="1" applyBorder="1" applyAlignment="1">
      <alignment horizontal="left"/>
    </xf>
    <xf numFmtId="2" fontId="3" fillId="0" borderId="58" xfId="0" applyNumberFormat="1" applyFont="1" applyBorder="1" applyAlignment="1">
      <alignment horizontal="left"/>
    </xf>
    <xf numFmtId="2" fontId="3" fillId="0" borderId="59" xfId="0" applyNumberFormat="1" applyFont="1" applyBorder="1" applyAlignment="1">
      <alignment horizontal="left"/>
    </xf>
    <xf numFmtId="2" fontId="3" fillId="0" borderId="60" xfId="0" applyNumberFormat="1" applyFont="1" applyBorder="1" applyAlignment="1">
      <alignment horizontal="left"/>
    </xf>
    <xf numFmtId="2" fontId="3" fillId="0" borderId="61" xfId="0" applyNumberFormat="1" applyFont="1" applyBorder="1" applyAlignment="1">
      <alignment horizontal="left"/>
    </xf>
    <xf numFmtId="2" fontId="3" fillId="0" borderId="62" xfId="0" applyNumberFormat="1" applyFont="1" applyBorder="1" applyAlignment="1">
      <alignment horizontal="left"/>
    </xf>
    <xf numFmtId="0" fontId="0" fillId="0" borderId="17" xfId="0" applyNumberFormat="1" applyBorder="1" applyAlignment="1"/>
    <xf numFmtId="0" fontId="0" fillId="0" borderId="18" xfId="0" applyNumberFormat="1" applyBorder="1" applyAlignment="1"/>
    <xf numFmtId="0" fontId="0" fillId="0" borderId="34" xfId="0" applyBorder="1" applyAlignment="1">
      <alignment horizontal="right"/>
    </xf>
    <xf numFmtId="2" fontId="0" fillId="0" borderId="53" xfId="0" applyNumberFormat="1" applyBorder="1" applyAlignment="1">
      <alignment horizontal="right"/>
    </xf>
    <xf numFmtId="182" fontId="0" fillId="0" borderId="54" xfId="0" applyNumberFormat="1" applyBorder="1" applyAlignment="1">
      <alignment horizontal="right"/>
    </xf>
    <xf numFmtId="0" fontId="3" fillId="0" borderId="2" xfId="0" applyFont="1" applyFill="1" applyBorder="1" applyAlignment="1">
      <alignment horizontal="center"/>
    </xf>
    <xf numFmtId="2" fontId="3" fillId="0" borderId="2" xfId="0" applyNumberFormat="1" applyFont="1" applyFill="1" applyBorder="1" applyAlignment="1">
      <alignment horizontal="center"/>
    </xf>
    <xf numFmtId="0" fontId="3" fillId="0" borderId="25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2" fontId="3" fillId="0" borderId="16" xfId="0" applyNumberFormat="1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183" fontId="0" fillId="0" borderId="25" xfId="0" applyNumberFormat="1" applyBorder="1" applyAlignment="1"/>
    <xf numFmtId="183" fontId="0" fillId="0" borderId="11" xfId="0" applyNumberFormat="1" applyBorder="1" applyAlignment="1"/>
    <xf numFmtId="183" fontId="3" fillId="0" borderId="29" xfId="0" applyNumberFormat="1" applyFont="1" applyBorder="1" applyAlignment="1"/>
    <xf numFmtId="41" fontId="0" fillId="0" borderId="2" xfId="0" applyNumberFormat="1" applyBorder="1" applyAlignment="1">
      <alignment horizontal="center"/>
    </xf>
    <xf numFmtId="170" fontId="0" fillId="0" borderId="2" xfId="2" applyNumberFormat="1" applyFont="1" applyBorder="1" applyAlignment="1">
      <alignment horizontal="right"/>
    </xf>
    <xf numFmtId="183" fontId="0" fillId="0" borderId="5" xfId="0" applyNumberFormat="1" applyBorder="1" applyAlignment="1"/>
    <xf numFmtId="2" fontId="0" fillId="0" borderId="1" xfId="0" applyNumberFormat="1" applyBorder="1" applyAlignment="1"/>
    <xf numFmtId="183" fontId="0" fillId="0" borderId="27" xfId="0" applyNumberFormat="1" applyBorder="1" applyAlignment="1"/>
    <xf numFmtId="10" fontId="0" fillId="0" borderId="1" xfId="0" applyNumberFormat="1" applyBorder="1" applyAlignment="1"/>
    <xf numFmtId="2" fontId="0" fillId="0" borderId="15" xfId="0" applyNumberFormat="1" applyBorder="1" applyAlignment="1"/>
    <xf numFmtId="1" fontId="0" fillId="0" borderId="2" xfId="0" applyNumberFormat="1" applyBorder="1" applyAlignment="1">
      <alignment horizontal="center"/>
    </xf>
    <xf numFmtId="183" fontId="0" fillId="0" borderId="2" xfId="0" applyNumberFormat="1" applyBorder="1" applyAlignment="1">
      <alignment horizontal="center"/>
    </xf>
    <xf numFmtId="183" fontId="0" fillId="0" borderId="5" xfId="0" applyNumberFormat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183" fontId="0" fillId="0" borderId="0" xfId="0" applyNumberFormat="1" applyBorder="1" applyAlignment="1">
      <alignment horizontal="center"/>
    </xf>
    <xf numFmtId="183" fontId="0" fillId="0" borderId="11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183" fontId="0" fillId="0" borderId="26" xfId="0" applyNumberFormat="1" applyBorder="1" applyAlignment="1"/>
    <xf numFmtId="2" fontId="3" fillId="0" borderId="0" xfId="0" applyNumberFormat="1" applyFont="1" applyBorder="1" applyAlignment="1">
      <alignment horizontal="left"/>
    </xf>
    <xf numFmtId="183" fontId="3" fillId="0" borderId="32" xfId="0" applyNumberFormat="1" applyFont="1" applyBorder="1" applyAlignment="1"/>
    <xf numFmtId="0" fontId="3" fillId="0" borderId="0" xfId="0" applyFont="1" applyBorder="1" applyAlignment="1">
      <alignment horizontal="left"/>
    </xf>
    <xf numFmtId="10" fontId="3" fillId="0" borderId="1" xfId="0" applyNumberFormat="1" applyFont="1" applyBorder="1" applyAlignment="1"/>
    <xf numFmtId="183" fontId="3" fillId="0" borderId="27" xfId="0" applyNumberFormat="1" applyFont="1" applyBorder="1" applyAlignment="1"/>
    <xf numFmtId="0" fontId="24" fillId="0" borderId="0" xfId="3" applyBorder="1"/>
    <xf numFmtId="183" fontId="0" fillId="0" borderId="4" xfId="0" applyNumberFormat="1" applyBorder="1" applyAlignment="1"/>
    <xf numFmtId="183" fontId="0" fillId="0" borderId="3" xfId="0" applyNumberFormat="1" applyBorder="1" applyAlignment="1"/>
    <xf numFmtId="183" fontId="0" fillId="0" borderId="55" xfId="0" applyNumberFormat="1" applyBorder="1" applyAlignment="1"/>
    <xf numFmtId="0" fontId="30" fillId="0" borderId="18" xfId="0" applyFont="1" applyBorder="1" applyAlignment="1">
      <alignment wrapText="1"/>
    </xf>
    <xf numFmtId="2" fontId="3" fillId="2" borderId="4" xfId="0" applyNumberFormat="1" applyFont="1" applyFill="1" applyBorder="1" applyAlignment="1">
      <alignment horizontal="center"/>
    </xf>
    <xf numFmtId="0" fontId="15" fillId="0" borderId="37" xfId="0" applyFont="1" applyFill="1" applyBorder="1" applyAlignment="1">
      <alignment horizontal="center"/>
    </xf>
    <xf numFmtId="165" fontId="15" fillId="0" borderId="40" xfId="0" applyNumberFormat="1" applyFont="1" applyFill="1" applyBorder="1" applyAlignment="1">
      <alignment horizontal="center"/>
    </xf>
    <xf numFmtId="41" fontId="29" fillId="0" borderId="0" xfId="2" applyFont="1" applyFill="1" applyBorder="1"/>
    <xf numFmtId="17" fontId="6" fillId="0" borderId="0" xfId="2" applyNumberFormat="1" applyFont="1" applyFill="1" applyBorder="1"/>
    <xf numFmtId="17" fontId="6" fillId="0" borderId="0" xfId="2" applyNumberFormat="1" applyFont="1" applyFill="1" applyBorder="1" applyAlignment="1">
      <alignment horizontal="left"/>
    </xf>
    <xf numFmtId="165" fontId="14" fillId="0" borderId="1" xfId="0" applyNumberFormat="1" applyFont="1" applyFill="1" applyBorder="1">
      <alignment vertical="top"/>
    </xf>
    <xf numFmtId="0" fontId="14" fillId="0" borderId="15" xfId="0" applyFont="1" applyFill="1" applyBorder="1" applyAlignment="1">
      <alignment vertical="top" wrapText="1"/>
    </xf>
    <xf numFmtId="0" fontId="14" fillId="0" borderId="53" xfId="0" applyFont="1" applyFill="1" applyBorder="1">
      <alignment vertical="top"/>
    </xf>
    <xf numFmtId="0" fontId="14" fillId="0" borderId="53" xfId="0" applyFont="1" applyFill="1" applyBorder="1" applyAlignment="1">
      <alignment horizontal="center"/>
    </xf>
    <xf numFmtId="0" fontId="14" fillId="0" borderId="1" xfId="0" applyFont="1" applyFill="1" applyBorder="1" applyAlignment="1">
      <alignment vertical="top" wrapText="1"/>
    </xf>
    <xf numFmtId="0" fontId="1" fillId="0" borderId="0" xfId="0" applyFont="1" applyFill="1">
      <alignment vertical="top"/>
    </xf>
    <xf numFmtId="171" fontId="1" fillId="0" borderId="0" xfId="0" applyNumberFormat="1" applyFont="1" applyFill="1">
      <alignment vertical="top"/>
    </xf>
    <xf numFmtId="165" fontId="1" fillId="0" borderId="0" xfId="0" applyNumberFormat="1" applyFont="1" applyFill="1">
      <alignment vertical="top"/>
    </xf>
    <xf numFmtId="0" fontId="3" fillId="0" borderId="36" xfId="0" applyFont="1" applyFill="1" applyBorder="1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0" fontId="14" fillId="0" borderId="38" xfId="0" applyFont="1" applyFill="1" applyBorder="1">
      <alignment vertical="top"/>
    </xf>
    <xf numFmtId="165" fontId="1" fillId="0" borderId="0" xfId="0" applyNumberFormat="1" applyFont="1" applyFill="1" applyBorder="1">
      <alignment vertical="top"/>
    </xf>
    <xf numFmtId="0" fontId="1" fillId="0" borderId="0" xfId="0" applyFont="1" applyFill="1" applyAlignment="1">
      <alignment horizontal="center" vertical="top"/>
    </xf>
    <xf numFmtId="17" fontId="1" fillId="0" borderId="0" xfId="0" applyNumberFormat="1" applyFont="1" applyFill="1" applyBorder="1" applyAlignment="1">
      <alignment horizontal="left" vertical="top"/>
    </xf>
    <xf numFmtId="0" fontId="14" fillId="0" borderId="30" xfId="0" applyFont="1" applyFill="1" applyBorder="1">
      <alignment vertical="top"/>
    </xf>
    <xf numFmtId="165" fontId="14" fillId="0" borderId="27" xfId="2" applyNumberFormat="1" applyFont="1" applyFill="1" applyBorder="1"/>
    <xf numFmtId="165" fontId="14" fillId="0" borderId="29" xfId="2" applyNumberFormat="1" applyFont="1" applyFill="1" applyBorder="1"/>
    <xf numFmtId="0" fontId="14" fillId="0" borderId="1" xfId="2" applyNumberFormat="1" applyFont="1" applyFill="1" applyBorder="1"/>
    <xf numFmtId="17" fontId="1" fillId="0" borderId="0" xfId="0" applyNumberFormat="1" applyFont="1" applyFill="1" applyAlignment="1">
      <alignment horizontal="left" vertical="top"/>
    </xf>
    <xf numFmtId="0" fontId="14" fillId="0" borderId="1" xfId="2" applyNumberFormat="1" applyFont="1" applyFill="1" applyBorder="1" applyAlignment="1"/>
    <xf numFmtId="17" fontId="1" fillId="0" borderId="0" xfId="0" applyNumberFormat="1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176" fontId="1" fillId="0" borderId="3" xfId="0" applyNumberFormat="1" applyFont="1" applyFill="1" applyBorder="1" applyAlignment="1">
      <alignment horizontal="center" vertical="top"/>
    </xf>
    <xf numFmtId="0" fontId="1" fillId="0" borderId="0" xfId="0" applyFont="1" applyFill="1" applyBorder="1">
      <alignment vertical="top"/>
    </xf>
    <xf numFmtId="41" fontId="1" fillId="0" borderId="0" xfId="2" applyFont="1" applyFill="1" applyBorder="1"/>
    <xf numFmtId="0" fontId="14" fillId="0" borderId="2" xfId="2" applyNumberFormat="1" applyFont="1" applyFill="1" applyBorder="1"/>
    <xf numFmtId="0" fontId="14" fillId="0" borderId="2" xfId="0" applyNumberFormat="1" applyFont="1" applyFill="1" applyBorder="1">
      <alignment vertical="top"/>
    </xf>
    <xf numFmtId="0" fontId="14" fillId="0" borderId="39" xfId="0" applyFont="1" applyFill="1" applyBorder="1">
      <alignment vertical="top"/>
    </xf>
    <xf numFmtId="0" fontId="1" fillId="0" borderId="1" xfId="0" applyFont="1" applyFill="1" applyBorder="1">
      <alignment vertical="top"/>
    </xf>
    <xf numFmtId="3" fontId="1" fillId="0" borderId="0" xfId="0" applyNumberFormat="1" applyFont="1" applyFill="1">
      <alignment vertical="top"/>
    </xf>
    <xf numFmtId="41" fontId="14" fillId="0" borderId="1" xfId="2" applyFont="1" applyFill="1" applyBorder="1"/>
    <xf numFmtId="0" fontId="1" fillId="0" borderId="0" xfId="0" applyFont="1" applyFill="1" applyBorder="1" applyAlignment="1">
      <alignment vertical="top"/>
    </xf>
    <xf numFmtId="165" fontId="1" fillId="0" borderId="0" xfId="0" applyNumberFormat="1" applyFont="1" applyFill="1" applyBorder="1" applyAlignment="1">
      <alignment vertical="top"/>
    </xf>
    <xf numFmtId="177" fontId="14" fillId="0" borderId="27" xfId="0" applyNumberFormat="1" applyFont="1" applyFill="1" applyBorder="1" applyAlignment="1">
      <alignment horizontal="right" vertical="top"/>
    </xf>
    <xf numFmtId="177" fontId="14" fillId="0" borderId="29" xfId="0" applyNumberFormat="1" applyFont="1" applyFill="1" applyBorder="1" applyAlignment="1">
      <alignment horizontal="right" vertical="top"/>
    </xf>
    <xf numFmtId="0" fontId="15" fillId="0" borderId="30" xfId="0" applyFont="1" applyFill="1" applyBorder="1" applyAlignment="1">
      <alignment horizontal="center"/>
    </xf>
    <xf numFmtId="0" fontId="15" fillId="0" borderId="15" xfId="0" applyFont="1" applyFill="1" applyBorder="1" applyAlignment="1">
      <alignment horizontal="center"/>
    </xf>
    <xf numFmtId="0" fontId="15" fillId="0" borderId="29" xfId="0" applyFont="1" applyFill="1" applyBorder="1" applyAlignment="1">
      <alignment horizontal="center"/>
    </xf>
    <xf numFmtId="0" fontId="14" fillId="0" borderId="21" xfId="0" applyFont="1" applyFill="1" applyBorder="1">
      <alignment vertical="top"/>
    </xf>
    <xf numFmtId="0" fontId="1" fillId="0" borderId="35" xfId="0" applyFont="1" applyFill="1" applyBorder="1" applyAlignment="1">
      <alignment horizontal="center"/>
    </xf>
    <xf numFmtId="0" fontId="14" fillId="0" borderId="41" xfId="0" applyFont="1" applyFill="1" applyBorder="1">
      <alignment vertical="top"/>
    </xf>
    <xf numFmtId="0" fontId="1" fillId="0" borderId="35" xfId="0" applyFont="1" applyFill="1" applyBorder="1">
      <alignment vertical="top"/>
    </xf>
    <xf numFmtId="165" fontId="1" fillId="0" borderId="1" xfId="0" applyNumberFormat="1" applyFont="1" applyFill="1" applyBorder="1">
      <alignment vertical="top"/>
    </xf>
    <xf numFmtId="17" fontId="1" fillId="0" borderId="0" xfId="0" applyNumberFormat="1" applyFont="1" applyFill="1" applyAlignment="1">
      <alignment horizontal="center" vertical="top"/>
    </xf>
    <xf numFmtId="0" fontId="14" fillId="0" borderId="1" xfId="0" applyFont="1" applyFill="1" applyBorder="1" applyAlignment="1">
      <alignment horizontal="left"/>
    </xf>
    <xf numFmtId="2" fontId="14" fillId="0" borderId="1" xfId="0" applyNumberFormat="1" applyFont="1" applyFill="1" applyBorder="1" applyAlignment="1">
      <alignment horizontal="left"/>
    </xf>
    <xf numFmtId="165" fontId="1" fillId="0" borderId="27" xfId="0" applyNumberFormat="1" applyFont="1" applyFill="1" applyBorder="1">
      <alignment vertical="top"/>
    </xf>
    <xf numFmtId="177" fontId="1" fillId="0" borderId="27" xfId="0" applyNumberFormat="1" applyFont="1" applyFill="1" applyBorder="1" applyAlignment="1">
      <alignment horizontal="right" vertical="top"/>
    </xf>
    <xf numFmtId="177" fontId="1" fillId="0" borderId="35" xfId="0" applyNumberFormat="1" applyFont="1" applyFill="1" applyBorder="1" applyAlignment="1">
      <alignment horizontal="right" vertical="top"/>
    </xf>
    <xf numFmtId="177" fontId="1" fillId="0" borderId="1" xfId="0" applyNumberFormat="1" applyFont="1" applyFill="1" applyBorder="1" applyAlignment="1">
      <alignment horizontal="right" vertical="top"/>
    </xf>
    <xf numFmtId="2" fontId="1" fillId="0" borderId="0" xfId="0" applyNumberFormat="1" applyFont="1" applyFill="1" applyAlignment="1">
      <alignment horizontal="center"/>
    </xf>
    <xf numFmtId="166" fontId="1" fillId="0" borderId="0" xfId="0" applyNumberFormat="1" applyFont="1" applyFill="1" applyBorder="1">
      <alignment vertical="top"/>
    </xf>
    <xf numFmtId="177" fontId="1" fillId="0" borderId="35" xfId="0" applyNumberFormat="1" applyFont="1" applyFill="1" applyBorder="1" applyAlignment="1">
      <alignment horizontal="right"/>
    </xf>
    <xf numFmtId="177" fontId="1" fillId="0" borderId="1" xfId="0" applyNumberFormat="1" applyFont="1" applyFill="1" applyBorder="1" applyAlignment="1">
      <alignment horizontal="right"/>
    </xf>
    <xf numFmtId="166" fontId="1" fillId="0" borderId="0" xfId="0" applyNumberFormat="1" applyFont="1" applyFill="1">
      <alignment vertical="top"/>
    </xf>
    <xf numFmtId="2" fontId="1" fillId="0" borderId="35" xfId="0" applyNumberFormat="1" applyFont="1" applyFill="1" applyBorder="1" applyAlignment="1">
      <alignment horizontal="left"/>
    </xf>
    <xf numFmtId="2" fontId="1" fillId="0" borderId="3" xfId="0" applyNumberFormat="1" applyFont="1" applyFill="1" applyBorder="1" applyAlignment="1">
      <alignment vertical="top"/>
    </xf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center"/>
    </xf>
    <xf numFmtId="0" fontId="14" fillId="0" borderId="10" xfId="0" applyFont="1" applyFill="1" applyBorder="1">
      <alignment vertical="top"/>
    </xf>
    <xf numFmtId="0" fontId="22" fillId="0" borderId="0" xfId="0" applyFont="1" applyFill="1" applyAlignment="1">
      <alignment horizontal="center" vertical="center" wrapText="1"/>
    </xf>
    <xf numFmtId="0" fontId="22" fillId="2" borderId="1" xfId="0" applyFont="1" applyFill="1" applyBorder="1" applyAlignment="1">
      <alignment horizontal="left" vertical="center" wrapText="1"/>
    </xf>
    <xf numFmtId="2" fontId="0" fillId="0" borderId="0" xfId="0" applyNumberFormat="1" applyFill="1" applyBorder="1" applyAlignment="1">
      <alignment horizontal="center" wrapText="1"/>
    </xf>
    <xf numFmtId="0" fontId="1" fillId="0" borderId="19" xfId="0" applyFont="1" applyFill="1" applyBorder="1" applyAlignment="1">
      <alignment horizontal="center"/>
    </xf>
    <xf numFmtId="2" fontId="12" fillId="0" borderId="53" xfId="0" applyNumberFormat="1" applyFont="1" applyFill="1" applyBorder="1" applyAlignment="1">
      <alignment horizontal="center"/>
    </xf>
    <xf numFmtId="2" fontId="12" fillId="0" borderId="54" xfId="0" applyNumberFormat="1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0" fontId="10" fillId="0" borderId="19" xfId="0" applyFont="1" applyFill="1" applyBorder="1" applyAlignment="1">
      <alignment horizontal="center"/>
    </xf>
    <xf numFmtId="0" fontId="10" fillId="0" borderId="20" xfId="0" applyFont="1" applyFill="1" applyBorder="1" applyAlignment="1">
      <alignment horizontal="center"/>
    </xf>
    <xf numFmtId="0" fontId="10" fillId="0" borderId="18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34" xfId="0" applyFont="1" applyFill="1" applyBorder="1" applyAlignment="1">
      <alignment horizontal="center"/>
    </xf>
    <xf numFmtId="2" fontId="10" fillId="0" borderId="18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2" fontId="10" fillId="0" borderId="34" xfId="0" applyNumberFormat="1" applyFont="1" applyFill="1" applyBorder="1" applyAlignment="1">
      <alignment horizontal="center"/>
    </xf>
    <xf numFmtId="2" fontId="11" fillId="0" borderId="18" xfId="0" applyNumberFormat="1" applyFont="1" applyFill="1" applyBorder="1" applyAlignment="1">
      <alignment horizontal="center"/>
    </xf>
    <xf numFmtId="2" fontId="11" fillId="0" borderId="0" xfId="0" applyNumberFormat="1" applyFont="1" applyFill="1" applyBorder="1" applyAlignment="1">
      <alignment horizontal="center"/>
    </xf>
    <xf numFmtId="2" fontId="11" fillId="0" borderId="34" xfId="0" applyNumberFormat="1" applyFont="1" applyFill="1" applyBorder="1" applyAlignment="1">
      <alignment horizontal="center"/>
    </xf>
    <xf numFmtId="0" fontId="1" fillId="0" borderId="45" xfId="0" applyFont="1" applyFill="1" applyBorder="1" applyAlignment="1">
      <alignment horizontal="center" vertical="top"/>
    </xf>
    <xf numFmtId="0" fontId="1" fillId="0" borderId="35" xfId="0" applyFont="1" applyFill="1" applyBorder="1" applyAlignment="1">
      <alignment horizontal="center" vertical="top"/>
    </xf>
    <xf numFmtId="0" fontId="1" fillId="0" borderId="6" xfId="0" applyFont="1" applyFill="1" applyBorder="1" applyAlignment="1">
      <alignment horizontal="center"/>
    </xf>
    <xf numFmtId="0" fontId="1" fillId="0" borderId="22" xfId="0" applyFont="1" applyFill="1" applyBorder="1" applyAlignment="1">
      <alignment horizontal="center"/>
    </xf>
    <xf numFmtId="0" fontId="1" fillId="0" borderId="18" xfId="0" applyFont="1" applyFill="1" applyBorder="1" applyAlignment="1">
      <alignment horizontal="center" vertical="top"/>
    </xf>
    <xf numFmtId="0" fontId="1" fillId="0" borderId="0" xfId="0" applyFont="1" applyFill="1" applyAlignment="1">
      <alignment horizontal="center" vertical="top"/>
    </xf>
    <xf numFmtId="17" fontId="1" fillId="0" borderId="0" xfId="0" applyNumberFormat="1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horizontal="center" vertical="top"/>
    </xf>
    <xf numFmtId="165" fontId="3" fillId="0" borderId="60" xfId="0" applyNumberFormat="1" applyFont="1" applyFill="1" applyBorder="1" applyAlignment="1">
      <alignment horizontal="center"/>
    </xf>
    <xf numFmtId="165" fontId="3" fillId="0" borderId="61" xfId="0" applyNumberFormat="1" applyFont="1" applyFill="1" applyBorder="1" applyAlignment="1">
      <alignment horizontal="center"/>
    </xf>
    <xf numFmtId="165" fontId="3" fillId="0" borderId="63" xfId="0" applyNumberFormat="1" applyFont="1" applyFill="1" applyBorder="1" applyAlignment="1">
      <alignment horizontal="center"/>
    </xf>
    <xf numFmtId="165" fontId="3" fillId="0" borderId="41" xfId="0" applyNumberFormat="1" applyFont="1" applyFill="1" applyBorder="1" applyAlignment="1">
      <alignment horizontal="center"/>
    </xf>
    <xf numFmtId="165" fontId="3" fillId="0" borderId="42" xfId="0" applyNumberFormat="1" applyFont="1" applyFill="1" applyBorder="1" applyAlignment="1">
      <alignment horizontal="center"/>
    </xf>
    <xf numFmtId="165" fontId="3" fillId="0" borderId="32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top"/>
    </xf>
    <xf numFmtId="0" fontId="5" fillId="0" borderId="7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165" fontId="5" fillId="0" borderId="8" xfId="0" applyNumberFormat="1" applyFont="1" applyBorder="1" applyAlignment="1">
      <alignment horizontal="center" vertical="center" wrapText="1"/>
    </xf>
    <xf numFmtId="0" fontId="16" fillId="0" borderId="57" xfId="0" applyFont="1" applyBorder="1" applyAlignment="1" applyProtection="1">
      <alignment horizontal="left"/>
    </xf>
    <xf numFmtId="0" fontId="16" fillId="0" borderId="35" xfId="0" applyFont="1" applyBorder="1" applyAlignment="1" applyProtection="1">
      <alignment horizontal="left"/>
    </xf>
    <xf numFmtId="0" fontId="5" fillId="0" borderId="64" xfId="0" applyFont="1" applyBorder="1" applyAlignment="1" applyProtection="1">
      <alignment horizontal="center"/>
    </xf>
    <xf numFmtId="0" fontId="5" fillId="0" borderId="65" xfId="0" applyFont="1" applyBorder="1" applyAlignment="1" applyProtection="1">
      <alignment horizontal="center"/>
    </xf>
    <xf numFmtId="0" fontId="16" fillId="0" borderId="60" xfId="0" applyFont="1" applyBorder="1" applyAlignment="1" applyProtection="1">
      <alignment horizontal="left"/>
    </xf>
    <xf numFmtId="0" fontId="16" fillId="0" borderId="62" xfId="0" applyFont="1" applyBorder="1" applyAlignment="1" applyProtection="1">
      <alignment horizontal="left"/>
    </xf>
    <xf numFmtId="0" fontId="10" fillId="0" borderId="0" xfId="0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2" fontId="12" fillId="0" borderId="0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165" fontId="5" fillId="0" borderId="9" xfId="0" applyNumberFormat="1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6" fillId="0" borderId="31" xfId="0" applyFont="1" applyBorder="1" applyAlignment="1" applyProtection="1">
      <alignment horizontal="left"/>
    </xf>
    <xf numFmtId="0" fontId="16" fillId="0" borderId="59" xfId="0" applyFont="1" applyBorder="1" applyAlignment="1" applyProtection="1">
      <alignment horizontal="left"/>
    </xf>
    <xf numFmtId="0" fontId="2" fillId="0" borderId="64" xfId="0" applyFont="1" applyBorder="1" applyAlignment="1" applyProtection="1">
      <alignment horizontal="center"/>
    </xf>
    <xf numFmtId="0" fontId="2" fillId="0" borderId="66" xfId="0" applyFont="1" applyBorder="1" applyAlignment="1" applyProtection="1">
      <alignment horizontal="center"/>
    </xf>
    <xf numFmtId="0" fontId="2" fillId="0" borderId="67" xfId="0" applyFont="1" applyBorder="1" applyAlignment="1" applyProtection="1">
      <alignment horizontal="center"/>
    </xf>
    <xf numFmtId="2" fontId="4" fillId="0" borderId="44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2" fontId="4" fillId="0" borderId="44" xfId="2" applyNumberFormat="1" applyFont="1" applyBorder="1" applyAlignment="1">
      <alignment horizontal="center"/>
    </xf>
    <xf numFmtId="2" fontId="4" fillId="0" borderId="35" xfId="2" applyNumberFormat="1" applyFont="1" applyBorder="1" applyAlignment="1">
      <alignment horizontal="center"/>
    </xf>
    <xf numFmtId="2" fontId="4" fillId="0" borderId="45" xfId="0" applyNumberFormat="1" applyFont="1" applyBorder="1" applyAlignment="1">
      <alignment horizontal="center"/>
    </xf>
    <xf numFmtId="0" fontId="25" fillId="5" borderId="68" xfId="0" applyFont="1" applyFill="1" applyBorder="1" applyAlignment="1">
      <alignment horizontal="center" vertical="top"/>
    </xf>
    <xf numFmtId="0" fontId="25" fillId="5" borderId="69" xfId="0" applyFont="1" applyFill="1" applyBorder="1" applyAlignment="1">
      <alignment horizontal="center" vertical="top"/>
    </xf>
    <xf numFmtId="0" fontId="25" fillId="5" borderId="70" xfId="0" applyFont="1" applyFill="1" applyBorder="1" applyAlignment="1">
      <alignment horizontal="center" vertical="top"/>
    </xf>
    <xf numFmtId="170" fontId="4" fillId="0" borderId="44" xfId="2" applyNumberFormat="1" applyFont="1" applyBorder="1" applyAlignment="1">
      <alignment horizontal="center"/>
    </xf>
    <xf numFmtId="170" fontId="4" fillId="0" borderId="35" xfId="2" applyNumberFormat="1" applyFont="1" applyBorder="1" applyAlignment="1">
      <alignment horizontal="center"/>
    </xf>
    <xf numFmtId="0" fontId="0" fillId="0" borderId="57" xfId="0" applyBorder="1" applyAlignment="1">
      <alignment horizontal="right"/>
    </xf>
    <xf numFmtId="0" fontId="0" fillId="0" borderId="35" xfId="0" applyBorder="1" applyAlignment="1">
      <alignment horizontal="right"/>
    </xf>
    <xf numFmtId="0" fontId="5" fillId="0" borderId="31" xfId="0" applyFont="1" applyBorder="1" applyAlignment="1">
      <alignment horizontal="right"/>
    </xf>
    <xf numFmtId="0" fontId="5" fillId="0" borderId="59" xfId="0" applyFont="1" applyBorder="1" applyAlignment="1">
      <alignment horizontal="right"/>
    </xf>
    <xf numFmtId="2" fontId="5" fillId="0" borderId="31" xfId="0" applyNumberFormat="1" applyFont="1" applyBorder="1" applyAlignment="1">
      <alignment horizontal="left"/>
    </xf>
    <xf numFmtId="2" fontId="5" fillId="0" borderId="58" xfId="0" applyNumberFormat="1" applyFont="1" applyBorder="1" applyAlignment="1">
      <alignment horizontal="left"/>
    </xf>
    <xf numFmtId="2" fontId="5" fillId="0" borderId="59" xfId="0" applyNumberFormat="1" applyFont="1" applyBorder="1" applyAlignment="1">
      <alignment horizontal="left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2" fontId="0" fillId="0" borderId="53" xfId="0" applyNumberFormat="1" applyBorder="1" applyAlignment="1">
      <alignment horizontal="center"/>
    </xf>
    <xf numFmtId="2" fontId="5" fillId="0" borderId="60" xfId="0" applyNumberFormat="1" applyFont="1" applyBorder="1" applyAlignment="1">
      <alignment horizontal="left"/>
    </xf>
    <xf numFmtId="2" fontId="5" fillId="0" borderId="61" xfId="0" applyNumberFormat="1" applyFont="1" applyBorder="1" applyAlignment="1">
      <alignment horizontal="left"/>
    </xf>
    <xf numFmtId="2" fontId="5" fillId="0" borderId="62" xfId="0" applyNumberFormat="1" applyFont="1" applyBorder="1" applyAlignment="1">
      <alignment horizontal="left"/>
    </xf>
    <xf numFmtId="0" fontId="5" fillId="0" borderId="57" xfId="0" applyFont="1" applyBorder="1" applyAlignment="1">
      <alignment horizontal="left"/>
    </xf>
    <xf numFmtId="0" fontId="5" fillId="0" borderId="45" xfId="0" applyFont="1" applyBorder="1" applyAlignment="1">
      <alignment horizontal="left"/>
    </xf>
    <xf numFmtId="0" fontId="5" fillId="0" borderId="35" xfId="0" applyFont="1" applyBorder="1" applyAlignment="1">
      <alignment horizontal="left"/>
    </xf>
    <xf numFmtId="0" fontId="5" fillId="2" borderId="24" xfId="0" applyFont="1" applyFill="1" applyBorder="1" applyAlignment="1">
      <alignment horizontal="center"/>
    </xf>
    <xf numFmtId="0" fontId="5" fillId="2" borderId="22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4" xfId="0" applyBorder="1" applyAlignment="1">
      <alignment horizontal="center"/>
    </xf>
    <xf numFmtId="0" fontId="5" fillId="2" borderId="18" xfId="0" applyFont="1" applyFill="1" applyBorder="1" applyAlignment="1">
      <alignment horizontal="center"/>
    </xf>
    <xf numFmtId="0" fontId="5" fillId="2" borderId="33" xfId="0" applyFont="1" applyFill="1" applyBorder="1" applyAlignment="1">
      <alignment horizontal="center"/>
    </xf>
    <xf numFmtId="0" fontId="0" fillId="0" borderId="24" xfId="0" applyBorder="1" applyAlignment="1">
      <alignment horizontal="left"/>
    </xf>
    <xf numFmtId="0" fontId="0" fillId="0" borderId="22" xfId="0" applyBorder="1" applyAlignment="1">
      <alignment horizontal="left"/>
    </xf>
    <xf numFmtId="2" fontId="5" fillId="0" borderId="63" xfId="0" applyNumberFormat="1" applyFont="1" applyBorder="1" applyAlignment="1">
      <alignment horizontal="left"/>
    </xf>
    <xf numFmtId="2" fontId="0" fillId="0" borderId="24" xfId="0" applyNumberFormat="1" applyBorder="1" applyAlignment="1">
      <alignment horizontal="left"/>
    </xf>
    <xf numFmtId="2" fontId="0" fillId="0" borderId="22" xfId="0" applyNumberFormat="1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71" xfId="0" applyBorder="1" applyAlignment="1">
      <alignment horizontal="left"/>
    </xf>
    <xf numFmtId="0" fontId="0" fillId="0" borderId="53" xfId="0" applyBorder="1" applyAlignment="1">
      <alignment horizontal="center"/>
    </xf>
    <xf numFmtId="2" fontId="0" fillId="0" borderId="60" xfId="0" applyNumberFormat="1" applyBorder="1" applyAlignment="1">
      <alignment horizontal="left"/>
    </xf>
    <xf numFmtId="2" fontId="0" fillId="0" borderId="61" xfId="0" applyNumberFormat="1" applyBorder="1" applyAlignment="1">
      <alignment horizontal="left"/>
    </xf>
    <xf numFmtId="2" fontId="0" fillId="0" borderId="63" xfId="0" applyNumberFormat="1" applyBorder="1" applyAlignment="1">
      <alignment horizontal="left"/>
    </xf>
    <xf numFmtId="2" fontId="0" fillId="0" borderId="71" xfId="0" applyNumberFormat="1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33" xfId="0" applyBorder="1" applyAlignment="1">
      <alignment horizontal="left"/>
    </xf>
    <xf numFmtId="0" fontId="0" fillId="0" borderId="18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24" xfId="0" applyNumberFormat="1" applyBorder="1" applyAlignment="1">
      <alignment horizontal="left"/>
    </xf>
    <xf numFmtId="0" fontId="0" fillId="0" borderId="22" xfId="0" applyNumberFormat="1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0" xfId="0" applyBorder="1" applyAlignment="1">
      <alignment horizontal="left"/>
    </xf>
    <xf numFmtId="2" fontId="0" fillId="3" borderId="53" xfId="0" applyNumberFormat="1" applyFill="1" applyBorder="1" applyAlignment="1">
      <alignment horizontal="left"/>
    </xf>
    <xf numFmtId="2" fontId="0" fillId="3" borderId="54" xfId="0" applyNumberFormat="1" applyFill="1" applyBorder="1" applyAlignment="1">
      <alignment horizontal="left"/>
    </xf>
    <xf numFmtId="0" fontId="0" fillId="0" borderId="66" xfId="0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2" fontId="10" fillId="0" borderId="34" xfId="0" applyNumberFormat="1" applyFont="1" applyBorder="1" applyAlignment="1">
      <alignment horizontal="center"/>
    </xf>
    <xf numFmtId="2" fontId="11" fillId="0" borderId="0" xfId="0" applyNumberFormat="1" applyFont="1" applyBorder="1" applyAlignment="1">
      <alignment horizontal="center"/>
    </xf>
    <xf numFmtId="2" fontId="11" fillId="0" borderId="34" xfId="0" applyNumberFormat="1" applyFont="1" applyBorder="1" applyAlignment="1">
      <alignment horizontal="center"/>
    </xf>
    <xf numFmtId="0" fontId="0" fillId="0" borderId="18" xfId="0" applyNumberFormat="1" applyBorder="1" applyAlignment="1">
      <alignment horizontal="left"/>
    </xf>
    <xf numFmtId="0" fontId="0" fillId="0" borderId="33" xfId="0" applyNumberFormat="1" applyBorder="1" applyAlignment="1">
      <alignment horizontal="left"/>
    </xf>
    <xf numFmtId="2" fontId="12" fillId="0" borderId="53" xfId="0" applyNumberFormat="1" applyFont="1" applyBorder="1" applyAlignment="1">
      <alignment horizontal="center"/>
    </xf>
    <xf numFmtId="2" fontId="12" fillId="0" borderId="54" xfId="0" applyNumberFormat="1" applyFont="1" applyBorder="1" applyAlignment="1">
      <alignment horizontal="center"/>
    </xf>
    <xf numFmtId="0" fontId="4" fillId="0" borderId="24" xfId="0" applyFont="1" applyFill="1" applyBorder="1" applyAlignment="1">
      <alignment horizontal="left" wrapText="1"/>
    </xf>
    <xf numFmtId="0" fontId="0" fillId="0" borderId="22" xfId="0" applyFill="1" applyBorder="1" applyAlignment="1">
      <alignment horizontal="left" wrapText="1"/>
    </xf>
    <xf numFmtId="2" fontId="0" fillId="0" borderId="0" xfId="0" applyNumberFormat="1" applyBorder="1" applyAlignment="1">
      <alignment horizontal="center"/>
    </xf>
    <xf numFmtId="2" fontId="0" fillId="0" borderId="33" xfId="0" applyNumberFormat="1" applyBorder="1" applyAlignment="1">
      <alignment horizontal="center"/>
    </xf>
    <xf numFmtId="0" fontId="4" fillId="0" borderId="0" xfId="0" applyFont="1" applyBorder="1" applyAlignment="1">
      <alignment horizontal="left"/>
    </xf>
    <xf numFmtId="2" fontId="0" fillId="3" borderId="53" xfId="0" applyNumberFormat="1" applyFill="1" applyBorder="1" applyAlignment="1">
      <alignment horizontal="left" wrapText="1"/>
    </xf>
    <xf numFmtId="2" fontId="0" fillId="3" borderId="54" xfId="0" applyNumberFormat="1" applyFill="1" applyBorder="1" applyAlignment="1">
      <alignment horizontal="left" wrapText="1"/>
    </xf>
    <xf numFmtId="0" fontId="0" fillId="4" borderId="18" xfId="0" applyFill="1" applyBorder="1" applyAlignment="1">
      <alignment horizontal="left"/>
    </xf>
    <xf numFmtId="0" fontId="0" fillId="4" borderId="33" xfId="0" applyFill="1" applyBorder="1" applyAlignment="1">
      <alignment horizontal="left"/>
    </xf>
    <xf numFmtId="41" fontId="0" fillId="0" borderId="18" xfId="0" applyNumberFormat="1" applyFill="1" applyBorder="1" applyAlignment="1">
      <alignment horizontal="left"/>
    </xf>
    <xf numFmtId="41" fontId="0" fillId="0" borderId="33" xfId="0" applyNumberFormat="1" applyFill="1" applyBorder="1" applyAlignment="1">
      <alignment horizontal="left"/>
    </xf>
    <xf numFmtId="0" fontId="0" fillId="0" borderId="18" xfId="0" applyFill="1" applyBorder="1" applyAlignment="1">
      <alignment horizontal="left"/>
    </xf>
    <xf numFmtId="0" fontId="0" fillId="0" borderId="33" xfId="0" applyFill="1" applyBorder="1" applyAlignment="1">
      <alignment horizontal="left"/>
    </xf>
    <xf numFmtId="41" fontId="0" fillId="0" borderId="24" xfId="0" applyNumberFormat="1" applyBorder="1" applyAlignment="1">
      <alignment horizontal="left"/>
    </xf>
    <xf numFmtId="41" fontId="0" fillId="0" borderId="22" xfId="0" applyNumberFormat="1" applyBorder="1" applyAlignment="1">
      <alignment horizontal="left"/>
    </xf>
    <xf numFmtId="41" fontId="0" fillId="0" borderId="18" xfId="0" applyNumberFormat="1" applyBorder="1" applyAlignment="1">
      <alignment horizontal="left"/>
    </xf>
    <xf numFmtId="41" fontId="0" fillId="0" borderId="33" xfId="0" applyNumberFormat="1" applyBorder="1" applyAlignment="1">
      <alignment horizontal="left"/>
    </xf>
    <xf numFmtId="41" fontId="0" fillId="0" borderId="24" xfId="0" applyNumberFormat="1" applyBorder="1" applyAlignment="1">
      <alignment horizontal="center"/>
    </xf>
    <xf numFmtId="41" fontId="0" fillId="0" borderId="22" xfId="0" applyNumberFormat="1" applyBorder="1" applyAlignment="1">
      <alignment horizontal="center"/>
    </xf>
    <xf numFmtId="41" fontId="0" fillId="0" borderId="18" xfId="0" applyNumberFormat="1" applyBorder="1" applyAlignment="1">
      <alignment horizontal="center"/>
    </xf>
    <xf numFmtId="41" fontId="0" fillId="0" borderId="33" xfId="0" applyNumberFormat="1" applyBorder="1" applyAlignment="1">
      <alignment horizontal="center"/>
    </xf>
    <xf numFmtId="49" fontId="0" fillId="0" borderId="18" xfId="0" applyNumberFormat="1" applyBorder="1" applyAlignment="1">
      <alignment horizontal="left"/>
    </xf>
    <xf numFmtId="49" fontId="0" fillId="0" borderId="33" xfId="0" applyNumberFormat="1" applyBorder="1" applyAlignment="1">
      <alignment horizontal="left"/>
    </xf>
    <xf numFmtId="2" fontId="11" fillId="0" borderId="18" xfId="0" applyNumberFormat="1" applyFont="1" applyBorder="1" applyAlignment="1">
      <alignment horizontal="center"/>
    </xf>
    <xf numFmtId="2" fontId="5" fillId="0" borderId="31" xfId="0" applyNumberFormat="1" applyFont="1" applyFill="1" applyBorder="1" applyAlignment="1">
      <alignment horizontal="left"/>
    </xf>
    <xf numFmtId="2" fontId="5" fillId="0" borderId="58" xfId="0" applyNumberFormat="1" applyFont="1" applyFill="1" applyBorder="1" applyAlignment="1">
      <alignment horizontal="left"/>
    </xf>
    <xf numFmtId="2" fontId="5" fillId="0" borderId="59" xfId="0" applyNumberFormat="1" applyFont="1" applyFill="1" applyBorder="1" applyAlignment="1">
      <alignment horizontal="left"/>
    </xf>
    <xf numFmtId="0" fontId="3" fillId="0" borderId="19" xfId="3" applyFont="1" applyBorder="1" applyAlignment="1">
      <alignment horizontal="left" wrapText="1"/>
    </xf>
    <xf numFmtId="0" fontId="4" fillId="0" borderId="0" xfId="3" applyFont="1" applyBorder="1" applyAlignment="1">
      <alignment horizontal="left"/>
    </xf>
    <xf numFmtId="2" fontId="4" fillId="6" borderId="53" xfId="3" applyNumberFormat="1" applyFont="1" applyFill="1" applyBorder="1" applyAlignment="1">
      <alignment horizontal="left"/>
    </xf>
    <xf numFmtId="2" fontId="4" fillId="6" borderId="54" xfId="3" applyNumberFormat="1" applyFont="1" applyFill="1" applyBorder="1" applyAlignment="1">
      <alignment horizontal="left"/>
    </xf>
    <xf numFmtId="0" fontId="4" fillId="0" borderId="66" xfId="3" applyNumberFormat="1" applyFont="1" applyBorder="1" applyAlignment="1">
      <alignment horizontal="center"/>
    </xf>
    <xf numFmtId="2" fontId="3" fillId="0" borderId="60" xfId="0" applyNumberFormat="1" applyFont="1" applyBorder="1" applyAlignment="1">
      <alignment horizontal="left"/>
    </xf>
    <xf numFmtId="2" fontId="3" fillId="0" borderId="61" xfId="0" applyNumberFormat="1" applyFont="1" applyBorder="1" applyAlignment="1">
      <alignment horizontal="left"/>
    </xf>
    <xf numFmtId="2" fontId="3" fillId="0" borderId="63" xfId="0" applyNumberFormat="1" applyFont="1" applyBorder="1" applyAlignment="1">
      <alignment horizontal="left"/>
    </xf>
    <xf numFmtId="0" fontId="3" fillId="2" borderId="1" xfId="0" applyFont="1" applyFill="1" applyBorder="1" applyAlignment="1">
      <alignment horizontal="center"/>
    </xf>
    <xf numFmtId="0" fontId="4" fillId="0" borderId="18" xfId="3" applyFont="1" applyBorder="1" applyAlignment="1">
      <alignment horizontal="left"/>
    </xf>
    <xf numFmtId="0" fontId="4" fillId="0" borderId="33" xfId="3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31" fillId="0" borderId="33" xfId="0" applyFont="1" applyBorder="1" applyAlignment="1">
      <alignment horizontal="left"/>
    </xf>
    <xf numFmtId="0" fontId="31" fillId="0" borderId="21" xfId="0" applyFont="1" applyBorder="1" applyAlignment="1">
      <alignment horizontal="center"/>
    </xf>
    <xf numFmtId="0" fontId="31" fillId="0" borderId="71" xfId="0" applyFont="1" applyBorder="1" applyAlignment="1">
      <alignment horizontal="center"/>
    </xf>
    <xf numFmtId="0" fontId="31" fillId="0" borderId="19" xfId="0" applyFont="1" applyBorder="1" applyAlignment="1">
      <alignment horizontal="center"/>
    </xf>
    <xf numFmtId="0" fontId="31" fillId="0" borderId="20" xfId="0" applyFont="1" applyBorder="1" applyAlignment="1">
      <alignment horizontal="center"/>
    </xf>
    <xf numFmtId="0" fontId="31" fillId="0" borderId="53" xfId="0" applyFont="1" applyBorder="1" applyAlignment="1">
      <alignment horizontal="center"/>
    </xf>
    <xf numFmtId="0" fontId="3" fillId="2" borderId="57" xfId="0" applyFont="1" applyFill="1" applyBorder="1" applyAlignment="1">
      <alignment horizontal="center"/>
    </xf>
    <xf numFmtId="0" fontId="3" fillId="2" borderId="35" xfId="0" applyFont="1" applyFill="1" applyBorder="1" applyAlignment="1">
      <alignment horizontal="center"/>
    </xf>
    <xf numFmtId="0" fontId="4" fillId="0" borderId="24" xfId="0" applyFont="1" applyBorder="1" applyAlignment="1">
      <alignment horizontal="left"/>
    </xf>
    <xf numFmtId="0" fontId="4" fillId="0" borderId="22" xfId="0" applyFont="1" applyBorder="1" applyAlignment="1">
      <alignment horizontal="left"/>
    </xf>
    <xf numFmtId="0" fontId="4" fillId="0" borderId="18" xfId="3" applyFont="1" applyBorder="1" applyAlignment="1"/>
    <xf numFmtId="0" fontId="4" fillId="0" borderId="33" xfId="3" applyFont="1" applyBorder="1" applyAlignment="1"/>
    <xf numFmtId="0" fontId="31" fillId="0" borderId="18" xfId="0" applyFont="1" applyBorder="1" applyAlignment="1">
      <alignment horizontal="center"/>
    </xf>
    <xf numFmtId="0" fontId="31" fillId="0" borderId="33" xfId="0" applyFont="1" applyBorder="1" applyAlignment="1">
      <alignment horizontal="center"/>
    </xf>
    <xf numFmtId="2" fontId="31" fillId="0" borderId="53" xfId="0" applyNumberFormat="1" applyFont="1" applyBorder="1" applyAlignment="1">
      <alignment horizontal="center"/>
    </xf>
    <xf numFmtId="2" fontId="3" fillId="0" borderId="62" xfId="0" applyNumberFormat="1" applyFont="1" applyBorder="1" applyAlignment="1">
      <alignment horizontal="left"/>
    </xf>
    <xf numFmtId="0" fontId="31" fillId="0" borderId="0" xfId="0" applyFont="1" applyBorder="1" applyAlignment="1">
      <alignment horizontal="center"/>
    </xf>
    <xf numFmtId="0" fontId="31" fillId="0" borderId="34" xfId="0" applyFont="1" applyBorder="1" applyAlignment="1">
      <alignment horizontal="center"/>
    </xf>
    <xf numFmtId="0" fontId="30" fillId="0" borderId="57" xfId="0" applyFont="1" applyBorder="1" applyAlignment="1">
      <alignment horizontal="right"/>
    </xf>
    <xf numFmtId="0" fontId="30" fillId="0" borderId="35" xfId="0" applyFont="1" applyBorder="1" applyAlignment="1">
      <alignment horizontal="right"/>
    </xf>
    <xf numFmtId="0" fontId="3" fillId="0" borderId="31" xfId="0" applyFont="1" applyBorder="1" applyAlignment="1">
      <alignment horizontal="right"/>
    </xf>
    <xf numFmtId="0" fontId="3" fillId="0" borderId="59" xfId="0" applyFont="1" applyBorder="1" applyAlignment="1">
      <alignment horizontal="right"/>
    </xf>
    <xf numFmtId="0" fontId="3" fillId="0" borderId="57" xfId="0" applyFont="1" applyBorder="1" applyAlignment="1">
      <alignment horizontal="left"/>
    </xf>
    <xf numFmtId="0" fontId="3" fillId="0" borderId="45" xfId="0" applyFont="1" applyBorder="1" applyAlignment="1">
      <alignment horizontal="left"/>
    </xf>
    <xf numFmtId="0" fontId="3" fillId="0" borderId="35" xfId="0" applyFont="1" applyBorder="1" applyAlignment="1">
      <alignment horizontal="left"/>
    </xf>
    <xf numFmtId="2" fontId="3" fillId="0" borderId="31" xfId="0" applyNumberFormat="1" applyFont="1" applyBorder="1" applyAlignment="1">
      <alignment horizontal="left"/>
    </xf>
    <xf numFmtId="2" fontId="3" fillId="0" borderId="58" xfId="0" applyNumberFormat="1" applyFont="1" applyBorder="1" applyAlignment="1">
      <alignment horizontal="left"/>
    </xf>
    <xf numFmtId="2" fontId="3" fillId="0" borderId="59" xfId="0" applyNumberFormat="1" applyFont="1" applyBorder="1" applyAlignment="1">
      <alignment horizontal="left"/>
    </xf>
    <xf numFmtId="0" fontId="4" fillId="0" borderId="18" xfId="0" applyFont="1" applyBorder="1" applyAlignment="1">
      <alignment horizontal="left"/>
    </xf>
    <xf numFmtId="0" fontId="4" fillId="0" borderId="33" xfId="0" applyFont="1" applyBorder="1" applyAlignment="1">
      <alignment horizontal="left"/>
    </xf>
    <xf numFmtId="0" fontId="4" fillId="0" borderId="1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3" fillId="2" borderId="24" xfId="0" applyFont="1" applyFill="1" applyBorder="1" applyAlignment="1">
      <alignment horizontal="center"/>
    </xf>
    <xf numFmtId="0" fontId="3" fillId="2" borderId="22" xfId="0" applyFont="1" applyFill="1" applyBorder="1" applyAlignment="1">
      <alignment horizontal="center"/>
    </xf>
    <xf numFmtId="0" fontId="30" fillId="0" borderId="24" xfId="0" applyNumberFormat="1" applyFont="1" applyBorder="1" applyAlignment="1">
      <alignment horizontal="left" vertical="top"/>
    </xf>
    <xf numFmtId="0" fontId="30" fillId="0" borderId="22" xfId="0" applyNumberFormat="1" applyFont="1" applyBorder="1" applyAlignment="1">
      <alignment horizontal="left" vertical="top"/>
    </xf>
    <xf numFmtId="16" fontId="4" fillId="0" borderId="18" xfId="3" applyNumberFormat="1" applyFont="1" applyBorder="1" applyAlignment="1">
      <alignment horizontal="left"/>
    </xf>
    <xf numFmtId="2" fontId="0" fillId="3" borderId="53" xfId="0" applyNumberFormat="1" applyFill="1" applyBorder="1" applyAlignment="1">
      <alignment horizontal="justify" vertical="justify"/>
    </xf>
    <xf numFmtId="2" fontId="0" fillId="3" borderId="54" xfId="0" applyNumberFormat="1" applyFill="1" applyBorder="1" applyAlignment="1">
      <alignment horizontal="justify" vertical="justify"/>
    </xf>
    <xf numFmtId="0" fontId="30" fillId="0" borderId="24" xfId="0" applyNumberFormat="1" applyFont="1" applyBorder="1" applyAlignment="1">
      <alignment vertical="top"/>
    </xf>
    <xf numFmtId="0" fontId="30" fillId="0" borderId="22" xfId="0" applyNumberFormat="1" applyFont="1" applyBorder="1" applyAlignment="1">
      <alignment vertical="top"/>
    </xf>
    <xf numFmtId="0" fontId="0" fillId="0" borderId="18" xfId="0" applyNumberFormat="1" applyBorder="1" applyAlignment="1">
      <alignment horizontal="center"/>
    </xf>
    <xf numFmtId="0" fontId="0" fillId="0" borderId="33" xfId="0" applyNumberFormat="1" applyBorder="1" applyAlignment="1">
      <alignment horizontal="center"/>
    </xf>
    <xf numFmtId="2" fontId="0" fillId="3" borderId="53" xfId="0" applyNumberFormat="1" applyFill="1" applyBorder="1" applyAlignment="1">
      <alignment horizontal="left" vertical="center" wrapText="1"/>
    </xf>
    <xf numFmtId="2" fontId="0" fillId="3" borderId="54" xfId="0" applyNumberFormat="1" applyFill="1" applyBorder="1" applyAlignment="1">
      <alignment horizontal="left" vertical="center" wrapText="1"/>
    </xf>
    <xf numFmtId="0" fontId="0" fillId="0" borderId="21" xfId="0" applyNumberFormat="1" applyBorder="1" applyAlignment="1">
      <alignment horizontal="center"/>
    </xf>
    <xf numFmtId="0" fontId="0" fillId="0" borderId="71" xfId="0" applyNumberFormat="1" applyBorder="1" applyAlignment="1">
      <alignment horizontal="center"/>
    </xf>
    <xf numFmtId="2" fontId="0" fillId="6" borderId="53" xfId="0" applyNumberFormat="1" applyFill="1" applyBorder="1" applyAlignment="1">
      <alignment horizontal="left"/>
    </xf>
    <xf numFmtId="2" fontId="0" fillId="6" borderId="54" xfId="0" applyNumberFormat="1" applyFill="1" applyBorder="1" applyAlignment="1">
      <alignment horizontal="left"/>
    </xf>
    <xf numFmtId="0" fontId="0" fillId="0" borderId="19" xfId="0" applyNumberFormat="1" applyBorder="1" applyAlignment="1">
      <alignment horizontal="center"/>
    </xf>
    <xf numFmtId="0" fontId="0" fillId="0" borderId="20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34" xfId="0" applyNumberFormat="1" applyBorder="1" applyAlignment="1">
      <alignment horizontal="center"/>
    </xf>
    <xf numFmtId="0" fontId="5" fillId="0" borderId="60" xfId="0" applyNumberFormat="1" applyFont="1" applyBorder="1" applyAlignment="1">
      <alignment horizontal="left"/>
    </xf>
    <xf numFmtId="0" fontId="5" fillId="0" borderId="61" xfId="0" applyNumberFormat="1" applyFont="1" applyBorder="1" applyAlignment="1">
      <alignment horizontal="left"/>
    </xf>
    <xf numFmtId="0" fontId="5" fillId="0" borderId="63" xfId="0" applyNumberFormat="1" applyFont="1" applyBorder="1" applyAlignment="1">
      <alignment horizontal="left"/>
    </xf>
    <xf numFmtId="2" fontId="0" fillId="0" borderId="18" xfId="0" applyNumberFormat="1" applyBorder="1" applyAlignment="1">
      <alignment horizontal="left"/>
    </xf>
    <xf numFmtId="2" fontId="0" fillId="0" borderId="18" xfId="0" applyNumberFormat="1" applyBorder="1" applyAlignment="1">
      <alignment horizontal="justify" vertical="justify"/>
    </xf>
    <xf numFmtId="0" fontId="0" fillId="0" borderId="33" xfId="0" applyNumberFormat="1" applyBorder="1" applyAlignment="1">
      <alignment horizontal="justify" vertical="justify"/>
    </xf>
    <xf numFmtId="0" fontId="0" fillId="0" borderId="0" xfId="0" applyNumberFormat="1" applyBorder="1" applyAlignment="1">
      <alignment horizontal="left"/>
    </xf>
    <xf numFmtId="0" fontId="0" fillId="0" borderId="18" xfId="0" applyNumberFormat="1" applyFill="1" applyBorder="1" applyAlignment="1">
      <alignment horizontal="left"/>
    </xf>
    <xf numFmtId="0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6" xfId="0" applyNumberFormat="1" applyBorder="1" applyAlignment="1">
      <alignment horizontal="left"/>
    </xf>
    <xf numFmtId="2" fontId="0" fillId="0" borderId="21" xfId="0" applyNumberFormat="1" applyBorder="1" applyAlignment="1">
      <alignment horizontal="left"/>
    </xf>
    <xf numFmtId="0" fontId="0" fillId="0" borderId="19" xfId="0" applyFill="1" applyBorder="1" applyAlignment="1">
      <alignment horizontal="left"/>
    </xf>
    <xf numFmtId="0" fontId="0" fillId="0" borderId="20" xfId="0" applyBorder="1" applyAlignment="1">
      <alignment horizontal="left"/>
    </xf>
    <xf numFmtId="0" fontId="4" fillId="0" borderId="18" xfId="0" applyNumberFormat="1" applyFont="1" applyFill="1" applyBorder="1" applyAlignment="1">
      <alignment horizontal="left"/>
    </xf>
    <xf numFmtId="0" fontId="0" fillId="0" borderId="33" xfId="0" applyNumberFormat="1" applyFill="1" applyBorder="1" applyAlignment="1">
      <alignment horizontal="left"/>
    </xf>
    <xf numFmtId="0" fontId="3" fillId="2" borderId="38" xfId="0" applyFont="1" applyFill="1" applyBorder="1" applyAlignment="1">
      <alignment horizontal="center"/>
    </xf>
    <xf numFmtId="0" fontId="30" fillId="0" borderId="19" xfId="0" applyFont="1" applyBorder="1" applyAlignment="1">
      <alignment horizontal="center"/>
    </xf>
    <xf numFmtId="0" fontId="30" fillId="0" borderId="20" xfId="0" applyFont="1" applyBorder="1" applyAlignment="1">
      <alignment horizontal="center"/>
    </xf>
    <xf numFmtId="0" fontId="0" fillId="0" borderId="0" xfId="0" applyFill="1" applyAlignment="1">
      <alignment horizontal="center" vertical="top"/>
    </xf>
    <xf numFmtId="0" fontId="0" fillId="0" borderId="53" xfId="0" applyNumberFormat="1" applyBorder="1" applyAlignment="1">
      <alignment horizontal="center"/>
    </xf>
    <xf numFmtId="0" fontId="5" fillId="0" borderId="62" xfId="0" applyNumberFormat="1" applyFont="1" applyBorder="1" applyAlignment="1">
      <alignment horizontal="left"/>
    </xf>
    <xf numFmtId="0" fontId="5" fillId="0" borderId="57" xfId="0" applyNumberFormat="1" applyFont="1" applyBorder="1" applyAlignment="1">
      <alignment horizontal="left"/>
    </xf>
    <xf numFmtId="0" fontId="5" fillId="0" borderId="45" xfId="0" applyNumberFormat="1" applyFont="1" applyBorder="1" applyAlignment="1">
      <alignment horizontal="left"/>
    </xf>
    <xf numFmtId="0" fontId="5" fillId="0" borderId="35" xfId="0" applyNumberFormat="1" applyFont="1" applyBorder="1" applyAlignment="1">
      <alignment horizontal="left"/>
    </xf>
    <xf numFmtId="0" fontId="5" fillId="0" borderId="31" xfId="0" applyNumberFormat="1" applyFont="1" applyBorder="1" applyAlignment="1">
      <alignment horizontal="left"/>
    </xf>
    <xf numFmtId="0" fontId="5" fillId="0" borderId="58" xfId="0" applyNumberFormat="1" applyFont="1" applyBorder="1" applyAlignment="1">
      <alignment horizontal="left"/>
    </xf>
    <xf numFmtId="0" fontId="5" fillId="0" borderId="59" xfId="0" applyNumberFormat="1" applyFont="1" applyBorder="1" applyAlignment="1">
      <alignment horizontal="left"/>
    </xf>
    <xf numFmtId="0" fontId="5" fillId="2" borderId="24" xfId="0" applyNumberFormat="1" applyFont="1" applyFill="1" applyBorder="1" applyAlignment="1">
      <alignment horizontal="center"/>
    </xf>
    <xf numFmtId="0" fontId="5" fillId="2" borderId="22" xfId="0" applyNumberFormat="1" applyFont="1" applyFill="1" applyBorder="1" applyAlignment="1">
      <alignment horizontal="center"/>
    </xf>
    <xf numFmtId="0" fontId="0" fillId="0" borderId="21" xfId="0" applyNumberFormat="1" applyBorder="1" applyAlignment="1">
      <alignment horizontal="left"/>
    </xf>
    <xf numFmtId="0" fontId="0" fillId="0" borderId="71" xfId="0" applyNumberFormat="1" applyBorder="1" applyAlignment="1">
      <alignment horizontal="left"/>
    </xf>
    <xf numFmtId="0" fontId="5" fillId="2" borderId="18" xfId="0" applyNumberFormat="1" applyFont="1" applyFill="1" applyBorder="1" applyAlignment="1">
      <alignment horizontal="center"/>
    </xf>
    <xf numFmtId="0" fontId="5" fillId="2" borderId="33" xfId="0" applyNumberFormat="1" applyFont="1" applyFill="1" applyBorder="1" applyAlignment="1">
      <alignment horizontal="center"/>
    </xf>
    <xf numFmtId="0" fontId="6" fillId="0" borderId="18" xfId="0" applyNumberFormat="1" applyFont="1" applyBorder="1" applyAlignment="1">
      <alignment horizontal="left"/>
    </xf>
    <xf numFmtId="0" fontId="6" fillId="0" borderId="33" xfId="0" applyNumberFormat="1" applyFont="1" applyBorder="1" applyAlignment="1">
      <alignment horizontal="left"/>
    </xf>
    <xf numFmtId="0" fontId="0" fillId="0" borderId="66" xfId="0" applyNumberFormat="1" applyBorder="1" applyAlignment="1">
      <alignment horizontal="center"/>
    </xf>
    <xf numFmtId="2" fontId="0" fillId="0" borderId="53" xfId="0" applyNumberFormat="1" applyFill="1" applyBorder="1" applyAlignment="1">
      <alignment horizontal="justify" vertical="justify"/>
    </xf>
    <xf numFmtId="2" fontId="0" fillId="0" borderId="54" xfId="0" applyNumberFormat="1" applyFill="1" applyBorder="1" applyAlignment="1">
      <alignment horizontal="justify" vertical="justify"/>
    </xf>
    <xf numFmtId="0" fontId="0" fillId="0" borderId="18" xfId="0" applyNumberFormat="1" applyFill="1" applyBorder="1" applyAlignment="1">
      <alignment horizontal="left" vertical="justify"/>
    </xf>
    <xf numFmtId="0" fontId="0" fillId="0" borderId="33" xfId="0" applyNumberFormat="1" applyFill="1" applyBorder="1" applyAlignment="1">
      <alignment horizontal="left" vertical="justify"/>
    </xf>
    <xf numFmtId="0" fontId="0" fillId="0" borderId="18" xfId="0" applyNumberFormat="1" applyBorder="1" applyAlignment="1">
      <alignment horizontal="left" vertical="justify"/>
    </xf>
    <xf numFmtId="0" fontId="0" fillId="0" borderId="33" xfId="0" applyNumberFormat="1" applyBorder="1" applyAlignment="1">
      <alignment horizontal="left" vertical="justify"/>
    </xf>
    <xf numFmtId="2" fontId="0" fillId="0" borderId="53" xfId="0" applyNumberFormat="1" applyBorder="1" applyAlignment="1">
      <alignment horizontal="justify" vertical="justify"/>
    </xf>
    <xf numFmtId="2" fontId="0" fillId="0" borderId="54" xfId="0" applyNumberFormat="1" applyBorder="1" applyAlignment="1">
      <alignment horizontal="justify" vertical="justify"/>
    </xf>
    <xf numFmtId="2" fontId="0" fillId="0" borderId="53" xfId="0" applyNumberFormat="1" applyBorder="1" applyAlignment="1">
      <alignment horizontal="left" vertical="justify"/>
    </xf>
    <xf numFmtId="2" fontId="0" fillId="0" borderId="54" xfId="0" applyNumberFormat="1" applyBorder="1" applyAlignment="1">
      <alignment horizontal="left" vertical="justify"/>
    </xf>
    <xf numFmtId="2" fontId="0" fillId="0" borderId="53" xfId="0" applyNumberFormat="1" applyFill="1" applyBorder="1" applyAlignment="1">
      <alignment horizontal="left" vertical="justify"/>
    </xf>
    <xf numFmtId="2" fontId="0" fillId="0" borderId="54" xfId="0" applyNumberFormat="1" applyFill="1" applyBorder="1" applyAlignment="1">
      <alignment horizontal="left" vertical="justify"/>
    </xf>
    <xf numFmtId="0" fontId="0" fillId="0" borderId="30" xfId="0" applyNumberFormat="1" applyBorder="1" applyAlignment="1">
      <alignment horizontal="center"/>
    </xf>
    <xf numFmtId="0" fontId="0" fillId="0" borderId="15" xfId="0" applyNumberFormat="1" applyBorder="1" applyAlignment="1">
      <alignment horizontal="center"/>
    </xf>
    <xf numFmtId="2" fontId="0" fillId="0" borderId="53" xfId="0" applyNumberFormat="1" applyBorder="1" applyAlignment="1">
      <alignment horizontal="left"/>
    </xf>
    <xf numFmtId="2" fontId="0" fillId="0" borderId="54" xfId="0" applyNumberFormat="1" applyBorder="1" applyAlignment="1">
      <alignment horizontal="left"/>
    </xf>
    <xf numFmtId="0" fontId="5" fillId="0" borderId="57" xfId="4" applyFont="1" applyBorder="1" applyAlignment="1">
      <alignment horizontal="left"/>
    </xf>
    <xf numFmtId="0" fontId="5" fillId="0" borderId="45" xfId="4" applyFont="1" applyBorder="1" applyAlignment="1">
      <alignment horizontal="left"/>
    </xf>
    <xf numFmtId="0" fontId="5" fillId="0" borderId="35" xfId="4" applyFont="1" applyBorder="1" applyAlignment="1">
      <alignment horizontal="left"/>
    </xf>
    <xf numFmtId="2" fontId="5" fillId="0" borderId="31" xfId="4" applyNumberFormat="1" applyFont="1" applyBorder="1" applyAlignment="1">
      <alignment horizontal="left"/>
    </xf>
    <xf numFmtId="2" fontId="5" fillId="0" borderId="58" xfId="4" applyNumberFormat="1" applyFont="1" applyBorder="1" applyAlignment="1">
      <alignment horizontal="left"/>
    </xf>
    <xf numFmtId="2" fontId="5" fillId="0" borderId="59" xfId="4" applyNumberFormat="1" applyFont="1" applyBorder="1" applyAlignment="1">
      <alignment horizontal="left"/>
    </xf>
    <xf numFmtId="0" fontId="5" fillId="2" borderId="24" xfId="4" applyFont="1" applyFill="1" applyBorder="1" applyAlignment="1">
      <alignment horizontal="center"/>
    </xf>
    <xf numFmtId="0" fontId="5" fillId="2" borderId="22" xfId="4" applyFont="1" applyFill="1" applyBorder="1" applyAlignment="1">
      <alignment horizontal="center"/>
    </xf>
    <xf numFmtId="2" fontId="1" fillId="0" borderId="24" xfId="4" applyNumberFormat="1" applyBorder="1" applyAlignment="1">
      <alignment horizontal="left"/>
    </xf>
    <xf numFmtId="2" fontId="1" fillId="0" borderId="22" xfId="4" applyNumberFormat="1" applyBorder="1" applyAlignment="1">
      <alignment horizontal="left"/>
    </xf>
    <xf numFmtId="0" fontId="1" fillId="0" borderId="21" xfId="4" applyBorder="1" applyAlignment="1">
      <alignment horizontal="left"/>
    </xf>
    <xf numFmtId="0" fontId="1" fillId="0" borderId="71" xfId="4" applyBorder="1" applyAlignment="1">
      <alignment horizontal="left"/>
    </xf>
    <xf numFmtId="0" fontId="1" fillId="0" borderId="19" xfId="4" applyBorder="1" applyAlignment="1">
      <alignment horizontal="center"/>
    </xf>
    <xf numFmtId="0" fontId="1" fillId="0" borderId="20" xfId="4" applyBorder="1" applyAlignment="1">
      <alignment horizontal="center"/>
    </xf>
    <xf numFmtId="2" fontId="1" fillId="0" borderId="53" xfId="4" applyNumberFormat="1" applyBorder="1" applyAlignment="1">
      <alignment horizontal="center"/>
    </xf>
    <xf numFmtId="2" fontId="1" fillId="0" borderId="71" xfId="4" applyNumberFormat="1" applyBorder="1" applyAlignment="1">
      <alignment horizontal="center"/>
    </xf>
    <xf numFmtId="2" fontId="5" fillId="0" borderId="60" xfId="4" applyNumberFormat="1" applyFont="1" applyBorder="1" applyAlignment="1">
      <alignment horizontal="left"/>
    </xf>
    <xf numFmtId="2" fontId="5" fillId="0" borderId="61" xfId="4" applyNumberFormat="1" applyFont="1" applyBorder="1" applyAlignment="1">
      <alignment horizontal="left"/>
    </xf>
    <xf numFmtId="2" fontId="5" fillId="0" borderId="62" xfId="4" applyNumberFormat="1" applyFont="1" applyBorder="1" applyAlignment="1">
      <alignment horizontal="left"/>
    </xf>
    <xf numFmtId="0" fontId="1" fillId="0" borderId="18" xfId="4" applyBorder="1" applyAlignment="1">
      <alignment horizontal="left"/>
    </xf>
    <xf numFmtId="0" fontId="1" fillId="0" borderId="33" xfId="4" applyBorder="1" applyAlignment="1">
      <alignment horizontal="left"/>
    </xf>
    <xf numFmtId="2" fontId="5" fillId="0" borderId="63" xfId="4" applyNumberFormat="1" applyFont="1" applyBorder="1" applyAlignment="1">
      <alignment horizontal="left"/>
    </xf>
    <xf numFmtId="0" fontId="1" fillId="0" borderId="53" xfId="4" applyBorder="1" applyAlignment="1">
      <alignment horizontal="center"/>
    </xf>
    <xf numFmtId="0" fontId="5" fillId="2" borderId="18" xfId="4" applyFont="1" applyFill="1" applyBorder="1" applyAlignment="1">
      <alignment horizontal="center"/>
    </xf>
    <xf numFmtId="0" fontId="5" fillId="2" borderId="33" xfId="4" applyFont="1" applyFill="1" applyBorder="1" applyAlignment="1">
      <alignment horizontal="center"/>
    </xf>
    <xf numFmtId="0" fontId="1" fillId="0" borderId="24" xfId="4" applyBorder="1" applyAlignment="1">
      <alignment horizontal="left"/>
    </xf>
    <xf numFmtId="0" fontId="1" fillId="0" borderId="22" xfId="4" applyBorder="1" applyAlignment="1">
      <alignment horizontal="left"/>
    </xf>
    <xf numFmtId="0" fontId="1" fillId="0" borderId="18" xfId="4" applyNumberFormat="1" applyBorder="1" applyAlignment="1">
      <alignment horizontal="left"/>
    </xf>
    <xf numFmtId="0" fontId="1" fillId="0" borderId="33" xfId="4" applyNumberFormat="1" applyBorder="1" applyAlignment="1">
      <alignment horizontal="left"/>
    </xf>
    <xf numFmtId="0" fontId="1" fillId="0" borderId="18" xfId="4" applyNumberFormat="1" applyBorder="1" applyAlignment="1">
      <alignment horizontal="center"/>
    </xf>
    <xf numFmtId="0" fontId="1" fillId="0" borderId="33" xfId="4" applyNumberFormat="1" applyBorder="1" applyAlignment="1">
      <alignment horizontal="center"/>
    </xf>
    <xf numFmtId="0" fontId="1" fillId="0" borderId="21" xfId="4" applyNumberFormat="1" applyBorder="1" applyAlignment="1">
      <alignment horizontal="center"/>
    </xf>
    <xf numFmtId="0" fontId="1" fillId="0" borderId="71" xfId="4" applyNumberFormat="1" applyBorder="1" applyAlignment="1">
      <alignment horizontal="center"/>
    </xf>
    <xf numFmtId="0" fontId="1" fillId="0" borderId="0" xfId="4" applyBorder="1" applyAlignment="1">
      <alignment horizontal="center"/>
    </xf>
    <xf numFmtId="0" fontId="1" fillId="0" borderId="34" xfId="4" applyBorder="1" applyAlignment="1">
      <alignment horizontal="center"/>
    </xf>
    <xf numFmtId="0" fontId="1" fillId="0" borderId="57" xfId="4" applyBorder="1" applyAlignment="1">
      <alignment horizontal="right"/>
    </xf>
    <xf numFmtId="0" fontId="1" fillId="0" borderId="35" xfId="4" applyBorder="1" applyAlignment="1">
      <alignment horizontal="right"/>
    </xf>
    <xf numFmtId="0" fontId="5" fillId="0" borderId="31" xfId="4" applyFont="1" applyBorder="1" applyAlignment="1">
      <alignment horizontal="right"/>
    </xf>
    <xf numFmtId="0" fontId="5" fillId="0" borderId="59" xfId="4" applyFont="1" applyBorder="1" applyAlignment="1">
      <alignment horizontal="right"/>
    </xf>
    <xf numFmtId="0" fontId="1" fillId="0" borderId="24" xfId="4" applyNumberFormat="1" applyBorder="1" applyAlignment="1">
      <alignment horizontal="left"/>
    </xf>
    <xf numFmtId="0" fontId="1" fillId="0" borderId="22" xfId="4" applyNumberFormat="1" applyBorder="1" applyAlignment="1">
      <alignment horizontal="left"/>
    </xf>
    <xf numFmtId="0" fontId="1" fillId="0" borderId="21" xfId="4" applyBorder="1" applyAlignment="1">
      <alignment horizontal="center"/>
    </xf>
    <xf numFmtId="0" fontId="1" fillId="0" borderId="71" xfId="4" applyBorder="1" applyAlignment="1">
      <alignment horizontal="center"/>
    </xf>
    <xf numFmtId="0" fontId="1" fillId="0" borderId="19" xfId="4" applyBorder="1" applyAlignment="1">
      <alignment horizontal="left"/>
    </xf>
    <xf numFmtId="0" fontId="1" fillId="0" borderId="0" xfId="4" applyBorder="1" applyAlignment="1">
      <alignment horizontal="left"/>
    </xf>
    <xf numFmtId="2" fontId="1" fillId="3" borderId="53" xfId="4" applyNumberFormat="1" applyFill="1" applyBorder="1" applyAlignment="1">
      <alignment horizontal="left"/>
    </xf>
    <xf numFmtId="2" fontId="1" fillId="3" borderId="54" xfId="4" applyNumberFormat="1" applyFill="1" applyBorder="1" applyAlignment="1">
      <alignment horizontal="left"/>
    </xf>
    <xf numFmtId="0" fontId="1" fillId="0" borderId="66" xfId="4" applyBorder="1" applyAlignment="1">
      <alignment horizontal="center"/>
    </xf>
    <xf numFmtId="0" fontId="1" fillId="0" borderId="0" xfId="4" applyFont="1" applyBorder="1" applyAlignment="1">
      <alignment horizontal="left"/>
    </xf>
    <xf numFmtId="2" fontId="1" fillId="3" borderId="53" xfId="4" applyNumberFormat="1" applyFont="1" applyFill="1" applyBorder="1" applyAlignment="1">
      <alignment horizontal="left"/>
    </xf>
    <xf numFmtId="2" fontId="0" fillId="0" borderId="53" xfId="0" applyNumberFormat="1" applyFill="1" applyBorder="1" applyAlignment="1">
      <alignment horizontal="left"/>
    </xf>
    <xf numFmtId="2" fontId="0" fillId="0" borderId="54" xfId="0" applyNumberFormat="1" applyFill="1" applyBorder="1" applyAlignment="1">
      <alignment horizontal="left"/>
    </xf>
    <xf numFmtId="0" fontId="0" fillId="0" borderId="0" xfId="0" applyAlignment="1">
      <alignment horizontal="center" vertical="top"/>
    </xf>
    <xf numFmtId="0" fontId="0" fillId="0" borderId="24" xfId="0" applyNumberFormat="1" applyBorder="1" applyAlignment="1">
      <alignment horizontal="justify" vertical="justify"/>
    </xf>
    <xf numFmtId="0" fontId="0" fillId="0" borderId="22" xfId="0" applyNumberFormat="1" applyBorder="1" applyAlignment="1">
      <alignment horizontal="justify" vertical="justify"/>
    </xf>
    <xf numFmtId="2" fontId="0" fillId="3" borderId="53" xfId="0" applyNumberFormat="1" applyFill="1" applyBorder="1" applyAlignment="1">
      <alignment horizontal="left" vertical="justify"/>
    </xf>
    <xf numFmtId="2" fontId="0" fillId="3" borderId="54" xfId="0" applyNumberFormat="1" applyFill="1" applyBorder="1" applyAlignment="1">
      <alignment horizontal="left" vertical="justify"/>
    </xf>
    <xf numFmtId="0" fontId="0" fillId="0" borderId="24" xfId="0" applyNumberFormat="1" applyBorder="1" applyAlignment="1">
      <alignment horizontal="left" vertical="top" wrapText="1"/>
    </xf>
    <xf numFmtId="0" fontId="0" fillId="0" borderId="22" xfId="0" applyNumberFormat="1" applyBorder="1" applyAlignment="1">
      <alignment horizontal="left" vertical="top" wrapText="1"/>
    </xf>
    <xf numFmtId="0" fontId="0" fillId="0" borderId="24" xfId="0" applyNumberFormat="1" applyBorder="1" applyAlignment="1">
      <alignment horizontal="left" vertical="top"/>
    </xf>
    <xf numFmtId="0" fontId="0" fillId="0" borderId="22" xfId="0" applyNumberFormat="1" applyBorder="1" applyAlignment="1">
      <alignment horizontal="left" vertical="top"/>
    </xf>
    <xf numFmtId="0" fontId="24" fillId="0" borderId="19" xfId="3" applyBorder="1" applyAlignment="1">
      <alignment horizontal="left"/>
    </xf>
    <xf numFmtId="0" fontId="24" fillId="0" borderId="0" xfId="3" applyBorder="1" applyAlignment="1">
      <alignment horizontal="left"/>
    </xf>
    <xf numFmtId="2" fontId="24" fillId="6" borderId="53" xfId="3" applyNumberFormat="1" applyFill="1" applyBorder="1" applyAlignment="1">
      <alignment horizontal="left"/>
    </xf>
    <xf numFmtId="2" fontId="24" fillId="6" borderId="54" xfId="3" applyNumberFormat="1" applyFill="1" applyBorder="1" applyAlignment="1">
      <alignment horizontal="left"/>
    </xf>
    <xf numFmtId="0" fontId="24" fillId="0" borderId="66" xfId="3" applyNumberFormat="1" applyBorder="1" applyAlignment="1">
      <alignment horizontal="center"/>
    </xf>
    <xf numFmtId="0" fontId="0" fillId="0" borderId="24" xfId="0" applyNumberFormat="1" applyBorder="1" applyAlignment="1">
      <alignment horizontal="center" vertical="top"/>
    </xf>
    <xf numFmtId="0" fontId="0" fillId="0" borderId="22" xfId="0" applyNumberFormat="1" applyBorder="1" applyAlignment="1">
      <alignment horizontal="center" vertical="top"/>
    </xf>
    <xf numFmtId="2" fontId="24" fillId="0" borderId="53" xfId="3" applyNumberFormat="1" applyFont="1" applyBorder="1" applyAlignment="1">
      <alignment horizontal="left"/>
    </xf>
    <xf numFmtId="2" fontId="24" fillId="0" borderId="53" xfId="3" applyNumberFormat="1" applyBorder="1" applyAlignment="1">
      <alignment horizontal="left"/>
    </xf>
    <xf numFmtId="2" fontId="24" fillId="0" borderId="54" xfId="3" applyNumberFormat="1" applyBorder="1" applyAlignment="1">
      <alignment horizontal="left"/>
    </xf>
    <xf numFmtId="0" fontId="10" fillId="0" borderId="19" xfId="3" applyFont="1" applyBorder="1" applyAlignment="1">
      <alignment horizontal="center"/>
    </xf>
    <xf numFmtId="0" fontId="10" fillId="0" borderId="20" xfId="3" applyFont="1" applyBorder="1" applyAlignment="1">
      <alignment horizontal="center"/>
    </xf>
    <xf numFmtId="0" fontId="10" fillId="0" borderId="0" xfId="3" applyFont="1" applyBorder="1" applyAlignment="1">
      <alignment horizontal="center"/>
    </xf>
    <xf numFmtId="0" fontId="10" fillId="0" borderId="34" xfId="3" applyFont="1" applyBorder="1" applyAlignment="1">
      <alignment horizontal="center"/>
    </xf>
    <xf numFmtId="2" fontId="10" fillId="0" borderId="0" xfId="3" applyNumberFormat="1" applyFont="1" applyBorder="1" applyAlignment="1">
      <alignment horizontal="center"/>
    </xf>
    <xf numFmtId="2" fontId="10" fillId="0" borderId="34" xfId="3" applyNumberFormat="1" applyFont="1" applyBorder="1" applyAlignment="1">
      <alignment horizontal="center"/>
    </xf>
    <xf numFmtId="2" fontId="11" fillId="0" borderId="0" xfId="3" applyNumberFormat="1" applyFont="1" applyBorder="1" applyAlignment="1">
      <alignment horizontal="center"/>
    </xf>
    <xf numFmtId="2" fontId="11" fillId="0" borderId="34" xfId="3" applyNumberFormat="1" applyFont="1" applyBorder="1" applyAlignment="1">
      <alignment horizontal="center"/>
    </xf>
    <xf numFmtId="2" fontId="12" fillId="0" borderId="53" xfId="3" applyNumberFormat="1" applyFont="1" applyBorder="1" applyAlignment="1">
      <alignment horizontal="center"/>
    </xf>
    <xf numFmtId="2" fontId="12" fillId="0" borderId="54" xfId="3" applyNumberFormat="1" applyFont="1" applyBorder="1" applyAlignment="1">
      <alignment horizontal="center"/>
    </xf>
    <xf numFmtId="2" fontId="4" fillId="6" borderId="53" xfId="3" applyNumberFormat="1" applyFont="1" applyFill="1" applyBorder="1" applyAlignment="1">
      <alignment horizontal="left" wrapText="1"/>
    </xf>
    <xf numFmtId="2" fontId="24" fillId="6" borderId="53" xfId="3" applyNumberFormat="1" applyFill="1" applyBorder="1" applyAlignment="1">
      <alignment horizontal="left" wrapText="1"/>
    </xf>
    <xf numFmtId="2" fontId="24" fillId="6" borderId="54" xfId="3" applyNumberFormat="1" applyFill="1" applyBorder="1" applyAlignment="1">
      <alignment horizontal="left" wrapText="1"/>
    </xf>
    <xf numFmtId="0" fontId="4" fillId="0" borderId="24" xfId="0" applyNumberFormat="1" applyFont="1" applyBorder="1" applyAlignment="1">
      <alignment horizontal="left" vertical="top"/>
    </xf>
    <xf numFmtId="2" fontId="0" fillId="0" borderId="18" xfId="0" applyNumberFormat="1" applyBorder="1" applyAlignment="1">
      <alignment horizontal="left" wrapText="1"/>
    </xf>
    <xf numFmtId="0" fontId="0" fillId="0" borderId="33" xfId="0" applyBorder="1" applyAlignment="1">
      <alignment horizontal="left" wrapText="1"/>
    </xf>
    <xf numFmtId="2" fontId="4" fillId="0" borderId="18" xfId="0" applyNumberFormat="1" applyFont="1" applyBorder="1" applyAlignment="1">
      <alignment horizontal="left" wrapText="1"/>
    </xf>
    <xf numFmtId="0" fontId="0" fillId="0" borderId="33" xfId="0" applyNumberFormat="1" applyBorder="1" applyAlignment="1">
      <alignment horizontal="left" wrapText="1"/>
    </xf>
    <xf numFmtId="0" fontId="24" fillId="0" borderId="18" xfId="3" applyBorder="1" applyAlignment="1">
      <alignment horizontal="left"/>
    </xf>
    <xf numFmtId="0" fontId="24" fillId="0" borderId="33" xfId="3" applyBorder="1" applyAlignment="1">
      <alignment horizontal="left"/>
    </xf>
    <xf numFmtId="2" fontId="4" fillId="0" borderId="53" xfId="0" applyNumberFormat="1" applyFont="1" applyBorder="1" applyAlignment="1">
      <alignment horizontal="justify" vertical="justify" wrapText="1"/>
    </xf>
    <xf numFmtId="2" fontId="4" fillId="0" borderId="54" xfId="0" applyNumberFormat="1" applyFont="1" applyBorder="1" applyAlignment="1">
      <alignment horizontal="justify" vertical="justify" wrapText="1"/>
    </xf>
    <xf numFmtId="0" fontId="4" fillId="0" borderId="18" xfId="0" applyFont="1" applyBorder="1" applyAlignment="1">
      <alignment horizontal="justify" vertical="justify" wrapText="1"/>
    </xf>
    <xf numFmtId="0" fontId="4" fillId="0" borderId="33" xfId="0" applyFont="1" applyBorder="1" applyAlignment="1">
      <alignment horizontal="justify" vertical="justify" wrapText="1"/>
    </xf>
    <xf numFmtId="0" fontId="4" fillId="0" borderId="21" xfId="0" applyFont="1" applyBorder="1" applyAlignment="1">
      <alignment horizontal="center"/>
    </xf>
    <xf numFmtId="0" fontId="4" fillId="0" borderId="71" xfId="0" applyFont="1" applyBorder="1" applyAlignment="1">
      <alignment horizontal="center"/>
    </xf>
    <xf numFmtId="0" fontId="4" fillId="0" borderId="18" xfId="0" applyFont="1" applyBorder="1" applyAlignment="1">
      <alignment horizontal="left" vertical="justify" wrapText="1"/>
    </xf>
    <xf numFmtId="0" fontId="4" fillId="0" borderId="33" xfId="0" applyFont="1" applyBorder="1" applyAlignment="1">
      <alignment horizontal="left" vertical="justify" wrapText="1"/>
    </xf>
    <xf numFmtId="0" fontId="4" fillId="0" borderId="0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4" fillId="0" borderId="57" xfId="0" applyFont="1" applyBorder="1" applyAlignment="1">
      <alignment horizontal="right"/>
    </xf>
    <xf numFmtId="0" fontId="4" fillId="0" borderId="35" xfId="0" applyFont="1" applyBorder="1" applyAlignment="1">
      <alignment horizontal="right"/>
    </xf>
    <xf numFmtId="2" fontId="4" fillId="0" borderId="24" xfId="0" applyNumberFormat="1" applyFont="1" applyBorder="1" applyAlignment="1">
      <alignment horizontal="left"/>
    </xf>
    <xf numFmtId="2" fontId="4" fillId="0" borderId="22" xfId="0" applyNumberFormat="1" applyFont="1" applyBorder="1" applyAlignment="1">
      <alignment horizontal="left"/>
    </xf>
    <xf numFmtId="0" fontId="4" fillId="0" borderId="21" xfId="0" applyFont="1" applyBorder="1" applyAlignment="1">
      <alignment horizontal="left"/>
    </xf>
    <xf numFmtId="0" fontId="4" fillId="0" borderId="71" xfId="0" applyFont="1" applyBorder="1" applyAlignment="1">
      <alignment horizontal="left"/>
    </xf>
    <xf numFmtId="0" fontId="0" fillId="0" borderId="19" xfId="0" applyBorder="1" applyAlignment="1">
      <alignment horizontal="justify" vertical="center" wrapText="1"/>
    </xf>
    <xf numFmtId="0" fontId="0" fillId="0" borderId="20" xfId="0" applyBorder="1" applyAlignment="1">
      <alignment horizontal="justify" vertical="center" wrapText="1"/>
    </xf>
    <xf numFmtId="0" fontId="0" fillId="0" borderId="18" xfId="0" applyBorder="1" applyAlignment="1"/>
    <xf numFmtId="0" fontId="0" fillId="0" borderId="33" xfId="0" applyBorder="1" applyAlignment="1"/>
    <xf numFmtId="0" fontId="6" fillId="0" borderId="39" xfId="0" applyNumberFormat="1" applyFont="1" applyBorder="1" applyAlignment="1">
      <alignment horizontal="left"/>
    </xf>
    <xf numFmtId="0" fontId="6" fillId="0" borderId="2" xfId="0" applyNumberFormat="1" applyFont="1" applyBorder="1" applyAlignment="1">
      <alignment horizontal="left"/>
    </xf>
    <xf numFmtId="0" fontId="6" fillId="0" borderId="10" xfId="0" applyNumberFormat="1" applyFont="1" applyBorder="1" applyAlignment="1">
      <alignment horizontal="left"/>
    </xf>
    <xf numFmtId="0" fontId="6" fillId="0" borderId="5" xfId="0" applyNumberFormat="1" applyFont="1" applyBorder="1" applyAlignment="1">
      <alignment horizontal="left"/>
    </xf>
    <xf numFmtId="2" fontId="4" fillId="0" borderId="53" xfId="0" applyNumberFormat="1" applyFont="1" applyBorder="1" applyAlignment="1">
      <alignment horizontal="left"/>
    </xf>
    <xf numFmtId="2" fontId="3" fillId="0" borderId="0" xfId="0" applyNumberFormat="1" applyFont="1" applyBorder="1" applyAlignment="1">
      <alignment horizontal="center"/>
    </xf>
    <xf numFmtId="0" fontId="3" fillId="0" borderId="24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2" fontId="6" fillId="0" borderId="24" xfId="0" applyNumberFormat="1" applyFont="1" applyBorder="1" applyAlignment="1">
      <alignment horizontal="left"/>
    </xf>
    <xf numFmtId="2" fontId="6" fillId="0" borderId="22" xfId="0" applyNumberFormat="1" applyFont="1" applyBorder="1" applyAlignment="1">
      <alignment horizontal="left"/>
    </xf>
    <xf numFmtId="0" fontId="6" fillId="0" borderId="21" xfId="0" applyFont="1" applyBorder="1" applyAlignment="1">
      <alignment horizontal="left"/>
    </xf>
    <xf numFmtId="0" fontId="6" fillId="0" borderId="71" xfId="0" applyFont="1" applyBorder="1" applyAlignment="1">
      <alignment horizontal="left"/>
    </xf>
    <xf numFmtId="0" fontId="6" fillId="0" borderId="39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6" fillId="0" borderId="1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53" xfId="0" applyFont="1" applyBorder="1" applyAlignment="1">
      <alignment horizontal="left"/>
    </xf>
  </cellXfs>
  <cellStyles count="5">
    <cellStyle name="Hipervínculo" xfId="1" builtinId="8"/>
    <cellStyle name="Millares [0]" xfId="2" builtinId="6"/>
    <cellStyle name="Normal" xfId="0" builtinId="0"/>
    <cellStyle name="Normal_ANALISIS OPM 2002-1" xfId="3"/>
    <cellStyle name="Normal_copia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0</xdr:row>
      <xdr:rowOff>66675</xdr:rowOff>
    </xdr:from>
    <xdr:to>
      <xdr:col>1</xdr:col>
      <xdr:colOff>790575</xdr:colOff>
      <xdr:row>3</xdr:row>
      <xdr:rowOff>104775</xdr:rowOff>
    </xdr:to>
    <xdr:pic>
      <xdr:nvPicPr>
        <xdr:cNvPr id="3200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5" y="66675"/>
          <a:ext cx="7048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0</xdr:row>
      <xdr:rowOff>66675</xdr:rowOff>
    </xdr:from>
    <xdr:to>
      <xdr:col>1</xdr:col>
      <xdr:colOff>790575</xdr:colOff>
      <xdr:row>3</xdr:row>
      <xdr:rowOff>104775</xdr:rowOff>
    </xdr:to>
    <xdr:pic>
      <xdr:nvPicPr>
        <xdr:cNvPr id="330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5" y="66675"/>
          <a:ext cx="7048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0</xdr:row>
      <xdr:rowOff>66675</xdr:rowOff>
    </xdr:from>
    <xdr:to>
      <xdr:col>1</xdr:col>
      <xdr:colOff>790575</xdr:colOff>
      <xdr:row>3</xdr:row>
      <xdr:rowOff>104775</xdr:rowOff>
    </xdr:to>
    <xdr:pic>
      <xdr:nvPicPr>
        <xdr:cNvPr id="3488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5" y="66675"/>
          <a:ext cx="7048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oyecto%20Adecuacion%20General%20Cementerio%20La%20Resurreccion/Presupuesto%20Cementerio%20La%20ResurrecionCE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Proyectos%20Puestos%20de%20Salud\APU%20INFRAESTRUCTURA\ANALISIS%20INFR%201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OBRAS%20PUBLICAS/ANALISIS%20UNITARIOS/PRESUPUESTO%20OTTO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ESUPUESTO"/>
      <sheetName val="Presupuesto (CUBS)"/>
      <sheetName val="MATERIALES"/>
      <sheetName val="MANO DE OBRA"/>
      <sheetName val="MAQUINARIA"/>
      <sheetName val="PRELIMINARES"/>
      <sheetName val="EXCAVACIONES"/>
      <sheetName val="DESAGUES"/>
      <sheetName val="INST. SANIT"/>
      <sheetName val="CIMIENTOS"/>
      <sheetName val="ESTRUCTURAS"/>
      <sheetName val="INST. HIDR."/>
      <sheetName val="INST. ELECTRICAS"/>
      <sheetName val="MAMPOSTERIA"/>
      <sheetName val="CUBIERTA"/>
      <sheetName val="PAÑETES"/>
      <sheetName val="PISOS"/>
      <sheetName val="APARATOS HIDROSANITARIOS"/>
      <sheetName val="CARPINTERIA METALICA"/>
      <sheetName val="ESTUCO Y PINTURA"/>
      <sheetName val="PAVIMENTOS"/>
      <sheetName val="SIEMBRA Y EMPRAD."/>
      <sheetName val="CONCRETOS"/>
      <sheetName val="CIELO RASOS"/>
      <sheetName val="CARPINTERIA DE MADERA"/>
    </sheetNames>
    <sheetDataSet>
      <sheetData sheetId="0"/>
      <sheetData sheetId="1"/>
      <sheetData sheetId="2" refreshError="1">
        <row r="24">
          <cell r="A24">
            <v>20206</v>
          </cell>
          <cell r="B24" t="str">
            <v>RECEBO</v>
          </cell>
          <cell r="C24" t="str">
            <v>M3</v>
          </cell>
          <cell r="D24">
            <v>12500</v>
          </cell>
        </row>
        <row r="884">
          <cell r="A884">
            <v>22303</v>
          </cell>
          <cell r="B884" t="str">
            <v>ESTACAS 2"x2"x0.50 M</v>
          </cell>
          <cell r="C884" t="str">
            <v>UND</v>
          </cell>
          <cell r="D884">
            <v>319</v>
          </cell>
        </row>
        <row r="891">
          <cell r="A891">
            <v>22310</v>
          </cell>
          <cell r="B891" t="str">
            <v>PUNTILLAS DE 2"</v>
          </cell>
          <cell r="C891" t="str">
            <v>LB</v>
          </cell>
          <cell r="D891">
            <v>1500</v>
          </cell>
        </row>
      </sheetData>
      <sheetData sheetId="3" refreshError="1">
        <row r="9">
          <cell r="A9">
            <v>30101</v>
          </cell>
          <cell r="B9" t="str">
            <v>AYUDANTE CUAD. TIPO AA</v>
          </cell>
          <cell r="E9">
            <v>34676</v>
          </cell>
        </row>
        <row r="15">
          <cell r="A15">
            <v>30106</v>
          </cell>
          <cell r="B15" t="str">
            <v xml:space="preserve">OFICIAL CUAD. TIPO AA </v>
          </cell>
          <cell r="E15">
            <v>68658</v>
          </cell>
        </row>
        <row r="23">
          <cell r="A23">
            <v>30113</v>
          </cell>
          <cell r="B23" t="str">
            <v>TOPOGRAFO</v>
          </cell>
          <cell r="E23">
            <v>100092</v>
          </cell>
        </row>
        <row r="24">
          <cell r="A24">
            <v>30114</v>
          </cell>
          <cell r="B24" t="str">
            <v>CADENERO</v>
          </cell>
          <cell r="E24">
            <v>59565</v>
          </cell>
        </row>
        <row r="59">
          <cell r="D59">
            <v>0</v>
          </cell>
        </row>
        <row r="60">
          <cell r="D60">
            <v>0.05</v>
          </cell>
        </row>
        <row r="61">
          <cell r="D61" t="str">
            <v>Septiembre de 2009</v>
          </cell>
        </row>
      </sheetData>
      <sheetData sheetId="4" refreshError="1">
        <row r="24">
          <cell r="A24">
            <v>10116</v>
          </cell>
          <cell r="B24" t="str">
            <v>EQUIPO TOPOGRAFIA</v>
          </cell>
          <cell r="C24">
            <v>50000</v>
          </cell>
        </row>
        <row r="28">
          <cell r="A28">
            <v>10120</v>
          </cell>
          <cell r="B28" t="str">
            <v>HERRAMIENTAS MENORES</v>
          </cell>
        </row>
        <row r="57">
          <cell r="A57">
            <v>10202</v>
          </cell>
          <cell r="B57" t="str">
            <v>CARGADOR 950 81J</v>
          </cell>
          <cell r="C57">
            <v>520000</v>
          </cell>
        </row>
        <row r="58">
          <cell r="A58">
            <v>10203</v>
          </cell>
          <cell r="B58" t="str">
            <v xml:space="preserve">MOTONIVELADORA </v>
          </cell>
          <cell r="C58">
            <v>78750</v>
          </cell>
        </row>
        <row r="60">
          <cell r="A60">
            <v>10205</v>
          </cell>
          <cell r="B60" t="str">
            <v>VOLQUETA</v>
          </cell>
          <cell r="C60">
            <v>75000</v>
          </cell>
        </row>
        <row r="61">
          <cell r="A61">
            <v>10206</v>
          </cell>
          <cell r="B61" t="str">
            <v>RETROEXCAVADORA</v>
          </cell>
          <cell r="C61">
            <v>150000</v>
          </cell>
        </row>
        <row r="62">
          <cell r="A62">
            <v>10207</v>
          </cell>
          <cell r="B62" t="str">
            <v>CAMABAJA TRANSPORTE</v>
          </cell>
          <cell r="C62">
            <v>700000</v>
          </cell>
        </row>
        <row r="66">
          <cell r="A66">
            <v>10208</v>
          </cell>
          <cell r="B66" t="str">
            <v>VIBROCOMPACTADOR</v>
          </cell>
          <cell r="C66">
            <v>135000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ST. ELECTRICAS"/>
      <sheetName val="MAMPOSTERIA"/>
      <sheetName val="CUBIERTA"/>
      <sheetName val="PAÑETES"/>
      <sheetName val="PISOS"/>
      <sheetName val="CIELO RASOS"/>
      <sheetName val="APARATOS HIDROSANITARIOS"/>
      <sheetName val="CARPINTERIA DE MADERA"/>
      <sheetName val="CARPINTERIA METALICA"/>
      <sheetName val="ESTUCO Y PINTURA"/>
    </sheetNames>
    <sheetDataSet>
      <sheetData sheetId="0" refreshError="1"/>
      <sheetData sheetId="1" refreshError="1"/>
      <sheetData sheetId="2" refreshError="1"/>
      <sheetData sheetId="3" refreshError="1">
        <row r="6">
          <cell r="G6" t="str">
            <v>M2</v>
          </cell>
        </row>
        <row r="8">
          <cell r="C8" t="str">
            <v>ENTRAMADO MADERA CIELO RASO</v>
          </cell>
        </row>
        <row r="56">
          <cell r="G56">
            <v>8553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ANALISIS"/>
      <sheetName val="RESUMEN"/>
      <sheetName val="PREST"/>
      <sheetName val="AIU"/>
      <sheetName val="INSUMO"/>
      <sheetName val="MANO"/>
      <sheetName val="EQUIPO"/>
      <sheetName val="CUADRILL"/>
      <sheetName val="RENDIM."/>
      <sheetName val="RELACION EQUIPO"/>
      <sheetName val="PROGRA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A7">
            <v>0</v>
          </cell>
        </row>
        <row r="8">
          <cell r="A8">
            <v>1</v>
          </cell>
          <cell r="B8" t="str">
            <v>ACCESORIO P.V.C.</v>
          </cell>
        </row>
        <row r="9">
          <cell r="A9">
            <v>2</v>
          </cell>
          <cell r="B9" t="str">
            <v>ACOPLE DE 1/2"</v>
          </cell>
        </row>
        <row r="10">
          <cell r="A10">
            <v>3</v>
          </cell>
          <cell r="B10" t="str">
            <v>AGUA</v>
          </cell>
        </row>
        <row r="11">
          <cell r="A11">
            <v>4</v>
          </cell>
          <cell r="B11" t="str">
            <v>ALAMBRE AISLADO No 12</v>
          </cell>
        </row>
        <row r="12">
          <cell r="A12">
            <v>5</v>
          </cell>
          <cell r="B12" t="str">
            <v>ALAMBRE DE COBRE</v>
          </cell>
        </row>
        <row r="13">
          <cell r="A13">
            <v>6</v>
          </cell>
          <cell r="B13" t="str">
            <v>ACOMETIDA ELECTRICA</v>
          </cell>
        </row>
        <row r="14">
          <cell r="A14">
            <v>7</v>
          </cell>
          <cell r="B14" t="str">
            <v>ALAMBRE NEGRO # 18</v>
          </cell>
        </row>
        <row r="15">
          <cell r="A15">
            <v>8</v>
          </cell>
          <cell r="B15" t="str">
            <v>ANTICORROSIVO</v>
          </cell>
        </row>
        <row r="16">
          <cell r="A16">
            <v>9</v>
          </cell>
          <cell r="B16" t="str">
            <v>ARBUSTO ZUNGLIA</v>
          </cell>
        </row>
        <row r="17">
          <cell r="A17">
            <v>10</v>
          </cell>
          <cell r="B17" t="str">
            <v>ARENA LAVADA</v>
          </cell>
        </row>
        <row r="18">
          <cell r="A18">
            <v>11</v>
          </cell>
          <cell r="B18" t="str">
            <v>BARANDA METALICA 2" A.N.</v>
          </cell>
        </row>
        <row r="19">
          <cell r="A19">
            <v>12</v>
          </cell>
          <cell r="B19" t="str">
            <v>CAJA PARA CONTADOR DE AGUA</v>
          </cell>
        </row>
        <row r="20">
          <cell r="A20">
            <v>13</v>
          </cell>
          <cell r="B20" t="str">
            <v>CABALLETE</v>
          </cell>
        </row>
        <row r="21">
          <cell r="A21">
            <v>14</v>
          </cell>
          <cell r="B21" t="str">
            <v>CAJA RECTANGULAR</v>
          </cell>
        </row>
        <row r="22">
          <cell r="A22">
            <v>15</v>
          </cell>
          <cell r="B22" t="str">
            <v>CORREA METALICA</v>
          </cell>
        </row>
        <row r="23">
          <cell r="A23">
            <v>16</v>
          </cell>
          <cell r="B23" t="str">
            <v>CERCHA METALICA</v>
          </cell>
        </row>
        <row r="24">
          <cell r="A24">
            <v>17</v>
          </cell>
          <cell r="B24" t="str">
            <v>CEMENTO BLANCO</v>
          </cell>
        </row>
        <row r="25">
          <cell r="A25">
            <v>18</v>
          </cell>
          <cell r="B25" t="str">
            <v>CEMENTO GRIS</v>
          </cell>
        </row>
        <row r="26">
          <cell r="A26">
            <v>19</v>
          </cell>
          <cell r="B26" t="str">
            <v>CODO 3" *90</v>
          </cell>
        </row>
        <row r="27">
          <cell r="A27">
            <v>20</v>
          </cell>
          <cell r="B27" t="str">
            <v>CODO GRES 6"</v>
          </cell>
        </row>
        <row r="28">
          <cell r="A28">
            <v>21</v>
          </cell>
          <cell r="B28" t="str">
            <v>CERRADURA PUERTA YALE 61060</v>
          </cell>
        </row>
        <row r="29">
          <cell r="A29">
            <v>22</v>
          </cell>
          <cell r="B29" t="str">
            <v>CERRADURA TIPO BAÑO ( POMA ALUMINIO )</v>
          </cell>
        </row>
        <row r="30">
          <cell r="A30">
            <v>23</v>
          </cell>
          <cell r="B30" t="str">
            <v>CHEQUE DE 1/2"</v>
          </cell>
        </row>
        <row r="31">
          <cell r="A31">
            <v>24</v>
          </cell>
          <cell r="B31" t="str">
            <v>CONTADOR DE AGUA 1/2" TAVIRA</v>
          </cell>
        </row>
        <row r="32">
          <cell r="A32">
            <v>25</v>
          </cell>
          <cell r="B32" t="str">
            <v>CODO 45 1/2"</v>
          </cell>
        </row>
        <row r="33">
          <cell r="A33">
            <v>26</v>
          </cell>
          <cell r="B33" t="str">
            <v>COARXIAL</v>
          </cell>
        </row>
        <row r="34">
          <cell r="A34">
            <v>27</v>
          </cell>
          <cell r="B34" t="str">
            <v xml:space="preserve">DISOLVENTE </v>
          </cell>
        </row>
        <row r="35">
          <cell r="A35">
            <v>28</v>
          </cell>
          <cell r="B35" t="str">
            <v>DIVISION BAÑOS ALUMINIO ACRILICO</v>
          </cell>
        </row>
        <row r="36">
          <cell r="A36">
            <v>29</v>
          </cell>
          <cell r="B36" t="str">
            <v>DUCHA SENCILLA PISCIS</v>
          </cell>
        </row>
        <row r="37">
          <cell r="A37">
            <v>30</v>
          </cell>
          <cell r="B37" t="str">
            <v>ESTACAS</v>
          </cell>
        </row>
        <row r="38">
          <cell r="A38">
            <v>31</v>
          </cell>
          <cell r="B38" t="str">
            <v>GALAPAGO</v>
          </cell>
        </row>
        <row r="39">
          <cell r="A39">
            <v>32</v>
          </cell>
          <cell r="B39" t="str">
            <v xml:space="preserve">GANCHOS </v>
          </cell>
        </row>
        <row r="40">
          <cell r="A40">
            <v>33</v>
          </cell>
          <cell r="B40" t="str">
            <v>GRANIPLAST</v>
          </cell>
        </row>
        <row r="41">
          <cell r="A41">
            <v>34</v>
          </cell>
          <cell r="B41" t="str">
            <v>HIERRO DE 2590 Kg/cm2</v>
          </cell>
        </row>
        <row r="42">
          <cell r="A42">
            <v>35</v>
          </cell>
          <cell r="B42" t="str">
            <v>HIERRO DE 4200 Kg/cm2</v>
          </cell>
        </row>
        <row r="43">
          <cell r="A43">
            <v>36</v>
          </cell>
          <cell r="B43" t="str">
            <v>HOJALATA</v>
          </cell>
        </row>
        <row r="44">
          <cell r="A44">
            <v>37</v>
          </cell>
          <cell r="B44" t="str">
            <v>INSTALACION INTERNA GAS</v>
          </cell>
        </row>
        <row r="45">
          <cell r="A45">
            <v>38</v>
          </cell>
          <cell r="B45" t="str">
            <v>INTERRUPTOR</v>
          </cell>
        </row>
        <row r="46">
          <cell r="A46">
            <v>39</v>
          </cell>
          <cell r="B46" t="str">
            <v>LADRILLO A LA VISTA</v>
          </cell>
        </row>
        <row r="47">
          <cell r="A47">
            <v>40</v>
          </cell>
          <cell r="B47" t="str">
            <v>LADRILLO H-10</v>
          </cell>
        </row>
        <row r="48">
          <cell r="A48">
            <v>41</v>
          </cell>
          <cell r="B48" t="str">
            <v>LADRILLO H-15</v>
          </cell>
        </row>
        <row r="49">
          <cell r="A49">
            <v>42</v>
          </cell>
          <cell r="B49" t="str">
            <v>LADRILLO H-15</v>
          </cell>
        </row>
        <row r="50">
          <cell r="A50">
            <v>43</v>
          </cell>
          <cell r="B50" t="str">
            <v>LADRILLO H-9</v>
          </cell>
        </row>
        <row r="51">
          <cell r="A51">
            <v>44</v>
          </cell>
          <cell r="B51" t="str">
            <v>LADRILLO T-1</v>
          </cell>
        </row>
        <row r="52">
          <cell r="A52">
            <v>45</v>
          </cell>
          <cell r="B52" t="str">
            <v>LADRILLO ARROBERO</v>
          </cell>
        </row>
        <row r="53">
          <cell r="A53">
            <v>46</v>
          </cell>
          <cell r="B53" t="str">
            <v xml:space="preserve">LAMPARA DE APLI O FAROL </v>
          </cell>
        </row>
        <row r="54">
          <cell r="A54">
            <v>47</v>
          </cell>
          <cell r="B54" t="str">
            <v>LAMPARA FLUORECENTE 2 X 48</v>
          </cell>
        </row>
        <row r="55">
          <cell r="A55">
            <v>48</v>
          </cell>
          <cell r="B55" t="str">
            <v>LAVAMANOS ACUACER UNA LLAVE</v>
          </cell>
        </row>
        <row r="56">
          <cell r="A56">
            <v>49</v>
          </cell>
          <cell r="B56" t="str">
            <v>LAVAMANOS ELITE</v>
          </cell>
        </row>
        <row r="57">
          <cell r="A57">
            <v>50</v>
          </cell>
          <cell r="B57" t="str">
            <v>LAVAMANOS INSTITUCIONAL CON GRIFERIA</v>
          </cell>
        </row>
        <row r="58">
          <cell r="A58">
            <v>51</v>
          </cell>
          <cell r="B58" t="str">
            <v>LAVAMANOS NOVA</v>
          </cell>
        </row>
        <row r="59">
          <cell r="A59">
            <v>52</v>
          </cell>
          <cell r="B59" t="str">
            <v>LAVAMANOS PRESTIGIO</v>
          </cell>
        </row>
        <row r="60">
          <cell r="A60">
            <v>53</v>
          </cell>
          <cell r="B60" t="str">
            <v>LAVAMANOS ROYAL</v>
          </cell>
        </row>
        <row r="61">
          <cell r="A61">
            <v>54</v>
          </cell>
          <cell r="B61" t="str">
            <v>LAVAMANOS SELECTA</v>
          </cell>
        </row>
        <row r="62">
          <cell r="A62">
            <v>55</v>
          </cell>
          <cell r="B62" t="str">
            <v>LAVAPLATOS CON GRIFERIA 0,6*0,4</v>
          </cell>
        </row>
        <row r="63">
          <cell r="A63">
            <v>56</v>
          </cell>
          <cell r="B63" t="str">
            <v>LAVADERO PREFABRICADO</v>
          </cell>
        </row>
        <row r="64">
          <cell r="A64">
            <v>57</v>
          </cell>
          <cell r="B64" t="str">
            <v>LLAVE DE PASO DE 1/2"</v>
          </cell>
        </row>
        <row r="65">
          <cell r="A65">
            <v>58</v>
          </cell>
          <cell r="B65" t="str">
            <v>LIMPIADOR P.V.C.</v>
          </cell>
        </row>
        <row r="66">
          <cell r="A66">
            <v>59</v>
          </cell>
          <cell r="B66" t="str">
            <v>MATRICULA</v>
          </cell>
        </row>
        <row r="67">
          <cell r="A67">
            <v>60</v>
          </cell>
          <cell r="B67" t="str">
            <v>MACHIMBRE TECHO ZAPAN</v>
          </cell>
        </row>
        <row r="68">
          <cell r="A68">
            <v>61</v>
          </cell>
          <cell r="B68" t="str">
            <v>MALLA ELECTROSOLDADA L 098 ( 5mm )</v>
          </cell>
        </row>
        <row r="69">
          <cell r="A69">
            <v>62</v>
          </cell>
          <cell r="B69" t="str">
            <v>MALLA ELECTROSOLDADA M 024 ( 3mm )</v>
          </cell>
        </row>
        <row r="70">
          <cell r="A70">
            <v>63</v>
          </cell>
          <cell r="B70" t="str">
            <v>MANGUERA POLIFLEX LAVAMANOS</v>
          </cell>
        </row>
        <row r="71">
          <cell r="A71">
            <v>64</v>
          </cell>
          <cell r="B71" t="str">
            <v>MARCO DE PUERTA METALICO</v>
          </cell>
        </row>
        <row r="72">
          <cell r="A72">
            <v>65</v>
          </cell>
          <cell r="B72" t="str">
            <v>MARCO METALICO DILATADO</v>
          </cell>
        </row>
        <row r="73">
          <cell r="A73">
            <v>66</v>
          </cell>
          <cell r="B73" t="str">
            <v>MANGUERA POLIFLEX SANITARIOS</v>
          </cell>
        </row>
        <row r="74">
          <cell r="A74">
            <v>67</v>
          </cell>
          <cell r="B74" t="str">
            <v>PEGACOR GRIS</v>
          </cell>
        </row>
        <row r="75">
          <cell r="A75">
            <v>68</v>
          </cell>
          <cell r="B75" t="str">
            <v>PEGACOR BLANCO</v>
          </cell>
        </row>
        <row r="76">
          <cell r="A76">
            <v>69</v>
          </cell>
          <cell r="B76" t="str">
            <v>PEGACOR CON COLOR</v>
          </cell>
        </row>
        <row r="77">
          <cell r="A77">
            <v>70</v>
          </cell>
          <cell r="B77" t="str">
            <v>PERNOS 1/4"</v>
          </cell>
        </row>
        <row r="78">
          <cell r="A78">
            <v>71</v>
          </cell>
          <cell r="B78" t="str">
            <v>PIEDRA RAJON</v>
          </cell>
        </row>
        <row r="79">
          <cell r="A79">
            <v>72</v>
          </cell>
          <cell r="B79" t="str">
            <v>PIEDRA PARA GAVIONES</v>
          </cell>
        </row>
        <row r="80">
          <cell r="A80">
            <v>73</v>
          </cell>
          <cell r="B80" t="str">
            <v>PERMISO ESSA</v>
          </cell>
        </row>
        <row r="81">
          <cell r="A81">
            <v>74</v>
          </cell>
          <cell r="B81" t="str">
            <v>PINTURA ESMALTE</v>
          </cell>
        </row>
        <row r="82">
          <cell r="A82">
            <v>75</v>
          </cell>
          <cell r="B82" t="str">
            <v>PINTURA TIPO 1 VINILO</v>
          </cell>
        </row>
        <row r="83">
          <cell r="A83">
            <v>76</v>
          </cell>
          <cell r="B83" t="str">
            <v>PLAFON</v>
          </cell>
        </row>
        <row r="84">
          <cell r="A84">
            <v>77</v>
          </cell>
          <cell r="B84" t="str">
            <v>PUERTA ACCESO DOS ABRAS 3*2.1</v>
          </cell>
        </row>
        <row r="85">
          <cell r="A85">
            <v>78</v>
          </cell>
          <cell r="B85" t="str">
            <v>PUERTA INTERIOR 0,7*2,0</v>
          </cell>
        </row>
        <row r="86">
          <cell r="A86">
            <v>79</v>
          </cell>
          <cell r="B86" t="str">
            <v>PUERTA FORTEC 0.9*2.1</v>
          </cell>
        </row>
        <row r="87">
          <cell r="A87">
            <v>80</v>
          </cell>
          <cell r="B87" t="str">
            <v>PUERTA METALICA CAL 18</v>
          </cell>
        </row>
        <row r="88">
          <cell r="A88">
            <v>81</v>
          </cell>
          <cell r="B88" t="str">
            <v>PUNTILLA</v>
          </cell>
        </row>
        <row r="89">
          <cell r="A89">
            <v>82</v>
          </cell>
          <cell r="B89" t="str">
            <v>REDUCCION DE 1" A 1/2" P.V.C.</v>
          </cell>
        </row>
        <row r="90">
          <cell r="A90">
            <v>83</v>
          </cell>
          <cell r="B90" t="str">
            <v>REDUCCION DE 3" A  2" H.F.</v>
          </cell>
        </row>
        <row r="91">
          <cell r="A91">
            <v>84</v>
          </cell>
          <cell r="B91" t="str">
            <v>REJILLA ALUMINIO 4"</v>
          </cell>
        </row>
        <row r="92">
          <cell r="A92">
            <v>85</v>
          </cell>
          <cell r="B92" t="str">
            <v>REGISTRO ROSCA INTERNA Y EXTERNA</v>
          </cell>
        </row>
        <row r="93">
          <cell r="A93">
            <v>86</v>
          </cell>
          <cell r="B93" t="str">
            <v>REGISTRO DE 1/2"</v>
          </cell>
        </row>
        <row r="94">
          <cell r="A94">
            <v>87</v>
          </cell>
          <cell r="B94" t="str">
            <v>SANITARIO INSTITUCIONAL</v>
          </cell>
        </row>
        <row r="95">
          <cell r="A95">
            <v>88</v>
          </cell>
          <cell r="B95" t="str">
            <v>SANITARIO ACUACER</v>
          </cell>
        </row>
        <row r="96">
          <cell r="A96">
            <v>89</v>
          </cell>
          <cell r="B96" t="str">
            <v>SANITARIO PRESTIGIO</v>
          </cell>
        </row>
        <row r="97">
          <cell r="A97">
            <v>90</v>
          </cell>
          <cell r="B97" t="str">
            <v>SANITARIO ROYAL</v>
          </cell>
        </row>
        <row r="98">
          <cell r="A98">
            <v>91</v>
          </cell>
          <cell r="B98" t="str">
            <v>SANITARIO SELECTA</v>
          </cell>
        </row>
        <row r="99">
          <cell r="A99">
            <v>92</v>
          </cell>
          <cell r="B99" t="str">
            <v>SANITARIO STILO</v>
          </cell>
        </row>
        <row r="100">
          <cell r="A100">
            <v>93</v>
          </cell>
          <cell r="B100" t="str">
            <v>SELLADO DE MEDIDOR</v>
          </cell>
        </row>
        <row r="101">
          <cell r="A101">
            <v>94</v>
          </cell>
          <cell r="B101" t="str">
            <v>RED ELECTRICA EXTERIOR</v>
          </cell>
        </row>
        <row r="102">
          <cell r="A102">
            <v>95</v>
          </cell>
          <cell r="B102" t="str">
            <v>SIFON PVC 2"</v>
          </cell>
        </row>
        <row r="103">
          <cell r="A103">
            <v>96</v>
          </cell>
          <cell r="B103" t="str">
            <v>SOLDADURA P.V.C.</v>
          </cell>
        </row>
        <row r="104">
          <cell r="A104">
            <v>97</v>
          </cell>
          <cell r="B104" t="str">
            <v>TANQUE ETERNIT 500 LT</v>
          </cell>
        </row>
        <row r="105">
          <cell r="A105">
            <v>98</v>
          </cell>
          <cell r="B105" t="str">
            <v>TABLERO DE DISTRIBUCION C/LLAVE</v>
          </cell>
        </row>
        <row r="106">
          <cell r="A106">
            <v>99</v>
          </cell>
          <cell r="B106" t="str">
            <v>TACOS TERMOM.</v>
          </cell>
        </row>
        <row r="107">
          <cell r="A107">
            <v>100</v>
          </cell>
          <cell r="B107" t="str">
            <v>TEJA EN LAMINA DE ZINC</v>
          </cell>
        </row>
        <row r="108">
          <cell r="A108">
            <v>101</v>
          </cell>
          <cell r="B108" t="str">
            <v>TEJA PLANATIPO PESCADERO 0.20*0.25</v>
          </cell>
        </row>
        <row r="109">
          <cell r="A109">
            <v>102</v>
          </cell>
          <cell r="B109" t="str">
            <v>TEJA TERMOACUSTIC</v>
          </cell>
        </row>
        <row r="110">
          <cell r="A110">
            <v>103</v>
          </cell>
          <cell r="B110" t="str">
            <v>TEJA TIPO ETERNIT</v>
          </cell>
        </row>
        <row r="111">
          <cell r="A111">
            <v>104</v>
          </cell>
          <cell r="B111" t="str">
            <v>TERMINAL 1/2"</v>
          </cell>
        </row>
        <row r="112">
          <cell r="A112">
            <v>105</v>
          </cell>
          <cell r="B112" t="str">
            <v>TRITURADO 1 1/2"</v>
          </cell>
        </row>
        <row r="113">
          <cell r="A113">
            <v>106</v>
          </cell>
          <cell r="B113" t="str">
            <v>TRITURADO 3/4"</v>
          </cell>
        </row>
        <row r="114">
          <cell r="A114">
            <v>107</v>
          </cell>
          <cell r="B114" t="str">
            <v>TUBERIA CONCRETO 30" CLASE II</v>
          </cell>
        </row>
        <row r="115">
          <cell r="A115">
            <v>108</v>
          </cell>
          <cell r="B115" t="str">
            <v>TUBERIA CONDUIT 1 1/2</v>
          </cell>
        </row>
        <row r="116">
          <cell r="A116">
            <v>109</v>
          </cell>
          <cell r="B116" t="str">
            <v>TUBERIA GRES 16"</v>
          </cell>
        </row>
        <row r="117">
          <cell r="A117">
            <v>110</v>
          </cell>
          <cell r="B117" t="str">
            <v>TUBERIA GRES 4"</v>
          </cell>
        </row>
        <row r="118">
          <cell r="A118">
            <v>111</v>
          </cell>
          <cell r="B118" t="str">
            <v>TUBERIA GRES 6"</v>
          </cell>
        </row>
        <row r="119">
          <cell r="A119">
            <v>112</v>
          </cell>
          <cell r="B119" t="str">
            <v>TUBERIA GRES 8"</v>
          </cell>
        </row>
        <row r="120">
          <cell r="A120">
            <v>113</v>
          </cell>
          <cell r="B120" t="str">
            <v>TUBERIA H.G. 1/2</v>
          </cell>
        </row>
        <row r="121">
          <cell r="A121">
            <v>114</v>
          </cell>
          <cell r="B121" t="str">
            <v xml:space="preserve">TUBERIA LLUVIA </v>
          </cell>
        </row>
        <row r="122">
          <cell r="A122">
            <v>115</v>
          </cell>
          <cell r="B122" t="str">
            <v>TUBERIA LLUVIA 4"</v>
          </cell>
        </row>
        <row r="123">
          <cell r="A123">
            <v>116</v>
          </cell>
          <cell r="B123" t="str">
            <v>TUBERIA LLUVIA 3"</v>
          </cell>
        </row>
        <row r="124">
          <cell r="A124">
            <v>117</v>
          </cell>
          <cell r="B124" t="str">
            <v>TUBERIA P.V.C. SANITARIA</v>
          </cell>
        </row>
        <row r="125">
          <cell r="A125">
            <v>118</v>
          </cell>
          <cell r="B125" t="str">
            <v xml:space="preserve">TUBERIA UNION Z 3" </v>
          </cell>
        </row>
        <row r="126">
          <cell r="A126">
            <v>119</v>
          </cell>
          <cell r="B126" t="str">
            <v xml:space="preserve">TUBERIA UNION Z 2" </v>
          </cell>
        </row>
        <row r="127">
          <cell r="A127">
            <v>120</v>
          </cell>
          <cell r="B127" t="str">
            <v xml:space="preserve">TUBERIA PRESION P.V.C </v>
          </cell>
        </row>
        <row r="128">
          <cell r="A128">
            <v>121</v>
          </cell>
          <cell r="B128" t="str">
            <v>TUBERIA PRESION P.V.C 1"</v>
          </cell>
        </row>
        <row r="129">
          <cell r="A129">
            <v>122</v>
          </cell>
          <cell r="B129" t="str">
            <v>TUBERIA PRESION P.V.C 1/2" RDE 21</v>
          </cell>
        </row>
        <row r="130">
          <cell r="A130">
            <v>123</v>
          </cell>
          <cell r="B130" t="str">
            <v>TUBERIA PRESION P.V.C 3/4"</v>
          </cell>
        </row>
        <row r="131">
          <cell r="A131">
            <v>124</v>
          </cell>
          <cell r="B131" t="str">
            <v>TUBERIA GAS 1/2"</v>
          </cell>
        </row>
        <row r="132">
          <cell r="A132">
            <v>125</v>
          </cell>
          <cell r="B132" t="str">
            <v>TUBERIA SANITARIA 2"</v>
          </cell>
        </row>
        <row r="133">
          <cell r="A133">
            <v>126</v>
          </cell>
          <cell r="B133" t="str">
            <v>TUBERIA SANITARIA 4"</v>
          </cell>
        </row>
        <row r="134">
          <cell r="A134">
            <v>127</v>
          </cell>
          <cell r="B134" t="str">
            <v>TUBERIA SANITARIA 6"</v>
          </cell>
        </row>
        <row r="135">
          <cell r="A135">
            <v>128</v>
          </cell>
          <cell r="B135" t="str">
            <v>UNION HG 1/2</v>
          </cell>
        </row>
        <row r="136">
          <cell r="A136">
            <v>129</v>
          </cell>
          <cell r="B136" t="str">
            <v>VALLA INFORMATIVA</v>
          </cell>
        </row>
        <row r="137">
          <cell r="A137">
            <v>130</v>
          </cell>
          <cell r="B137" t="str">
            <v>VALVULA DE REGULACION 1/2"</v>
          </cell>
        </row>
        <row r="138">
          <cell r="A138">
            <v>131</v>
          </cell>
          <cell r="B138" t="str">
            <v>VALVULA 3" BRONCE</v>
          </cell>
        </row>
        <row r="139">
          <cell r="A139">
            <v>132</v>
          </cell>
          <cell r="B139" t="str">
            <v>VALVULA 2" BRONCE</v>
          </cell>
        </row>
        <row r="140">
          <cell r="A140">
            <v>133</v>
          </cell>
          <cell r="B140" t="str">
            <v>VALVULA 1" BRONCE</v>
          </cell>
        </row>
        <row r="141">
          <cell r="A141">
            <v>134</v>
          </cell>
          <cell r="B141" t="str">
            <v>VALVULA 1/2" BRONCE</v>
          </cell>
        </row>
        <row r="142">
          <cell r="A142">
            <v>135</v>
          </cell>
          <cell r="B142" t="str">
            <v>UNION REPARACION 3"</v>
          </cell>
        </row>
        <row r="143">
          <cell r="A143">
            <v>136</v>
          </cell>
          <cell r="B143" t="str">
            <v>UNION REPARACION 2"</v>
          </cell>
        </row>
        <row r="144">
          <cell r="A144">
            <v>137</v>
          </cell>
          <cell r="B144" t="str">
            <v>UNIVERSAL DE 1/2"</v>
          </cell>
        </row>
        <row r="145">
          <cell r="A145">
            <v>138</v>
          </cell>
          <cell r="B145" t="str">
            <v>UNION GALVANIZADA 1/2"</v>
          </cell>
        </row>
        <row r="146">
          <cell r="A146">
            <v>139</v>
          </cell>
          <cell r="B146" t="str">
            <v xml:space="preserve">VENTANA CON REJA </v>
          </cell>
        </row>
        <row r="147">
          <cell r="A147">
            <v>140</v>
          </cell>
          <cell r="B147" t="str">
            <v>CERAMICA DE PISO</v>
          </cell>
        </row>
        <row r="148">
          <cell r="A148">
            <v>141</v>
          </cell>
          <cell r="B148" t="str">
            <v>VIDRIO 3 M M INCLUYE MASILLA</v>
          </cell>
        </row>
        <row r="149">
          <cell r="A149">
            <v>142</v>
          </cell>
          <cell r="B149" t="str">
            <v>CAOLIN</v>
          </cell>
        </row>
        <row r="150">
          <cell r="A150">
            <v>143</v>
          </cell>
          <cell r="B150" t="str">
            <v>PUERTA ENROLLABLE</v>
          </cell>
        </row>
        <row r="151">
          <cell r="A151">
            <v>146</v>
          </cell>
          <cell r="B151" t="str">
            <v xml:space="preserve">EMULSION ASFALTICA </v>
          </cell>
        </row>
        <row r="152">
          <cell r="A152">
            <v>147</v>
          </cell>
          <cell r="B152" t="str">
            <v>ALQUILER CASA</v>
          </cell>
        </row>
        <row r="153">
          <cell r="A153">
            <v>148</v>
          </cell>
          <cell r="B153" t="str">
            <v>MADERA REDONDA</v>
          </cell>
        </row>
        <row r="154">
          <cell r="A154">
            <v>149</v>
          </cell>
          <cell r="B154" t="str">
            <v>CONO REFLECTIVO</v>
          </cell>
        </row>
        <row r="155">
          <cell r="A155">
            <v>150</v>
          </cell>
          <cell r="B155" t="str">
            <v>MECHONES</v>
          </cell>
        </row>
        <row r="156">
          <cell r="A156">
            <v>151</v>
          </cell>
          <cell r="B156" t="str">
            <v xml:space="preserve">CERAMICA PARED </v>
          </cell>
        </row>
        <row r="157">
          <cell r="A157">
            <v>152</v>
          </cell>
          <cell r="B157" t="str">
            <v>GRAVILLA</v>
          </cell>
        </row>
        <row r="158">
          <cell r="A158">
            <v>162</v>
          </cell>
          <cell r="B158" t="str">
            <v>TABLA e = 0.3 mts</v>
          </cell>
        </row>
        <row r="159">
          <cell r="A159">
            <v>163</v>
          </cell>
          <cell r="B159" t="str">
            <v>POLIETILENO</v>
          </cell>
        </row>
        <row r="160">
          <cell r="A160">
            <v>165</v>
          </cell>
          <cell r="B160" t="str">
            <v>PIEDRA BOLO</v>
          </cell>
        </row>
        <row r="161">
          <cell r="A161">
            <v>166</v>
          </cell>
          <cell r="B161" t="str">
            <v>MALLA ELECTROSOLDADA Q-3</v>
          </cell>
        </row>
        <row r="162">
          <cell r="A162">
            <v>167</v>
          </cell>
          <cell r="B162" t="str">
            <v>CUBIERTA EN ESTRUCT METALICA</v>
          </cell>
        </row>
        <row r="163">
          <cell r="A163">
            <v>168</v>
          </cell>
          <cell r="B163" t="str">
            <v>POLICARBONATO</v>
          </cell>
        </row>
        <row r="164">
          <cell r="A164">
            <v>169</v>
          </cell>
          <cell r="B164" t="str">
            <v>PINTURA ACRITEX</v>
          </cell>
        </row>
        <row r="165">
          <cell r="A165">
            <v>170</v>
          </cell>
          <cell r="B165" t="str">
            <v>VIGA MADERA 15*20</v>
          </cell>
        </row>
        <row r="166">
          <cell r="A166">
            <v>171</v>
          </cell>
          <cell r="B166" t="str">
            <v>MANTO FIBERGLASS 3 MM</v>
          </cell>
        </row>
        <row r="167">
          <cell r="A167">
            <v>178</v>
          </cell>
          <cell r="B167" t="str">
            <v>SIKA 1</v>
          </cell>
        </row>
        <row r="168">
          <cell r="A168">
            <v>189</v>
          </cell>
          <cell r="B168" t="str">
            <v>INCRUSTACIONES</v>
          </cell>
        </row>
        <row r="169">
          <cell r="A169">
            <v>199</v>
          </cell>
          <cell r="B169" t="str">
            <v>CODO 90 C*C 4"</v>
          </cell>
        </row>
        <row r="170">
          <cell r="A170">
            <v>200</v>
          </cell>
          <cell r="B170" t="str">
            <v>CODO 45 C*C 4"</v>
          </cell>
        </row>
      </sheetData>
      <sheetData sheetId="5" refreshError="1">
        <row r="3">
          <cell r="B3" t="e">
            <v>#REF!</v>
          </cell>
        </row>
        <row r="5">
          <cell r="A5" t="str">
            <v>FECHA</v>
          </cell>
          <cell r="B5">
            <v>0</v>
          </cell>
        </row>
        <row r="6">
          <cell r="A6" t="str">
            <v>CODIGO</v>
          </cell>
          <cell r="B6" t="str">
            <v>CARGO</v>
          </cell>
        </row>
        <row r="8">
          <cell r="A8">
            <v>0</v>
          </cell>
        </row>
        <row r="9">
          <cell r="A9">
            <v>1</v>
          </cell>
          <cell r="B9" t="str">
            <v>ADMINISTRADOR</v>
          </cell>
        </row>
        <row r="10">
          <cell r="A10">
            <v>2</v>
          </cell>
          <cell r="B10" t="str">
            <v>ALMACENISTA</v>
          </cell>
        </row>
        <row r="11">
          <cell r="A11">
            <v>3</v>
          </cell>
          <cell r="B11" t="str">
            <v>AUXILIAR DE INGENIERIA</v>
          </cell>
        </row>
        <row r="12">
          <cell r="A12">
            <v>4</v>
          </cell>
          <cell r="B12" t="str">
            <v>AYUDANTE DE CONSTRUCCION</v>
          </cell>
        </row>
        <row r="13">
          <cell r="A13">
            <v>5</v>
          </cell>
          <cell r="B13" t="str">
            <v>AYUDANTE DE MAQUINARIA</v>
          </cell>
        </row>
        <row r="14">
          <cell r="A14">
            <v>6</v>
          </cell>
          <cell r="B14" t="str">
            <v>CADENERO</v>
          </cell>
        </row>
        <row r="15">
          <cell r="A15">
            <v>7</v>
          </cell>
          <cell r="B15" t="str">
            <v>CAPATAZ</v>
          </cell>
        </row>
        <row r="16">
          <cell r="A16">
            <v>8</v>
          </cell>
          <cell r="B16" t="str">
            <v>CARPINTERO</v>
          </cell>
        </row>
        <row r="17">
          <cell r="A17">
            <v>9</v>
          </cell>
          <cell r="B17" t="str">
            <v>CELADOR</v>
          </cell>
        </row>
        <row r="18">
          <cell r="A18">
            <v>10</v>
          </cell>
          <cell r="B18" t="str">
            <v>ELECTRICISTA</v>
          </cell>
        </row>
        <row r="19">
          <cell r="A19">
            <v>11</v>
          </cell>
          <cell r="B19" t="str">
            <v>INGENIERO DIRECTOR</v>
          </cell>
        </row>
        <row r="20">
          <cell r="A20">
            <v>12</v>
          </cell>
          <cell r="B20" t="str">
            <v>INGENIERO RESIDENTE</v>
          </cell>
        </row>
        <row r="21">
          <cell r="A21">
            <v>13</v>
          </cell>
          <cell r="B21" t="str">
            <v>MAESTRO DE OBRA</v>
          </cell>
        </row>
        <row r="22">
          <cell r="A22">
            <v>14</v>
          </cell>
          <cell r="B22" t="str">
            <v>OFICIAL DE CONSTRUCCION</v>
          </cell>
        </row>
        <row r="23">
          <cell r="A23">
            <v>15</v>
          </cell>
          <cell r="B23" t="str">
            <v>OPERADOR DE MAQUINARIA</v>
          </cell>
        </row>
        <row r="24">
          <cell r="A24">
            <v>16</v>
          </cell>
          <cell r="B24" t="str">
            <v>PLOMERO</v>
          </cell>
        </row>
        <row r="25">
          <cell r="A25">
            <v>17</v>
          </cell>
          <cell r="B25" t="str">
            <v>SECRETARIA</v>
          </cell>
        </row>
        <row r="26">
          <cell r="A26">
            <v>18</v>
          </cell>
          <cell r="B26" t="str">
            <v>SOLDADOR</v>
          </cell>
        </row>
        <row r="27">
          <cell r="A27">
            <v>19</v>
          </cell>
          <cell r="B27" t="str">
            <v>TOPOGRAFO</v>
          </cell>
        </row>
        <row r="28">
          <cell r="A28">
            <v>20</v>
          </cell>
          <cell r="B28" t="str">
            <v>GERENTE</v>
          </cell>
        </row>
        <row r="29">
          <cell r="A29">
            <v>21</v>
          </cell>
          <cell r="B29" t="str">
            <v>CONTADOR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 enableFormatConditionsCalculation="0">
    <tabColor indexed="53"/>
  </sheetPr>
  <dimension ref="B2:M502"/>
  <sheetViews>
    <sheetView topLeftCell="A133" zoomScaleNormal="100" zoomScaleSheetLayoutView="55" workbookViewId="0">
      <selection activeCell="C22" sqref="C22:E42"/>
    </sheetView>
  </sheetViews>
  <sheetFormatPr baseColWidth="10" defaultRowHeight="11.25"/>
  <cols>
    <col min="1" max="1" width="11.42578125" style="356"/>
    <col min="2" max="2" width="8.5703125" style="357" customWidth="1"/>
    <col min="3" max="3" width="110.42578125" style="356" bestFit="1" customWidth="1"/>
    <col min="4" max="4" width="9.140625" style="357" bestFit="1" customWidth="1"/>
    <col min="5" max="5" width="15" style="358" customWidth="1"/>
    <col min="6" max="16384" width="11.42578125" style="356"/>
  </cols>
  <sheetData>
    <row r="2" spans="2:10">
      <c r="C2" s="736" t="s">
        <v>1680</v>
      </c>
      <c r="D2" s="736"/>
      <c r="E2" s="736"/>
    </row>
    <row r="3" spans="2:10">
      <c r="C3" s="736" t="s">
        <v>1510</v>
      </c>
      <c r="D3" s="736"/>
      <c r="E3" s="736"/>
    </row>
    <row r="4" spans="2:10">
      <c r="C4" s="357"/>
      <c r="E4" s="357"/>
    </row>
    <row r="6" spans="2:10" s="360" customFormat="1" ht="20.25" customHeight="1">
      <c r="B6" s="362"/>
      <c r="C6" s="329" t="s">
        <v>19</v>
      </c>
      <c r="D6" s="329" t="s">
        <v>842</v>
      </c>
      <c r="E6" s="330" t="s">
        <v>231</v>
      </c>
    </row>
    <row r="7" spans="2:10" s="360" customFormat="1">
      <c r="B7" s="362"/>
      <c r="C7" s="331" t="s">
        <v>1010</v>
      </c>
      <c r="D7" s="332"/>
      <c r="E7" s="333"/>
      <c r="F7" s="371"/>
    </row>
    <row r="8" spans="2:10" ht="12.75">
      <c r="B8" s="507">
        <v>1</v>
      </c>
      <c r="C8" s="341" t="str">
        <f>'CONCRETOS - HIERROS'!C8</f>
        <v>CONCRETO 1:2:2 3500 psi</v>
      </c>
      <c r="D8" s="342" t="str">
        <f>'CONCRETOS - HIERROS'!G6</f>
        <v>M3</v>
      </c>
      <c r="E8" s="343">
        <f>'CONCRETOS - HIERROS'!G58</f>
        <v>390000</v>
      </c>
      <c r="F8" s="372"/>
      <c r="G8" s="736"/>
      <c r="H8" s="736"/>
      <c r="I8" s="736"/>
      <c r="J8" s="736"/>
    </row>
    <row r="9" spans="2:10" ht="12.75">
      <c r="B9" s="507">
        <v>2</v>
      </c>
      <c r="C9" s="341" t="str">
        <f>'CONCRETOS - HIERROS'!C61</f>
        <v>CONCRETO 1:2:3 3000 psi</v>
      </c>
      <c r="D9" s="342" t="str">
        <f>'CONCRETOS - HIERROS'!G59</f>
        <v>M3</v>
      </c>
      <c r="E9" s="343">
        <f>'CONCRETOS - HIERROS'!G111</f>
        <v>367600</v>
      </c>
      <c r="F9" s="372"/>
      <c r="G9" s="736"/>
      <c r="H9" s="736"/>
      <c r="I9" s="736"/>
      <c r="J9" s="736"/>
    </row>
    <row r="10" spans="2:10" ht="12.75">
      <c r="B10" s="508">
        <v>3</v>
      </c>
      <c r="C10" s="341" t="str">
        <f>'CONCRETOS - HIERROS'!C114</f>
        <v>CONCRETO 1:2:4 2500 psi</v>
      </c>
      <c r="D10" s="342" t="str">
        <f>'CONCRETOS - HIERROS'!G112</f>
        <v>M3</v>
      </c>
      <c r="E10" s="343">
        <f>'CONCRETOS - HIERROS'!G164</f>
        <v>351700</v>
      </c>
      <c r="F10" s="372"/>
      <c r="G10" s="736"/>
      <c r="H10" s="736"/>
      <c r="I10" s="736"/>
      <c r="J10" s="736"/>
    </row>
    <row r="11" spans="2:10" ht="12.75">
      <c r="B11" s="508">
        <v>4</v>
      </c>
      <c r="C11" s="341" t="str">
        <f>'CONCRETOS - HIERROS'!C167</f>
        <v>CONCRETO 1:3:5 2000 psi</v>
      </c>
      <c r="D11" s="342" t="str">
        <f>'CONCRETOS - HIERROS'!G165</f>
        <v>M3</v>
      </c>
      <c r="E11" s="343">
        <f>'CONCRETOS - HIERROS'!G217</f>
        <v>319200</v>
      </c>
      <c r="F11" s="372"/>
      <c r="G11" s="736"/>
      <c r="H11" s="736"/>
      <c r="I11" s="736"/>
      <c r="J11" s="736"/>
    </row>
    <row r="12" spans="2:10" ht="12.75">
      <c r="B12" s="508">
        <v>5</v>
      </c>
      <c r="C12" s="341" t="str">
        <f>'CONCRETOS - HIERROS'!C220</f>
        <v>MORTERO 1:2</v>
      </c>
      <c r="D12" s="342" t="str">
        <f>'CONCRETOS - HIERROS'!G218</f>
        <v>M3</v>
      </c>
      <c r="E12" s="343">
        <f>'CONCRETOS - HIERROS'!G270</f>
        <v>431000</v>
      </c>
      <c r="F12" s="372"/>
      <c r="G12" s="736"/>
      <c r="H12" s="736"/>
      <c r="I12" s="736"/>
      <c r="J12" s="736"/>
    </row>
    <row r="13" spans="2:10" ht="12.75">
      <c r="B13" s="509">
        <v>6</v>
      </c>
      <c r="C13" s="341" t="str">
        <f>'CONCRETOS - HIERROS'!C273</f>
        <v>MORTERO 1:2 IMPERMEABILIZADO</v>
      </c>
      <c r="D13" s="342" t="str">
        <f>'CONCRETOS - HIERROS'!G271</f>
        <v>M3</v>
      </c>
      <c r="E13" s="343">
        <f>'CONCRETOS - HIERROS'!G323</f>
        <v>450400</v>
      </c>
      <c r="F13" s="372"/>
      <c r="G13" s="736"/>
      <c r="H13" s="736"/>
      <c r="I13" s="736"/>
      <c r="J13" s="736"/>
    </row>
    <row r="14" spans="2:10" ht="12.75">
      <c r="B14" s="509">
        <v>7</v>
      </c>
      <c r="C14" s="341" t="str">
        <f>'CONCRETOS - HIERROS'!C326</f>
        <v>MORTERO 1:3</v>
      </c>
      <c r="D14" s="342" t="str">
        <f>'CONCRETOS - HIERROS'!G324</f>
        <v>M3</v>
      </c>
      <c r="E14" s="343">
        <f>'CONCRETOS - HIERROS'!G376</f>
        <v>365000</v>
      </c>
      <c r="F14" s="372"/>
      <c r="G14" s="736"/>
      <c r="H14" s="736"/>
      <c r="I14" s="736"/>
      <c r="J14" s="736"/>
    </row>
    <row r="15" spans="2:10" ht="12.75">
      <c r="B15" s="509">
        <v>8</v>
      </c>
      <c r="C15" s="341" t="str">
        <f>'CONCRETOS - HIERROS'!C379</f>
        <v>MORTERO 1:3 IMPERMEABILIZADO</v>
      </c>
      <c r="D15" s="342" t="str">
        <f>'CONCRETOS - HIERROS'!G377</f>
        <v>M3</v>
      </c>
      <c r="E15" s="343">
        <f>'CONCRETOS - HIERROS'!G429</f>
        <v>379800</v>
      </c>
      <c r="F15" s="372"/>
      <c r="G15" s="736"/>
      <c r="H15" s="736"/>
      <c r="I15" s="736"/>
      <c r="J15" s="736"/>
    </row>
    <row r="16" spans="2:10" ht="12.75">
      <c r="B16" s="509">
        <v>9</v>
      </c>
      <c r="C16" s="341" t="str">
        <f>'CONCRETOS - HIERROS'!C432</f>
        <v>MORTERO 1:4</v>
      </c>
      <c r="D16" s="342" t="str">
        <f>'CONCRETOS - HIERROS'!G430</f>
        <v>M3</v>
      </c>
      <c r="E16" s="343">
        <f>'CONCRETOS - HIERROS'!G482</f>
        <v>326500</v>
      </c>
      <c r="F16" s="372"/>
      <c r="G16" s="736"/>
      <c r="H16" s="736"/>
      <c r="I16" s="736"/>
      <c r="J16" s="736"/>
    </row>
    <row r="17" spans="2:13" ht="12.75">
      <c r="B17" s="509">
        <v>10</v>
      </c>
      <c r="C17" s="341" t="str">
        <f>'CONCRETOS - HIERROS'!C485</f>
        <v>MORTERO 1:5</v>
      </c>
      <c r="D17" s="342" t="str">
        <f>'CONCRETOS - HIERROS'!G483</f>
        <v>M3</v>
      </c>
      <c r="E17" s="343">
        <f>'CONCRETOS - HIERROS'!G535</f>
        <v>299400</v>
      </c>
      <c r="F17" s="372"/>
      <c r="G17" s="736"/>
      <c r="H17" s="736"/>
      <c r="I17" s="736"/>
      <c r="J17" s="736"/>
    </row>
    <row r="18" spans="2:13" ht="12.75">
      <c r="B18" s="510">
        <v>11</v>
      </c>
      <c r="C18" s="341" t="str">
        <f>'CONCRETOS - HIERROS'!C538</f>
        <v>MORTERO 1:6</v>
      </c>
      <c r="D18" s="396" t="str">
        <f>'CONCRETOS - HIERROS'!G536</f>
        <v>M3</v>
      </c>
      <c r="E18" s="343">
        <f>'CONCRETOS - HIERROS'!G588</f>
        <v>283100</v>
      </c>
      <c r="F18" s="372"/>
      <c r="G18" s="362"/>
      <c r="H18" s="362"/>
      <c r="I18" s="362"/>
      <c r="J18" s="362"/>
    </row>
    <row r="19" spans="2:13">
      <c r="B19" s="511"/>
      <c r="C19" s="334" t="s">
        <v>20</v>
      </c>
      <c r="D19" s="335"/>
      <c r="E19" s="336"/>
      <c r="F19" s="372"/>
      <c r="G19" s="736"/>
      <c r="H19" s="736"/>
      <c r="I19" s="736"/>
      <c r="J19" s="736"/>
    </row>
    <row r="20" spans="2:13" ht="12.75">
      <c r="B20" s="509">
        <v>1</v>
      </c>
      <c r="C20" s="341" t="str">
        <f>'CONCRETOS - HIERROS'!C591</f>
        <v>HIERRO Ø 1/4" Corte y figurado</v>
      </c>
      <c r="D20" s="342" t="str">
        <f>'CONCRETOS - HIERROS'!G589</f>
        <v>KG</v>
      </c>
      <c r="E20" s="343">
        <f>'CONCRETOS - HIERROS'!G641</f>
        <v>2800</v>
      </c>
      <c r="F20" s="372"/>
      <c r="G20" s="736"/>
      <c r="H20" s="736"/>
      <c r="I20" s="736"/>
      <c r="J20" s="736"/>
    </row>
    <row r="21" spans="2:13" ht="12.75">
      <c r="B21" s="509">
        <v>2</v>
      </c>
      <c r="C21" s="341" t="str">
        <f>'CONCRETOS - HIERROS'!C644</f>
        <v>HIERRO Ø 3/8" Corte y figurado</v>
      </c>
      <c r="D21" s="342" t="str">
        <f>'CONCRETOS - HIERROS'!G642</f>
        <v>KG</v>
      </c>
      <c r="E21" s="343">
        <f>'CONCRETOS - HIERROS'!G694</f>
        <v>2800</v>
      </c>
      <c r="F21" s="372"/>
      <c r="G21" s="736"/>
      <c r="H21" s="736"/>
      <c r="I21" s="736"/>
      <c r="J21" s="736"/>
    </row>
    <row r="22" spans="2:13">
      <c r="B22" s="511"/>
      <c r="C22" s="334" t="s">
        <v>193</v>
      </c>
      <c r="D22" s="335"/>
      <c r="E22" s="336"/>
      <c r="F22" s="372"/>
      <c r="G22" s="736"/>
      <c r="H22" s="736"/>
      <c r="I22" s="736"/>
      <c r="J22" s="736"/>
    </row>
    <row r="23" spans="2:13" ht="12.75">
      <c r="B23" s="509">
        <v>1</v>
      </c>
      <c r="C23" s="341" t="str">
        <f>PRELIMINARES!C8</f>
        <v>LOCALIZACION Y REPLANTEO MANUAL</v>
      </c>
      <c r="D23" s="342" t="str">
        <f>PRELIMINARES!G6</f>
        <v>M2</v>
      </c>
      <c r="E23" s="392">
        <f>PRELIMINARES!G58</f>
        <v>5300</v>
      </c>
      <c r="F23" s="372"/>
      <c r="G23" s="377"/>
      <c r="H23" s="377"/>
      <c r="I23" s="377"/>
      <c r="J23" s="377"/>
      <c r="K23" s="377"/>
      <c r="L23"/>
      <c r="M23"/>
    </row>
    <row r="24" spans="2:13" ht="12.75">
      <c r="B24" s="509">
        <v>2</v>
      </c>
      <c r="C24" s="399" t="str">
        <f>PRELIMINARES!C61</f>
        <v>DESCAPOTE CON MAQUINA, incluye acarreo en volqueta</v>
      </c>
      <c r="D24" s="403" t="str">
        <f>PRELIMINARES!G59</f>
        <v>M2</v>
      </c>
      <c r="E24" s="393">
        <f>PRELIMINARES!G111</f>
        <v>5700</v>
      </c>
      <c r="F24" s="376"/>
      <c r="G24" s="377"/>
      <c r="H24" s="377"/>
      <c r="I24" s="377"/>
      <c r="J24" s="377"/>
      <c r="K24" s="377"/>
      <c r="L24"/>
      <c r="M24"/>
    </row>
    <row r="25" spans="2:13" ht="12.75">
      <c r="B25" s="509">
        <v>3</v>
      </c>
      <c r="C25" s="400" t="str">
        <f>PRELIMINARES!C114</f>
        <v>DESCAPOTE A MANO, incluye acarreo en volqueta</v>
      </c>
      <c r="D25" s="404" t="str">
        <f>PRELIMINARES!G112</f>
        <v>M2</v>
      </c>
      <c r="E25" s="394">
        <f>PRELIMINARES!G164</f>
        <v>3900</v>
      </c>
      <c r="F25" s="377"/>
      <c r="G25" s="377"/>
      <c r="H25" s="377"/>
      <c r="I25" s="377"/>
      <c r="J25" s="377"/>
      <c r="K25" s="377"/>
      <c r="L25"/>
      <c r="M25"/>
    </row>
    <row r="26" spans="2:13" ht="12.75">
      <c r="B26" s="509">
        <v>4</v>
      </c>
      <c r="C26" s="400" t="str">
        <f>PRELIMINARES!C167</f>
        <v>MOVIMIENTO DE TIERRA - CORTE, incluye acarreo en volqueta</v>
      </c>
      <c r="D26" s="404" t="str">
        <f>PRELIMINARES!G165</f>
        <v>M3</v>
      </c>
      <c r="E26" s="394">
        <f>PRELIMINARES!G217</f>
        <v>5500</v>
      </c>
      <c r="F26" s="377"/>
      <c r="G26" s="377"/>
      <c r="H26" s="377"/>
      <c r="I26" s="377"/>
      <c r="J26" s="377"/>
      <c r="K26" s="377"/>
      <c r="L26"/>
      <c r="M26"/>
    </row>
    <row r="27" spans="2:13" ht="12.75">
      <c r="B27" s="509">
        <v>5</v>
      </c>
      <c r="C27" s="341" t="str">
        <f>PRELIMINARES!C220</f>
        <v>DEMOLICION VIGAS Y COLUMNAS</v>
      </c>
      <c r="D27" s="342" t="str">
        <f>PRELIMINARES!G218</f>
        <v>M3</v>
      </c>
      <c r="E27" s="392">
        <f>PRELIMINARES!G270</f>
        <v>135200</v>
      </c>
      <c r="F27" s="379"/>
      <c r="G27" s="377"/>
      <c r="H27" s="377"/>
      <c r="I27" s="377"/>
      <c r="J27" s="377"/>
      <c r="K27" s="377"/>
      <c r="L27"/>
      <c r="M27"/>
    </row>
    <row r="28" spans="2:13" ht="12.75">
      <c r="B28" s="509">
        <v>6</v>
      </c>
      <c r="C28" s="341" t="str">
        <f>PRELIMINARES!C273</f>
        <v>DEMOLICION VIGAS Y COLUMNAS INCLUYE ACARREO</v>
      </c>
      <c r="D28" s="342" t="str">
        <f>PRELIMINARES!G271</f>
        <v>M3</v>
      </c>
      <c r="E28" s="392">
        <f>PRELIMINARES!G323</f>
        <v>136800</v>
      </c>
      <c r="F28" s="375"/>
      <c r="G28" s="377"/>
      <c r="H28" s="377"/>
      <c r="I28" s="377"/>
      <c r="J28" s="377"/>
      <c r="K28" s="377"/>
      <c r="L28"/>
      <c r="M28"/>
    </row>
    <row r="29" spans="2:13" ht="12.75">
      <c r="B29" s="509">
        <v>7</v>
      </c>
      <c r="C29" s="341" t="str">
        <f>PRELIMINARES!C326</f>
        <v>DEMOLICION MUROS E=0.15 M INCLUYE ACARREO</v>
      </c>
      <c r="D29" s="342" t="str">
        <f>PRELIMINARES!G324</f>
        <v>M2</v>
      </c>
      <c r="E29" s="392">
        <f>PRELIMINARES!G376</f>
        <v>7700</v>
      </c>
      <c r="F29" s="379"/>
      <c r="G29" s="377"/>
      <c r="H29" s="377"/>
      <c r="I29" s="377"/>
      <c r="J29" s="377"/>
      <c r="K29" s="377"/>
      <c r="L29"/>
      <c r="M29"/>
    </row>
    <row r="30" spans="2:13" ht="12.75">
      <c r="B30" s="509">
        <v>8</v>
      </c>
      <c r="C30" s="341" t="str">
        <f>PRELIMINARES!C379</f>
        <v xml:space="preserve">DEMOLICION PLACA MACIZA 0.15 M INCLUYE ACARREO </v>
      </c>
      <c r="D30" s="342" t="str">
        <f>PRELIMINARES!G377</f>
        <v>M2</v>
      </c>
      <c r="E30" s="392">
        <f>PRELIMINARES!G429</f>
        <v>35200</v>
      </c>
      <c r="F30" s="379"/>
      <c r="G30" s="377"/>
      <c r="H30" s="377"/>
      <c r="I30" s="377"/>
      <c r="J30" s="377"/>
      <c r="K30" s="377"/>
      <c r="L30"/>
      <c r="M30"/>
    </row>
    <row r="31" spans="2:13" ht="12.75">
      <c r="B31" s="509">
        <v>9</v>
      </c>
      <c r="C31" s="341" t="str">
        <f>PRELIMINARES!C432</f>
        <v>DEMOLICION PLACA PISO INCLUYE ACARREO</v>
      </c>
      <c r="D31" s="342" t="str">
        <f>PRELIMINARES!G430</f>
        <v>M2</v>
      </c>
      <c r="E31" s="392">
        <f>PRELIMINARES!G479</f>
        <v>34100</v>
      </c>
      <c r="F31" s="379"/>
      <c r="G31" s="377"/>
      <c r="H31" s="377"/>
      <c r="I31" s="377"/>
      <c r="J31" s="377"/>
      <c r="K31" s="377"/>
      <c r="L31"/>
      <c r="M31"/>
    </row>
    <row r="32" spans="2:13" ht="12.75">
      <c r="B32" s="509">
        <v>10</v>
      </c>
      <c r="C32" s="341" t="str">
        <f>PRELIMINARES!C482</f>
        <v>DESMONTE APARATOS SANITARIOS</v>
      </c>
      <c r="D32" s="342" t="str">
        <f>PRELIMINARES!G480</f>
        <v>UND</v>
      </c>
      <c r="E32" s="392">
        <f>PRELIMINARES!G532</f>
        <v>22300</v>
      </c>
      <c r="F32" s="379"/>
      <c r="G32" s="377"/>
      <c r="H32" s="377"/>
      <c r="I32" s="377"/>
      <c r="J32" s="377"/>
      <c r="K32" s="377"/>
      <c r="L32"/>
      <c r="M32"/>
    </row>
    <row r="33" spans="2:13" ht="12.75">
      <c r="B33" s="509">
        <v>11</v>
      </c>
      <c r="C33" s="341" t="str">
        <f>PRELIMINARES!C535</f>
        <v>DESMONTE CUBIERTA A. C.</v>
      </c>
      <c r="D33" s="342" t="str">
        <f>PRELIMINARES!G533</f>
        <v>M2</v>
      </c>
      <c r="E33" s="392">
        <f>PRELIMINARES!G585</f>
        <v>4700</v>
      </c>
      <c r="F33" s="379"/>
      <c r="G33" s="377"/>
      <c r="H33" s="377"/>
      <c r="I33" s="377"/>
      <c r="J33" s="377"/>
      <c r="K33" s="377"/>
      <c r="L33"/>
      <c r="M33"/>
    </row>
    <row r="34" spans="2:13" ht="12.75">
      <c r="B34" s="509">
        <v>12</v>
      </c>
      <c r="C34" s="341" t="str">
        <f>PRELIMINARES!C588</f>
        <v>DESMONTE CUBIERTA A. C. Y ENTRAMADO DE MADERA</v>
      </c>
      <c r="D34" s="342" t="str">
        <f>PRELIMINARES!G586</f>
        <v>M2</v>
      </c>
      <c r="E34" s="392">
        <f>PRELIMINARES!G638</f>
        <v>11400</v>
      </c>
      <c r="F34" s="379"/>
      <c r="G34" s="377"/>
      <c r="H34" s="377"/>
      <c r="I34" s="377"/>
      <c r="J34" s="377"/>
      <c r="K34" s="377"/>
      <c r="L34"/>
      <c r="M34"/>
    </row>
    <row r="35" spans="2:13" ht="12.75">
      <c r="B35" s="509">
        <v>13</v>
      </c>
      <c r="C35" s="341" t="str">
        <f>PRELIMINARES!C641</f>
        <v xml:space="preserve">DESMONTE CIELO RASO </v>
      </c>
      <c r="D35" s="342" t="str">
        <f>PRELIMINARES!G639</f>
        <v>M2</v>
      </c>
      <c r="E35" s="392">
        <f>PRELIMINARES!G691</f>
        <v>5500</v>
      </c>
      <c r="F35" s="379"/>
      <c r="G35" s="377"/>
      <c r="H35" s="377"/>
      <c r="I35" s="377"/>
      <c r="J35" s="377"/>
      <c r="K35" s="377"/>
      <c r="L35"/>
      <c r="M35"/>
    </row>
    <row r="36" spans="2:13" ht="12.75">
      <c r="B36" s="509">
        <v>14</v>
      </c>
      <c r="C36" s="341" t="str">
        <f>PRELIMINARES!C694</f>
        <v xml:space="preserve">DESMONTE CIELO RASO EN  A. C. Y ENTRAMADO EN MADERA </v>
      </c>
      <c r="D36" s="342" t="str">
        <f>PRELIMINARES!G692</f>
        <v>M2</v>
      </c>
      <c r="E36" s="392">
        <f>PRELIMINARES!G744</f>
        <v>11100</v>
      </c>
      <c r="F36" s="379"/>
      <c r="G36" s="377"/>
      <c r="H36" s="377"/>
      <c r="I36" s="377"/>
      <c r="J36" s="377"/>
      <c r="K36" s="377"/>
      <c r="L36"/>
      <c r="M36"/>
    </row>
    <row r="37" spans="2:13" ht="12.75">
      <c r="B37" s="509">
        <v>15</v>
      </c>
      <c r="C37" s="341" t="str">
        <f>PRELIMINARES!C747</f>
        <v>DESMONTE MARCOS Y PUERTA EN MADERA Y METALICA</v>
      </c>
      <c r="D37" s="342" t="str">
        <f>PRELIMINARES!G745</f>
        <v>UND</v>
      </c>
      <c r="E37" s="392">
        <f>PRELIMINARES!G797</f>
        <v>8300</v>
      </c>
      <c r="F37" s="379"/>
      <c r="G37" s="377"/>
      <c r="H37" s="377"/>
      <c r="I37" s="377"/>
      <c r="J37" s="377"/>
      <c r="K37" s="377"/>
      <c r="L37"/>
      <c r="M37"/>
    </row>
    <row r="38" spans="2:13" ht="12.75">
      <c r="B38" s="509">
        <v>16</v>
      </c>
      <c r="C38" s="341" t="str">
        <f>PRELIMINARES!C800</f>
        <v>DESMONTE MARCOS Y PUERTAS EN VAIVEN EN MADERA Y VIDRIO</v>
      </c>
      <c r="D38" s="342" t="str">
        <f>PRELIMINARES!G798</f>
        <v>UND</v>
      </c>
      <c r="E38" s="392">
        <f>PRELIMINARES!G850</f>
        <v>22700</v>
      </c>
      <c r="F38" s="379"/>
      <c r="G38" s="377"/>
      <c r="H38" s="377"/>
      <c r="I38" s="377"/>
      <c r="J38" s="377"/>
      <c r="K38" s="377"/>
      <c r="L38"/>
      <c r="M38"/>
    </row>
    <row r="39" spans="2:13" ht="12.75" customHeight="1">
      <c r="B39" s="509">
        <v>17</v>
      </c>
      <c r="C39" s="341" t="str">
        <f>PRELIMINARES!C853</f>
        <v>DESMONTE DE PORTON METALICO DE 3.00X2.30 M</v>
      </c>
      <c r="D39" s="342" t="str">
        <f>PRELIMINARES!G851</f>
        <v>UND</v>
      </c>
      <c r="E39" s="392">
        <f>PRELIMINARES!G903</f>
        <v>33200</v>
      </c>
      <c r="F39" s="379"/>
      <c r="G39" s="377"/>
      <c r="H39" s="377"/>
      <c r="I39" s="377"/>
      <c r="J39" s="377"/>
      <c r="K39" s="377"/>
      <c r="L39"/>
      <c r="M39"/>
    </row>
    <row r="40" spans="2:13" ht="12.75" customHeight="1">
      <c r="B40" s="509">
        <v>18</v>
      </c>
      <c r="C40" s="399" t="str">
        <f>PRELIMINARES!C906</f>
        <v>DESMONTE HOJA DE PUERTA EN LAMINA</v>
      </c>
      <c r="D40" s="403" t="str">
        <f>PRELIMINARES!G904</f>
        <v>UND</v>
      </c>
      <c r="E40" s="393">
        <f>PRELIMINARES!G956</f>
        <v>6600</v>
      </c>
      <c r="F40" s="376"/>
      <c r="G40" s="377"/>
      <c r="H40" s="377"/>
      <c r="I40" s="377"/>
      <c r="J40" s="377"/>
      <c r="K40" s="377"/>
      <c r="L40"/>
      <c r="M40"/>
    </row>
    <row r="41" spans="2:13" ht="12.75">
      <c r="B41" s="509">
        <v>19</v>
      </c>
      <c r="C41" s="341" t="str">
        <f>PRELIMINARES!C959</f>
        <v>DESMONTE VENTANAS</v>
      </c>
      <c r="D41" s="342" t="str">
        <f>PRELIMINARES!G957</f>
        <v>UND</v>
      </c>
      <c r="E41" s="392">
        <f>PRELIMINARES!G1009</f>
        <v>10000</v>
      </c>
      <c r="F41" s="379"/>
      <c r="G41" s="377"/>
      <c r="H41" s="377"/>
      <c r="I41" s="377"/>
      <c r="J41" s="377"/>
      <c r="K41" s="377"/>
      <c r="L41"/>
      <c r="M41"/>
    </row>
    <row r="42" spans="2:13" ht="12.75">
      <c r="B42" s="509">
        <v>20</v>
      </c>
      <c r="C42" s="341" t="str">
        <f>PRELIMINARES!C1012</f>
        <v>RETIRO DE ESCOMBROS INCLUYE ACARREO EN VOLQUETA</v>
      </c>
      <c r="D42" s="342" t="str">
        <f>PRELIMINARES!G1010</f>
        <v>M3</v>
      </c>
      <c r="E42" s="392">
        <f>PRELIMINARES!G1062</f>
        <v>7400</v>
      </c>
      <c r="F42" s="379"/>
      <c r="G42" s="377"/>
      <c r="H42" s="377"/>
      <c r="I42" s="377"/>
      <c r="J42" s="377"/>
      <c r="K42" s="377"/>
      <c r="L42"/>
      <c r="M42"/>
    </row>
    <row r="43" spans="2:13" ht="12.75">
      <c r="B43" s="508">
        <v>21</v>
      </c>
      <c r="C43" s="399" t="str">
        <f>PRELIMINARES!C1065</f>
        <v>LIMPIEZA Y ADECUACION TERRENO</v>
      </c>
      <c r="D43" s="403" t="str">
        <f>PRELIMINARES!G1063</f>
        <v>M2</v>
      </c>
      <c r="E43" s="393">
        <f>PRELIMINARES!G1115</f>
        <v>10800</v>
      </c>
      <c r="F43" s="376"/>
      <c r="G43" s="377"/>
      <c r="H43" s="377"/>
      <c r="I43" s="377"/>
      <c r="J43" s="377"/>
      <c r="K43" s="377"/>
      <c r="L43"/>
      <c r="M43"/>
    </row>
    <row r="44" spans="2:13" ht="12.75">
      <c r="B44" s="508">
        <v>22</v>
      </c>
      <c r="C44" s="399" t="str">
        <f>PRELIMINARES!C1118</f>
        <v>CAMPAMENTO 20 M2</v>
      </c>
      <c r="D44" s="403" t="str">
        <f>PRELIMINARES!G1116</f>
        <v>UND</v>
      </c>
      <c r="E44" s="393">
        <f>PRELIMINARES!G1168</f>
        <v>1220400</v>
      </c>
      <c r="F44" s="376"/>
      <c r="G44" s="377"/>
      <c r="H44" s="377"/>
      <c r="I44" s="377"/>
      <c r="J44" s="377"/>
      <c r="K44" s="377"/>
      <c r="L44"/>
      <c r="M44"/>
    </row>
    <row r="45" spans="2:13" ht="12.75">
      <c r="B45" s="508">
        <v>23</v>
      </c>
      <c r="C45" s="341" t="str">
        <f>PRELIMINARES!C1171</f>
        <v>CERRAMIENTO FIBRA PLASTICA</v>
      </c>
      <c r="D45" s="342" t="str">
        <f>PRELIMINARES!G1169</f>
        <v>M2</v>
      </c>
      <c r="E45" s="392">
        <f>PRELIMINARES!G1221</f>
        <v>4800</v>
      </c>
      <c r="F45" s="377"/>
      <c r="G45" s="377"/>
      <c r="H45" s="377"/>
      <c r="I45" s="377"/>
      <c r="J45" s="377"/>
      <c r="K45" s="377"/>
      <c r="L45"/>
      <c r="M45"/>
    </row>
    <row r="46" spans="2:13" ht="12.75">
      <c r="B46" s="508">
        <v>24</v>
      </c>
      <c r="C46" s="341" t="str">
        <f>PRELIMINARES!C1224</f>
        <v>DEMOLICION COLUMNAS EN MAMPOSTERIA</v>
      </c>
      <c r="D46" s="342" t="str">
        <f>PRELIMINARES!G1222</f>
        <v>ML</v>
      </c>
      <c r="E46" s="392">
        <f>PRELIMINARES!G1274</f>
        <v>6400</v>
      </c>
      <c r="F46" s="379"/>
      <c r="G46" s="377"/>
      <c r="H46" s="377"/>
      <c r="I46" s="377"/>
      <c r="J46" s="377"/>
      <c r="K46" s="377"/>
      <c r="L46"/>
      <c r="M46"/>
    </row>
    <row r="47" spans="2:13" ht="12.75">
      <c r="B47" s="508">
        <v>25</v>
      </c>
      <c r="C47" s="399" t="str">
        <f>PRELIMINARES!C1277</f>
        <v>DEMOLICION CIMIENTO CONCRETO CICLOPEO</v>
      </c>
      <c r="D47" s="403" t="str">
        <f>PRELIMINARES!G1275</f>
        <v>ML</v>
      </c>
      <c r="E47" s="393">
        <f>PRELIMINARES!G1327</f>
        <v>13300</v>
      </c>
      <c r="F47" s="376"/>
      <c r="G47" s="377"/>
      <c r="H47" s="377"/>
      <c r="I47" s="377"/>
      <c r="J47" s="377"/>
      <c r="K47" s="377"/>
      <c r="L47"/>
      <c r="M47"/>
    </row>
    <row r="48" spans="2:13" ht="12.75">
      <c r="B48" s="508">
        <v>26</v>
      </c>
      <c r="C48" s="341" t="str">
        <f>PRELIMINARES!C1330</f>
        <v>DEMOLICION PISO EXISTENTE (BALDOSA)</v>
      </c>
      <c r="D48" s="342" t="str">
        <f>PRELIMINARES!G1328</f>
        <v>M2</v>
      </c>
      <c r="E48" s="392">
        <f>PRELIMINARES!G1380</f>
        <v>8800</v>
      </c>
      <c r="F48" s="379"/>
      <c r="G48" s="377"/>
      <c r="H48" s="377"/>
      <c r="I48" s="377"/>
      <c r="J48" s="377"/>
      <c r="K48" s="377"/>
      <c r="L48"/>
      <c r="M48"/>
    </row>
    <row r="49" spans="2:13" ht="12.75">
      <c r="B49" s="508">
        <v>27</v>
      </c>
      <c r="C49" s="341" t="str">
        <f>PRELIMINARES!C1383</f>
        <v xml:space="preserve">DEMOLICION GUARDA ESCOBA </v>
      </c>
      <c r="D49" s="342" t="str">
        <f>PRELIMINARES!G1381</f>
        <v>ML</v>
      </c>
      <c r="E49" s="392">
        <f>PRELIMINARES!G1433</f>
        <v>6000</v>
      </c>
      <c r="F49" s="379"/>
      <c r="G49" s="377"/>
      <c r="H49" s="377"/>
      <c r="I49" s="377"/>
      <c r="J49" s="377"/>
      <c r="K49" s="377"/>
      <c r="L49"/>
      <c r="M49"/>
    </row>
    <row r="50" spans="2:13" ht="12.75">
      <c r="B50" s="508">
        <v>28</v>
      </c>
      <c r="C50" s="341" t="str">
        <f>PRELIMINARES!C1436</f>
        <v>DEMOLICION GUARDA ESCOBA EN MEDIA CAÑA</v>
      </c>
      <c r="D50" s="342" t="str">
        <f>PRELIMINARES!G1434</f>
        <v>ML</v>
      </c>
      <c r="E50" s="392">
        <f>PRELIMINARES!G1486</f>
        <v>10800</v>
      </c>
      <c r="F50" s="379"/>
      <c r="G50" s="377"/>
      <c r="H50" s="377"/>
      <c r="I50" s="377"/>
      <c r="J50" s="377"/>
      <c r="K50" s="377"/>
      <c r="L50"/>
      <c r="M50"/>
    </row>
    <row r="51" spans="2:13" ht="12.75">
      <c r="B51" s="508">
        <v>29</v>
      </c>
      <c r="C51" s="341" t="str">
        <f>PRELIMINARES!C1489</f>
        <v>DEMOLICION ENCHAPE</v>
      </c>
      <c r="D51" s="342" t="str">
        <f>PRELIMINARES!G1487</f>
        <v>M2</v>
      </c>
      <c r="E51" s="392">
        <f>PRELIMINARES!G1539</f>
        <v>11100</v>
      </c>
      <c r="F51" s="379"/>
      <c r="G51" s="377"/>
      <c r="H51" s="377"/>
      <c r="I51" s="377"/>
      <c r="J51" s="377"/>
      <c r="K51" s="377"/>
      <c r="L51"/>
      <c r="M51"/>
    </row>
    <row r="52" spans="2:13" ht="12.75">
      <c r="B52" s="508">
        <v>30</v>
      </c>
      <c r="C52" s="341" t="str">
        <f>PRELIMINARES!C1542</f>
        <v>ARREGLO SANITARIO</v>
      </c>
      <c r="D52" s="342" t="str">
        <f>PRELIMINARES!G1540</f>
        <v>GLB</v>
      </c>
      <c r="E52" s="392">
        <f>PRELIMINARES!G1592</f>
        <v>66300</v>
      </c>
      <c r="F52" s="379"/>
      <c r="G52" s="377"/>
      <c r="H52" s="377"/>
      <c r="I52" s="377"/>
      <c r="J52" s="377"/>
      <c r="K52" s="377"/>
      <c r="L52"/>
      <c r="M52"/>
    </row>
    <row r="53" spans="2:13" ht="12.75">
      <c r="B53" s="508">
        <v>31</v>
      </c>
      <c r="C53" s="341" t="str">
        <f>PRELIMINARES!C1595</f>
        <v>DEMOLICION MESON</v>
      </c>
      <c r="D53" s="342" t="str">
        <f>PRELIMINARES!G1593</f>
        <v>M2</v>
      </c>
      <c r="E53" s="392">
        <f>PRELIMINARES!G1645</f>
        <v>26500</v>
      </c>
      <c r="F53" s="379"/>
      <c r="G53" s="377"/>
      <c r="H53" s="377"/>
      <c r="I53" s="377"/>
      <c r="J53" s="377"/>
      <c r="K53" s="377"/>
      <c r="L53"/>
      <c r="M53"/>
    </row>
    <row r="54" spans="2:13" ht="12.75">
      <c r="B54" s="508">
        <v>32</v>
      </c>
      <c r="C54" s="341" t="str">
        <f>PRELIMINARES!C1648</f>
        <v>SELLO PUNTOS HIDRAULICOS</v>
      </c>
      <c r="D54" s="342" t="str">
        <f>PRELIMINARES!G1646</f>
        <v>UND</v>
      </c>
      <c r="E54" s="392">
        <f>PRELIMINARES!G1698</f>
        <v>22600</v>
      </c>
      <c r="F54" s="379"/>
      <c r="G54" s="377"/>
      <c r="H54" s="377"/>
      <c r="I54" s="377"/>
      <c r="J54" s="377"/>
      <c r="K54" s="377"/>
      <c r="L54"/>
      <c r="M54"/>
    </row>
    <row r="55" spans="2:13" ht="12.75">
      <c r="B55" s="509">
        <v>33</v>
      </c>
      <c r="C55" s="341" t="str">
        <f>PRELIMINARES!C1701</f>
        <v>DESMONTE TANQUE ELEVADO DE A.C.</v>
      </c>
      <c r="D55" s="342" t="str">
        <f>PRELIMINARES!G1699</f>
        <v>UND</v>
      </c>
      <c r="E55" s="392">
        <f>PRELIMINARES!G1751</f>
        <v>119400</v>
      </c>
      <c r="F55" s="379"/>
      <c r="G55" s="377"/>
      <c r="H55" s="377"/>
      <c r="I55" s="377"/>
      <c r="J55" s="377"/>
      <c r="K55" s="377"/>
      <c r="L55"/>
      <c r="M55"/>
    </row>
    <row r="56" spans="2:13" ht="12.75">
      <c r="B56" s="509">
        <v>34</v>
      </c>
      <c r="C56" s="341" t="str">
        <f>PRELIMINARES!C1754</f>
        <v>SELLO PUNTOS SANITARIOS</v>
      </c>
      <c r="D56" s="342" t="str">
        <f>PRELIMINARES!G1752</f>
        <v>UND</v>
      </c>
      <c r="E56" s="392">
        <f>PRELIMINARES!G1804</f>
        <v>20100</v>
      </c>
      <c r="F56" s="379"/>
      <c r="G56" s="377"/>
      <c r="H56" s="377"/>
      <c r="I56" s="377"/>
      <c r="J56" s="377"/>
      <c r="K56" s="377"/>
      <c r="L56"/>
      <c r="M56"/>
    </row>
    <row r="57" spans="2:13" ht="12.75">
      <c r="B57" s="509">
        <v>35</v>
      </c>
      <c r="C57" s="341" t="str">
        <f>PRELIMINARES!C1807</f>
        <v>DESMONTE Y REINSTALACIÒN DE UNIDAD ODONTOLOGICA</v>
      </c>
      <c r="D57" s="342" t="str">
        <f>PRELIMINARES!G1805</f>
        <v>UND</v>
      </c>
      <c r="E57" s="392">
        <f>PRELIMINARES!G1857</f>
        <v>262700</v>
      </c>
      <c r="F57" s="379"/>
      <c r="G57" s="377"/>
      <c r="H57" s="377"/>
      <c r="I57" s="377"/>
      <c r="J57" s="377"/>
      <c r="K57" s="377"/>
      <c r="L57"/>
      <c r="M57"/>
    </row>
    <row r="58" spans="2:13" ht="12.75">
      <c r="B58" s="509">
        <v>36</v>
      </c>
      <c r="C58" s="401" t="str">
        <f>PRELIMINARES!C1860</f>
        <v>ASEO GENERAL</v>
      </c>
      <c r="D58" s="404" t="str">
        <f>PRELIMINARES!G1858</f>
        <v>GL</v>
      </c>
      <c r="E58" s="394">
        <f>PRELIMINARES!G1910</f>
        <v>433500</v>
      </c>
      <c r="F58" s="378"/>
      <c r="G58" s="377"/>
      <c r="H58" s="377"/>
      <c r="I58" s="377"/>
      <c r="J58" s="377"/>
      <c r="K58" s="377"/>
      <c r="L58"/>
      <c r="M58"/>
    </row>
    <row r="59" spans="2:13" ht="14.25" customHeight="1">
      <c r="B59" s="509">
        <v>37</v>
      </c>
      <c r="C59" s="402" t="str">
        <f>PRELIMINARES!C1913</f>
        <v>SUMINISTRO E INSTALACION MUEBLE EN FORMICA CON SEPARADORES PARA LA TOMA DE MUESTRAS</v>
      </c>
      <c r="D59" s="405" t="str">
        <f>PRELIMINARES!G1911</f>
        <v>ML</v>
      </c>
      <c r="E59" s="406">
        <f>PRELIMINARES!G1963</f>
        <v>290400</v>
      </c>
      <c r="F59" s="374"/>
      <c r="G59" s="377"/>
      <c r="H59" s="377"/>
      <c r="I59" s="377"/>
      <c r="J59" s="377"/>
      <c r="K59" s="377"/>
      <c r="L59"/>
      <c r="M59"/>
    </row>
    <row r="60" spans="2:13" ht="12.75">
      <c r="B60" s="509">
        <v>38</v>
      </c>
      <c r="C60" s="402" t="str">
        <f>PRELIMINARES!C1966</f>
        <v>SUMINISTRO E INSTALACIÒN VIDRIO CORRUGADO DE 4 MM</v>
      </c>
      <c r="D60" s="405" t="str">
        <f>PRELIMINARES!G1964</f>
        <v>M2</v>
      </c>
      <c r="E60" s="406">
        <f>PRELIMINARES!G2016</f>
        <v>29800</v>
      </c>
      <c r="F60" s="374"/>
      <c r="G60" s="377"/>
      <c r="H60" s="377"/>
      <c r="I60" s="377"/>
      <c r="J60" s="377"/>
      <c r="K60" s="377"/>
    </row>
    <row r="61" spans="2:13" ht="12.75">
      <c r="B61" s="509">
        <v>39</v>
      </c>
      <c r="C61" s="402" t="str">
        <f>PRELIMINARES!C2019</f>
        <v>SUMINISTRO E INSTALACIÒN DE VALLA INFORMATIVA 2 X 4 m</v>
      </c>
      <c r="D61" s="405" t="str">
        <f>PRELIMINARES!G2017</f>
        <v>UND</v>
      </c>
      <c r="E61" s="406">
        <f>PRELIMINARES!G2069</f>
        <v>1547900</v>
      </c>
      <c r="F61" s="374"/>
      <c r="G61" s="377"/>
      <c r="H61" s="377"/>
      <c r="I61" s="377"/>
      <c r="J61" s="377"/>
      <c r="K61" s="377"/>
    </row>
    <row r="62" spans="2:13" ht="12.75">
      <c r="B62" s="509">
        <v>40</v>
      </c>
      <c r="C62" s="402" t="str">
        <f>PRELIMINARES!C2072</f>
        <v>SUMINISTRO E INSTALACIÒN DE VALLAS PORTATILES DE 0,7 X 1,2 m</v>
      </c>
      <c r="D62" s="405" t="str">
        <f>PRELIMINARES!G2070</f>
        <v>UND</v>
      </c>
      <c r="E62" s="406">
        <f>PRELIMINARES!G2122</f>
        <v>239100</v>
      </c>
      <c r="F62" s="374"/>
      <c r="G62" s="377"/>
      <c r="H62" s="377"/>
      <c r="I62" s="377"/>
      <c r="J62" s="377"/>
      <c r="K62" s="377"/>
    </row>
    <row r="63" spans="2:13" ht="12.75">
      <c r="B63" s="508">
        <v>41</v>
      </c>
      <c r="C63" s="402" t="str">
        <f>PRELIMINARES!C2125</f>
        <v>CORTE DE ARBOL CON EXTRACCION DE RAIZ</v>
      </c>
      <c r="D63" s="405" t="str">
        <f>PRELIMINARES!G2123</f>
        <v>GLB</v>
      </c>
      <c r="E63" s="406">
        <f>PRELIMINARES!G2170</f>
        <v>85730</v>
      </c>
      <c r="F63" s="374"/>
      <c r="G63" s="377"/>
      <c r="H63" s="377"/>
      <c r="I63" s="377"/>
      <c r="J63" s="377"/>
      <c r="K63" s="377"/>
    </row>
    <row r="64" spans="2:13" ht="12.75">
      <c r="B64" s="511"/>
      <c r="C64" s="334" t="s">
        <v>1009</v>
      </c>
      <c r="D64" s="335"/>
      <c r="E64" s="336"/>
      <c r="F64" s="372"/>
      <c r="G64" s="377"/>
      <c r="H64" s="377"/>
      <c r="I64" s="377"/>
      <c r="J64" s="377"/>
      <c r="K64" s="377"/>
      <c r="L64"/>
      <c r="M64"/>
    </row>
    <row r="65" spans="2:13" ht="12.75">
      <c r="B65" s="509">
        <v>1</v>
      </c>
      <c r="C65" s="341" t="str">
        <f>EXCAVACIONES!C8</f>
        <v>EXCAVACION A MANO, MATERIAL SUELTO</v>
      </c>
      <c r="D65" s="342" t="str">
        <f>EXCAVACIONES!G6</f>
        <v>M3</v>
      </c>
      <c r="E65" s="343">
        <f>EXCAVACIONES!G58</f>
        <v>13000</v>
      </c>
      <c r="F65" s="372"/>
      <c r="G65" s="377"/>
      <c r="H65" s="377"/>
      <c r="I65" s="377"/>
      <c r="J65" s="377"/>
      <c r="K65" s="377"/>
      <c r="L65"/>
      <c r="M65"/>
    </row>
    <row r="66" spans="2:13" ht="12.75">
      <c r="B66" s="509">
        <v>2</v>
      </c>
      <c r="C66" s="341" t="str">
        <f>EXCAVACIONES!C61</f>
        <v>EXCAVACION  A MANO, MATERIAL SUELTO HUMEDO</v>
      </c>
      <c r="D66" s="361" t="str">
        <f>EXCAVACIONES!G59</f>
        <v>M3</v>
      </c>
      <c r="E66" s="343">
        <f>EXCAVACIONES!G111</f>
        <v>22800</v>
      </c>
      <c r="F66" s="372"/>
      <c r="G66" s="377"/>
      <c r="H66" s="377"/>
      <c r="I66" s="377"/>
      <c r="J66" s="377"/>
      <c r="K66" s="377"/>
      <c r="L66"/>
      <c r="M66"/>
    </row>
    <row r="67" spans="2:13" ht="12.75">
      <c r="B67" s="509">
        <v>3</v>
      </c>
      <c r="C67" s="341" t="str">
        <f>EXCAVACIONES!C114</f>
        <v>EXCAVACION  A MANO, MATERIAL BLANDO SECO</v>
      </c>
      <c r="D67" s="342" t="str">
        <f>EXCAVACIONES!G112</f>
        <v>M3</v>
      </c>
      <c r="E67" s="343">
        <f>EXCAVACIONES!G164</f>
        <v>21400</v>
      </c>
      <c r="F67" s="372"/>
      <c r="G67" s="377"/>
      <c r="H67" s="377"/>
      <c r="I67" s="377"/>
      <c r="J67" s="377"/>
      <c r="K67" s="377"/>
      <c r="L67"/>
      <c r="M67"/>
    </row>
    <row r="68" spans="2:13" ht="12.75">
      <c r="B68" s="509">
        <v>4</v>
      </c>
      <c r="C68" s="341" t="str">
        <f>EXCAVACIONES!C167</f>
        <v>EXCAVACION  A MANO, MATERIAL BLANDO HUMEDO</v>
      </c>
      <c r="D68" s="342" t="str">
        <f>EXCAVACIONES!G165</f>
        <v>M3</v>
      </c>
      <c r="E68" s="343">
        <f>EXCAVACIONES!G217</f>
        <v>22800</v>
      </c>
      <c r="F68" s="372"/>
      <c r="G68" s="377"/>
      <c r="H68" s="377"/>
      <c r="I68" s="377"/>
      <c r="J68" s="377"/>
      <c r="K68" s="377"/>
      <c r="L68"/>
      <c r="M68"/>
    </row>
    <row r="69" spans="2:13" ht="12.75">
      <c r="B69" s="509">
        <v>5</v>
      </c>
      <c r="C69" s="341" t="str">
        <f>EXCAVACIONES!C220</f>
        <v>EXCAVACION  A MANO, MATERIAL DURO SECO</v>
      </c>
      <c r="D69" s="342" t="str">
        <f>EXCAVACIONES!G218</f>
        <v>M3</v>
      </c>
      <c r="E69" s="343">
        <f>EXCAVACIONES!G270</f>
        <v>45500</v>
      </c>
      <c r="F69" s="372"/>
      <c r="G69" s="377"/>
      <c r="H69" s="377"/>
      <c r="I69" s="377"/>
      <c r="J69" s="377"/>
      <c r="K69" s="377"/>
      <c r="L69"/>
      <c r="M69"/>
    </row>
    <row r="70" spans="2:13" ht="12.75">
      <c r="B70" s="509">
        <v>6</v>
      </c>
      <c r="C70" s="341" t="str">
        <f>EXCAVACIONES!C273</f>
        <v>EXCAVACION  A MANO, MATERIAL DURO HUMEDO</v>
      </c>
      <c r="D70" s="342" t="str">
        <f>EXCAVACIONES!G271</f>
        <v>M3</v>
      </c>
      <c r="E70" s="343">
        <f>EXCAVACIONES!G323</f>
        <v>45500</v>
      </c>
      <c r="F70" s="372"/>
      <c r="G70" s="377"/>
      <c r="H70" s="377"/>
      <c r="I70" s="377"/>
      <c r="J70" s="377"/>
      <c r="K70" s="377"/>
      <c r="L70"/>
      <c r="M70"/>
    </row>
    <row r="71" spans="2:13" ht="12.75">
      <c r="B71" s="509">
        <v>7</v>
      </c>
      <c r="C71" s="341" t="str">
        <f>EXCAVACIONES!C326</f>
        <v>EXCAVACION A MANO, EN TIERRA HASTA 1.00 M DE PROFUNDIDAD</v>
      </c>
      <c r="D71" s="342" t="str">
        <f>EXCAVACIONES!G324</f>
        <v>M3</v>
      </c>
      <c r="E71" s="343">
        <f>EXCAVACIONES!G376</f>
        <v>12300</v>
      </c>
      <c r="F71" s="372"/>
      <c r="G71" s="377"/>
      <c r="H71" s="377"/>
      <c r="I71" s="377"/>
      <c r="J71" s="377"/>
      <c r="K71" s="377"/>
      <c r="L71"/>
      <c r="M71"/>
    </row>
    <row r="72" spans="2:13" ht="12.75">
      <c r="B72" s="509">
        <v>8</v>
      </c>
      <c r="C72" s="341" t="str">
        <f>EXCAVACIONES!C379</f>
        <v>EXCAVACION A MANO, EN TIERRA HASTA 1.50 M DE PROFUNDIDAD</v>
      </c>
      <c r="D72" s="342" t="str">
        <f>EXCAVACIONES!G377</f>
        <v>M3</v>
      </c>
      <c r="E72" s="343">
        <f>EXCAVACIONES!G429</f>
        <v>14600</v>
      </c>
      <c r="F72" s="372"/>
      <c r="G72" s="377"/>
      <c r="H72" s="377"/>
      <c r="I72" s="377"/>
      <c r="J72" s="377"/>
      <c r="K72" s="377"/>
      <c r="L72"/>
      <c r="M72"/>
    </row>
    <row r="73" spans="2:13" ht="12.75">
      <c r="B73" s="509">
        <v>9</v>
      </c>
      <c r="C73" s="341" t="str">
        <f>EXCAVACIONES!C432</f>
        <v>EXCAVACION A MANO, EN TIERRA HASTA 2.00 M DE PROFUNDIDAD</v>
      </c>
      <c r="D73" s="342" t="str">
        <f>EXCAVACIONES!G430</f>
        <v>M3</v>
      </c>
      <c r="E73" s="343">
        <f>EXCAVACIONES!G482</f>
        <v>16400</v>
      </c>
      <c r="F73" s="372"/>
      <c r="G73" s="377"/>
      <c r="H73" s="377"/>
      <c r="I73" s="377"/>
      <c r="J73" s="377"/>
      <c r="K73" s="377"/>
      <c r="L73"/>
      <c r="M73"/>
    </row>
    <row r="74" spans="2:13" ht="12.75">
      <c r="B74" s="509">
        <v>10</v>
      </c>
      <c r="C74" s="341" t="str">
        <f>EXCAVACIONES!C485</f>
        <v>EXCAVACION A MANO, EN TIERRA ENTRE 2.00 Y 3.00 M DE PROFUNDIDAD</v>
      </c>
      <c r="D74" s="342" t="str">
        <f>EXCAVACIONES!G483</f>
        <v>M3</v>
      </c>
      <c r="E74" s="343">
        <f>EXCAVACIONES!G535</f>
        <v>18200</v>
      </c>
      <c r="F74" s="372"/>
      <c r="G74" s="377"/>
      <c r="H74" s="377"/>
      <c r="I74" s="377"/>
      <c r="J74" s="377"/>
      <c r="K74" s="377"/>
      <c r="L74"/>
      <c r="M74"/>
    </row>
    <row r="75" spans="2:13" ht="12.75">
      <c r="B75" s="509">
        <v>11</v>
      </c>
      <c r="C75" s="341" t="str">
        <f>EXCAVACIONES!C538</f>
        <v>EXCAVACION A MANO, EN TIERRA ENTRE 3.00 Y 4.00 M DE PROFUNDIDAD</v>
      </c>
      <c r="D75" s="342" t="str">
        <f>EXCAVACIONES!G536</f>
        <v>M3</v>
      </c>
      <c r="E75" s="343">
        <f>EXCAVACIONES!G588</f>
        <v>27400</v>
      </c>
      <c r="F75" s="372"/>
      <c r="G75" s="377"/>
      <c r="H75" s="377"/>
      <c r="I75" s="377"/>
      <c r="J75" s="377"/>
      <c r="K75" s="377"/>
      <c r="L75"/>
      <c r="M75"/>
    </row>
    <row r="76" spans="2:13" ht="12.75">
      <c r="B76" s="509">
        <v>12</v>
      </c>
      <c r="C76" s="341" t="str">
        <f>EXCAVACIONES!C591</f>
        <v>EXCAVACION A MANO, EN TIERRA ENTRE 4.00 Y 5.00 M DE PROFUNDIDAD</v>
      </c>
      <c r="D76" s="342" t="str">
        <f>EXCAVACIONES!G589</f>
        <v>M3</v>
      </c>
      <c r="E76" s="343">
        <f>EXCAVACIONES!G641</f>
        <v>36400</v>
      </c>
      <c r="F76" s="372"/>
      <c r="G76" s="377"/>
      <c r="H76" s="377"/>
      <c r="I76" s="377"/>
      <c r="J76" s="377"/>
      <c r="K76" s="377"/>
      <c r="L76"/>
      <c r="M76"/>
    </row>
    <row r="77" spans="2:13" ht="12.75">
      <c r="B77" s="509">
        <v>13</v>
      </c>
      <c r="C77" s="341" t="str">
        <f>EXCAVACIONES!C644</f>
        <v>EXCAVACION A MANO, EN TIERRA ENTRE 5.00 Y 6.00 M DE PROFUNDIDAD</v>
      </c>
      <c r="D77" s="342" t="str">
        <f>EXCAVACIONES!G642</f>
        <v>M3</v>
      </c>
      <c r="E77" s="343">
        <f>EXCAVACIONES!G694</f>
        <v>51300</v>
      </c>
      <c r="F77" s="372"/>
      <c r="G77" s="377"/>
      <c r="H77" s="377"/>
      <c r="I77" s="377"/>
      <c r="J77" s="377"/>
      <c r="K77" s="377"/>
      <c r="L77"/>
      <c r="M77"/>
    </row>
    <row r="78" spans="2:13" ht="12.75">
      <c r="B78" s="509">
        <v>14</v>
      </c>
      <c r="C78" s="341" t="str">
        <f>EXCAVACIONES!C697</f>
        <v>EXCAVACION A MANO, EN CONGLOMERADO HASTA 2.00 M DE PROFUNDIDAD</v>
      </c>
      <c r="D78" s="342" t="str">
        <f>EXCAVACIONES!G695</f>
        <v>M3</v>
      </c>
      <c r="E78" s="343">
        <f>EXCAVACIONES!G747</f>
        <v>18200</v>
      </c>
      <c r="F78" s="372"/>
      <c r="G78" s="377"/>
      <c r="H78" s="377"/>
      <c r="I78" s="377"/>
      <c r="J78" s="377"/>
      <c r="K78" s="377"/>
      <c r="L78"/>
      <c r="M78"/>
    </row>
    <row r="79" spans="2:13" ht="12.75">
      <c r="B79" s="509">
        <v>15</v>
      </c>
      <c r="C79" s="341" t="str">
        <f>EXCAVACIONES!C750</f>
        <v>EXCAVACION A MANO, EN CONGLOMERADO ENTRE 2.00 Y 3.00 M DE PROFUNDIDAD</v>
      </c>
      <c r="D79" s="342" t="str">
        <f>EXCAVACIONES!G748</f>
        <v>M3</v>
      </c>
      <c r="E79" s="343">
        <f>EXCAVACIONES!G800</f>
        <v>27400</v>
      </c>
      <c r="F79" s="372"/>
      <c r="G79" s="377"/>
      <c r="H79" s="377"/>
      <c r="I79" s="377"/>
      <c r="J79" s="377"/>
      <c r="K79" s="377"/>
      <c r="L79"/>
      <c r="M79"/>
    </row>
    <row r="80" spans="2:13" ht="12.75">
      <c r="B80" s="509">
        <v>16</v>
      </c>
      <c r="C80" s="341" t="str">
        <f>EXCAVACIONES!C803</f>
        <v>EXCAVACION A MANO, EN CONGLOMERADO ENTRE 3.00 Y 4.00 M DE PROFUNDIDAD</v>
      </c>
      <c r="D80" s="342" t="str">
        <f>EXCAVACIONES!G801</f>
        <v>M3</v>
      </c>
      <c r="E80" s="343">
        <f>EXCAVACIONES!G853</f>
        <v>36400</v>
      </c>
      <c r="F80" s="372"/>
      <c r="G80" s="377"/>
      <c r="H80" s="377"/>
      <c r="I80" s="377"/>
      <c r="J80" s="377"/>
      <c r="K80" s="377"/>
      <c r="L80"/>
      <c r="M80"/>
    </row>
    <row r="81" spans="2:13" ht="12.75">
      <c r="B81" s="509">
        <v>17</v>
      </c>
      <c r="C81" s="341" t="str">
        <f>EXCAVACIONES!C856</f>
        <v>EXCAVACION A MANO, EN CONGLOMERADO ENTRE 4.00 Y 5.00 M DE PROFUNDIDAD</v>
      </c>
      <c r="D81" s="342" t="str">
        <f>EXCAVACIONES!G854</f>
        <v>M3</v>
      </c>
      <c r="E81" s="343">
        <f>EXCAVACIONES!G906</f>
        <v>51300</v>
      </c>
      <c r="F81" s="372"/>
      <c r="G81" s="377"/>
      <c r="H81" s="377"/>
      <c r="I81" s="377"/>
      <c r="J81" s="377"/>
      <c r="K81" s="377"/>
      <c r="L81"/>
      <c r="M81"/>
    </row>
    <row r="82" spans="2:13" ht="12.75">
      <c r="B82" s="509">
        <v>18</v>
      </c>
      <c r="C82" s="341" t="str">
        <f>EXCAVACIONES!C909</f>
        <v>EXCAVACION A MANO, EN CONGLOMERADO ENTRE 5.00 Y 6.00 M DE PROFUNDIDAD</v>
      </c>
      <c r="D82" s="342" t="str">
        <f>EXCAVACIONES!G907</f>
        <v>M3</v>
      </c>
      <c r="E82" s="343">
        <f>EXCAVACIONES!G959</f>
        <v>68700</v>
      </c>
      <c r="F82" s="372"/>
      <c r="G82" s="377"/>
      <c r="H82" s="377"/>
      <c r="I82" s="377"/>
      <c r="J82" s="377"/>
      <c r="K82" s="377"/>
      <c r="L82"/>
      <c r="M82"/>
    </row>
    <row r="83" spans="2:13" ht="12.75">
      <c r="B83" s="509">
        <v>19</v>
      </c>
      <c r="C83" s="341" t="str">
        <f>EXCAVACIONES!C962</f>
        <v>EXCAVACION A MANO, EN PIEDRA HASTA 2.00 M DE PROFUNDIDAD</v>
      </c>
      <c r="D83" s="342" t="str">
        <f>EXCAVACIONES!G960</f>
        <v>M3</v>
      </c>
      <c r="E83" s="343">
        <f>EXCAVACIONES!G1012</f>
        <v>31900</v>
      </c>
      <c r="F83" s="372"/>
      <c r="G83" s="377"/>
      <c r="H83" s="377"/>
      <c r="I83" s="377"/>
      <c r="J83" s="377"/>
      <c r="K83" s="377"/>
      <c r="L83"/>
      <c r="M83"/>
    </row>
    <row r="84" spans="2:13" ht="12.75">
      <c r="B84" s="509">
        <v>20</v>
      </c>
      <c r="C84" s="341" t="str">
        <f>EXCAVACIONES!C1015</f>
        <v>EXCAVACION A MANO, EN PIEDRA ENTRE 2.00 Y 3.00 M DE PROFUNDIDAD</v>
      </c>
      <c r="D84" s="342" t="str">
        <f>EXCAVACIONES!G1013</f>
        <v>M3</v>
      </c>
      <c r="E84" s="343">
        <f>EXCAVACIONES!G1065</f>
        <v>36400</v>
      </c>
      <c r="F84" s="372"/>
      <c r="G84" s="377"/>
      <c r="H84" s="377"/>
      <c r="I84" s="377"/>
      <c r="J84" s="377"/>
      <c r="K84" s="377"/>
      <c r="L84"/>
      <c r="M84"/>
    </row>
    <row r="85" spans="2:13" ht="12.75">
      <c r="B85" s="509">
        <v>21</v>
      </c>
      <c r="C85" s="341" t="str">
        <f>EXCAVACIONES!C1068</f>
        <v>EXCAVACION A MANO, EN PIEDRA ENTRE 3.00 Y 4.00 M DE PROFUNDIDAD</v>
      </c>
      <c r="D85" s="342" t="str">
        <f>EXCAVACIONES!G1066</f>
        <v>M3</v>
      </c>
      <c r="E85" s="343">
        <f>EXCAVACIONES!G1118</f>
        <v>51300</v>
      </c>
      <c r="F85" s="372"/>
      <c r="G85" s="377"/>
      <c r="H85" s="377"/>
      <c r="I85" s="377"/>
      <c r="J85" s="377"/>
      <c r="K85" s="377"/>
      <c r="L85"/>
      <c r="M85"/>
    </row>
    <row r="86" spans="2:13" ht="12.75">
      <c r="B86" s="509">
        <v>22</v>
      </c>
      <c r="C86" s="341" t="str">
        <f>EXCAVACIONES!C1121</f>
        <v>EXCAVACION A MANO, EN ROCA HASTA 2.00 M DE PROFUNDIDAD</v>
      </c>
      <c r="D86" s="342" t="str">
        <f>EXCAVACIONES!G1119</f>
        <v>M3</v>
      </c>
      <c r="E86" s="343">
        <f>EXCAVACIONES!G1171</f>
        <v>104000</v>
      </c>
      <c r="F86" s="372"/>
      <c r="G86" s="377"/>
      <c r="H86" s="377"/>
      <c r="I86" s="377"/>
      <c r="J86" s="377"/>
      <c r="K86" s="377"/>
      <c r="L86"/>
      <c r="M86"/>
    </row>
    <row r="87" spans="2:13" ht="12.75">
      <c r="B87" s="509">
        <v>23</v>
      </c>
      <c r="C87" s="341" t="str">
        <f>EXCAVACIONES!C1174</f>
        <v>EXCAVACION A MANO, EN ROCA ENTRE 2.00 Y 3.00 M DE PROFUNDIDAD</v>
      </c>
      <c r="D87" s="342" t="str">
        <f>EXCAVACIONES!G1172</f>
        <v>M3</v>
      </c>
      <c r="E87" s="343">
        <f>EXCAVACIONES!G1224</f>
        <v>113800</v>
      </c>
      <c r="F87" s="372"/>
      <c r="G87" s="377"/>
      <c r="H87" s="377"/>
      <c r="I87" s="377"/>
      <c r="J87" s="377"/>
      <c r="K87" s="377"/>
      <c r="L87"/>
      <c r="M87"/>
    </row>
    <row r="88" spans="2:13" ht="12.75">
      <c r="B88" s="509">
        <v>24</v>
      </c>
      <c r="C88" s="341" t="str">
        <f>EXCAVACIONES!C1227</f>
        <v>EXCAVACION A MANO, EN ROCA ENTRE 3.00 Y 4.00 M DE PROFUNDIDAD</v>
      </c>
      <c r="D88" s="342" t="str">
        <f>EXCAVACIONES!G1225</f>
        <v>M3</v>
      </c>
      <c r="E88" s="343">
        <f>EXCAVACIONES!G1277</f>
        <v>134900</v>
      </c>
      <c r="F88" s="372"/>
      <c r="G88" s="377"/>
      <c r="H88" s="377"/>
      <c r="I88" s="377"/>
      <c r="J88" s="377"/>
      <c r="K88" s="377"/>
      <c r="L88"/>
      <c r="M88"/>
    </row>
    <row r="89" spans="2:13" ht="12.75">
      <c r="B89" s="509">
        <v>25</v>
      </c>
      <c r="C89" s="341" t="str">
        <f>EXCAVACIONES!C1280</f>
        <v>EXCAVACION A MANO, EN ROCA ENTRE 4.00 Y 5.00 M DE PROFUNDIDAD</v>
      </c>
      <c r="D89" s="342" t="str">
        <f>EXCAVACIONES!G1278</f>
        <v>M3</v>
      </c>
      <c r="E89" s="343">
        <f>EXCAVACIONES!G1330</f>
        <v>182100</v>
      </c>
      <c r="F89" s="372"/>
      <c r="G89" s="377"/>
      <c r="H89" s="377"/>
      <c r="I89" s="377"/>
      <c r="J89" s="377"/>
      <c r="K89" s="377"/>
      <c r="L89"/>
      <c r="M89"/>
    </row>
    <row r="90" spans="2:13" ht="12" customHeight="1">
      <c r="B90" s="508">
        <v>26</v>
      </c>
      <c r="C90" s="341" t="str">
        <f>EXCAVACIONES!C1333</f>
        <v>EXCAVACION A MANO EN TIERRA BAJO AGUA, HASTA 2.00 M DE PROFUNDIDAD (INCLUYE BOMBEO)</v>
      </c>
      <c r="D90" s="342" t="str">
        <f>EXCAVACIONES!G1331</f>
        <v>M3</v>
      </c>
      <c r="E90" s="343">
        <f>EXCAVACIONES!G1382</f>
        <v>23900</v>
      </c>
      <c r="F90" s="372"/>
      <c r="G90" s="377"/>
      <c r="H90" s="377"/>
      <c r="I90" s="377"/>
      <c r="J90" s="377"/>
      <c r="K90" s="377"/>
      <c r="L90"/>
      <c r="M90"/>
    </row>
    <row r="91" spans="2:13" ht="12" customHeight="1">
      <c r="B91" s="508">
        <v>27</v>
      </c>
      <c r="C91" s="341" t="str">
        <f>EXCAVACIONES!C1385</f>
        <v>EXCAVACION A MANO EN TIERRA BAJO AGUA, ENTRE 2.00 Y 3.00 M DE PROFUNDIDAD (INCLUYE BOMBEO)</v>
      </c>
      <c r="D91" s="342" t="str">
        <f>EXCAVACIONES!G1383</f>
        <v>M3</v>
      </c>
      <c r="E91" s="343">
        <f>EXCAVACIONES!G1434</f>
        <v>33300</v>
      </c>
      <c r="F91" s="372"/>
      <c r="G91" s="377"/>
      <c r="H91" s="377"/>
      <c r="I91" s="377"/>
      <c r="J91" s="377"/>
      <c r="K91" s="377"/>
      <c r="L91"/>
      <c r="M91"/>
    </row>
    <row r="92" spans="2:13" ht="12" customHeight="1">
      <c r="B92" s="508">
        <v>28</v>
      </c>
      <c r="C92" s="341" t="str">
        <f>EXCAVACIONES!C1437</f>
        <v>EXCAVACION A MANO EN TIERRA BAJO AGUA, ENTRE 3.00 Y 4.00 M DE PROFUNDIDAD (INCLUYE BOMBEO)</v>
      </c>
      <c r="D92" s="342" t="str">
        <f>EXCAVACIONES!G1435</f>
        <v>M3</v>
      </c>
      <c r="E92" s="343">
        <f>EXCAVACIONES!G1486</f>
        <v>42500</v>
      </c>
      <c r="F92" s="372"/>
      <c r="G92" s="377"/>
      <c r="H92" s="377"/>
      <c r="I92" s="377"/>
      <c r="J92" s="377"/>
      <c r="K92" s="377"/>
      <c r="L92"/>
      <c r="M92"/>
    </row>
    <row r="93" spans="2:13" ht="12" customHeight="1">
      <c r="B93" s="508">
        <v>29</v>
      </c>
      <c r="C93" s="341" t="str">
        <f>EXCAVACIONES!C1489</f>
        <v>EXCAVACION A MANO EN TIERRA BAJO AGUA, ENTRE 4.00 Y 5.00 M DE PROFUNDIDAD (INCLUYE BOMBEO)</v>
      </c>
      <c r="D93" s="342" t="str">
        <f>EXCAVACIONES!G1487</f>
        <v>M3</v>
      </c>
      <c r="E93" s="343">
        <f>EXCAVACIONES!G1538</f>
        <v>56200</v>
      </c>
      <c r="F93" s="372"/>
      <c r="G93" s="377"/>
      <c r="H93" s="377"/>
      <c r="I93" s="377"/>
      <c r="J93" s="377"/>
      <c r="K93" s="377"/>
      <c r="L93"/>
      <c r="M93"/>
    </row>
    <row r="94" spans="2:13" ht="12" customHeight="1">
      <c r="B94" s="508">
        <v>30</v>
      </c>
      <c r="C94" s="341" t="str">
        <f>EXCAVACIONES!C1541</f>
        <v>EXCAVACION A MANO EN CONGLOMERADO BAJO AGUA, HASTA 2.00 M DE PROFUNDIDAD (INCLUYE BOMBEO)</v>
      </c>
      <c r="D94" s="342" t="str">
        <f>EXCAVACIONES!G1539</f>
        <v>M3</v>
      </c>
      <c r="E94" s="343">
        <f>EXCAVACIONES!G1590</f>
        <v>33100</v>
      </c>
      <c r="F94" s="372"/>
      <c r="G94" s="377"/>
      <c r="H94" s="377"/>
      <c r="I94" s="377"/>
      <c r="J94" s="377"/>
      <c r="K94" s="377"/>
      <c r="L94"/>
      <c r="M94"/>
    </row>
    <row r="95" spans="2:13" ht="12" customHeight="1">
      <c r="B95" s="508">
        <v>31</v>
      </c>
      <c r="C95" s="341" t="str">
        <f>EXCAVACIONES!C1593</f>
        <v>EXCAVACION A MANO EN CONGLOMERADO BAJO AGUA, ENTRE 2.00 Y 3.00 M DE PROFUNDIDAD (INCLUYE BOMBEO)</v>
      </c>
      <c r="D95" s="342" t="str">
        <f>EXCAVACIONES!G1591</f>
        <v>M3</v>
      </c>
      <c r="E95" s="343">
        <f>EXCAVACIONES!G1642</f>
        <v>42200</v>
      </c>
      <c r="F95" s="372"/>
      <c r="G95" s="377"/>
      <c r="H95" s="377"/>
      <c r="I95" s="377"/>
      <c r="J95" s="377"/>
      <c r="K95" s="377"/>
      <c r="L95"/>
      <c r="M95"/>
    </row>
    <row r="96" spans="2:13" ht="12" customHeight="1">
      <c r="B96" s="508">
        <v>32</v>
      </c>
      <c r="C96" s="341" t="str">
        <f>EXCAVACIONES!C1645</f>
        <v>EXCAVACION A MANO EN CONGLOMERADO BAJO AGUA, ENTRE 3.00 Y 4.00 M DE PROFUNDIDAD (INCLUYE BOMBEO)</v>
      </c>
      <c r="D96" s="342" t="str">
        <f>EXCAVACIONES!G1643</f>
        <v>M3</v>
      </c>
      <c r="E96" s="343">
        <f>EXCAVACIONES!G1694</f>
        <v>55900</v>
      </c>
      <c r="F96" s="372"/>
      <c r="G96" s="377"/>
      <c r="H96" s="377"/>
      <c r="I96" s="377"/>
      <c r="J96" s="377"/>
      <c r="K96" s="377"/>
      <c r="L96"/>
      <c r="M96"/>
    </row>
    <row r="97" spans="2:13" ht="12" customHeight="1">
      <c r="B97" s="508">
        <v>33</v>
      </c>
      <c r="C97" s="341" t="str">
        <f>EXCAVACIONES!C1697</f>
        <v>EXCAVACION A MANO EN CONGLOMERADO BAJO AGUA, ENTRE 4.00 Y 5.00 M DE PROFUNDIDAD (INCLUYE BOMBEO)</v>
      </c>
      <c r="D97" s="342" t="str">
        <f>EXCAVACIONES!G1695</f>
        <v>M3</v>
      </c>
      <c r="E97" s="343">
        <f>EXCAVACIONES!G1746</f>
        <v>70600</v>
      </c>
      <c r="F97" s="372"/>
      <c r="G97" s="377"/>
      <c r="H97" s="377"/>
      <c r="I97" s="377"/>
      <c r="J97" s="377"/>
      <c r="K97" s="377"/>
      <c r="L97"/>
      <c r="M97"/>
    </row>
    <row r="98" spans="2:13" ht="12" customHeight="1">
      <c r="B98" s="508">
        <v>34</v>
      </c>
      <c r="C98" s="341" t="str">
        <f>EXCAVACIONES!C1749</f>
        <v>EXCAVACION A MANO EN CONGLOMERADO BAJO AGUA, ENTRE 5.00 Y 6.00 M DE PROFUNDIDAD (INCLUYE BOMBEO)</v>
      </c>
      <c r="D98" s="342" t="str">
        <f>EXCAVACIONES!G1747</f>
        <v>M3</v>
      </c>
      <c r="E98" s="343">
        <f>EXCAVACIONES!G1798</f>
        <v>112700</v>
      </c>
      <c r="F98" s="372"/>
      <c r="G98" s="377"/>
      <c r="H98" s="377"/>
      <c r="I98" s="377"/>
      <c r="J98" s="377"/>
      <c r="K98" s="377"/>
      <c r="L98"/>
      <c r="M98"/>
    </row>
    <row r="99" spans="2:13" ht="12" customHeight="1">
      <c r="B99" s="508">
        <v>35</v>
      </c>
      <c r="C99" s="341" t="str">
        <f>EXCAVACIONES!C1801</f>
        <v>EXCAVACION A MANO EN PIEDRA BAJO AGUA, HASTA 2.00 M DE PROFUNDIDAD (INCLUYE BOMBEO)</v>
      </c>
      <c r="D99" s="342" t="str">
        <f>EXCAVACIONES!G1799</f>
        <v>M3</v>
      </c>
      <c r="E99" s="343">
        <f>EXCAVACIONES!G1850</f>
        <v>33100</v>
      </c>
      <c r="F99" s="372"/>
      <c r="G99" s="377"/>
      <c r="H99" s="377"/>
      <c r="I99" s="377"/>
      <c r="J99" s="377"/>
      <c r="K99" s="377"/>
      <c r="L99"/>
      <c r="M99"/>
    </row>
    <row r="100" spans="2:13" ht="12" customHeight="1">
      <c r="B100" s="508">
        <v>36</v>
      </c>
      <c r="C100" s="341" t="str">
        <f>EXCAVACIONES!C1853</f>
        <v>EXCAVACION A MANO EN PIEDRA BAJO AGUA, ENTRE 2.00 Y 3.00 M DE PROFUNDIDAD (INCLUYE BOMBEO)</v>
      </c>
      <c r="D100" s="342" t="str">
        <f>EXCAVACIONES!G1851</f>
        <v>M3</v>
      </c>
      <c r="E100" s="343">
        <f>EXCAVACIONES!G1902</f>
        <v>42200</v>
      </c>
      <c r="F100" s="372"/>
      <c r="G100" s="377"/>
      <c r="H100" s="377"/>
      <c r="I100" s="377"/>
      <c r="J100" s="377"/>
      <c r="K100" s="377"/>
      <c r="L100"/>
      <c r="M100"/>
    </row>
    <row r="101" spans="2:13" ht="12" customHeight="1">
      <c r="B101" s="508">
        <v>37</v>
      </c>
      <c r="C101" s="341" t="str">
        <f>EXCAVACIONES!C1905</f>
        <v>EXCAVACION A MANO EN PIEDRA BAJO AGUA, ENTRE 3.00 Y 4.00 M DE PROFUNDIDAD (INCLUYE BOMBEO)</v>
      </c>
      <c r="D101" s="342" t="str">
        <f>EXCAVACIONES!G1903</f>
        <v>M3</v>
      </c>
      <c r="E101" s="343">
        <f>EXCAVACIONES!G1954</f>
        <v>66600</v>
      </c>
      <c r="F101" s="372"/>
      <c r="G101" s="377"/>
      <c r="H101" s="377"/>
      <c r="I101" s="377"/>
      <c r="J101" s="377"/>
      <c r="K101" s="377"/>
      <c r="L101"/>
      <c r="M101"/>
    </row>
    <row r="102" spans="2:13" ht="12" customHeight="1">
      <c r="B102" s="508">
        <v>38</v>
      </c>
      <c r="C102" s="341" t="str">
        <f>EXCAVACIONES!C1957</f>
        <v>EXCAVACION A MANO EN PIEDRA BAJO AGUA, ENTRE 4.00 Y 5.00 M DE PROFUNDIDAD (INCLUYE BOMBEO)</v>
      </c>
      <c r="D102" s="342" t="str">
        <f>EXCAVACIONES!G1955</f>
        <v>M3</v>
      </c>
      <c r="E102" s="343">
        <f>EXCAVACIONES!G2006</f>
        <v>71900</v>
      </c>
      <c r="F102" s="372"/>
      <c r="G102" s="377"/>
      <c r="H102" s="377"/>
      <c r="I102" s="377"/>
      <c r="J102" s="377"/>
      <c r="K102" s="377"/>
      <c r="L102"/>
      <c r="M102"/>
    </row>
    <row r="103" spans="2:13" ht="12" customHeight="1">
      <c r="B103" s="508">
        <v>39</v>
      </c>
      <c r="C103" s="341" t="str">
        <f>EXCAVACIONES!C2009</f>
        <v>EXCAVACION A MANO EN ROCA BAJO AGUA, HASTA 2.00 M DE PROFUNDIDAD (INCLUYE BOMBEO)</v>
      </c>
      <c r="D103" s="342" t="str">
        <f>EXCAVACIONES!G2007</f>
        <v>M3</v>
      </c>
      <c r="E103" s="343">
        <f>EXCAVACIONES!G2058</f>
        <v>131200</v>
      </c>
      <c r="F103" s="372"/>
      <c r="G103" s="377"/>
      <c r="H103" s="377"/>
      <c r="I103" s="377"/>
      <c r="J103" s="377"/>
      <c r="K103" s="377"/>
      <c r="L103"/>
      <c r="M103"/>
    </row>
    <row r="104" spans="2:13" ht="12" customHeight="1">
      <c r="B104" s="508">
        <v>40</v>
      </c>
      <c r="C104" s="341" t="str">
        <f>EXCAVACIONES!C2061</f>
        <v>EXCAVACION A MANO EN ROCA BAJO AGUA, ENTRE 2.00 Y 3.00 M DE PROFUNDIDAD (INCLUYE BOMBEO)</v>
      </c>
      <c r="D104" s="342" t="str">
        <f>EXCAVACIONES!G2059</f>
        <v>M3</v>
      </c>
      <c r="E104" s="343">
        <f>EXCAVACIONES!G2110</f>
        <v>153100</v>
      </c>
      <c r="F104" s="372"/>
      <c r="G104" s="377"/>
      <c r="H104" s="377"/>
      <c r="I104" s="377"/>
      <c r="J104" s="377"/>
      <c r="K104" s="377"/>
      <c r="L104"/>
      <c r="M104"/>
    </row>
    <row r="105" spans="2:13" ht="12" customHeight="1">
      <c r="B105" s="508">
        <v>41</v>
      </c>
      <c r="C105" s="341" t="str">
        <f>EXCAVACIONES!C2113</f>
        <v>EXCAVACION A MANO EN ROCA BAJO AGUA, ENTRE 3.00 Y 4.00 M DE PROFUNDIDAD (INCLUYE BOMBEO)</v>
      </c>
      <c r="D105" s="342" t="str">
        <f>EXCAVACIONES!G2111</f>
        <v>M3</v>
      </c>
      <c r="E105" s="343">
        <f>EXCAVACIONES!G2162</f>
        <v>183600</v>
      </c>
      <c r="F105" s="372"/>
      <c r="G105" s="377"/>
      <c r="H105" s="377"/>
      <c r="I105" s="377"/>
      <c r="J105" s="377"/>
      <c r="K105" s="377"/>
      <c r="L105"/>
      <c r="M105"/>
    </row>
    <row r="106" spans="2:13" ht="12.75">
      <c r="B106" s="508">
        <v>42</v>
      </c>
      <c r="C106" s="341" t="str">
        <f>EXCAVACIONES!C2165</f>
        <v>EXCAVACION DE DERRUMBE, HASTA 2.00 M DE PROFUNDIDAD</v>
      </c>
      <c r="D106" s="342" t="str">
        <f>EXCAVACIONES!G2163</f>
        <v>M3</v>
      </c>
      <c r="E106" s="343">
        <f>EXCAVACIONES!G2215</f>
        <v>13600</v>
      </c>
      <c r="F106" s="372"/>
      <c r="G106" s="377"/>
      <c r="H106" s="377"/>
      <c r="I106" s="377"/>
      <c r="J106" s="377"/>
      <c r="K106" s="377"/>
      <c r="L106"/>
      <c r="M106"/>
    </row>
    <row r="107" spans="2:13" ht="12.75">
      <c r="B107" s="508">
        <v>43</v>
      </c>
      <c r="C107" s="341" t="str">
        <f>EXCAVACIONES!C2218</f>
        <v>EXCAVACION DE DERRUMBE, ENTRE 2.00 Y 3.00 M DE PROFUNDIDAD</v>
      </c>
      <c r="D107" s="342" t="str">
        <f>EXCAVACIONES!G2216</f>
        <v>M3</v>
      </c>
      <c r="E107" s="343">
        <f>EXCAVACIONES!G2268</f>
        <v>18200</v>
      </c>
      <c r="F107" s="372"/>
      <c r="G107" s="377"/>
      <c r="H107" s="377"/>
      <c r="I107" s="377"/>
      <c r="J107" s="377"/>
      <c r="K107" s="377"/>
      <c r="L107"/>
      <c r="M107"/>
    </row>
    <row r="108" spans="2:13" ht="12.75">
      <c r="B108" s="508">
        <v>44</v>
      </c>
      <c r="C108" s="341" t="str">
        <f>EXCAVACIONES!C2271</f>
        <v>EXCAVACION DE DERRUMBE, ENTRE 3.00 Y 4.00 M DE PROFUNDIDAD</v>
      </c>
      <c r="D108" s="342" t="str">
        <f>EXCAVACIONES!G2269</f>
        <v>M3</v>
      </c>
      <c r="E108" s="343">
        <f>EXCAVACIONES!G2321</f>
        <v>24100</v>
      </c>
      <c r="F108" s="372"/>
      <c r="G108" s="377"/>
      <c r="H108" s="377"/>
      <c r="I108" s="377"/>
      <c r="J108" s="377"/>
      <c r="K108" s="377"/>
      <c r="L108"/>
      <c r="M108"/>
    </row>
    <row r="109" spans="2:13" ht="12.75">
      <c r="B109" s="508">
        <v>45</v>
      </c>
      <c r="C109" s="341" t="str">
        <f>EXCAVACIONES!C2324</f>
        <v>EXCAVACION DE DERRUMBE, ENTRE 4.00 Y 5.00 M DE PROFUNDIDAD</v>
      </c>
      <c r="D109" s="342" t="str">
        <f>EXCAVACIONES!G2322</f>
        <v>M3</v>
      </c>
      <c r="E109" s="343">
        <f>EXCAVACIONES!G2374</f>
        <v>36400</v>
      </c>
      <c r="F109" s="372"/>
      <c r="G109" s="377"/>
      <c r="H109" s="377"/>
      <c r="I109" s="377"/>
      <c r="J109" s="377"/>
      <c r="K109" s="377"/>
      <c r="L109"/>
      <c r="M109"/>
    </row>
    <row r="110" spans="2:13" ht="12.75">
      <c r="B110" s="508">
        <v>46</v>
      </c>
      <c r="C110" s="341" t="str">
        <f>EXCAVACIONES!C2377</f>
        <v>EXCAVACION DE DERRUMBE, ENTRE 5.00 Y 6.00 M DE PROFUNDIDAD</v>
      </c>
      <c r="D110" s="342" t="str">
        <f>EXCAVACIONES!G2375</f>
        <v>M3</v>
      </c>
      <c r="E110" s="343">
        <f>EXCAVACIONES!G2427</f>
        <v>51300</v>
      </c>
      <c r="F110" s="372"/>
      <c r="G110" s="377"/>
      <c r="H110" s="377"/>
      <c r="I110" s="377"/>
      <c r="J110" s="377"/>
      <c r="K110" s="377"/>
      <c r="L110"/>
      <c r="M110"/>
    </row>
    <row r="111" spans="2:13" ht="12.75">
      <c r="B111" s="508">
        <v>47</v>
      </c>
      <c r="C111" s="341" t="str">
        <f>EXCAVACIONES!C2430</f>
        <v>RELLENO DE LA MISMA EXCAVACION</v>
      </c>
      <c r="D111" s="342" t="str">
        <f>EXCAVACIONES!G2428</f>
        <v>M3</v>
      </c>
      <c r="E111" s="343">
        <f>EXCAVACIONES!G2480</f>
        <v>17000</v>
      </c>
      <c r="F111" s="372"/>
      <c r="G111" s="377"/>
      <c r="H111" s="377"/>
      <c r="I111" s="377"/>
      <c r="J111" s="377"/>
      <c r="K111" s="377"/>
      <c r="L111"/>
      <c r="M111"/>
    </row>
    <row r="112" spans="2:13" ht="12.75">
      <c r="B112" s="508">
        <v>48</v>
      </c>
      <c r="C112" s="341" t="str">
        <f>EXCAVACIONES!C2483</f>
        <v>RELLENO CON MATERIAL GRANULAR (CASCAJILLO)</v>
      </c>
      <c r="D112" s="342" t="str">
        <f>EXCAVACIONES!G2481</f>
        <v>M3</v>
      </c>
      <c r="E112" s="343">
        <f>EXCAVACIONES!G2533</f>
        <v>50900</v>
      </c>
      <c r="F112" s="372"/>
      <c r="G112" s="377"/>
      <c r="H112" s="377"/>
      <c r="I112" s="377"/>
      <c r="J112" s="377"/>
      <c r="K112" s="377"/>
      <c r="L112"/>
      <c r="M112"/>
    </row>
    <row r="113" spans="2:13" ht="12.75">
      <c r="B113" s="508">
        <v>49</v>
      </c>
      <c r="C113" s="341" t="str">
        <f>EXCAVACIONES!C2536</f>
        <v>RELLENO CON MATERIAL SELECCIONADO (RECEBO)</v>
      </c>
      <c r="D113" s="342" t="str">
        <f>EXCAVACIONES!G2534</f>
        <v>M3</v>
      </c>
      <c r="E113" s="343">
        <f>EXCAVACIONES!G2586</f>
        <v>23400</v>
      </c>
      <c r="F113" s="372"/>
      <c r="G113" s="377"/>
      <c r="H113" s="377"/>
      <c r="I113" s="377"/>
      <c r="J113" s="377"/>
      <c r="K113" s="377"/>
      <c r="L113"/>
      <c r="M113"/>
    </row>
    <row r="114" spans="2:13" ht="12.75">
      <c r="B114" s="508">
        <v>50</v>
      </c>
      <c r="C114" s="341" t="str">
        <f>EXCAVACIONES!C2589</f>
        <v>RELLENO CON MATERIAL SELECCIONADO (ARENA)</v>
      </c>
      <c r="D114" s="396" t="str">
        <f>EXCAVACIONES!G2587</f>
        <v>M3</v>
      </c>
      <c r="E114" s="343">
        <f>EXCAVACIONES!G2639</f>
        <v>50900</v>
      </c>
      <c r="F114" s="372"/>
      <c r="G114" s="377"/>
      <c r="H114" s="377"/>
      <c r="I114" s="377"/>
      <c r="J114" s="377"/>
      <c r="K114" s="377"/>
      <c r="L114"/>
      <c r="M114"/>
    </row>
    <row r="115" spans="2:13" ht="12.75">
      <c r="B115" s="508">
        <v>51</v>
      </c>
      <c r="C115" s="341" t="str">
        <f>EXCAVACIONES!C2642</f>
        <v>SUM. E INSTALACION BOLO PARA MEJORAMIENTO EN LA SUBRASANTE</v>
      </c>
      <c r="D115" s="342" t="str">
        <f>EXCAVACIONES!G2640</f>
        <v>M3</v>
      </c>
      <c r="E115" s="343">
        <f>EXCAVACIONES!G2687</f>
        <v>99400</v>
      </c>
      <c r="F115" s="372"/>
      <c r="G115" s="377"/>
      <c r="H115" s="377"/>
      <c r="I115" s="377"/>
      <c r="J115" s="377"/>
      <c r="K115" s="377"/>
      <c r="L115"/>
      <c r="M115"/>
    </row>
    <row r="116" spans="2:13" ht="12.75">
      <c r="B116" s="508">
        <v>52</v>
      </c>
      <c r="C116" s="341" t="str">
        <f>EXCAVACIONES!C2690</f>
        <v>SUM. E INST. DE TRITURADO 3/4 " (CASCAJILLO) PARA MEJORAMIENTO DE SUBRASANTE</v>
      </c>
      <c r="D116" s="342" t="str">
        <f>EXCAVACIONES!G2688</f>
        <v>M3</v>
      </c>
      <c r="E116" s="343">
        <f>EXCAVACIONES!G2735</f>
        <v>103600</v>
      </c>
      <c r="F116" s="372"/>
      <c r="G116" s="377"/>
      <c r="H116" s="377"/>
      <c r="I116" s="377"/>
      <c r="J116" s="377"/>
      <c r="K116" s="377"/>
      <c r="L116"/>
      <c r="M116"/>
    </row>
    <row r="117" spans="2:13" ht="12.75">
      <c r="B117" s="508">
        <v>53</v>
      </c>
      <c r="C117" s="341" t="str">
        <f>EXCAVACIONES!C2738</f>
        <v>ARENA PARA APOYO Y NIVELACION DE TUBERIAS</v>
      </c>
      <c r="D117" s="342" t="str">
        <f>EXCAVACIONES!G2736</f>
        <v>M3</v>
      </c>
      <c r="E117" s="343">
        <f>EXCAVACIONES!G2782</f>
        <v>53895</v>
      </c>
      <c r="F117" s="372"/>
      <c r="G117" s="377"/>
      <c r="H117" s="377"/>
      <c r="I117" s="377"/>
      <c r="J117" s="377"/>
      <c r="K117" s="377"/>
      <c r="L117"/>
      <c r="M117"/>
    </row>
    <row r="118" spans="2:13" ht="12.75">
      <c r="B118" s="511"/>
      <c r="C118" s="331" t="s">
        <v>1011</v>
      </c>
      <c r="D118" s="335"/>
      <c r="E118" s="336"/>
      <c r="F118" s="372"/>
      <c r="G118" s="377"/>
      <c r="H118" s="377"/>
      <c r="I118" s="377"/>
      <c r="J118" s="377"/>
      <c r="K118" s="377"/>
      <c r="L118"/>
      <c r="M118"/>
    </row>
    <row r="119" spans="2:13" ht="12.75">
      <c r="B119" s="508">
        <v>1</v>
      </c>
      <c r="C119" s="341" t="str">
        <f>CIMIENTOS!C8</f>
        <v>BASE CONCRETO 2000 PSI, e = 0.075 M</v>
      </c>
      <c r="D119" s="342" t="str">
        <f>CIMIENTOS!G6</f>
        <v>M2</v>
      </c>
      <c r="E119" s="343">
        <f>CIMIENTOS!G58</f>
        <v>32400</v>
      </c>
      <c r="F119" s="372"/>
      <c r="G119" s="377"/>
      <c r="H119" s="377"/>
      <c r="I119" s="377"/>
      <c r="J119" s="377"/>
      <c r="K119" s="377"/>
      <c r="L119"/>
      <c r="M119"/>
    </row>
    <row r="120" spans="2:13" ht="14.25" customHeight="1">
      <c r="B120" s="508">
        <v>2</v>
      </c>
      <c r="C120" s="341" t="str">
        <f>CIMIENTOS!C61</f>
        <v>CONCRETO CICLOPEO 3000 PSI, .40x.30</v>
      </c>
      <c r="D120" s="342" t="str">
        <f>CIMIENTOS!G59</f>
        <v>ML</v>
      </c>
      <c r="E120" s="343">
        <f>CIMIENTOS!G111</f>
        <v>46200</v>
      </c>
      <c r="F120" s="372"/>
      <c r="G120" s="377"/>
      <c r="H120" s="377"/>
      <c r="I120" s="377"/>
      <c r="J120" s="377"/>
      <c r="K120" s="377"/>
      <c r="L120"/>
      <c r="M120"/>
    </row>
    <row r="121" spans="2:13" ht="12" customHeight="1">
      <c r="B121" s="508">
        <v>3</v>
      </c>
      <c r="C121" s="341" t="str">
        <f>CIMIENTOS!C114</f>
        <v xml:space="preserve">CONSTRUCCIÓN VIGA CIMIENTO CONCRETO 3000 PSI, 0.20x0.20 M  REFORZADA CON 4 Ø 1/2" Y Ø 3/8" c/.10 </v>
      </c>
      <c r="D121" s="342" t="str">
        <f>CIMIENTOS!G112</f>
        <v>ML</v>
      </c>
      <c r="E121" s="343">
        <f>CIMIENTOS!G164</f>
        <v>59600</v>
      </c>
      <c r="F121" s="372"/>
      <c r="G121" s="377"/>
      <c r="H121" s="377"/>
      <c r="I121" s="377"/>
      <c r="J121" s="377"/>
      <c r="K121" s="377"/>
      <c r="L121"/>
      <c r="M121"/>
    </row>
    <row r="122" spans="2:13" ht="12" customHeight="1">
      <c r="B122" s="508">
        <v>4</v>
      </c>
      <c r="C122" s="341" t="str">
        <f>CIMIENTOS!C167</f>
        <v>VIGA CIMIENTO TRAPEZOIDAL EN CONCRETO 3000 PSI, .20x.40 REFORZADA CON 4 Ø 3/8" Y Ø 1/4" c/.20</v>
      </c>
      <c r="D122" s="342" t="str">
        <f>CIMIENTOS!G165</f>
        <v>ML</v>
      </c>
      <c r="E122" s="343">
        <f>CIMIENTOS!G216</f>
        <v>85200</v>
      </c>
      <c r="F122" s="372"/>
      <c r="G122" s="377"/>
      <c r="H122" s="377"/>
      <c r="I122" s="377"/>
      <c r="J122" s="377"/>
      <c r="K122" s="377"/>
      <c r="L122"/>
      <c r="M122"/>
    </row>
    <row r="123" spans="2:13" ht="12" customHeight="1">
      <c r="B123" s="508">
        <v>5</v>
      </c>
      <c r="C123" s="341" t="str">
        <f>CIMIENTOS!C219</f>
        <v>VIGA CIMIENTO TEE INVERTIDA CONCRETO 3000 PSI, .20x.40 REFORZADA CON 6 Ø 3/8" Y Ø 1/4" c/.20</v>
      </c>
      <c r="D123" s="342" t="str">
        <f>CIMIENTOS!G217</f>
        <v>ML</v>
      </c>
      <c r="E123" s="343">
        <f>CIMIENTOS!G268</f>
        <v>87300</v>
      </c>
      <c r="F123" s="372"/>
      <c r="G123" s="377"/>
      <c r="H123" s="377"/>
      <c r="I123" s="377"/>
      <c r="J123" s="377"/>
      <c r="K123" s="377"/>
      <c r="L123"/>
      <c r="M123"/>
    </row>
    <row r="124" spans="2:13" ht="12" customHeight="1">
      <c r="B124" s="508">
        <v>6</v>
      </c>
      <c r="C124" s="341" t="str">
        <f>CIMIENTOS!C271</f>
        <v>VIGA CIMIENTO LINDERO EN CONCRETO 3000 PSI, .20x.40 REFORZADA CON 5 Ø 3/8" Y Ø 1/4" c/.20</v>
      </c>
      <c r="D124" s="342" t="str">
        <f>CIMIENTOS!G269</f>
        <v>ML</v>
      </c>
      <c r="E124" s="343">
        <f>CIMIENTOS!G320</f>
        <v>85500</v>
      </c>
      <c r="F124" s="372"/>
      <c r="G124" s="377"/>
      <c r="H124" s="377"/>
      <c r="I124" s="377"/>
      <c r="J124" s="377"/>
      <c r="K124" s="377"/>
      <c r="L124"/>
      <c r="M124"/>
    </row>
    <row r="125" spans="2:13" ht="12.75">
      <c r="B125" s="508">
        <v>7</v>
      </c>
      <c r="C125" s="341" t="str">
        <f>CIMIENTOS!C323</f>
        <v>SOBRECIMIENTO LADRILLO TOLETE e = 0.25 M IMPERMEABILIZADO</v>
      </c>
      <c r="D125" s="342" t="str">
        <f>CIMIENTOS!G321</f>
        <v>M2</v>
      </c>
      <c r="E125" s="343">
        <f>CIMIENTOS!G373</f>
        <v>88600</v>
      </c>
      <c r="F125" s="372"/>
      <c r="G125" s="377"/>
      <c r="H125" s="377"/>
      <c r="I125" s="377"/>
      <c r="J125" s="377"/>
      <c r="K125" s="377"/>
      <c r="L125"/>
      <c r="M125"/>
    </row>
    <row r="126" spans="2:13" ht="12.75">
      <c r="B126" s="508">
        <v>8</v>
      </c>
      <c r="C126" s="341" t="str">
        <f>CIMIENTOS!C376</f>
        <v>SOBRECIMIENTO LADRILLO TOLETE e = 0.15 M IMPERMEABILIZADO</v>
      </c>
      <c r="D126" s="342" t="str">
        <f>CIMIENTOS!G374</f>
        <v>M2</v>
      </c>
      <c r="E126" s="343">
        <f>CIMIENTOS!G426</f>
        <v>53100</v>
      </c>
      <c r="F126" s="372"/>
      <c r="G126" s="377"/>
      <c r="H126" s="377"/>
      <c r="I126" s="377"/>
      <c r="J126" s="377"/>
      <c r="K126" s="377"/>
      <c r="L126"/>
      <c r="M126"/>
    </row>
    <row r="127" spans="2:13" ht="12.75">
      <c r="B127" s="508">
        <v>9</v>
      </c>
      <c r="C127" s="341" t="str">
        <f>CIMIENTOS!C429</f>
        <v>SOBRECIMIENTO BLOQUE CEMENTO e = 0.20 M IMPERMEABILIZADO</v>
      </c>
      <c r="D127" s="342" t="str">
        <f>CIMIENTOS!G427</f>
        <v>M2</v>
      </c>
      <c r="E127" s="343">
        <f>CIMIENTOS!G479</f>
        <v>48000</v>
      </c>
      <c r="F127" s="372"/>
      <c r="G127" s="377"/>
      <c r="H127" s="377"/>
      <c r="I127" s="377"/>
      <c r="J127" s="377"/>
      <c r="K127" s="377"/>
      <c r="L127"/>
      <c r="M127"/>
    </row>
    <row r="128" spans="2:13" ht="12.75">
      <c r="B128" s="508">
        <v>10</v>
      </c>
      <c r="C128" s="341" t="str">
        <f>CIMIENTOS!C482</f>
        <v>SOBRECIMIENTO BLOQUE CEMENTO e = 0.10 M IMPERMEABILIZADO</v>
      </c>
      <c r="D128" s="342" t="str">
        <f>CIMIENTOS!G480</f>
        <v>M2</v>
      </c>
      <c r="E128" s="343">
        <f>CIMIENTOS!G532</f>
        <v>35000</v>
      </c>
      <c r="F128" s="372"/>
      <c r="G128" s="377"/>
      <c r="H128" s="377"/>
      <c r="I128" s="377"/>
      <c r="J128" s="377"/>
      <c r="K128" s="377"/>
      <c r="L128"/>
      <c r="M128"/>
    </row>
    <row r="129" spans="2:13" ht="12.75">
      <c r="B129" s="508">
        <v>11</v>
      </c>
      <c r="C129" s="341" t="str">
        <f>CIMIENTOS!C535</f>
        <v>SOBRECIMIENTO LADRILLO ARROBERO IMPERMEABILIZADO e = 0.15 M</v>
      </c>
      <c r="D129" s="342" t="str">
        <f>CIMIENTOS!G533</f>
        <v>M2</v>
      </c>
      <c r="E129" s="343">
        <f>CIMIENTOS!G585</f>
        <v>31800</v>
      </c>
      <c r="F129" s="372"/>
      <c r="G129" s="377"/>
      <c r="H129" s="377"/>
      <c r="I129" s="377"/>
      <c r="J129" s="377"/>
      <c r="K129" s="377"/>
      <c r="L129"/>
      <c r="M129"/>
    </row>
    <row r="130" spans="2:13" ht="12.75">
      <c r="B130" s="508">
        <v>12</v>
      </c>
      <c r="C130" s="341" t="str">
        <f>CIMIENTOS!C588</f>
        <v>SOBRECIMIENTO EN CONCRETO 3000 PSI .15 x .25 IMPERMEABILIZADO</v>
      </c>
      <c r="D130" s="342" t="str">
        <f>CIMIENTOS!G586</f>
        <v>ML</v>
      </c>
      <c r="E130" s="343">
        <f>CIMIENTOS!G638</f>
        <v>34300</v>
      </c>
      <c r="F130" s="372"/>
      <c r="G130" s="377"/>
      <c r="H130" s="377"/>
      <c r="I130" s="377"/>
      <c r="J130" s="377"/>
      <c r="K130" s="377"/>
      <c r="L130"/>
      <c r="M130"/>
    </row>
    <row r="131" spans="2:13" ht="12.75">
      <c r="B131" s="508">
        <v>13</v>
      </c>
      <c r="C131" s="341" t="str">
        <f>CIMIENTOS!C641</f>
        <v>SOBRECIMIENTO EN CONCRETO 3000 PSI .20 x .25 IMPERMEABILIZADO</v>
      </c>
      <c r="D131" s="342" t="str">
        <f>CIMIENTOS!G639</f>
        <v>ML</v>
      </c>
      <c r="E131" s="343">
        <f>CIMIENTOS!G691</f>
        <v>42600</v>
      </c>
      <c r="F131" s="372"/>
      <c r="G131" s="738"/>
      <c r="H131" s="738"/>
      <c r="I131" s="738"/>
      <c r="J131" s="738"/>
      <c r="K131" s="738"/>
      <c r="L131" s="373"/>
      <c r="M131" s="373"/>
    </row>
    <row r="132" spans="2:13" ht="12" customHeight="1">
      <c r="B132" s="508">
        <v>14</v>
      </c>
      <c r="C132" s="341" t="str">
        <f>CIMIENTOS!C694</f>
        <v>ZAPATAS 1.00 x 1.00, h = 0.40 M, REFUERZO Ø ½", C/0.15 EN DOS DIRECCIONES INCLUIDO BASE CONCRETO 2000 PSI</v>
      </c>
      <c r="D132" s="342" t="str">
        <f>CIMIENTOS!G692</f>
        <v>UND</v>
      </c>
      <c r="E132" s="343">
        <f>CIMIENTOS!G744</f>
        <v>288200</v>
      </c>
      <c r="F132" s="372"/>
      <c r="L132"/>
      <c r="M132"/>
    </row>
    <row r="133" spans="2:13" ht="12.75">
      <c r="B133" s="508">
        <v>15</v>
      </c>
      <c r="C133" s="341" t="str">
        <f>CIMIENTOS!C747</f>
        <v>ZAPATAS 1.20 x 1.20, h = 0.475 M, REFUERZO Ø ½", C/0.15 EN DOS DIRECCIONES</v>
      </c>
      <c r="D133" s="342" t="str">
        <f>CIMIENTOS!G745</f>
        <v>UND</v>
      </c>
      <c r="E133" s="343">
        <f>CIMIENTOS!G797</f>
        <v>430600</v>
      </c>
      <c r="F133" s="372"/>
    </row>
    <row r="134" spans="2:13" ht="12.75">
      <c r="B134" s="508">
        <v>16</v>
      </c>
      <c r="C134" s="341" t="str">
        <f>CIMIENTOS!C800</f>
        <v>SOBRECIMIENTO LADRILLO TOLETE 0.15 x 0.25 M IMPERMEABILIZADO</v>
      </c>
      <c r="D134" s="342" t="str">
        <f>CIMIENTOS!G798</f>
        <v>ML</v>
      </c>
      <c r="E134" s="343">
        <f>CIMIENTOS!G850</f>
        <v>24000</v>
      </c>
      <c r="F134" s="372"/>
    </row>
    <row r="135" spans="2:13" ht="12.75">
      <c r="B135" s="508">
        <v>17</v>
      </c>
      <c r="C135" s="341" t="str">
        <f>CIMIENTOS!C853</f>
        <v>SOBRECIMIENTO LADRILLO TOLETE 0.25 x 0.25 M IMPERMEABILIZADO</v>
      </c>
      <c r="D135" s="342" t="str">
        <f>CIMIENTOS!G851</f>
        <v>ML</v>
      </c>
      <c r="E135" s="343">
        <f>CIMIENTOS!G903</f>
        <v>34000</v>
      </c>
      <c r="F135" s="372"/>
    </row>
    <row r="136" spans="2:13" ht="12" customHeight="1">
      <c r="B136" s="508">
        <v>18</v>
      </c>
      <c r="C136" s="341" t="str">
        <f>CIMIENTOS!C906</f>
        <v xml:space="preserve">CONSTRUCCIÒN ESTRUCTURA EN CONCRETO PARA TANQUES ELEVADOS SEGÚN DISEÑO INCLUYE EXCAVACIÓN </v>
      </c>
      <c r="D136" s="342" t="str">
        <f>CIMIENTOS!G904</f>
        <v>GLB</v>
      </c>
      <c r="E136" s="343">
        <f>CIMIENTOS!G956</f>
        <v>3142300</v>
      </c>
      <c r="F136" s="372"/>
    </row>
    <row r="137" spans="2:13" ht="12" customHeight="1">
      <c r="B137" s="508">
        <v>19</v>
      </c>
      <c r="C137" s="341" t="str">
        <f>CIMIENTOS!C959</f>
        <v xml:space="preserve">CONSTRUCCIÒN ESTRUCTURA EN CONCRETO PARA TANQUE SUBTERRANEO SEGÚN DISEÑO INCLUYE EXCAVACIÓN </v>
      </c>
      <c r="D137" s="342" t="str">
        <f>CIMIENTOS!G957</f>
        <v>GLB</v>
      </c>
      <c r="E137" s="343">
        <f>CIMIENTOS!G1009</f>
        <v>3403400</v>
      </c>
      <c r="F137" s="372"/>
    </row>
    <row r="138" spans="2:13">
      <c r="B138" s="511"/>
      <c r="C138" s="334" t="s">
        <v>1012</v>
      </c>
      <c r="D138" s="335"/>
      <c r="E138" s="337"/>
      <c r="F138" s="372"/>
    </row>
    <row r="139" spans="2:13" ht="12.75">
      <c r="B139" s="508">
        <v>1</v>
      </c>
      <c r="C139" s="395" t="str">
        <f>DESAGUES!C8</f>
        <v>TUBERIA GRES Ø 3"</v>
      </c>
      <c r="D139" s="342" t="str">
        <f>DESAGUES!G6</f>
        <v>ML</v>
      </c>
      <c r="E139" s="407">
        <f>DESAGUES!G58</f>
        <v>13600</v>
      </c>
      <c r="F139" s="372"/>
    </row>
    <row r="140" spans="2:13" ht="12.75">
      <c r="B140" s="508">
        <v>2</v>
      </c>
      <c r="C140" s="395" t="str">
        <f>DESAGUES!C61</f>
        <v>ACCESORIO GRES Ø 3"</v>
      </c>
      <c r="D140" s="342" t="str">
        <f>DESAGUES!G59</f>
        <v>UND</v>
      </c>
      <c r="E140" s="407">
        <f>DESAGUES!G111</f>
        <v>13700</v>
      </c>
      <c r="F140" s="372"/>
    </row>
    <row r="141" spans="2:13" ht="12.75">
      <c r="B141" s="508">
        <v>3</v>
      </c>
      <c r="C141" s="341" t="str">
        <f>DESAGUES!C114</f>
        <v>TUBERIA GRES Ø 4"</v>
      </c>
      <c r="D141" s="342" t="str">
        <f>DESAGUES!G112</f>
        <v>ML</v>
      </c>
      <c r="E141" s="343">
        <f>DESAGUES!G164</f>
        <v>19700</v>
      </c>
      <c r="F141" s="372"/>
    </row>
    <row r="142" spans="2:13" ht="12.75">
      <c r="B142" s="508">
        <v>4</v>
      </c>
      <c r="C142" s="341" t="str">
        <f>DESAGUES!C167</f>
        <v>ACCESORIO GRES Ø 4"</v>
      </c>
      <c r="D142" s="342" t="str">
        <f>DESAGUES!G165</f>
        <v>UND</v>
      </c>
      <c r="E142" s="343">
        <f>DESAGUES!G217</f>
        <v>15200</v>
      </c>
      <c r="F142" s="372"/>
    </row>
    <row r="143" spans="2:13" ht="12.75">
      <c r="B143" s="508">
        <v>5</v>
      </c>
      <c r="C143" s="341" t="str">
        <f>DESAGUES!C220</f>
        <v>TUBERIA GRES Ø 6"</v>
      </c>
      <c r="D143" s="342" t="str">
        <f>DESAGUES!G218</f>
        <v>ML</v>
      </c>
      <c r="E143" s="343">
        <f>DESAGUES!G270</f>
        <v>27600</v>
      </c>
      <c r="F143" s="372"/>
    </row>
    <row r="144" spans="2:13" ht="12.75">
      <c r="B144" s="508">
        <v>6</v>
      </c>
      <c r="C144" s="341" t="str">
        <f>DESAGUES!C273</f>
        <v>ACCESORIO GRES Ø 6"</v>
      </c>
      <c r="D144" s="342" t="str">
        <f>DESAGUES!G271</f>
        <v>UND</v>
      </c>
      <c r="E144" s="343">
        <f>DESAGUES!G323</f>
        <v>21900</v>
      </c>
      <c r="F144" s="372"/>
    </row>
    <row r="145" spans="2:6" ht="12.75">
      <c r="B145" s="508">
        <v>7</v>
      </c>
      <c r="C145" s="341" t="str">
        <f>DESAGUES!C326</f>
        <v>TUBERIA GRES Ø 8"</v>
      </c>
      <c r="D145" s="342" t="str">
        <f>DESAGUES!G324</f>
        <v>ML</v>
      </c>
      <c r="E145" s="343">
        <f>DESAGUES!G376</f>
        <v>35300</v>
      </c>
      <c r="F145" s="372"/>
    </row>
    <row r="146" spans="2:6" ht="12.75">
      <c r="B146" s="508">
        <v>8</v>
      </c>
      <c r="C146" s="341" t="str">
        <f>DESAGUES!C379</f>
        <v>ACCESORIO GRES Ø 8"</v>
      </c>
      <c r="D146" s="342" t="str">
        <f>DESAGUES!G377</f>
        <v>UND</v>
      </c>
      <c r="E146" s="343">
        <f>DESAGUES!G429</f>
        <v>33200</v>
      </c>
      <c r="F146" s="372"/>
    </row>
    <row r="147" spans="2:6" ht="12.75">
      <c r="B147" s="508">
        <v>9</v>
      </c>
      <c r="C147" s="341" t="str">
        <f>DESAGUES!C432</f>
        <v>TUBERIA DRENAJE GRES Ø 4"</v>
      </c>
      <c r="D147" s="342" t="str">
        <f>DESAGUES!G430</f>
        <v>ML</v>
      </c>
      <c r="E147" s="343">
        <f>DESAGUES!G482</f>
        <v>20200</v>
      </c>
      <c r="F147" s="372"/>
    </row>
    <row r="148" spans="2:6" ht="12.75">
      <c r="B148" s="508">
        <v>10</v>
      </c>
      <c r="C148" s="341" t="str">
        <f>DESAGUES!C485</f>
        <v>TUBERIA DRENAJE GRES Ø 6"</v>
      </c>
      <c r="D148" s="342" t="str">
        <f>DESAGUES!G483</f>
        <v>ML</v>
      </c>
      <c r="E148" s="343">
        <f>DESAGUES!G535</f>
        <v>28000</v>
      </c>
      <c r="F148" s="372"/>
    </row>
    <row r="149" spans="2:6" ht="12.75">
      <c r="B149" s="508">
        <v>11</v>
      </c>
      <c r="C149" s="341" t="str">
        <f>DESAGUES!C538</f>
        <v>CAJA DE INSPECCION 0.30 x 0.30 x 0.30 INCLUYE EXCAVACION h = 0.75 Y RELLENO</v>
      </c>
      <c r="D149" s="342" t="str">
        <f>DESAGUES!G536</f>
        <v>UND</v>
      </c>
      <c r="E149" s="343">
        <f>DESAGUES!G587</f>
        <v>73800</v>
      </c>
      <c r="F149" s="372"/>
    </row>
    <row r="150" spans="2:6" ht="12.75">
      <c r="B150" s="508">
        <v>12</v>
      </c>
      <c r="C150" s="341" t="str">
        <f>DESAGUES!C590</f>
        <v>CAJA DE INSPECCION 0.40 x 0.40 x 0.40 INCLUYE EXCAVACION h = 0.75 Y RELLENO</v>
      </c>
      <c r="D150" s="342" t="str">
        <f>DESAGUES!G588</f>
        <v>UND</v>
      </c>
      <c r="E150" s="343">
        <f>DESAGUES!G639</f>
        <v>124200</v>
      </c>
      <c r="F150" s="372"/>
    </row>
    <row r="151" spans="2:6" ht="12.75">
      <c r="B151" s="508">
        <v>13</v>
      </c>
      <c r="C151" s="341" t="str">
        <f>DESAGUES!C642</f>
        <v>CAJA DE INSPECCION 0.50 x 0.50 x 0.40 INCLUYE EXCAVACION h = 0.75 Y RELLENO</v>
      </c>
      <c r="D151" s="342" t="str">
        <f>DESAGUES!G640</f>
        <v>UND</v>
      </c>
      <c r="E151" s="343">
        <f>DESAGUES!G691</f>
        <v>121900</v>
      </c>
      <c r="F151" s="372"/>
    </row>
    <row r="152" spans="2:6" ht="12.75">
      <c r="B152" s="508">
        <v>14</v>
      </c>
      <c r="C152" s="341" t="str">
        <f>DESAGUES!C694</f>
        <v>CAJA DE INSPECCION 0.50 x 0.50 x 0.50 INCLUYE EXCAVACION h = 0.75 Y RELLENO</v>
      </c>
      <c r="D152" s="342" t="str">
        <f>DESAGUES!G692</f>
        <v>UND</v>
      </c>
      <c r="E152" s="343">
        <f>DESAGUES!G743</f>
        <v>128300</v>
      </c>
      <c r="F152" s="372"/>
    </row>
    <row r="153" spans="2:6" ht="12.75">
      <c r="B153" s="508">
        <v>15</v>
      </c>
      <c r="C153" s="341" t="str">
        <f>DESAGUES!C746</f>
        <v>CONSTRUCCIÓN CAJA DE INSPECCION 0.60 x 0.60 M</v>
      </c>
      <c r="D153" s="342" t="str">
        <f>DESAGUES!G744</f>
        <v>UND</v>
      </c>
      <c r="E153" s="343">
        <f>DESAGUES!G793</f>
        <v>159800</v>
      </c>
      <c r="F153" s="372"/>
    </row>
    <row r="154" spans="2:6" ht="12.75">
      <c r="B154" s="508">
        <v>16</v>
      </c>
      <c r="C154" s="341" t="str">
        <f>DESAGUES!C796</f>
        <v>CAJA DE INSPECCION 0.70 x 0.70 x 0.70 INCLUYE EXCAVACION h = 1.00 Y RELLENO</v>
      </c>
      <c r="D154" s="342" t="str">
        <f>DESAGUES!G794</f>
        <v>UND</v>
      </c>
      <c r="E154" s="343">
        <f>DESAGUES!G844</f>
        <v>227300</v>
      </c>
      <c r="F154" s="372"/>
    </row>
    <row r="155" spans="2:6" ht="12.75">
      <c r="B155" s="508">
        <v>17</v>
      </c>
      <c r="C155" s="341" t="str">
        <f>DESAGUES!C847</f>
        <v>CONSTRUCCIÓN CAJA DE INSPECCION 0.80 x 0.80 M</v>
      </c>
      <c r="D155" s="342" t="str">
        <f>DESAGUES!G845</f>
        <v>UND</v>
      </c>
      <c r="E155" s="343">
        <f>DESAGUES!G894</f>
        <v>236300</v>
      </c>
      <c r="F155" s="372"/>
    </row>
    <row r="156" spans="2:6" ht="12.75">
      <c r="B156" s="508">
        <v>18</v>
      </c>
      <c r="C156" s="341" t="str">
        <f>DESAGUES!C897</f>
        <v>CAJA DE INSPECCION 0.90 x 0.90 x 0.90 INCLUYE EXCAVACION h = 1.25 Y RELLENO</v>
      </c>
      <c r="D156" s="342" t="str">
        <f>DESAGUES!G895</f>
        <v>UND</v>
      </c>
      <c r="E156" s="343">
        <f>DESAGUES!G946</f>
        <v>352900</v>
      </c>
      <c r="F156" s="372"/>
    </row>
    <row r="157" spans="2:6" ht="12.75">
      <c r="B157" s="508">
        <v>19</v>
      </c>
      <c r="C157" s="341" t="str">
        <f>DESAGUES!C949</f>
        <v xml:space="preserve">CONSTRUCCIÓN CAJA DE INSPECCION 1.00 x 1.00 M </v>
      </c>
      <c r="D157" s="342" t="str">
        <f>DESAGUES!G947</f>
        <v>UND</v>
      </c>
      <c r="E157" s="343">
        <f>DESAGUES!G996</f>
        <v>322100</v>
      </c>
      <c r="F157" s="372"/>
    </row>
    <row r="158" spans="2:6" ht="12.75">
      <c r="B158" s="508">
        <v>20</v>
      </c>
      <c r="C158" s="341" t="str">
        <f>DESAGUES!C999</f>
        <v>PUNTO DESAGUE GRES Ø 3"; Ø 4"</v>
      </c>
      <c r="D158" s="342" t="str">
        <f>DESAGUES!G997</f>
        <v>UN</v>
      </c>
      <c r="E158" s="343">
        <f>DESAGUES!G1049</f>
        <v>71800</v>
      </c>
      <c r="F158" s="372"/>
    </row>
    <row r="159" spans="2:6" ht="12.75">
      <c r="B159" s="508">
        <v>21</v>
      </c>
      <c r="C159" s="341" t="str">
        <f>DESAGUES!C1052</f>
        <v>PUNTO DESAGUE  Ø 3" (SIFON)</v>
      </c>
      <c r="D159" s="342" t="str">
        <f>DESAGUES!G1050</f>
        <v>UND</v>
      </c>
      <c r="E159" s="343">
        <f>DESAGUES!G1102</f>
        <v>42600</v>
      </c>
      <c r="F159" s="372"/>
    </row>
    <row r="160" spans="2:6" ht="12.75">
      <c r="B160" s="508">
        <v>22</v>
      </c>
      <c r="C160" s="341" t="str">
        <f>DESAGUES!C1105</f>
        <v>PUNTO DESAGUE GRES Ø 4" (SANITARIO)</v>
      </c>
      <c r="D160" s="342" t="str">
        <f>DESAGUES!G1103</f>
        <v>UN</v>
      </c>
      <c r="E160" s="343">
        <f>DESAGUES!G1155</f>
        <v>44300</v>
      </c>
      <c r="F160" s="372"/>
    </row>
    <row r="161" spans="2:6">
      <c r="B161" s="511"/>
      <c r="C161" s="334" t="s">
        <v>1013</v>
      </c>
      <c r="D161" s="335"/>
      <c r="E161" s="336"/>
      <c r="F161" s="372"/>
    </row>
    <row r="162" spans="2:6" ht="12.75">
      <c r="B162" s="508">
        <v>1</v>
      </c>
      <c r="C162" s="341" t="str">
        <f>ESTRUCTURAS!C8</f>
        <v>COLUMNETA 0.07x0.30 M, REFUERZO 4 Ø 3/8" y Ø ¼" 1 C / 0.20 M</v>
      </c>
      <c r="D162" s="342" t="str">
        <f>ESTRUCTURAS!G6</f>
        <v>ML</v>
      </c>
      <c r="E162" s="343">
        <f>ESTRUCTURAS!G58</f>
        <v>42600</v>
      </c>
      <c r="F162" s="372"/>
    </row>
    <row r="163" spans="2:6" ht="12.75">
      <c r="B163" s="508">
        <v>2</v>
      </c>
      <c r="C163" s="341" t="str">
        <f>ESTRUCTURAS!C61</f>
        <v>COLUMNETA 0.12x0.30 M, REFUERZO 4 Ø 3/8" y Ø ¼" 1 C / 0.20 M</v>
      </c>
      <c r="D163" s="342" t="str">
        <f>ESTRUCTURAS!G59</f>
        <v>ML</v>
      </c>
      <c r="E163" s="343">
        <f>ESTRUCTURAS!G111</f>
        <v>50600</v>
      </c>
      <c r="F163" s="372"/>
    </row>
    <row r="164" spans="2:6" ht="12.75">
      <c r="B164" s="508">
        <v>3</v>
      </c>
      <c r="C164" s="341" t="str">
        <f>ESTRUCTURAS!C114</f>
        <v>COLUMNETA 0.15x0.30 M, REFUERZO 4 Ø 3/8" y Ø ¼" 1 C / 0.20 M</v>
      </c>
      <c r="D164" s="342" t="str">
        <f>ESTRUCTURAS!G112</f>
        <v>ML</v>
      </c>
      <c r="E164" s="343">
        <f>ESTRUCTURAS!G164</f>
        <v>54600</v>
      </c>
      <c r="F164" s="372"/>
    </row>
    <row r="165" spans="2:6" ht="12.75">
      <c r="B165" s="508">
        <v>4</v>
      </c>
      <c r="C165" s="341" t="str">
        <f>ESTRUCTURAS!C167</f>
        <v>CONSTRUCCIÓN DE COLUMNA 0.20 x 0.20 M, EN CONCRETO 3000 PSI REFUERZO 4 Ø ½", 12 Ø 3/8"</v>
      </c>
      <c r="D165" s="342" t="str">
        <f>ESTRUCTURAS!G165</f>
        <v>ML</v>
      </c>
      <c r="E165" s="343">
        <f>ESTRUCTURAS!G217</f>
        <v>57200</v>
      </c>
      <c r="F165" s="372"/>
    </row>
    <row r="166" spans="2:6" ht="12.75">
      <c r="B166" s="508">
        <v>5</v>
      </c>
      <c r="C166" s="341" t="str">
        <f>ESTRUCTURAS!C220</f>
        <v>COLUMNA 0.20 x 0.25 M, REFUERZO 4 Ø 5/8", 12 Ø 3/8"</v>
      </c>
      <c r="D166" s="342" t="str">
        <f>ESTRUCTURAS!G218</f>
        <v>ML</v>
      </c>
      <c r="E166" s="343">
        <f>ESTRUCTURAS!G270</f>
        <v>77500</v>
      </c>
      <c r="F166" s="372"/>
    </row>
    <row r="167" spans="2:6" ht="12" customHeight="1">
      <c r="B167" s="508">
        <v>6</v>
      </c>
      <c r="C167" s="341" t="str">
        <f>ESTRUCTURAS!C273</f>
        <v>COLUMNA 0.25 x 0.25 M, REFUERZO 4 Ø 5/8", 12 Ø 3/8"</v>
      </c>
      <c r="D167" s="342" t="str">
        <f>ESTRUCTURAS!G271</f>
        <v>ML</v>
      </c>
      <c r="E167" s="343">
        <f>ESTRUCTURAS!G323</f>
        <v>77300</v>
      </c>
      <c r="F167" s="372"/>
    </row>
    <row r="168" spans="2:6" ht="12" customHeight="1">
      <c r="B168" s="508">
        <v>7</v>
      </c>
      <c r="C168" s="341" t="str">
        <f>ESTRUCTURAS!C326</f>
        <v>COLUMNA 0.25 x 0.30 M, REFUERZO 4 Ø 5/8", 12 Ø 3/8"</v>
      </c>
      <c r="D168" s="342" t="str">
        <f>ESTRUCTURAS!G324</f>
        <v>ML</v>
      </c>
      <c r="E168" s="343">
        <f>ESTRUCTURAS!G376</f>
        <v>94700</v>
      </c>
      <c r="F168" s="372"/>
    </row>
    <row r="169" spans="2:6" ht="12" customHeight="1">
      <c r="B169" s="508">
        <v>8</v>
      </c>
      <c r="C169" s="341" t="str">
        <f>ESTRUCTURAS!C379</f>
        <v>COLUMNA 0.25 x 0.30 M, REFUERZO 6 Ø 5/8", 12 Ø 3/8"</v>
      </c>
      <c r="D169" s="342" t="str">
        <f>ESTRUCTURAS!G377</f>
        <v>ML</v>
      </c>
      <c r="E169" s="343">
        <f>ESTRUCTURAS!G429</f>
        <v>103600</v>
      </c>
      <c r="F169" s="372"/>
    </row>
    <row r="170" spans="2:6" ht="12" customHeight="1">
      <c r="B170" s="508">
        <v>9</v>
      </c>
      <c r="C170" s="341" t="str">
        <f>ESTRUCTURAS!C432</f>
        <v>COLUMNA 0.20 x 0.36 M, REFUERZO 4 Ø 5/8", 12 Ø 3/8"</v>
      </c>
      <c r="D170" s="342" t="str">
        <f>ESTRUCTURAS!G430</f>
        <v>ML</v>
      </c>
      <c r="E170" s="343">
        <f>ESTRUCTURAS!G482</f>
        <v>95000</v>
      </c>
      <c r="F170" s="372"/>
    </row>
    <row r="171" spans="2:6" ht="12" customHeight="1">
      <c r="B171" s="508">
        <v>10</v>
      </c>
      <c r="C171" s="341" t="str">
        <f>ESTRUCTURAS!C485</f>
        <v>COLUMNA 0.45 x 0.30 M, REFUERZO 4 Ø 1" + 4 Ø 5/8", 12 Ø 3/8"</v>
      </c>
      <c r="D171" s="342" t="str">
        <f>ESTRUCTURAS!G483</f>
        <v>ML</v>
      </c>
      <c r="E171" s="343">
        <f>ESTRUCTURAS!G535</f>
        <v>179100</v>
      </c>
      <c r="F171" s="372"/>
    </row>
    <row r="172" spans="2:6" ht="12" customHeight="1">
      <c r="B172" s="508">
        <v>11</v>
      </c>
      <c r="C172" s="341" t="str">
        <f>ESTRUCTURAS!C538</f>
        <v>COLUMNA 0.45 x 0.30 M, REFUERZO 4 Ø 1/2" + 4 Ø 5/8", 12 Ø 3/8"</v>
      </c>
      <c r="D172" s="342" t="str">
        <f>ESTRUCTURAS!G536</f>
        <v>ML</v>
      </c>
      <c r="E172" s="343">
        <f>ESTRUCTURAS!G588</f>
        <v>141600</v>
      </c>
      <c r="F172" s="372"/>
    </row>
    <row r="173" spans="2:6" ht="12" customHeight="1">
      <c r="B173" s="508">
        <v>12</v>
      </c>
      <c r="C173" s="341" t="str">
        <f>ESTRUCTURAS!C591</f>
        <v>VIGA CORONA 0.45 x 0.30 M, REFUERZO 4 Ø 5/8", 12 Ø 3/8"</v>
      </c>
      <c r="D173" s="342" t="str">
        <f>ESTRUCTURAS!G589</f>
        <v>ML</v>
      </c>
      <c r="E173" s="343">
        <f>ESTRUCTURAS!G641</f>
        <v>127300</v>
      </c>
      <c r="F173" s="372"/>
    </row>
    <row r="174" spans="2:6" ht="12" customHeight="1">
      <c r="B174" s="508">
        <v>13</v>
      </c>
      <c r="C174" s="341" t="str">
        <f>ESTRUCTURAS!C644</f>
        <v>VIGA 0.20 x 0.36 M, REFUERZO 4 Ø 5/8", 12 Ø 3/8"</v>
      </c>
      <c r="D174" s="342" t="str">
        <f>ESTRUCTURAS!G642</f>
        <v>ML</v>
      </c>
      <c r="E174" s="343">
        <f>ESTRUCTURAS!G694</f>
        <v>91100</v>
      </c>
      <c r="F174" s="372"/>
    </row>
    <row r="175" spans="2:6" ht="12" customHeight="1">
      <c r="B175" s="508">
        <v>14</v>
      </c>
      <c r="C175" s="341" t="str">
        <f>ESTRUCTURAS!C697</f>
        <v>VIGA AMARRE 0.12x0.25 AEREA, REFUERZO 4 Ø 1/2", 12 FLEJES Ø 3/8"</v>
      </c>
      <c r="D175" s="342" t="str">
        <f>ESTRUCTURAS!G695</f>
        <v>ML</v>
      </c>
      <c r="E175" s="343">
        <f>ESTRUCTURAS!G747</f>
        <v>39800</v>
      </c>
      <c r="F175" s="372"/>
    </row>
    <row r="176" spans="2:6" ht="12" customHeight="1">
      <c r="B176" s="508">
        <v>15</v>
      </c>
      <c r="C176" s="341" t="str">
        <f>ESTRUCTURAS!C750</f>
        <v>VIGA CORREA 0.08x0.20 AEREA, REFUERZO 2 Ø 3/8", 12 FLEJES Ø ¼", en ese (S)</v>
      </c>
      <c r="D176" s="342" t="str">
        <f>ESTRUCTURAS!G748</f>
        <v>ML</v>
      </c>
      <c r="E176" s="343">
        <f>ESTRUCTURAS!G800</f>
        <v>25700</v>
      </c>
      <c r="F176" s="372"/>
    </row>
    <row r="177" spans="2:6" ht="12" customHeight="1">
      <c r="B177" s="508">
        <v>16</v>
      </c>
      <c r="C177" s="341" t="str">
        <f>ESTRUCTURAS!C803</f>
        <v>VIGA AMARRE 0.12x0.30 AEREA, REFUERZO 4 Ø 1/2", 12 FLEJES Ø ¼"</v>
      </c>
      <c r="D177" s="342" t="str">
        <f>ESTRUCTURAS!G801</f>
        <v>ML</v>
      </c>
      <c r="E177" s="343">
        <f>ESTRUCTURAS!G853</f>
        <v>45800</v>
      </c>
      <c r="F177" s="372"/>
    </row>
    <row r="178" spans="2:6" ht="12" customHeight="1">
      <c r="B178" s="508">
        <v>17</v>
      </c>
      <c r="C178" s="341" t="str">
        <f>ESTRUCTURAS!C856</f>
        <v>VIGA AMARRE 0.15.x0.30 AEREA, REFUERZO 4 Ø 1/2", 12 FLEJES Ø 3/8"</v>
      </c>
      <c r="D178" s="342" t="str">
        <f>ESTRUCTURAS!G854</f>
        <v>ML</v>
      </c>
      <c r="E178" s="343">
        <f>ESTRUCTURAS!G906</f>
        <v>49300</v>
      </c>
      <c r="F178" s="372"/>
    </row>
    <row r="179" spans="2:6" ht="12" customHeight="1">
      <c r="B179" s="508">
        <v>18</v>
      </c>
      <c r="C179" s="341" t="str">
        <f>ESTRUCTURAS!C909</f>
        <v>VIGA AMARRE 0.12x0.20, REFUERZO 4 Ø 1/2", 12 FLEJES Ø 3/8"</v>
      </c>
      <c r="D179" s="342" t="str">
        <f>ESTRUCTURAS!G907</f>
        <v>ML</v>
      </c>
      <c r="E179" s="343">
        <f>ESTRUCTURAS!G959</f>
        <v>36200</v>
      </c>
      <c r="F179" s="372"/>
    </row>
    <row r="180" spans="2:6" ht="12" customHeight="1">
      <c r="B180" s="508">
        <v>19</v>
      </c>
      <c r="C180" s="341" t="str">
        <f>ESTRUCTURAS!C962</f>
        <v>VIGA AMARRE 0.12x0.30, REFUERZO 4 Ø 1/2", 12 FLEJES Ø ¼"</v>
      </c>
      <c r="D180" s="342" t="str">
        <f>ESTRUCTURAS!G960</f>
        <v>ML</v>
      </c>
      <c r="E180" s="343">
        <f>ESTRUCTURAS!G1012</f>
        <v>42500</v>
      </c>
      <c r="F180" s="372"/>
    </row>
    <row r="181" spans="2:6" ht="12" customHeight="1">
      <c r="B181" s="508">
        <v>20</v>
      </c>
      <c r="C181" s="341" t="str">
        <f>ESTRUCTURAS!C1015</f>
        <v>VIGA AMARRE 0.20x0.25, REFUERZO 4 Ø 1/2", 12 FLEJES Ø ¼"</v>
      </c>
      <c r="D181" s="342" t="str">
        <f>ESTRUCTURAS!G1013</f>
        <v>ML</v>
      </c>
      <c r="E181" s="343">
        <f>ESTRUCTURAS!G1065</f>
        <v>64100</v>
      </c>
      <c r="F181" s="372"/>
    </row>
    <row r="182" spans="2:6" ht="12" customHeight="1">
      <c r="B182" s="508">
        <v>21</v>
      </c>
      <c r="C182" s="341" t="str">
        <f>ESTRUCTURAS!C1068</f>
        <v>DINTEL EN CONCRETO DE 3000 PSI 0.10 x 0.10 M, CON REFUERZO 2 Ø 3/8" + 6 Ø 1/4"</v>
      </c>
      <c r="D182" s="342" t="str">
        <f>ESTRUCTURAS!G1066</f>
        <v>ML</v>
      </c>
      <c r="E182" s="343">
        <f>ESTRUCTURAS!G1118</f>
        <v>16900</v>
      </c>
      <c r="F182" s="372"/>
    </row>
    <row r="183" spans="2:6" ht="12" customHeight="1">
      <c r="B183" s="508">
        <v>22</v>
      </c>
      <c r="C183" s="341" t="str">
        <f>ESTRUCTURAS!C1121</f>
        <v>DINTEL 0.15 x 0.15, 3000 PSI, 4 Ø 1/2" + 6 Ø 1/4"</v>
      </c>
      <c r="D183" s="342" t="str">
        <f>ESTRUCTURAS!G1119</f>
        <v>ML</v>
      </c>
      <c r="E183" s="343">
        <f>ESTRUCTURAS!G1171</f>
        <v>31300</v>
      </c>
      <c r="F183" s="372"/>
    </row>
    <row r="184" spans="2:6" ht="12.75">
      <c r="B184" s="508">
        <v>23</v>
      </c>
      <c r="C184" s="341" t="str">
        <f>ESTRUCTURAS!C1174</f>
        <v>PLACA MACIZA 2.00 x 3.00, h = 0.08 m, REFUERZO Ø 1/2" c/0.12 m Y Ø 3/8" c/0.15 m, AEREA PARA TANQUES AGUA</v>
      </c>
      <c r="D184" s="342" t="str">
        <f>ESTRUCTURAS!G1172</f>
        <v>ML</v>
      </c>
      <c r="E184" s="343">
        <f>ESTRUCTURAS!G1223</f>
        <v>118300</v>
      </c>
      <c r="F184" s="372"/>
    </row>
    <row r="185" spans="2:6" ht="12" customHeight="1">
      <c r="B185" s="508">
        <v>24</v>
      </c>
      <c r="C185" s="341" t="str">
        <f>ESTRUCTURAS!C1226</f>
        <v>PLACA MACIZA h = 0.08 m, REFUERZO Ø 1/2" c/0.12 m Y Ø 3/8" c/0.15 m</v>
      </c>
      <c r="D185" s="342" t="str">
        <f>ESTRUCTURAS!G1224</f>
        <v>M2</v>
      </c>
      <c r="E185" s="343">
        <f>ESTRUCTURAS!G1275</f>
        <v>72600</v>
      </c>
      <c r="F185" s="372"/>
    </row>
    <row r="186" spans="2:6" ht="12" customHeight="1">
      <c r="B186" s="508">
        <v>25</v>
      </c>
      <c r="C186" s="341" t="str">
        <f>ESTRUCTURAS!C1278</f>
        <v>VIGA AEREA DE 0.10x0.20  EN CONCRETO DE 3000 PSI REFUERZO 4 Ø 1/2", 12 FLEJES Ø 3/8"</v>
      </c>
      <c r="D186" s="342" t="str">
        <f>ESTRUCTURAS!G1276</f>
        <v>ML</v>
      </c>
      <c r="E186" s="343">
        <f>ESTRUCTURAS!G1328</f>
        <v>32300</v>
      </c>
      <c r="F186" s="372"/>
    </row>
    <row r="187" spans="2:6" ht="12" customHeight="1">
      <c r="B187" s="508">
        <v>26</v>
      </c>
      <c r="C187" s="341" t="str">
        <f>ESTRUCTURAS!C1331</f>
        <v xml:space="preserve">MESON DOBLE EN CONCRETO INCLUYE REFUERZO Y ACABADO EN GRANITO PULIDO </v>
      </c>
      <c r="D187" s="342" t="str">
        <f>ESTRUCTURAS!G1329</f>
        <v>ML</v>
      </c>
      <c r="E187" s="343">
        <f>ESTRUCTURAS!G1383</f>
        <v>165000</v>
      </c>
      <c r="F187" s="372"/>
    </row>
    <row r="188" spans="2:6" ht="12" customHeight="1">
      <c r="B188" s="508">
        <v>27</v>
      </c>
      <c r="C188" s="341" t="str">
        <f>ESTRUCTURAS!C1386</f>
        <v>COLUMNETA 0.15x0.15 M, REFUERZO 4 Ø 1/2" y Ø 3/8" 1 C / 0.20 M</v>
      </c>
      <c r="D188" s="342" t="str">
        <f>ESTRUCTURAS!G1384</f>
        <v>ML</v>
      </c>
      <c r="E188" s="343">
        <f>ESTRUCTURAS!G1436</f>
        <v>43200</v>
      </c>
      <c r="F188" s="372"/>
    </row>
    <row r="189" spans="2:6" ht="12" customHeight="1">
      <c r="B189" s="508">
        <v>28</v>
      </c>
      <c r="C189" s="341" t="str">
        <f>ESTRUCTURAS!C1439</f>
        <v>ANDEN EN CONCRETO E=0.10 DE 2500 PSI</v>
      </c>
      <c r="D189" s="342" t="str">
        <f>ESTRUCTURAS!G1437</f>
        <v>M2</v>
      </c>
      <c r="E189" s="343">
        <f>ESTRUCTURAS!G1489</f>
        <v>49700</v>
      </c>
      <c r="F189" s="372"/>
    </row>
    <row r="190" spans="2:6" ht="12" customHeight="1">
      <c r="B190" s="508">
        <v>29</v>
      </c>
      <c r="C190" s="341" t="str">
        <f>ESTRUCTURAS!C1493</f>
        <v>CONSTRUCCION BASE PARA PUERTA DE CORREDERA EN MESON 0.10X0.10 M EN CONCRETO DE 2000 PSI</v>
      </c>
      <c r="D190" s="342" t="str">
        <f>ESTRUCTURAS!G1491</f>
        <v>ML</v>
      </c>
      <c r="E190" s="343">
        <f>ESTRUCTURAS!G1541</f>
        <v>17200</v>
      </c>
      <c r="F190" s="372"/>
    </row>
    <row r="191" spans="2:6" ht="12" customHeight="1">
      <c r="B191" s="508">
        <v>30</v>
      </c>
      <c r="C191" s="341" t="str">
        <f>ESTRUCTURAS!C1544</f>
        <v>VIGA REFORZADA DE CONFINAMIENTO 0,35 X 0,20 METROS</v>
      </c>
      <c r="D191" s="342" t="str">
        <f>ESTRUCTURAS!G1542</f>
        <v>ML</v>
      </c>
      <c r="E191" s="343">
        <f>ESTRUCTURAS!G1588</f>
        <v>91717.556666666671</v>
      </c>
      <c r="F191" s="372"/>
    </row>
    <row r="192" spans="2:6">
      <c r="B192" s="511"/>
      <c r="C192" s="334" t="s">
        <v>1053</v>
      </c>
      <c r="D192" s="335"/>
      <c r="E192" s="336"/>
      <c r="F192" s="372"/>
    </row>
    <row r="193" spans="2:6" ht="12.75">
      <c r="B193" s="508">
        <v>1</v>
      </c>
      <c r="C193" s="341" t="str">
        <f>'INST. SANIT'!C8</f>
        <v>TUBERIA AGUAS LLUVIAS PVC Ø 3"</v>
      </c>
      <c r="D193" s="342" t="str">
        <f>'INST. SANIT'!G6</f>
        <v>ML</v>
      </c>
      <c r="E193" s="343">
        <f>'INST. SANIT'!G58</f>
        <v>15600</v>
      </c>
      <c r="F193" s="372"/>
    </row>
    <row r="194" spans="2:6" ht="12.75">
      <c r="B194" s="508">
        <v>2</v>
      </c>
      <c r="C194" s="341" t="str">
        <f>'INST. SANIT'!C61</f>
        <v>TUBERIA AGUAS LLUVIAS PVC Ø 4"</v>
      </c>
      <c r="D194" s="342" t="str">
        <f>'INST. SANIT'!G59</f>
        <v>ML</v>
      </c>
      <c r="E194" s="343">
        <f>'INST. SANIT'!G111</f>
        <v>21300</v>
      </c>
      <c r="F194" s="372"/>
    </row>
    <row r="195" spans="2:6" ht="12.75">
      <c r="B195" s="508">
        <v>3</v>
      </c>
      <c r="C195" s="341" t="str">
        <f>'INST. SANIT'!C114</f>
        <v>TUBERIA AGUAS NEGRAS PVC Ø 3"</v>
      </c>
      <c r="D195" s="342" t="str">
        <f>'INST. SANIT'!G112</f>
        <v>ML</v>
      </c>
      <c r="E195" s="343">
        <f>'INST. SANIT'!G164</f>
        <v>18300</v>
      </c>
      <c r="F195" s="372"/>
    </row>
    <row r="196" spans="2:6" ht="12.75">
      <c r="B196" s="508">
        <v>4</v>
      </c>
      <c r="C196" s="341" t="str">
        <f>'INST. SANIT'!C167</f>
        <v>SUMINISTRO E INSTALACIÓN RED SANITARIA PVC Ø 4"</v>
      </c>
      <c r="D196" s="342" t="str">
        <f>'INST. SANIT'!G165</f>
        <v>ML</v>
      </c>
      <c r="E196" s="343">
        <f>'INST. SANIT'!G217</f>
        <v>20700</v>
      </c>
      <c r="F196" s="372"/>
    </row>
    <row r="197" spans="2:6" ht="12.75">
      <c r="B197" s="508">
        <v>5</v>
      </c>
      <c r="C197" s="341" t="str">
        <f>'INST. SANIT'!C220</f>
        <v>SUMINISTRO E INSTALACIÓN RED SANITARIA PVC Ø 6"</v>
      </c>
      <c r="D197" s="342" t="str">
        <f>'INST. SANIT'!G218</f>
        <v>ML</v>
      </c>
      <c r="E197" s="343">
        <f>'INST. SANIT'!G270</f>
        <v>40200</v>
      </c>
      <c r="F197" s="372"/>
    </row>
    <row r="198" spans="2:6" ht="12.75">
      <c r="B198" s="508">
        <v>6</v>
      </c>
      <c r="C198" s="341" t="str">
        <f>'INST. SANIT'!C273</f>
        <v>TUBERIA REVENTILACION PVC Ø 2"</v>
      </c>
      <c r="D198" s="342" t="str">
        <f>'INST. SANIT'!G271</f>
        <v>ML</v>
      </c>
      <c r="E198" s="343">
        <f>'INST. SANIT'!G323</f>
        <v>14800</v>
      </c>
      <c r="F198" s="372"/>
    </row>
    <row r="199" spans="2:6" ht="12.75">
      <c r="B199" s="508">
        <v>7</v>
      </c>
      <c r="C199" s="341" t="str">
        <f>'INST. SANIT'!C326</f>
        <v>TUBERIA REVENTILACION PVC Ø 3"</v>
      </c>
      <c r="D199" s="342" t="str">
        <f>'INST. SANIT'!G324</f>
        <v>ML</v>
      </c>
      <c r="E199" s="343">
        <f>'INST. SANIT'!G376</f>
        <v>15400</v>
      </c>
      <c r="F199" s="372"/>
    </row>
    <row r="200" spans="2:6" ht="12.75">
      <c r="B200" s="508">
        <v>8</v>
      </c>
      <c r="C200" s="341" t="str">
        <f>'INST. SANIT'!C379</f>
        <v>PUNTO SANITARIO PVC Ø 3" : Ø 4"</v>
      </c>
      <c r="D200" s="342" t="str">
        <f>'INST. SANIT'!G377</f>
        <v>UN</v>
      </c>
      <c r="E200" s="343">
        <f>'INST. SANIT'!G429</f>
        <v>55900</v>
      </c>
      <c r="F200" s="372"/>
    </row>
    <row r="201" spans="2:6" ht="12.75">
      <c r="B201" s="508">
        <v>9</v>
      </c>
      <c r="C201" s="341" t="str">
        <f>'INST. SANIT'!C432</f>
        <v>CONSTRUCCIÓN PUNTO SANITARIO PVC Ø 3" (SIFON)</v>
      </c>
      <c r="D201" s="342" t="str">
        <f>'INST. SANIT'!G430</f>
        <v>UN</v>
      </c>
      <c r="E201" s="343">
        <f>'INST. SANIT'!G482</f>
        <v>48300</v>
      </c>
      <c r="F201" s="372"/>
    </row>
    <row r="202" spans="2:6" ht="12.75">
      <c r="B202" s="508">
        <v>10</v>
      </c>
      <c r="C202" s="341" t="str">
        <f>'INST. SANIT'!C485</f>
        <v>CONSTRUCCIÓN PUNTO SANITARIO PVC Ø 4"</v>
      </c>
      <c r="D202" s="342" t="str">
        <f>'INST. SANIT'!G483</f>
        <v>UN</v>
      </c>
      <c r="E202" s="343">
        <f>'INST. SANIT'!G535</f>
        <v>49900</v>
      </c>
      <c r="F202" s="372"/>
    </row>
    <row r="203" spans="2:6" ht="12.75">
      <c r="B203" s="508">
        <v>11</v>
      </c>
      <c r="C203" s="341" t="str">
        <f>'INST. SANIT'!C538</f>
        <v xml:space="preserve">CONSTRUCCIÓN PUNTO SANITARIO PVC Ø 2" </v>
      </c>
      <c r="D203" s="342" t="str">
        <f>'INST. SANIT'!G536</f>
        <v>UN</v>
      </c>
      <c r="E203" s="343">
        <f>'INST. SANIT'!G588</f>
        <v>42000</v>
      </c>
      <c r="F203" s="372"/>
    </row>
    <row r="204" spans="2:6" ht="12.75">
      <c r="B204" s="508">
        <v>12</v>
      </c>
      <c r="C204" s="341" t="str">
        <f>'INST. SANIT'!C591</f>
        <v>SUMINISTRO E INSTALACIÓN DE RED SANITARIA PVC Ø 2"</v>
      </c>
      <c r="D204" s="342" t="str">
        <f>'INST. SANIT'!G589</f>
        <v>ML</v>
      </c>
      <c r="E204" s="343">
        <f>'INST. SANIT'!G641</f>
        <v>20900</v>
      </c>
      <c r="F204" s="372"/>
    </row>
    <row r="205" spans="2:6" ht="12.75">
      <c r="B205" s="508">
        <v>13</v>
      </c>
      <c r="C205" s="341" t="str">
        <f>'INST. SANIT'!C644</f>
        <v>SUMINISTRO E INSTALACION REJILLA PISO</v>
      </c>
      <c r="D205" s="342" t="str">
        <f>'INST. SANIT'!G642</f>
        <v>ML</v>
      </c>
      <c r="E205" s="343">
        <f>'INST. SANIT'!G694</f>
        <v>8400</v>
      </c>
      <c r="F205" s="372"/>
    </row>
    <row r="206" spans="2:6" ht="12.75">
      <c r="B206" s="508">
        <v>14</v>
      </c>
      <c r="C206" s="341" t="str">
        <f>'INST. SANIT'!C697:G697</f>
        <v>CONSTRUCCION DE SUBDRÉN EN TUBERIA PVC 4" PERFORADA</v>
      </c>
      <c r="D206" s="342" t="str">
        <f>'INST. SANIT'!G695</f>
        <v>ML</v>
      </c>
      <c r="E206" s="343">
        <f>'INST. SANIT'!G743</f>
        <v>101087</v>
      </c>
      <c r="F206" s="372"/>
    </row>
    <row r="207" spans="2:6">
      <c r="B207" s="511"/>
      <c r="C207" s="334" t="s">
        <v>443</v>
      </c>
      <c r="D207" s="335"/>
      <c r="E207" s="337"/>
      <c r="F207" s="372"/>
    </row>
    <row r="208" spans="2:6" ht="12.75">
      <c r="B208" s="508">
        <v>1</v>
      </c>
      <c r="C208" s="341" t="str">
        <f>'INST. HIDR.'!C8</f>
        <v>ACOMETIDA PVC Ø ½", L = 5.0 M, Incluye contador, matricula y accesorios. ESTRATO 1</v>
      </c>
      <c r="D208" s="342" t="str">
        <f>'INST. HIDR.'!G6</f>
        <v>UND</v>
      </c>
      <c r="E208" s="343">
        <f>'INST. HIDR.'!G58</f>
        <v>191700</v>
      </c>
      <c r="F208" s="372"/>
    </row>
    <row r="209" spans="2:6" ht="12.75">
      <c r="B209" s="508">
        <v>2</v>
      </c>
      <c r="C209" s="341" t="str">
        <f>'INST. HIDR.'!C61</f>
        <v>ACOMETIDA PVC Ø ½", L = 5.0 M, Incluye contador, matricula y accesorios. ESTRATO 2</v>
      </c>
      <c r="D209" s="342" t="str">
        <f>'INST. HIDR.'!G59</f>
        <v>UND</v>
      </c>
      <c r="E209" s="343">
        <f>'INST. HIDR.'!G111</f>
        <v>243600</v>
      </c>
      <c r="F209" s="372"/>
    </row>
    <row r="210" spans="2:6" ht="12.75">
      <c r="B210" s="508">
        <v>3</v>
      </c>
      <c r="C210" s="341" t="str">
        <f>'INST. HIDR.'!C114</f>
        <v>ACOMETIDA PVC Ø ½", L = 5.0 M, Incluye contador, matricula y accesorios. ESTRATO 3</v>
      </c>
      <c r="D210" s="342" t="str">
        <f>'INST. HIDR.'!G112</f>
        <v>UND</v>
      </c>
      <c r="E210" s="343">
        <f>'INST. HIDR.'!G164</f>
        <v>321800</v>
      </c>
      <c r="F210" s="372"/>
    </row>
    <row r="211" spans="2:6" ht="12.75">
      <c r="B211" s="508">
        <v>4</v>
      </c>
      <c r="C211" s="341" t="str">
        <f>'INST. HIDR.'!C167</f>
        <v>ACOMETIDA PVC Ø ½", L = 5.0 M, Incluye contador, matricula y accesorios. ESTRATO 4</v>
      </c>
      <c r="D211" s="342" t="str">
        <f>'INST. HIDR.'!G165</f>
        <v>UND</v>
      </c>
      <c r="E211" s="343">
        <f>'INST. HIDR.'!G217</f>
        <v>387000</v>
      </c>
      <c r="F211" s="372"/>
    </row>
    <row r="212" spans="2:6" ht="12.75">
      <c r="B212" s="508">
        <v>5</v>
      </c>
      <c r="C212" s="341" t="str">
        <f>'INST. HIDR.'!C220</f>
        <v>ACOMETIDA PVC Ø 3/4", L = 5.0 M, Incluye contador, matricula y accesorios. ESTRATO 1</v>
      </c>
      <c r="D212" s="342" t="str">
        <f>'INST. HIDR.'!G218</f>
        <v>UND</v>
      </c>
      <c r="E212" s="343">
        <f>'INST. HIDR.'!G270</f>
        <v>350900</v>
      </c>
      <c r="F212" s="372"/>
    </row>
    <row r="213" spans="2:6" ht="12.75">
      <c r="B213" s="508">
        <v>6</v>
      </c>
      <c r="C213" s="341" t="str">
        <f>'INST. HIDR.'!C273</f>
        <v>ACOMETIDA PVC Ø 3/4", L = 5.0 M, Incluye contador, matricula y accesorios. ESTRATO 2</v>
      </c>
      <c r="D213" s="342" t="str">
        <f>'INST. HIDR.'!G271</f>
        <v>UND</v>
      </c>
      <c r="E213" s="343">
        <f>'INST. HIDR.'!G323</f>
        <v>402900</v>
      </c>
      <c r="F213" s="372"/>
    </row>
    <row r="214" spans="2:6" ht="12.75">
      <c r="B214" s="508">
        <v>7</v>
      </c>
      <c r="C214" s="341" t="str">
        <f>'INST. HIDR.'!C326</f>
        <v>ACOMETIDA PVC Ø 3/4", L = 5.0 M, Incluye contador, matricula y accesorios. ESTRATO 3</v>
      </c>
      <c r="D214" s="342" t="str">
        <f>'INST. HIDR.'!G324</f>
        <v>UND</v>
      </c>
      <c r="E214" s="343">
        <f>'INST. HIDR.'!G376</f>
        <v>481000</v>
      </c>
      <c r="F214" s="372"/>
    </row>
    <row r="215" spans="2:6" ht="12.75">
      <c r="B215" s="508">
        <v>8</v>
      </c>
      <c r="C215" s="341" t="str">
        <f>'INST. HIDR.'!C379</f>
        <v>ACOMETIDA PVC Ø 3/4", L = 5.0 M, Incluye contador, matricula y accesorios. ESTRATO 4</v>
      </c>
      <c r="D215" s="342" t="str">
        <f>'INST. HIDR.'!G377</f>
        <v>UND</v>
      </c>
      <c r="E215" s="343">
        <f>'INST. HIDR.'!G429</f>
        <v>546200</v>
      </c>
      <c r="F215" s="372"/>
    </row>
    <row r="216" spans="2:6" ht="12" customHeight="1">
      <c r="B216" s="508">
        <v>9</v>
      </c>
      <c r="C216" s="341" t="str">
        <f>'INST. HIDR.'!C432</f>
        <v>CONEXIÓN TANQUE ELEVADO PVC</v>
      </c>
      <c r="D216" s="342" t="str">
        <f>'INST. HIDR.'!G430</f>
        <v>UND</v>
      </c>
      <c r="E216" s="343">
        <f>'INST. HIDR.'!G482</f>
        <v>254500</v>
      </c>
      <c r="F216" s="372"/>
    </row>
    <row r="217" spans="2:6" ht="12" customHeight="1">
      <c r="B217" s="508">
        <v>10</v>
      </c>
      <c r="C217" s="341" t="str">
        <f>'INST. HIDR.'!C485</f>
        <v>SUMINISTRO E INSTALACION TANQUE ELEVADO AC 250 LTS</v>
      </c>
      <c r="D217" s="342" t="str">
        <f>'INST. HIDR.'!G483</f>
        <v>UND</v>
      </c>
      <c r="E217" s="343">
        <f>'INST. HIDR.'!G535</f>
        <v>329400</v>
      </c>
      <c r="F217" s="372"/>
    </row>
    <row r="218" spans="2:6" ht="12" customHeight="1">
      <c r="B218" s="508">
        <v>11</v>
      </c>
      <c r="C218" s="341" t="str">
        <f>'INST. HIDR.'!C538</f>
        <v>SUMINISTRO E INSTALACION TANQUE ELEVADO AC 500 LTS</v>
      </c>
      <c r="D218" s="342" t="str">
        <f>'INST. HIDR.'!G536</f>
        <v>UND</v>
      </c>
      <c r="E218" s="343">
        <f>'INST. HIDR.'!G588</f>
        <v>363100</v>
      </c>
      <c r="F218" s="372"/>
    </row>
    <row r="219" spans="2:6" ht="12" customHeight="1">
      <c r="B219" s="508">
        <v>12</v>
      </c>
      <c r="C219" s="341" t="str">
        <f>'INST. HIDR.'!C591</f>
        <v>SUMINISTRO E INSTALACION TANQUE ELEVADO AC DE  1000 LTS</v>
      </c>
      <c r="D219" s="342" t="str">
        <f>'INST. HIDR.'!G589</f>
        <v>UND</v>
      </c>
      <c r="E219" s="343">
        <f>'INST. HIDR.'!G641</f>
        <v>490400</v>
      </c>
      <c r="F219" s="372"/>
    </row>
    <row r="220" spans="2:6" ht="12" customHeight="1">
      <c r="B220" s="508">
        <v>13</v>
      </c>
      <c r="C220" s="341" t="str">
        <f>'INST. HIDR.'!C644</f>
        <v>SUMINISTRO E INSTALACION TANQUE ELEVADO PLASTICO 250 LTS</v>
      </c>
      <c r="D220" s="342" t="str">
        <f>'INST. HIDR.'!G642</f>
        <v>UND</v>
      </c>
      <c r="E220" s="343">
        <f>'INST. HIDR.'!G694</f>
        <v>331400</v>
      </c>
      <c r="F220" s="372"/>
    </row>
    <row r="221" spans="2:6" ht="12" customHeight="1">
      <c r="B221" s="508">
        <v>14</v>
      </c>
      <c r="C221" s="341" t="str">
        <f>'INST. HIDR.'!C697</f>
        <v>SUMINISTRO E INSTALACION TANQUE ELEVADO PLASTICO 500 LTS</v>
      </c>
      <c r="D221" s="342" t="str">
        <f>'INST. HIDR.'!G695</f>
        <v>UND</v>
      </c>
      <c r="E221" s="343">
        <f>'INST. HIDR.'!G747</f>
        <v>353200</v>
      </c>
      <c r="F221" s="372"/>
    </row>
    <row r="222" spans="2:6" ht="12" customHeight="1">
      <c r="B222" s="508">
        <v>15</v>
      </c>
      <c r="C222" s="341" t="str">
        <f>'INST. HIDR.'!C750</f>
        <v>SUMINISTRO E INSTALACION TANQUE ELEVADO PLASTICO 1000 LTS</v>
      </c>
      <c r="D222" s="342" t="str">
        <f>'INST. HIDR.'!G748</f>
        <v>UND</v>
      </c>
      <c r="E222" s="343">
        <f>'INST. HIDR.'!G800</f>
        <v>489100</v>
      </c>
      <c r="F222" s="372"/>
    </row>
    <row r="223" spans="2:6" ht="12" customHeight="1">
      <c r="B223" s="508">
        <v>16</v>
      </c>
      <c r="C223" s="341" t="str">
        <f>'INST. HIDR.'!C803</f>
        <v>CONSTRUCCIÓN PUNTO HIDRÁULICO EN PVC</v>
      </c>
      <c r="D223" s="342" t="str">
        <f>'INST. HIDR.'!G801</f>
        <v>UND</v>
      </c>
      <c r="E223" s="343">
        <f>'INST. HIDR.'!G852</f>
        <v>31500</v>
      </c>
      <c r="F223" s="372"/>
    </row>
    <row r="224" spans="2:6" ht="12" customHeight="1">
      <c r="B224" s="508">
        <v>17</v>
      </c>
      <c r="C224" s="341" t="str">
        <f>'INST. HIDR.'!C855</f>
        <v>PUNTO PVC AGUA Ø 1/2", DUCHA</v>
      </c>
      <c r="D224" s="342" t="str">
        <f>'INST. HIDR.'!G853</f>
        <v>UND</v>
      </c>
      <c r="E224" s="343">
        <f>'INST. HIDR.'!G905</f>
        <v>35700</v>
      </c>
      <c r="F224" s="372"/>
    </row>
    <row r="225" spans="2:6" ht="12" customHeight="1">
      <c r="B225" s="508">
        <v>18</v>
      </c>
      <c r="C225" s="341" t="str">
        <f>'INST. HIDR.'!C908</f>
        <v>PUNTO PVC AGUA Ø 1/2", LAVAMANOS</v>
      </c>
      <c r="D225" s="342" t="str">
        <f>'INST. HIDR.'!G906</f>
        <v>UND</v>
      </c>
      <c r="E225" s="343">
        <f>'INST. HIDR.'!G958</f>
        <v>39600</v>
      </c>
      <c r="F225" s="372"/>
    </row>
    <row r="226" spans="2:6" ht="12" customHeight="1">
      <c r="B226" s="508">
        <v>19</v>
      </c>
      <c r="C226" s="341" t="str">
        <f>'INST. HIDR.'!C961</f>
        <v>PUNTO PVC AGUA Ø 1/2", SANITARIO</v>
      </c>
      <c r="D226" s="342" t="str">
        <f>'INST. HIDR.'!G959</f>
        <v>UND</v>
      </c>
      <c r="E226" s="343">
        <f>'INST. HIDR.'!G1011</f>
        <v>48700</v>
      </c>
      <c r="F226" s="372"/>
    </row>
    <row r="227" spans="2:6" ht="12" customHeight="1">
      <c r="B227" s="508">
        <v>20</v>
      </c>
      <c r="C227" s="341" t="str">
        <f>'INST. HIDR.'!C1014</f>
        <v>SUMINISTRO E INSTALACIÓN RED HIDRAULICA EN PVC Ø 1/2"</v>
      </c>
      <c r="D227" s="342" t="str">
        <f>'INST. HIDR.'!G1012</f>
        <v>ML</v>
      </c>
      <c r="E227" s="343">
        <f>'INST. HIDR.'!G1064</f>
        <v>12400</v>
      </c>
      <c r="F227" s="372"/>
    </row>
    <row r="228" spans="2:6" ht="12" customHeight="1">
      <c r="B228" s="508">
        <v>21</v>
      </c>
      <c r="C228" s="341" t="str">
        <f>'INST. HIDR.'!C1067</f>
        <v>SUMINISTRO E INSTALACIÓN RED HIDRAULICA EN  PVC Ø 3/4"</v>
      </c>
      <c r="D228" s="342" t="str">
        <f>'INST. HIDR.'!G1065</f>
        <v>ML</v>
      </c>
      <c r="E228" s="343">
        <f>'INST. HIDR.'!G1117</f>
        <v>12900</v>
      </c>
      <c r="F228" s="372"/>
    </row>
    <row r="229" spans="2:6" ht="12" customHeight="1">
      <c r="B229" s="508">
        <v>22</v>
      </c>
      <c r="C229" s="341" t="str">
        <f>'INST. HIDR.'!C1120</f>
        <v>SUMINISTRO E INSTALACIÓN RED HIDRAULICA EN  PVC Ø 1"</v>
      </c>
      <c r="D229" s="342" t="str">
        <f>'INST. HIDR.'!G1118</f>
        <v>ML</v>
      </c>
      <c r="E229" s="343">
        <f>'INST. HIDR.'!G1170</f>
        <v>15400</v>
      </c>
      <c r="F229" s="372"/>
    </row>
    <row r="230" spans="2:6" ht="12" customHeight="1">
      <c r="B230" s="508">
        <v>23</v>
      </c>
      <c r="C230" s="341" t="str">
        <f>'INST. HIDR.'!C1173</f>
        <v>SUMINISTRO E INSTALACIÓN RED HIDRAULICA EN PVC Ø 11/2"</v>
      </c>
      <c r="D230" s="342" t="str">
        <f>'INST. HIDR.'!G1171</f>
        <v>ML</v>
      </c>
      <c r="E230" s="343">
        <f>'INST. HIDR.'!G1223</f>
        <v>20100</v>
      </c>
      <c r="F230" s="372"/>
    </row>
    <row r="231" spans="2:6" ht="12" customHeight="1">
      <c r="B231" s="508">
        <v>24</v>
      </c>
      <c r="C231" s="341" t="str">
        <f>'INST. HIDR.'!C1226</f>
        <v>RED SUMINISTRO PVC Ø 2"</v>
      </c>
      <c r="D231" s="342" t="str">
        <f>'INST. HIDR.'!G1224</f>
        <v>ML</v>
      </c>
      <c r="E231" s="343">
        <f>'INST. HIDR.'!G1276</f>
        <v>21500</v>
      </c>
      <c r="F231" s="372"/>
    </row>
    <row r="232" spans="2:6" ht="12" customHeight="1">
      <c r="B232" s="508">
        <v>25</v>
      </c>
      <c r="C232" s="341" t="str">
        <f>'INST. HIDR.'!C1280</f>
        <v>SUMINISTRO E INSTALACIÒN LLAVE CROMADA DE 1/2"</v>
      </c>
      <c r="D232" s="342" t="str">
        <f>'INST. HIDR.'!G1278</f>
        <v>UND</v>
      </c>
      <c r="E232" s="343">
        <f>'INST. HIDR.'!G1330</f>
        <v>26900</v>
      </c>
      <c r="F232" s="372"/>
    </row>
    <row r="233" spans="2:6" ht="12" customHeight="1">
      <c r="B233" s="508">
        <v>26</v>
      </c>
      <c r="C233" s="341" t="str">
        <f>'INST. HIDR.'!C1334</f>
        <v>SUMINISTRO E INSTALACIÒN LLAVE DE REGISTRO DE 3/4"</v>
      </c>
      <c r="D233" s="342" t="str">
        <f>'INST. HIDR.'!G1332</f>
        <v>UND</v>
      </c>
      <c r="E233" s="343">
        <f>'INST. HIDR.'!G1384</f>
        <v>39400</v>
      </c>
      <c r="F233" s="372"/>
    </row>
    <row r="234" spans="2:6">
      <c r="B234" s="511"/>
      <c r="C234" s="334" t="s">
        <v>464</v>
      </c>
      <c r="D234" s="335"/>
      <c r="E234" s="336"/>
      <c r="F234" s="372"/>
    </row>
    <row r="235" spans="2:6" ht="22.5">
      <c r="B235" s="509">
        <v>1</v>
      </c>
      <c r="C235" s="341" t="str">
        <f>'INST. ELECT'!C8</f>
        <v>ACOMETIDA ELECTRICA GENERAL (Incluye acometida electrica subterranea en tuberia PVC tipo pesado, conductor No. 2 e interruptor de corte Incluye unificación de medida y polo a tierra para protección)</v>
      </c>
      <c r="D235" s="342" t="str">
        <f>'INST. ELECT'!G6</f>
        <v>GLB</v>
      </c>
      <c r="E235" s="343">
        <f>'INST. ELECT'!G58</f>
        <v>2537800</v>
      </c>
      <c r="F235" s="372"/>
    </row>
    <row r="236" spans="2:6" ht="22.5">
      <c r="B236" s="509">
        <v>2</v>
      </c>
      <c r="C236" s="341" t="str">
        <f>'INST. ELECT'!C61</f>
        <v>SUMINISTRO E INSTALACION TABLERO DE CONTADOR Y TOTALIZADORES (Caja de barrajes con elemento de corte y accesorios con polo a tierra para protección)</v>
      </c>
      <c r="D236" s="342" t="str">
        <f>'INST. ELECT'!G59</f>
        <v>GLB</v>
      </c>
      <c r="E236" s="343">
        <f>'INST. ELECT'!G111</f>
        <v>2155300</v>
      </c>
      <c r="F236" s="372"/>
    </row>
    <row r="237" spans="2:6" ht="12.75">
      <c r="B237" s="509">
        <v>3</v>
      </c>
      <c r="C237" s="341" t="str">
        <f>'INST. ELECT'!C114</f>
        <v>SUB-ACOMETIDA PARA TABLEROS DE DISTRIBUCIÒN (Incluye Sub-acometida trifasica en conductor No. 6 )</v>
      </c>
      <c r="D237" s="342" t="str">
        <f>'INST. ELECT'!G112</f>
        <v>UND</v>
      </c>
      <c r="E237" s="343">
        <f>'INST. ELECT'!G164</f>
        <v>314300</v>
      </c>
      <c r="F237" s="372"/>
    </row>
    <row r="238" spans="2:6" ht="22.5">
      <c r="B238" s="509">
        <v>4</v>
      </c>
      <c r="C238" s="341" t="str">
        <f>'INST. ELECT'!C167</f>
        <v>SUMINISTRO E INSTALACIÒN TABLERO DE DISTRIBUCIÒN TRIFASICO (Caja de interruptores tipo LUMINEX con 3 barrajes y de 24 elementos de protecciòn y polo a tierra con preparación química)</v>
      </c>
      <c r="D238" s="342" t="str">
        <f>'INST. ELECT'!G165</f>
        <v>UND</v>
      </c>
      <c r="E238" s="343">
        <f>'INST. ELECT'!G217</f>
        <v>311800</v>
      </c>
      <c r="F238" s="372"/>
    </row>
    <row r="239" spans="2:6" ht="22.5">
      <c r="B239" s="509">
        <v>5</v>
      </c>
      <c r="C239" s="341" t="str">
        <f>'INST. ELECT'!C220</f>
        <v>SUMINISTRO E INSTALACIÒN TABLERO DE DISTRIBUCIÒN TRIFASICO (Caja de interruptores tipo LUMINEX con 3 barrajes y de 18 elementos de protecciòn)</v>
      </c>
      <c r="D239" s="342" t="str">
        <f>'INST. ELECT'!G218</f>
        <v>UND</v>
      </c>
      <c r="E239" s="343">
        <f>'INST. ELECT'!G270</f>
        <v>315800</v>
      </c>
      <c r="F239" s="372"/>
    </row>
    <row r="240" spans="2:6" ht="12.75">
      <c r="B240" s="509">
        <v>6</v>
      </c>
      <c r="C240" s="341" t="str">
        <f>'INST. ELECT'!C273</f>
        <v>CONSTRUCCION PUNTO ELECTRICO ESPECIAL (110 V - 220 V)</v>
      </c>
      <c r="D240" s="342" t="str">
        <f>'INST. ELECT'!G271</f>
        <v>UND</v>
      </c>
      <c r="E240" s="343">
        <f>'INST. ELECT'!G323</f>
        <v>65900</v>
      </c>
      <c r="F240" s="372"/>
    </row>
    <row r="241" spans="2:6" ht="12.75">
      <c r="B241" s="509">
        <v>7</v>
      </c>
      <c r="C241" s="341" t="str">
        <f>'INST. ELECT'!C326</f>
        <v>CONSTRUCCION PUNTO ELECTRICO (110-220 v)</v>
      </c>
      <c r="D241" s="342" t="str">
        <f>'INST. ELECT'!G324</f>
        <v>UND</v>
      </c>
      <c r="E241" s="343">
        <f>'INST. ELECT'!G376</f>
        <v>58000</v>
      </c>
      <c r="F241" s="372"/>
    </row>
    <row r="242" spans="2:6" ht="12.75">
      <c r="B242" s="509">
        <v>8</v>
      </c>
      <c r="C242" s="341" t="str">
        <f>'INST. ELECT'!C379</f>
        <v>CONSTRUCCION PUNTO ESPECIAL TRIFASICO</v>
      </c>
      <c r="D242" s="342" t="str">
        <f>'INST. ELECT'!G377</f>
        <v>UND</v>
      </c>
      <c r="E242" s="343">
        <f>'INST. ELECT'!G429</f>
        <v>66400</v>
      </c>
      <c r="F242" s="372"/>
    </row>
    <row r="243" spans="2:6" ht="12.75">
      <c r="B243" s="509">
        <v>9</v>
      </c>
      <c r="C243" s="341" t="str">
        <f>'INST. ELECT'!C432</f>
        <v>ACOMETIDA PARCIAL MONOFASICA (110 VOLTIOS) Ø 1 1/4", 1N° 10+1N° 10</v>
      </c>
      <c r="D243" s="342" t="str">
        <f>'INST. ELECT'!G430</f>
        <v>ML</v>
      </c>
      <c r="E243" s="343">
        <f>'INST. ELECT'!G482</f>
        <v>17400</v>
      </c>
      <c r="F243" s="372"/>
    </row>
    <row r="244" spans="2:6" ht="22.5">
      <c r="B244" s="509">
        <v>10</v>
      </c>
      <c r="C244" s="341" t="str">
        <f>'INST. ELECT'!C485</f>
        <v>ACOMETIDA BIFASICA TRIFILAR (220/110 VOLTIOS) AEREA PVC, INCLUYE CONECTORES BIMETALICOS, 2 # 8 + 1 # 10, LONG. 15.00 M.</v>
      </c>
      <c r="D244" s="342" t="str">
        <f>'INST. ELECT'!G483</f>
        <v>UND</v>
      </c>
      <c r="E244" s="343">
        <f>'INST. ELECT'!G534</f>
        <v>236200</v>
      </c>
      <c r="F244" s="372"/>
    </row>
    <row r="245" spans="2:6" ht="22.5">
      <c r="B245" s="509">
        <v>11</v>
      </c>
      <c r="C245" s="341" t="str">
        <f>'INST. ELECT'!C537</f>
        <v>SUMINISTRO, INSTALACION Y CONEXIÓN DE CONTADOR TRIFASICO 20/30 AMP.Incluye caja, matricula y protección de 3x75 AMP.</v>
      </c>
      <c r="D245" s="342" t="str">
        <f>'INST. ELECT'!G535</f>
        <v>UND</v>
      </c>
      <c r="E245" s="343">
        <f>'INST. ELECT'!G586</f>
        <v>546800</v>
      </c>
      <c r="F245" s="372"/>
    </row>
    <row r="246" spans="2:6" ht="22.5">
      <c r="B246" s="509">
        <v>12</v>
      </c>
      <c r="C246" s="341" t="str">
        <f>'INST. ELECT'!C589</f>
        <v>SUMINISTRO, INSTALACION Y CONEXIÓN DE CONTADOR BIFASICO TRIFILAR 15/20 AMP. Incluye caja, matricula y protección de 2x50 AMP.</v>
      </c>
      <c r="D246" s="342" t="str">
        <f>'INST. ELECT'!G587</f>
        <v>UND</v>
      </c>
      <c r="E246" s="343">
        <f>'INST. ELECT'!G638</f>
        <v>419700</v>
      </c>
      <c r="F246" s="372"/>
    </row>
    <row r="247" spans="2:6" ht="22.5">
      <c r="B247" s="509">
        <v>13</v>
      </c>
      <c r="C247" s="341" t="str">
        <f>'INST. ELECT'!C641</f>
        <v>SUMINISTRO, INSTALACION Y CONEXIÓN DE CONTADOR MONOFASICO TRIFILAR 10/15 AMP. Incluye caja, matricula y protección de 1x30 AMP.</v>
      </c>
      <c r="D247" s="342" t="str">
        <f>'INST. ELECT'!G639</f>
        <v>UND</v>
      </c>
      <c r="E247" s="343">
        <f>'INST. ELECT'!G690</f>
        <v>254900</v>
      </c>
      <c r="F247" s="372"/>
    </row>
    <row r="248" spans="2:6" ht="22.5">
      <c r="B248" s="509">
        <v>14</v>
      </c>
      <c r="C248" s="341" t="str">
        <f>'INST. ELECT'!C693</f>
        <v>SUMINISTRO, INSTALACION LINEA A TIERRA, Incluye varilla Coperwell de 1.80 M, alambre Nº 14 desnudo y ducto PVC tipo pesado Ø ¾"</v>
      </c>
      <c r="D248" s="342" t="str">
        <f>'INST. ELECT'!G691</f>
        <v>UND</v>
      </c>
      <c r="E248" s="343">
        <f>'INST. ELECT'!G742</f>
        <v>46100</v>
      </c>
      <c r="F248" s="372"/>
    </row>
    <row r="249" spans="2:6" ht="22.5">
      <c r="B249" s="509">
        <v>15</v>
      </c>
      <c r="C249" s="341" t="str">
        <f>'INST. ELECT'!C745</f>
        <v>SUMINISTRO, INSTALACION LINEA A TIERRA, Incluye varilla Coperwell de 2.40 M, alambre Nº 14 desnudo y ducto PVC tipo pesado Ø ¾"</v>
      </c>
      <c r="D249" s="342" t="str">
        <f>'INST. ELECT'!G743</f>
        <v>UND</v>
      </c>
      <c r="E249" s="343">
        <f>'INST. ELECT'!G794</f>
        <v>53100</v>
      </c>
      <c r="F249" s="372"/>
    </row>
    <row r="250" spans="2:6" ht="12.75">
      <c r="B250" s="509">
        <v>16</v>
      </c>
      <c r="C250" s="341" t="str">
        <f>'INST. ELECT'!C797</f>
        <v>SUMINISTRO, INSTALACION TABLERO DE 4 CIRCUITOS MONOFASICO, Incluye 4 tacos de 20 AMP.</v>
      </c>
      <c r="D250" s="342" t="str">
        <f>'INST. ELECT'!G795</f>
        <v>UND</v>
      </c>
      <c r="E250" s="343">
        <f>'INST. ELECT'!G846</f>
        <v>109500</v>
      </c>
      <c r="F250" s="372"/>
    </row>
    <row r="251" spans="2:6" ht="12.75">
      <c r="B251" s="509">
        <v>17</v>
      </c>
      <c r="C251" s="341" t="str">
        <f>'INST. ELECT'!C849</f>
        <v>SUMINISTRO, INSTALACION TABLERO DE 6 CIRCUITOS TRIFILAR, Incluye 6 tacos de 20 AMP.</v>
      </c>
      <c r="D251" s="342" t="str">
        <f>'INST. ELECT'!G847</f>
        <v>UND</v>
      </c>
      <c r="E251" s="343">
        <f>'INST. ELECT'!G899</f>
        <v>165000</v>
      </c>
      <c r="F251" s="372"/>
    </row>
    <row r="252" spans="2:6" ht="12.75">
      <c r="B252" s="509">
        <v>18</v>
      </c>
      <c r="C252" s="341" t="str">
        <f>'INST. ELECT'!C902</f>
        <v>SUMINISTRO, INSTALACION TABLERO DE 6 CIRCUITOS TRIFASICO, Incluye 6 tacos de 20 AMP.</v>
      </c>
      <c r="D252" s="342" t="str">
        <f>'INST. ELECT'!G900</f>
        <v>UND</v>
      </c>
      <c r="E252" s="343">
        <f>'INST. ELECT'!G952</f>
        <v>195700</v>
      </c>
      <c r="F252" s="372"/>
    </row>
    <row r="253" spans="2:6" ht="12.75">
      <c r="B253" s="509">
        <v>19</v>
      </c>
      <c r="C253" s="341" t="str">
        <f>'INST. ELECT'!C955</f>
        <v>SUMINISTRO, INSTALACION TABLERO DE 12 CIRCUITOS TRIFILAR, Incluye 12 tacos de 20 AMP.</v>
      </c>
      <c r="D253" s="342" t="str">
        <f>'INST. ELECT'!G953</f>
        <v>UND</v>
      </c>
      <c r="E253" s="343">
        <f>'INST. ELECT'!G1004</f>
        <v>315100</v>
      </c>
      <c r="F253" s="372"/>
    </row>
    <row r="254" spans="2:6" ht="12.75">
      <c r="B254" s="509">
        <v>20</v>
      </c>
      <c r="C254" s="341" t="str">
        <f>'INST. ELECT'!C1007</f>
        <v>SUMINISTRO, INSTALACION TABLERO DE 12 CIRCUITOS TRIFASICO, Incluye 12 tacos de 20 AMP.</v>
      </c>
      <c r="D254" s="342" t="str">
        <f>'INST. ELECT'!G1005</f>
        <v>UND</v>
      </c>
      <c r="E254" s="343">
        <f>'INST. ELECT'!G1056</f>
        <v>419700</v>
      </c>
      <c r="F254" s="372"/>
    </row>
    <row r="255" spans="2:6" ht="12.75">
      <c r="B255" s="509">
        <v>21</v>
      </c>
      <c r="C255" s="341" t="str">
        <f>'INST. ELECT'!C1059</f>
        <v>SUMINISTRO, INSTALACION TABLERO DE 18 CIRCUITOS TRIFILAR, Incluye 18 tacos de 20 AMP.</v>
      </c>
      <c r="D255" s="342" t="str">
        <f>'INST. ELECT'!G1057</f>
        <v>UND</v>
      </c>
      <c r="E255" s="343">
        <f>'INST. ELECT'!G1108</f>
        <v>453900</v>
      </c>
      <c r="F255" s="372"/>
    </row>
    <row r="256" spans="2:6" ht="12.75">
      <c r="B256" s="509">
        <v>22</v>
      </c>
      <c r="C256" s="341" t="str">
        <f>'INST. ELECT'!C1111</f>
        <v>SUMINISTRO, INSTALACION TABLERO DE 18 CIRCUITOS TRIFASICO, Incluye 18 tacos de 20 AMP.</v>
      </c>
      <c r="D256" s="342" t="str">
        <f>'INST. ELECT'!G1109</f>
        <v>UND</v>
      </c>
      <c r="E256" s="343">
        <f>'INST. ELECT'!G1160</f>
        <v>536100</v>
      </c>
      <c r="F256" s="372"/>
    </row>
    <row r="257" spans="2:6" ht="12.75">
      <c r="B257" s="509">
        <v>23</v>
      </c>
      <c r="C257" s="341" t="str">
        <f>'INST. ELECT'!C1163</f>
        <v>SUMINISTRO, INSTALACION TABLERO DE 24 CIRCUITOS TRIFASICO, Incluye 18 tacos de 20 AMP.</v>
      </c>
      <c r="D257" s="342" t="str">
        <f>'INST. ELECT'!G1161</f>
        <v>UND</v>
      </c>
      <c r="E257" s="343">
        <f>'INST. ELECT'!G1212</f>
        <v>639800</v>
      </c>
      <c r="F257" s="372"/>
    </row>
    <row r="258" spans="2:6" ht="12.75">
      <c r="B258" s="509">
        <v>24</v>
      </c>
      <c r="C258" s="341" t="str">
        <f>'INST. ELECT'!C1216</f>
        <v>SUMINISTRO, INSTALACION LAMPARA - TOMA / ECONOMICA</v>
      </c>
      <c r="D258" s="342" t="str">
        <f>'INST. ELECT'!G1214</f>
        <v>UND</v>
      </c>
      <c r="E258" s="343">
        <f>'INST. ELECT'!G1266</f>
        <v>112100</v>
      </c>
      <c r="F258" s="372"/>
    </row>
    <row r="259" spans="2:6" ht="22.5">
      <c r="B259" s="509">
        <v>25</v>
      </c>
      <c r="C259" s="341" t="str">
        <f>'INST. ELECT'!C1269</f>
        <v>SUMINISTRO, INSTALACION ACOMETIDA PARCIAL 30.0 M ALAMBRE Nº 8, ALAMBRE CONTINUIDAD DESNUDO Nº 14, PVC Ø 1".</v>
      </c>
      <c r="D259" s="342" t="str">
        <f>'INST. ELECT'!G1267</f>
        <v>UND</v>
      </c>
      <c r="E259" s="343">
        <f>'INST. ELECT'!G1318</f>
        <v>502100</v>
      </c>
      <c r="F259" s="372"/>
    </row>
    <row r="260" spans="2:6" ht="22.5">
      <c r="B260" s="509">
        <v>26</v>
      </c>
      <c r="C260" s="341" t="str">
        <f>'INST. ELECT'!C1321</f>
        <v>SUMINISTRO, INSTALACION SALIDA BIFASICA SENCILLA, ALAMBRE CONTINUIDAD DESNUDO Nº 16, TUBERIA PVC Ø 1/2".</v>
      </c>
      <c r="D260" s="342" t="str">
        <f>'INST. ELECT'!G1319</f>
        <v>UND</v>
      </c>
      <c r="E260" s="343">
        <f>'INST. ELECT'!G1370</f>
        <v>51300</v>
      </c>
      <c r="F260" s="372"/>
    </row>
    <row r="261" spans="2:6" ht="22.5">
      <c r="B261" s="509">
        <v>27</v>
      </c>
      <c r="C261" s="341" t="str">
        <f>'INST. ELECT'!C1373</f>
        <v>SUMINISTRO, INSTALACION SALIDA BIFASICA DOBLE POLARIZADO, ALAMBRE CONTINUIDAD DESNUDO Nº 16, TUBERIA PVC Ø 1/2".</v>
      </c>
      <c r="D261" s="342" t="str">
        <f>'INST. ELECT'!G1371</f>
        <v>UND</v>
      </c>
      <c r="E261" s="343">
        <f>'INST. ELECT'!G1422</f>
        <v>48400</v>
      </c>
      <c r="F261" s="372"/>
    </row>
    <row r="262" spans="2:6" ht="22.5">
      <c r="B262" s="509">
        <v>28</v>
      </c>
      <c r="C262" s="341" t="str">
        <f>'INST. ELECT'!C1425</f>
        <v>SUMINISTRO, INSTALACION SALIDA LAMPARA CONMUTABLE, ALAMBRE CONTINUIDAD DESNUDO Nº 16, TUBERIA PVC Ø 1/2".</v>
      </c>
      <c r="D262" s="342" t="str">
        <f>'INST. ELECT'!G1423</f>
        <v>UND</v>
      </c>
      <c r="E262" s="343">
        <f>'INST. ELECT'!G1474</f>
        <v>75700</v>
      </c>
      <c r="F262" s="372"/>
    </row>
    <row r="263" spans="2:6" ht="12.75">
      <c r="B263" s="509">
        <v>29</v>
      </c>
      <c r="C263" s="341" t="str">
        <f>'INST. ELECT'!C1477</f>
        <v>SUMINISTRO, INSTALACION SALIDA LAMPARA/TOMA, ALAMBRE CONTINUIDAD DESNUDO Nº 16, TUBERIA PVC Ø 1/2".</v>
      </c>
      <c r="D263" s="342" t="str">
        <f>'INST. ELECT'!G1475</f>
        <v>UND</v>
      </c>
      <c r="E263" s="343">
        <f>'INST. ELECT'!G1526</f>
        <v>55800</v>
      </c>
      <c r="F263" s="372"/>
    </row>
    <row r="264" spans="2:6" ht="12.75">
      <c r="B264" s="509">
        <v>30</v>
      </c>
      <c r="C264" s="341" t="str">
        <f>'INST. ELECT'!C1529</f>
        <v>CONSTRUCCIÓN PUNTO DE TELEFONO</v>
      </c>
      <c r="D264" s="342" t="str">
        <f>'INST. ELECT'!G1527</f>
        <v>UND</v>
      </c>
      <c r="E264" s="343">
        <f>'INST. ELECT'!G1579</f>
        <v>54900</v>
      </c>
      <c r="F264" s="372"/>
    </row>
    <row r="265" spans="2:6" ht="12.75">
      <c r="B265" s="509">
        <v>31</v>
      </c>
      <c r="C265" s="341" t="str">
        <f>'INST. ELECT'!C1582</f>
        <v>SUMINISTRO, INSTALACION SALIDA TIMBRE, INCLUYE TIMBRE, TUBERIA PVC Ø 1/2".</v>
      </c>
      <c r="D265" s="342" t="str">
        <f>'INST. ELECT'!G1580</f>
        <v>UND</v>
      </c>
      <c r="E265" s="343">
        <f>'INST. ELECT'!G1632</f>
        <v>63200</v>
      </c>
      <c r="F265" s="372"/>
    </row>
    <row r="266" spans="2:6" ht="12.75">
      <c r="B266" s="509">
        <v>32</v>
      </c>
      <c r="C266" s="341" t="str">
        <f>'INST. ELECT'!C1635</f>
        <v>CONSTRUCCIÓN PUNTO PARA COMPUTADOR (TRIFASICO)</v>
      </c>
      <c r="D266" s="342" t="str">
        <f>'INST. ELECT'!G1633</f>
        <v>UND</v>
      </c>
      <c r="E266" s="343">
        <f>'INST. ELECT'!G1684</f>
        <v>98700</v>
      </c>
      <c r="F266" s="372"/>
    </row>
    <row r="267" spans="2:6" ht="12.75">
      <c r="B267" s="509">
        <v>33</v>
      </c>
      <c r="C267" s="341" t="str">
        <f>'INST. ELECT'!C1687</f>
        <v xml:space="preserve">CONSTRUCCIÓN SALIDA PARA TELEVISION </v>
      </c>
      <c r="D267" s="342" t="str">
        <f>'INST. ELECT'!G1685</f>
        <v>UND</v>
      </c>
      <c r="E267" s="343">
        <f>'INST. ELECT'!G1737</f>
        <v>74200</v>
      </c>
      <c r="F267" s="372"/>
    </row>
    <row r="268" spans="2:6" ht="22.5">
      <c r="B268" s="509">
        <v>34</v>
      </c>
      <c r="C268" s="341" t="str">
        <f>'INST. ELECT'!C1740</f>
        <v>SUMINISTRO, INSTALACION SALIDA VENTILADOR, ALAMBRE CONTINUIDAD DESNUDO Nº 16, TUBERIA PVC Ø 1/2". NO INCLUYE VENTILADOR</v>
      </c>
      <c r="D268" s="342" t="str">
        <f>'INST. ELECT'!G1738</f>
        <v>UND</v>
      </c>
      <c r="E268" s="343">
        <f>'INST. ELECT'!G1789</f>
        <v>38900</v>
      </c>
      <c r="F268" s="372"/>
    </row>
    <row r="269" spans="2:6" ht="22.5">
      <c r="B269" s="509">
        <v>35</v>
      </c>
      <c r="C269" s="341" t="str">
        <f>'INST. ELECT'!C1792</f>
        <v>SUMINISTRO, INSTALACION SALIDA VENTILADOR, ALAMBRE CONTINUIDAD DESNUDO Nº 16, TUBERIA PVC Ø 1/2". INCLUYE VENTILADOR</v>
      </c>
      <c r="D269" s="342" t="str">
        <f>'INST. ELECT'!G1790</f>
        <v>UND</v>
      </c>
      <c r="E269" s="343">
        <f>'INST. ELECT'!G1841</f>
        <v>235700</v>
      </c>
      <c r="F269" s="372"/>
    </row>
    <row r="270" spans="2:6" ht="12.75">
      <c r="B270" s="509">
        <v>36</v>
      </c>
      <c r="C270" s="341" t="str">
        <f>'INST. ELECT'!C1844</f>
        <v xml:space="preserve">SUMINISTRO, INSTALACION SALIDA LAMPARA TECHO, ALAMBRE CONTINUIDAD DESNUDO Nº 16, TUBERIA PVC Ø 1/2". </v>
      </c>
      <c r="D270" s="342" t="str">
        <f>'INST. ELECT'!G1842</f>
        <v>UND</v>
      </c>
      <c r="E270" s="343">
        <f>'INST. ELECT'!G1893</f>
        <v>47900</v>
      </c>
      <c r="F270" s="372"/>
    </row>
    <row r="271" spans="2:6" ht="12.75">
      <c r="B271" s="509">
        <v>37</v>
      </c>
      <c r="C271" s="341" t="str">
        <f>'INST. ELECT'!C1896</f>
        <v xml:space="preserve">SUMINISTRO, INSTALACION SALIDA LAMPARA MURO, ALAMBRE CONTINUIDAD DESNUDO Nº 16, TUBERIA PVC Ø 1/2". </v>
      </c>
      <c r="D271" s="342" t="str">
        <f>'INST. ELECT'!G1894</f>
        <v>UND</v>
      </c>
      <c r="E271" s="343">
        <f>'INST. ELECT'!G1945</f>
        <v>47900</v>
      </c>
      <c r="F271" s="372"/>
    </row>
    <row r="272" spans="2:6" ht="12.75">
      <c r="B272" s="509">
        <v>38</v>
      </c>
      <c r="C272" s="341" t="str">
        <f>'INST. ELECT'!C1948</f>
        <v>CONSTRUCCION PUNTO ELECTRICO</v>
      </c>
      <c r="D272" s="342" t="str">
        <f>'INST. ELECT'!G1946</f>
        <v>UND</v>
      </c>
      <c r="E272" s="343">
        <f>'INST. ELECT'!G1997</f>
        <v>50200</v>
      </c>
      <c r="F272" s="372"/>
    </row>
    <row r="273" spans="2:6" ht="22.5">
      <c r="B273" s="509">
        <v>39</v>
      </c>
      <c r="C273" s="341" t="str">
        <f>'INST. ELECT'!C2000</f>
        <v xml:space="preserve">SUMINISTRO, INSTALACION  LAMPARA TECHO SLIM LINE 48" DE SOBREPONER, ALAMBRE CONTINUIDAD DESNUDO Nº 16, TUBERIA PVC Ø 1/2". </v>
      </c>
      <c r="D273" s="342" t="str">
        <f>'INST. ELECT'!G1998</f>
        <v>UND</v>
      </c>
      <c r="E273" s="343">
        <f>'INST. ELECT'!G2048</f>
        <v>131300</v>
      </c>
      <c r="F273" s="372"/>
    </row>
    <row r="274" spans="2:6" ht="22.5">
      <c r="B274" s="509">
        <v>40</v>
      </c>
      <c r="C274" s="341" t="str">
        <f>'INST. ELECT'!C2051</f>
        <v xml:space="preserve">SUMINISTRO, INSTALACION  LAMPARA TECHO SLIM LINE 48" DE INCRUSTAR, ALAMBRE CONTINUIDAD DESNUDO Nº 16, TUBERIA PVC Ø 1/2". </v>
      </c>
      <c r="D274" s="342" t="str">
        <f>'INST. ELECT'!G2049</f>
        <v>UND</v>
      </c>
      <c r="E274" s="343">
        <f>'INST. ELECT'!G2099</f>
        <v>162800</v>
      </c>
      <c r="F274" s="372"/>
    </row>
    <row r="275" spans="2:6" ht="12.75">
      <c r="B275" s="509">
        <v>41</v>
      </c>
      <c r="C275" s="341" t="str">
        <f>'INST. ELECT'!C2102</f>
        <v xml:space="preserve">SUM.E INST. AIRE ACONDICIONADO INCLUYE PUNTO ELECTRICO </v>
      </c>
      <c r="D275" s="342" t="str">
        <f>'INST. ELECT'!G2100</f>
        <v>UND</v>
      </c>
      <c r="E275" s="343">
        <f>'INST. ELECT'!G2150</f>
        <v>2140600</v>
      </c>
      <c r="F275" s="372"/>
    </row>
    <row r="276" spans="2:6" ht="12.75">
      <c r="B276" s="509">
        <v>42</v>
      </c>
      <c r="C276" s="341" t="str">
        <f>'INST. ELECT'!C2153</f>
        <v>SELLADO PUNTOS ELECTRICOS</v>
      </c>
      <c r="D276" s="342" t="str">
        <f>'INST. ELECT'!G2151</f>
        <v>UND</v>
      </c>
      <c r="E276" s="343">
        <f>'INST. ELECT'!G2201</f>
        <v>13900</v>
      </c>
      <c r="F276" s="372"/>
    </row>
    <row r="277" spans="2:6" ht="12.75">
      <c r="B277" s="509">
        <v>43</v>
      </c>
      <c r="C277" s="341" t="str">
        <f>'INST. ELECT'!C2204</f>
        <v>SUMINISTRO, INSTALACION SALIDA ESPECIAL ALAMBRE CONTINUIDAD DESNUDO Nº 16, TUBERIA PVC Ø 1/2".</v>
      </c>
      <c r="D277" s="342" t="str">
        <f>'INST. ELECT'!G2202</f>
        <v>UND</v>
      </c>
      <c r="E277" s="343">
        <f>'INST. ELECT'!G2253</f>
        <v>88900</v>
      </c>
      <c r="F277" s="372"/>
    </row>
    <row r="278" spans="2:6" ht="12.75">
      <c r="B278" s="509">
        <v>44</v>
      </c>
      <c r="C278" s="341" t="str">
        <f>'INST. ELECT'!C2256</f>
        <v>ARREGLO LAMPARAS FLUORESCENTES EXISTENTES Y SUMINISTRO E INSTALACIÓN DE BALASTRAS</v>
      </c>
      <c r="D278" s="342" t="str">
        <f>'INST. ELECT'!G2254</f>
        <v>UND</v>
      </c>
      <c r="E278" s="343">
        <f>'INST. ELECT'!G2305</f>
        <v>40000</v>
      </c>
      <c r="F278" s="372"/>
    </row>
    <row r="279" spans="2:6">
      <c r="B279" s="511"/>
      <c r="C279" s="334" t="s">
        <v>194</v>
      </c>
      <c r="D279" s="335"/>
      <c r="E279" s="337"/>
      <c r="F279" s="372"/>
    </row>
    <row r="280" spans="2:6" ht="12.75">
      <c r="B280" s="508">
        <v>1</v>
      </c>
      <c r="C280" s="341" t="str">
        <f>MAMPOSTERIA!C8</f>
        <v xml:space="preserve">ALFAGIA EN CONCRETO ARMADO 3000 psi, 0.15x.08 M, </v>
      </c>
      <c r="D280" s="342" t="str">
        <f>MAMPOSTERIA!G6</f>
        <v>ML</v>
      </c>
      <c r="E280" s="392">
        <f>MAMPOSTERIA!G58</f>
        <v>19300</v>
      </c>
      <c r="F280" s="372"/>
    </row>
    <row r="281" spans="2:6" ht="12.75">
      <c r="B281" s="508">
        <v>2</v>
      </c>
      <c r="C281" s="341" t="str">
        <f>MAMPOSTERIA!C61</f>
        <v>ALFAGIA EN CONCRETO ARMADO 3000 psi, 0.25x0.08 M</v>
      </c>
      <c r="D281" s="342" t="str">
        <f>MAMPOSTERIA!G59</f>
        <v>ML</v>
      </c>
      <c r="E281" s="392">
        <f>MAMPOSTERIA!G111</f>
        <v>34100</v>
      </c>
      <c r="F281" s="372"/>
    </row>
    <row r="282" spans="2:6" ht="12.75">
      <c r="B282" s="508">
        <v>3</v>
      </c>
      <c r="C282" s="341" t="str">
        <f>MAMPOSTERIA!C114</f>
        <v>ALFAGIA LADRILLO PRENSADO A LA VISTA, 0.24x0.11 M, MORTERO DE PEGA 1:4, e = 1.0 Cm</v>
      </c>
      <c r="D282" s="342" t="str">
        <f>MAMPOSTERIA!G112</f>
        <v>ML</v>
      </c>
      <c r="E282" s="392">
        <f>MAMPOSTERIA!G164</f>
        <v>20700</v>
      </c>
      <c r="F282" s="372"/>
    </row>
    <row r="283" spans="2:6" ht="12.75">
      <c r="B283" s="508">
        <v>4</v>
      </c>
      <c r="C283" s="341" t="str">
        <f>MAMPOSTERIA!C167</f>
        <v>ALFAGIA EN LADRILLO COCIDO A LA VISTA e = 0.24 M, MORTERO DE PEGA 1:4, e = 1.0 Cm</v>
      </c>
      <c r="D283" s="342" t="str">
        <f>MAMPOSTERIA!G165</f>
        <v>ML</v>
      </c>
      <c r="E283" s="392">
        <f>MAMPOSTERIA!G217</f>
        <v>13900</v>
      </c>
      <c r="F283" s="372"/>
    </row>
    <row r="284" spans="2:6" ht="12.75">
      <c r="B284" s="508">
        <v>5</v>
      </c>
      <c r="C284" s="341" t="str">
        <f>MAMPOSTERIA!C220</f>
        <v>ALFAGIA EN BLOQUE DE CEMENTO A LA VISTA e = 0.10 M, MORTERO DE PEGA 1:4, e = 1.0 Cm</v>
      </c>
      <c r="D284" s="342" t="str">
        <f>MAMPOSTERIA!G218</f>
        <v>ML</v>
      </c>
      <c r="E284" s="392">
        <f>MAMPOSTERIA!G269</f>
        <v>10200</v>
      </c>
      <c r="F284" s="372"/>
    </row>
    <row r="285" spans="2:6" ht="12.75">
      <c r="B285" s="508">
        <v>6</v>
      </c>
      <c r="C285" s="341" t="str">
        <f>MAMPOSTERIA!C272</f>
        <v>MURO LADRILLO TOLETE COMÚN, Ancho = 0.25 M, MORTERO DE PEGA 1:4, e = 1.5 Cm</v>
      </c>
      <c r="D285" s="342" t="str">
        <f>MAMPOSTERIA!G270</f>
        <v>M2</v>
      </c>
      <c r="E285" s="392">
        <f>MAMPOSTERIA!G322</f>
        <v>82800</v>
      </c>
      <c r="F285" s="372"/>
    </row>
    <row r="286" spans="2:6" ht="12.75">
      <c r="B286" s="508">
        <v>7</v>
      </c>
      <c r="C286" s="341" t="str">
        <f>MAMPOSTERIA!C325</f>
        <v>MURO LADRILLO TOLETE COMUN e = 0.12 M, MORTERO DE PEGA 1:4, e = 1.5 Cm</v>
      </c>
      <c r="D286" s="342" t="str">
        <f>MAMPOSTERIA!G323</f>
        <v>M2</v>
      </c>
      <c r="E286" s="392">
        <f>MAMPOSTERIA!G375</f>
        <v>38200</v>
      </c>
      <c r="F286" s="372"/>
    </row>
    <row r="287" spans="2:6" ht="12.75">
      <c r="B287" s="508">
        <v>8</v>
      </c>
      <c r="C287" s="341" t="str">
        <f>MAMPOSTERIA!C378</f>
        <v>MURO LADRILLO TOLETE COMUN e = 0.07 M, MORTERO DE PEGA 1:4, e = 1.5 Cm</v>
      </c>
      <c r="D287" s="342" t="str">
        <f>MAMPOSTERIA!G376</f>
        <v>M2</v>
      </c>
      <c r="E287" s="392">
        <f>MAMPOSTERIA!G428</f>
        <v>27100</v>
      </c>
      <c r="F287" s="372"/>
    </row>
    <row r="288" spans="2:6" ht="12.75">
      <c r="B288" s="508">
        <v>9</v>
      </c>
      <c r="C288" s="341" t="str">
        <f>MAMPOSTERIA!C431</f>
        <v>MURO LADRILLO PRENSADO A LA VISTA e = 0.25 M, MORTERO DE PEGA 1:4, e = 1.5 Cm</v>
      </c>
      <c r="D288" s="342" t="str">
        <f>MAMPOSTERIA!G429</f>
        <v>M2</v>
      </c>
      <c r="E288" s="392">
        <f>MAMPOSTERIA!G481</f>
        <v>81500</v>
      </c>
      <c r="F288" s="372"/>
    </row>
    <row r="289" spans="2:6" ht="12.75">
      <c r="B289" s="508">
        <v>10</v>
      </c>
      <c r="C289" s="341" t="str">
        <f>MAMPOSTERIA!C484</f>
        <v>MURO LADRILLO PRENSADO A LA VISTA e = 0.12 M, MORTERO DE PEGA 1:4, e = 1.5 Cm</v>
      </c>
      <c r="D289" s="342" t="str">
        <f>MAMPOSTERIA!G482</f>
        <v>M2</v>
      </c>
      <c r="E289" s="392">
        <f>MAMPOSTERIA!G534</f>
        <v>59800</v>
      </c>
      <c r="F289" s="372"/>
    </row>
    <row r="290" spans="2:6" ht="12.75">
      <c r="B290" s="508">
        <v>11</v>
      </c>
      <c r="C290" s="341" t="str">
        <f>MAMPOSTERIA!C537</f>
        <v>MURO LADRILLO PRENSADO A LA VISTA e = 0.06 M, MORTERO DE PEGA 1:4, e = 1.5 Cm</v>
      </c>
      <c r="D290" s="342" t="str">
        <f>MAMPOSTERIA!G535</f>
        <v>M2</v>
      </c>
      <c r="E290" s="392">
        <f>MAMPOSTERIA!G587</f>
        <v>33800</v>
      </c>
      <c r="F290" s="372"/>
    </row>
    <row r="291" spans="2:6" ht="12.75">
      <c r="B291" s="508">
        <v>12</v>
      </c>
      <c r="C291" s="341" t="str">
        <f>MAMPOSTERIA!C590</f>
        <v>MURO LADRILLO ARROBERO e = 0.33 M, MORTERO DE PEGA 1:4, e = 1.5 Cm</v>
      </c>
      <c r="D291" s="342" t="str">
        <f>MAMPOSTERIA!G588</f>
        <v>M2</v>
      </c>
      <c r="E291" s="392">
        <f>MAMPOSTERIA!G640</f>
        <v>63500</v>
      </c>
      <c r="F291" s="372"/>
    </row>
    <row r="292" spans="2:6" ht="12.75">
      <c r="B292" s="508">
        <v>13</v>
      </c>
      <c r="C292" s="341" t="str">
        <f>MAMPOSTERIA!C643</f>
        <v>MURO LADRILLO ARROBERO e = 0.15 M, MORTERO DE PEGA 1:4, e = 1.5 Cm</v>
      </c>
      <c r="D292" s="342" t="str">
        <f>MAMPOSTERIA!G641</f>
        <v>M2</v>
      </c>
      <c r="E292" s="392">
        <f>MAMPOSTERIA!G693</f>
        <v>28600</v>
      </c>
      <c r="F292" s="372"/>
    </row>
    <row r="293" spans="2:6" ht="12.75">
      <c r="B293" s="508">
        <v>14</v>
      </c>
      <c r="C293" s="341" t="str">
        <f>MAMPOSTERIA!C696</f>
        <v>MURO LADRILLO ARROBERO e = 0.08 M, MORTERO DE PEGA 1:4, e = 1.5 Cm</v>
      </c>
      <c r="D293" s="342" t="str">
        <f>MAMPOSTERIA!G694</f>
        <v>M2</v>
      </c>
      <c r="E293" s="392">
        <f>MAMPOSTERIA!G746</f>
        <v>22600</v>
      </c>
      <c r="F293" s="372"/>
    </row>
    <row r="294" spans="2:6" ht="12.75">
      <c r="B294" s="508">
        <v>15</v>
      </c>
      <c r="C294" s="341" t="str">
        <f>MAMPOSTERIA!C749</f>
        <v>MURO BLOQUE CEMENTO e = 0.15 M, MORTERO DE PEGA 1:4, e = 1.5 Cm</v>
      </c>
      <c r="D294" s="342" t="str">
        <f>MAMPOSTERIA!G747</f>
        <v>M2</v>
      </c>
      <c r="E294" s="392">
        <f>MAMPOSTERIA!G799</f>
        <v>21600</v>
      </c>
      <c r="F294" s="372"/>
    </row>
    <row r="295" spans="2:6" ht="12.75">
      <c r="B295" s="508">
        <v>16</v>
      </c>
      <c r="C295" s="341" t="str">
        <f>MAMPOSTERIA!C802</f>
        <v>MURO BLOQUE DE CEMENTO e = 0.10 M, MORTERO DE PEGA 1:4, e = 1.5 Cm</v>
      </c>
      <c r="D295" s="342" t="str">
        <f>MAMPOSTERIA!G800</f>
        <v>M2</v>
      </c>
      <c r="E295" s="392">
        <f>MAMPOSTERIA!G852</f>
        <v>20500</v>
      </c>
      <c r="F295" s="372"/>
    </row>
    <row r="296" spans="2:6" ht="12.75">
      <c r="B296" s="508">
        <v>17</v>
      </c>
      <c r="C296" s="341" t="str">
        <f>MAMPOSTERIA!C855</f>
        <v>MURO BLOQUE DE CEMENTO e = 0.20 M, MORTERO DE PEGA 1:4, e = 1.5 Cm</v>
      </c>
      <c r="D296" s="342" t="str">
        <f>MAMPOSTERIA!G853</f>
        <v>M2</v>
      </c>
      <c r="E296" s="392">
        <f>MAMPOSTERIA!G905</f>
        <v>33400</v>
      </c>
      <c r="F296" s="372"/>
    </row>
    <row r="297" spans="2:6" ht="12.75">
      <c r="B297" s="508">
        <v>18</v>
      </c>
      <c r="C297" s="341" t="str">
        <f>MAMPOSTERIA!C908</f>
        <v>MURO BLOQUE ARCILLA H7 e = 0.07 M, MORTERO DE PEGA 1:4, e = 1.5 Cm</v>
      </c>
      <c r="D297" s="342" t="str">
        <f>MAMPOSTERIA!G906</f>
        <v>M2</v>
      </c>
      <c r="E297" s="392">
        <f>MAMPOSTERIA!G958</f>
        <v>14100</v>
      </c>
      <c r="F297" s="372"/>
    </row>
    <row r="298" spans="2:6" ht="12.75">
      <c r="B298" s="508">
        <v>19</v>
      </c>
      <c r="C298" s="341" t="str">
        <f>MAMPOSTERIA!C961</f>
        <v>MURO BLOQUE ARCILLA H7 e = 0.23 M, MORTERO DE PEGA 1:4, e = 1.5 Cm</v>
      </c>
      <c r="D298" s="342" t="str">
        <f>MAMPOSTERIA!G959</f>
        <v>M2</v>
      </c>
      <c r="E298" s="392">
        <f>MAMPOSTERIA!G1011</f>
        <v>46800</v>
      </c>
      <c r="F298" s="372"/>
    </row>
    <row r="299" spans="2:6" ht="12.75">
      <c r="B299" s="508">
        <v>20</v>
      </c>
      <c r="C299" s="341" t="str">
        <f>MAMPOSTERIA!C1014</f>
        <v>MURO BLOQUE ARCILLA H10 e = 0.10 M, MORTERO DE PEGA 1:4, e = 1.5 Cm</v>
      </c>
      <c r="D299" s="342" t="str">
        <f>MAMPOSTERIA!G1012</f>
        <v>M2</v>
      </c>
      <c r="E299" s="392">
        <f>MAMPOSTERIA!G1064</f>
        <v>21300</v>
      </c>
      <c r="F299" s="372"/>
    </row>
    <row r="300" spans="2:6" ht="12.75">
      <c r="B300" s="508">
        <v>21</v>
      </c>
      <c r="C300" s="341" t="str">
        <f>MAMPOSTERIA!C1067</f>
        <v>MURO BLOQUE ARCILLA H10 e = 0.23 M, MORTERO DE PEGA 1:4, e = 1.5 Cm</v>
      </c>
      <c r="D300" s="342" t="str">
        <f>MAMPOSTERIA!G1065</f>
        <v>M2</v>
      </c>
      <c r="E300" s="392">
        <f>MAMPOSTERIA!G1117</f>
        <v>44200</v>
      </c>
      <c r="F300" s="372"/>
    </row>
    <row r="301" spans="2:6" ht="12.75">
      <c r="B301" s="508">
        <v>22</v>
      </c>
      <c r="C301" s="341" t="str">
        <f>MAMPOSTERIA!C1120</f>
        <v>MURO BLOQUE ARCILLA H15 e = 0.12 M, MORTERO DE PEGA 1:4, e = 1.5 Cm</v>
      </c>
      <c r="D301" s="342" t="str">
        <f>MAMPOSTERIA!G1118</f>
        <v>M2</v>
      </c>
      <c r="E301" s="392">
        <f>MAMPOSTERIA!G1170</f>
        <v>21000</v>
      </c>
      <c r="F301" s="372"/>
    </row>
    <row r="302" spans="2:6" ht="12.75">
      <c r="B302" s="508">
        <v>23</v>
      </c>
      <c r="C302" s="341" t="str">
        <f>MAMPOSTERIA!C1173</f>
        <v>MURO BLOQUE ARCILLA H15 e = 0.23 M, MORTERO DE PEGA 1:4, e = 1.5 Cm</v>
      </c>
      <c r="D302" s="342" t="str">
        <f>MAMPOSTERIA!G1171</f>
        <v>M2</v>
      </c>
      <c r="E302" s="392">
        <f>MAMPOSTERIA!G1223</f>
        <v>46700</v>
      </c>
      <c r="F302" s="372"/>
    </row>
    <row r="303" spans="2:6">
      <c r="B303" s="511"/>
      <c r="C303" s="331" t="s">
        <v>1014</v>
      </c>
      <c r="D303" s="335"/>
      <c r="E303" s="336"/>
      <c r="F303" s="372"/>
    </row>
    <row r="304" spans="2:6" ht="12.75">
      <c r="B304" s="508">
        <v>1</v>
      </c>
      <c r="C304" s="341" t="str">
        <f>PAÑETES!C8</f>
        <v>ENTRAMADO MADERA CIELO RASO</v>
      </c>
      <c r="D304" s="342" t="str">
        <f>PAÑETES!G6</f>
        <v>M2</v>
      </c>
      <c r="E304" s="343">
        <f>PAÑETES!G58</f>
        <v>11900</v>
      </c>
      <c r="F304" s="372"/>
    </row>
    <row r="305" spans="2:6" ht="12.75">
      <c r="B305" s="508">
        <v>2</v>
      </c>
      <c r="C305" s="341" t="str">
        <f>PAÑETES!C61</f>
        <v>FILOS Y DILATACIONES</v>
      </c>
      <c r="D305" s="342" t="str">
        <f>PAÑETES!G59</f>
        <v>ML</v>
      </c>
      <c r="E305" s="343">
        <f>PAÑETES!G111</f>
        <v>4100</v>
      </c>
      <c r="F305" s="372"/>
    </row>
    <row r="306" spans="2:6" ht="12.75">
      <c r="B306" s="508">
        <v>3</v>
      </c>
      <c r="C306" s="341" t="str">
        <f>PAÑETES!C114</f>
        <v>GOTEROS</v>
      </c>
      <c r="D306" s="342" t="str">
        <f>PAÑETES!G112</f>
        <v>ML</v>
      </c>
      <c r="E306" s="343">
        <f>PAÑETES!G164</f>
        <v>5000</v>
      </c>
      <c r="F306" s="372"/>
    </row>
    <row r="307" spans="2:6" ht="12.75">
      <c r="B307" s="508">
        <v>4</v>
      </c>
      <c r="C307" s="341" t="str">
        <f>PAÑETES!C167</f>
        <v>MALLA BAJO ENTRAMADO</v>
      </c>
      <c r="D307" s="342" t="str">
        <f>PAÑETES!G165</f>
        <v>M2</v>
      </c>
      <c r="E307" s="343">
        <f>PAÑETES!G217</f>
        <v>8500</v>
      </c>
      <c r="F307" s="372"/>
    </row>
    <row r="308" spans="2:6" ht="12.75">
      <c r="B308" s="508">
        <v>5</v>
      </c>
      <c r="C308" s="341" t="str">
        <f>PAÑETES!C220</f>
        <v>PAÑETE BAJO MALLA 1:4 e = 2.5 cm</v>
      </c>
      <c r="D308" s="342" t="str">
        <f>PAÑETES!G218</f>
        <v>M2</v>
      </c>
      <c r="E308" s="343">
        <f>PAÑETES!G270</f>
        <v>14400</v>
      </c>
      <c r="F308" s="372"/>
    </row>
    <row r="309" spans="2:6" ht="12.75">
      <c r="B309" s="508">
        <v>6</v>
      </c>
      <c r="C309" s="341" t="str">
        <f>PAÑETES!C273</f>
        <v>PAÑETE BAJO MALLA 1:5 e = 2.5 cm</v>
      </c>
      <c r="D309" s="342" t="str">
        <f>PAÑETES!G271</f>
        <v>M2</v>
      </c>
      <c r="E309" s="343">
        <f>PAÑETES!G323</f>
        <v>13800</v>
      </c>
      <c r="F309" s="372"/>
    </row>
    <row r="310" spans="2:6" ht="12.75">
      <c r="B310" s="508">
        <v>7</v>
      </c>
      <c r="C310" s="341" t="str">
        <f>PAÑETES!C326</f>
        <v>PAÑETE CULATAS 1:4 e = 3.0 cm</v>
      </c>
      <c r="D310" s="342" t="str">
        <f>PAÑETES!G324</f>
        <v>M2</v>
      </c>
      <c r="E310" s="343">
        <f>PAÑETES!G376</f>
        <v>14400</v>
      </c>
      <c r="F310" s="372"/>
    </row>
    <row r="311" spans="2:6" ht="12.75">
      <c r="B311" s="508">
        <v>8</v>
      </c>
      <c r="C311" s="341" t="str">
        <f>PAÑETES!C379</f>
        <v>PAÑETE CULATAS 1:5 e = 3.0 cm</v>
      </c>
      <c r="D311" s="342" t="str">
        <f>PAÑETES!G377</f>
        <v>M2</v>
      </c>
      <c r="E311" s="343">
        <f>PAÑETES!G429</f>
        <v>13600</v>
      </c>
      <c r="F311" s="372"/>
    </row>
    <row r="312" spans="2:6" ht="12.75">
      <c r="B312" s="508">
        <v>9</v>
      </c>
      <c r="C312" s="341" t="str">
        <f>PAÑETES!C432</f>
        <v>PAÑETE IMPERMEABILIZADO MUROS 1:3 e = 2 cm</v>
      </c>
      <c r="D312" s="342" t="str">
        <f>PAÑETES!G430</f>
        <v>M2</v>
      </c>
      <c r="E312" s="343">
        <f>PAÑETES!G482</f>
        <v>16200</v>
      </c>
      <c r="F312" s="372"/>
    </row>
    <row r="313" spans="2:6" ht="12.75">
      <c r="B313" s="508">
        <v>10</v>
      </c>
      <c r="C313" s="341" t="str">
        <f>PAÑETES!C485</f>
        <v>PAÑETE LISO MUROS 1:4 e = 1.5 cm</v>
      </c>
      <c r="D313" s="342" t="str">
        <f>PAÑETES!G483</f>
        <v>M2</v>
      </c>
      <c r="E313" s="343">
        <f>PAÑETES!G535</f>
        <v>10600</v>
      </c>
      <c r="F313" s="372"/>
    </row>
    <row r="314" spans="2:6" ht="12.75">
      <c r="B314" s="508">
        <v>11</v>
      </c>
      <c r="C314" s="341" t="str">
        <f>PAÑETES!C538</f>
        <v>PAÑETE LISO MUROS 1:4 e = 2.0 cm</v>
      </c>
      <c r="D314" s="342" t="str">
        <f>PAÑETES!G536</f>
        <v>M2</v>
      </c>
      <c r="E314" s="343">
        <f>PAÑETES!G588</f>
        <v>12400</v>
      </c>
      <c r="F314" s="372"/>
    </row>
    <row r="315" spans="2:6" ht="12.75">
      <c r="B315" s="508">
        <v>12</v>
      </c>
      <c r="C315" s="341" t="str">
        <f>PAÑETES!C591</f>
        <v>PAÑETE LISO MUROS 1:5 e = 1.5 cm</v>
      </c>
      <c r="D315" s="342" t="str">
        <f>PAÑETES!G589</f>
        <v>M2</v>
      </c>
      <c r="E315" s="343">
        <f>PAÑETES!G641</f>
        <v>9600</v>
      </c>
      <c r="F315" s="372"/>
    </row>
    <row r="316" spans="2:6" ht="12.75">
      <c r="B316" s="508">
        <v>13</v>
      </c>
      <c r="C316" s="341" t="str">
        <f>PAÑETES!C644</f>
        <v>PAÑETE LISO MUROS 1:5 e = 2.0 cm</v>
      </c>
      <c r="D316" s="342" t="str">
        <f>PAÑETES!G642</f>
        <v>M2</v>
      </c>
      <c r="E316" s="343">
        <f>PAÑETES!G694</f>
        <v>10600</v>
      </c>
      <c r="F316" s="372"/>
    </row>
    <row r="317" spans="2:6" ht="12.75">
      <c r="B317" s="508">
        <v>14</v>
      </c>
      <c r="C317" s="341" t="str">
        <f>PAÑETES!C697</f>
        <v>PAÑETE LISO PLACAS 1:4 e = 2.0 cm</v>
      </c>
      <c r="D317" s="342" t="str">
        <f>PAÑETES!G695</f>
        <v>M2</v>
      </c>
      <c r="E317" s="343">
        <f>PAÑETES!G747</f>
        <v>11500</v>
      </c>
      <c r="F317" s="372"/>
    </row>
    <row r="318" spans="2:6" ht="12.75">
      <c r="B318" s="508">
        <v>15</v>
      </c>
      <c r="C318" s="341" t="str">
        <f>PAÑETES!C750</f>
        <v>PAÑETE LISO PLACAS 1:5 e = 2.0 cm</v>
      </c>
      <c r="D318" s="342" t="str">
        <f>PAÑETES!G748</f>
        <v>M2</v>
      </c>
      <c r="E318" s="343">
        <f>PAÑETES!G800</f>
        <v>10900</v>
      </c>
      <c r="F318" s="372"/>
    </row>
    <row r="319" spans="2:6" ht="12.75">
      <c r="B319" s="508">
        <v>16</v>
      </c>
      <c r="C319" s="341" t="str">
        <f>PAÑETES!C803</f>
        <v>PAÑETE RUSTICO MURO 1:5 e = 2.0 cm</v>
      </c>
      <c r="D319" s="342" t="str">
        <f>PAÑETES!G801</f>
        <v>M2</v>
      </c>
      <c r="E319" s="343">
        <f>PAÑETES!G853</f>
        <v>12000</v>
      </c>
      <c r="F319" s="372"/>
    </row>
    <row r="320" spans="2:6" ht="12.75">
      <c r="B320" s="508">
        <v>17</v>
      </c>
      <c r="C320" s="341" t="str">
        <f>PAÑETES!C856</f>
        <v>PAÑETE RUSTICO PLACA 1:5 e = 2.5 cm</v>
      </c>
      <c r="D320" s="342" t="str">
        <f>PAÑETES!G854</f>
        <v>M2</v>
      </c>
      <c r="E320" s="343">
        <f>PAÑETES!G906</f>
        <v>14300</v>
      </c>
      <c r="F320" s="372"/>
    </row>
    <row r="321" spans="2:6">
      <c r="B321" s="511"/>
      <c r="C321" s="331" t="s">
        <v>552</v>
      </c>
      <c r="D321" s="335"/>
      <c r="E321" s="336"/>
      <c r="F321" s="372"/>
    </row>
    <row r="322" spans="2:6" ht="12.75">
      <c r="B322" s="508">
        <v>1</v>
      </c>
      <c r="C322" s="341" t="str">
        <f>PISOS!C8</f>
        <v>CONSTRUCCIÓN ALISTADO IMPERMEAB. DE PISOS, MORTERO 1:3, e = 3 cm</v>
      </c>
      <c r="D322" s="342" t="str">
        <f>PISOS!G6</f>
        <v>M2</v>
      </c>
      <c r="E322" s="343">
        <f>PISOS!G58</f>
        <v>19500</v>
      </c>
      <c r="F322" s="372"/>
    </row>
    <row r="323" spans="2:6" ht="12.75">
      <c r="B323" s="508">
        <v>2</v>
      </c>
      <c r="C323" s="341" t="str">
        <f>PISOS!C61</f>
        <v>CONSTRUCCIÓN ALISTADO DE PISOS, MORTERO 1:4, e = 3.0 cm</v>
      </c>
      <c r="D323" s="342" t="str">
        <f>PISOS!G59</f>
        <v>M2</v>
      </c>
      <c r="E323" s="343">
        <f>PISOS!G111</f>
        <v>12900</v>
      </c>
      <c r="F323" s="372"/>
    </row>
    <row r="324" spans="2:6" ht="12.75">
      <c r="B324" s="508">
        <v>3</v>
      </c>
      <c r="C324" s="341" t="str">
        <f>PISOS!C114</f>
        <v>ALISTADO DE TERRAZAS, MORTERO 1:5, e = 8.0 cm</v>
      </c>
      <c r="D324" s="342" t="str">
        <f>PISOS!G112</f>
        <v>M2</v>
      </c>
      <c r="E324" s="343">
        <f>PISOS!G164</f>
        <v>23500</v>
      </c>
      <c r="F324" s="372"/>
    </row>
    <row r="325" spans="2:6" ht="12.75">
      <c r="B325" s="508">
        <v>4</v>
      </c>
      <c r="C325" s="341" t="str">
        <f>PISOS!C167</f>
        <v>CONCRETO 2500 PSI PARA ANDENES e = 10 cm</v>
      </c>
      <c r="D325" s="342" t="str">
        <f>PISOS!G165</f>
        <v>M2</v>
      </c>
      <c r="E325" s="343">
        <f>PISOS!G217</f>
        <v>49300</v>
      </c>
      <c r="F325" s="372"/>
    </row>
    <row r="326" spans="2:6" ht="12.75">
      <c r="B326" s="508">
        <v>5</v>
      </c>
      <c r="C326" s="341" t="str">
        <f>PISOS!C220</f>
        <v>CONCRETO BASE GRADAS e = 10 cm</v>
      </c>
      <c r="D326" s="342" t="str">
        <f>PISOS!G218</f>
        <v>M2</v>
      </c>
      <c r="E326" s="343">
        <f>PISOS!G270</f>
        <v>50400</v>
      </c>
      <c r="F326" s="372"/>
    </row>
    <row r="327" spans="2:6" ht="12.75">
      <c r="B327" s="508">
        <v>6</v>
      </c>
      <c r="C327" s="341" t="str">
        <f>PISOS!C273</f>
        <v>CONCRETO ESTRIADO RAMPAS e = 15 cm</v>
      </c>
      <c r="D327" s="342" t="str">
        <f>PISOS!G271</f>
        <v>M2</v>
      </c>
      <c r="E327" s="343">
        <f>PISOS!G323</f>
        <v>86600</v>
      </c>
      <c r="F327" s="372"/>
    </row>
    <row r="328" spans="2:6" ht="12.75">
      <c r="B328" s="508">
        <v>7</v>
      </c>
      <c r="C328" s="341" t="str">
        <f>PISOS!C326</f>
        <v>CONCRETO 2500 PSI, SARDINELES h = 40 cm</v>
      </c>
      <c r="D328" s="342" t="str">
        <f>PISOS!G324</f>
        <v>ML</v>
      </c>
      <c r="E328" s="343">
        <f>PISOS!G376</f>
        <v>36700</v>
      </c>
      <c r="F328" s="372"/>
    </row>
    <row r="329" spans="2:6" ht="12.75">
      <c r="B329" s="508">
        <v>8</v>
      </c>
      <c r="C329" s="341" t="str">
        <f>PISOS!C379</f>
        <v>PLACA BASE CONCRETO 2500 PSI, e = 7 cm</v>
      </c>
      <c r="D329" s="342" t="str">
        <f>PISOS!G377</f>
        <v>M2</v>
      </c>
      <c r="E329" s="343">
        <f>PISOS!G429</f>
        <v>38400</v>
      </c>
      <c r="F329" s="372"/>
    </row>
    <row r="330" spans="2:6" ht="12.75">
      <c r="B330" s="508">
        <v>9</v>
      </c>
      <c r="C330" s="341" t="str">
        <f>PISOS!C432</f>
        <v>PLACA BASE CONCRETO 2500 PSI, e = 10 cm</v>
      </c>
      <c r="D330" s="342" t="str">
        <f>PISOS!G430</f>
        <v>M2</v>
      </c>
      <c r="E330" s="343">
        <f>PISOS!G482</f>
        <v>46700</v>
      </c>
      <c r="F330" s="372"/>
    </row>
    <row r="331" spans="2:6" ht="12.75">
      <c r="B331" s="508">
        <v>10</v>
      </c>
      <c r="C331" s="341" t="str">
        <f>PISOS!C485</f>
        <v>PLACA BASE CONCRETO 2500 PSI, e = 15 cm</v>
      </c>
      <c r="D331" s="342" t="str">
        <f>PISOS!G483</f>
        <v>M2</v>
      </c>
      <c r="E331" s="343">
        <f>PISOS!G535</f>
        <v>67900</v>
      </c>
      <c r="F331" s="372"/>
    </row>
    <row r="332" spans="2:6" ht="12.75">
      <c r="B332" s="508">
        <v>11</v>
      </c>
      <c r="C332" s="341" t="str">
        <f>PISOS!C538</f>
        <v>SUMINISTRO E INSTALACIÓN DE BALDOSIN DE GRANITO PULIDO 0.33x0.33</v>
      </c>
      <c r="D332" s="342" t="str">
        <f>PISOS!G536</f>
        <v>M2</v>
      </c>
      <c r="E332" s="343">
        <f>PISOS!G588</f>
        <v>45200</v>
      </c>
      <c r="F332" s="372"/>
    </row>
    <row r="333" spans="2:6" ht="12.75">
      <c r="B333" s="508">
        <v>12</v>
      </c>
      <c r="C333" s="341" t="str">
        <f>PISOS!C591</f>
        <v>BALDOSIN DE CTO TEXTURA RETAL DE MARMOL 0.30x0.30</v>
      </c>
      <c r="D333" s="342" t="str">
        <f>PISOS!G589</f>
        <v>M2</v>
      </c>
      <c r="E333" s="343">
        <f>PISOS!G641</f>
        <v>28700</v>
      </c>
      <c r="F333" s="372"/>
    </row>
    <row r="334" spans="2:6" ht="12.75">
      <c r="B334" s="508">
        <v>13</v>
      </c>
      <c r="C334" s="341" t="str">
        <f>PISOS!C644</f>
        <v>BALDOSIN DE CEMENTO TEXTURA FILIGRANA  0.25x0.25</v>
      </c>
      <c r="D334" s="342" t="str">
        <f>PISOS!G642</f>
        <v>M2</v>
      </c>
      <c r="E334" s="343">
        <f>PISOS!G694</f>
        <v>28200</v>
      </c>
      <c r="F334" s="372"/>
    </row>
    <row r="335" spans="2:6" ht="12.75">
      <c r="B335" s="508">
        <v>14</v>
      </c>
      <c r="C335" s="341" t="str">
        <f>PISOS!C697</f>
        <v>BALDOSIN DE CEMENTO UN TONO  0.20x0.20</v>
      </c>
      <c r="D335" s="342" t="str">
        <f>PISOS!G695</f>
        <v>M2</v>
      </c>
      <c r="E335" s="343">
        <f>PISOS!G747</f>
        <v>29200</v>
      </c>
      <c r="F335" s="372"/>
    </row>
    <row r="336" spans="2:6" ht="12.75">
      <c r="B336" s="508">
        <v>15</v>
      </c>
      <c r="C336" s="341" t="str">
        <f>PISOS!C750</f>
        <v>GUARDAESCOBA GRAVILLA</v>
      </c>
      <c r="D336" s="342" t="str">
        <f>PISOS!G748</f>
        <v>ML</v>
      </c>
      <c r="E336" s="343">
        <f>PISOS!G800</f>
        <v>18200</v>
      </c>
      <c r="F336" s="372"/>
    </row>
    <row r="337" spans="2:6" ht="12.75">
      <c r="B337" s="508">
        <v>16</v>
      </c>
      <c r="C337" s="341" t="str">
        <f>PISOS!C803</f>
        <v>CONSTRUCCIÓN GUARDAESCOBA MEDIA CAÑA EN GRANITO</v>
      </c>
      <c r="D337" s="342" t="str">
        <f>PISOS!G801</f>
        <v>ML</v>
      </c>
      <c r="E337" s="343">
        <f>PISOS!G853</f>
        <v>29200</v>
      </c>
      <c r="F337" s="372"/>
    </row>
    <row r="338" spans="2:6" ht="12.75">
      <c r="B338" s="508">
        <v>17</v>
      </c>
      <c r="C338" s="341" t="str">
        <f>PISOS!C856</f>
        <v>GRADAS GRAVILLA 0.27x0.17</v>
      </c>
      <c r="D338" s="342" t="str">
        <f>PISOS!G854</f>
        <v>ML</v>
      </c>
      <c r="E338" s="343">
        <f>PISOS!G906</f>
        <v>38300</v>
      </c>
      <c r="F338" s="372"/>
    </row>
    <row r="339" spans="2:6" ht="12.75">
      <c r="B339" s="508">
        <v>18</v>
      </c>
      <c r="C339" s="341" t="str">
        <f>PISOS!C909</f>
        <v xml:space="preserve">CONSTRUCCIÓN PISO EN GRANITO FUNDIDO  INCLUYE PULIDA </v>
      </c>
      <c r="D339" s="342" t="str">
        <f>PISOS!G907</f>
        <v>M2</v>
      </c>
      <c r="E339" s="343">
        <f>PISOS!G959</f>
        <v>79900</v>
      </c>
      <c r="F339" s="372"/>
    </row>
    <row r="340" spans="2:6" ht="12.75">
      <c r="B340" s="508">
        <v>19</v>
      </c>
      <c r="C340" s="341" t="str">
        <f>PISOS!C962</f>
        <v>GRAVILLA LAVADA.</v>
      </c>
      <c r="D340" s="342" t="str">
        <f>PISOS!G960</f>
        <v>M2</v>
      </c>
      <c r="E340" s="343">
        <f>PISOS!G1012</f>
        <v>49600</v>
      </c>
      <c r="F340" s="372"/>
    </row>
    <row r="341" spans="2:6" ht="12.75">
      <c r="B341" s="508">
        <v>20</v>
      </c>
      <c r="C341" s="341" t="str">
        <f>PISOS!C1015</f>
        <v>PASO ESCALERA GRANITO</v>
      </c>
      <c r="D341" s="342" t="str">
        <f>PISOS!G1013</f>
        <v>ML</v>
      </c>
      <c r="E341" s="343">
        <f>PISOS!G1065</f>
        <v>58400</v>
      </c>
      <c r="F341" s="372"/>
    </row>
    <row r="342" spans="2:6" ht="12.75">
      <c r="B342" s="508">
        <v>21</v>
      </c>
      <c r="C342" s="341" t="str">
        <f>PISOS!C1068</f>
        <v>CERAMICA TRAFICO PESADO 4 .30x.30</v>
      </c>
      <c r="D342" s="342" t="str">
        <f>PISOS!G1066</f>
        <v>M2</v>
      </c>
      <c r="E342" s="343">
        <f>PISOS!G1118</f>
        <v>41000</v>
      </c>
      <c r="F342" s="372"/>
    </row>
    <row r="343" spans="2:6" ht="12.75">
      <c r="B343" s="508">
        <v>22</v>
      </c>
      <c r="C343" s="341" t="str">
        <f>PISOS!C1121</f>
        <v>CERAMICA TRAFICO PESADO 4 .33x.33</v>
      </c>
      <c r="D343" s="342" t="str">
        <f>PISOS!G1119</f>
        <v>M2</v>
      </c>
      <c r="E343" s="343">
        <f>PISOS!G1171</f>
        <v>45700</v>
      </c>
      <c r="F343" s="372"/>
    </row>
    <row r="344" spans="2:6" ht="12.75">
      <c r="B344" s="508">
        <v>23</v>
      </c>
      <c r="C344" s="341" t="str">
        <f>PISOS!C1174</f>
        <v>CERAMICA TRAFICO PESADO 4 .40x.40</v>
      </c>
      <c r="D344" s="342" t="str">
        <f>PISOS!G1172</f>
        <v>M2</v>
      </c>
      <c r="E344" s="343">
        <f>PISOS!G1224</f>
        <v>33100</v>
      </c>
      <c r="F344" s="372"/>
    </row>
    <row r="345" spans="2:6" ht="12.75">
      <c r="B345" s="508">
        <v>24</v>
      </c>
      <c r="C345" s="341" t="str">
        <f>PISOS!C1227</f>
        <v>CERAMICA TRAFICO PESADO 5 .33x.33</v>
      </c>
      <c r="D345" s="342" t="str">
        <f>PISOS!G1225</f>
        <v>M2</v>
      </c>
      <c r="E345" s="343">
        <f>PISOS!G1277</f>
        <v>46700</v>
      </c>
      <c r="F345" s="372"/>
    </row>
    <row r="346" spans="2:6" ht="12.75">
      <c r="B346" s="508">
        <v>25</v>
      </c>
      <c r="C346" s="341" t="str">
        <f>PISOS!C1280</f>
        <v>SUMINISTRO E INSTALACIÓN ENCHAPE DE PARED CERAMICA BLANCA 20.5X20.5 CM</v>
      </c>
      <c r="D346" s="342" t="str">
        <f>PISOS!G1278</f>
        <v>M2</v>
      </c>
      <c r="E346" s="343">
        <f>PISOS!G1329</f>
        <v>32500</v>
      </c>
      <c r="F346" s="372"/>
    </row>
    <row r="347" spans="2:6" ht="12.75">
      <c r="B347" s="508">
        <v>26</v>
      </c>
      <c r="C347" s="341" t="str">
        <f>PISOS!C1332</f>
        <v>CERAMICA OLIMPIA 0.205x0.205</v>
      </c>
      <c r="D347" s="342" t="str">
        <f>PISOS!G1330</f>
        <v>M2</v>
      </c>
      <c r="E347" s="343">
        <f>PISOS!G1382</f>
        <v>37300</v>
      </c>
      <c r="F347" s="372"/>
    </row>
    <row r="348" spans="2:6" ht="12.75">
      <c r="B348" s="508">
        <v>27</v>
      </c>
      <c r="C348" s="341" t="str">
        <f>PISOS!C1385</f>
        <v>CERAMICA TRACIA 0.205x0.205</v>
      </c>
      <c r="D348" s="342" t="str">
        <f>PISOS!G1383</f>
        <v>M2</v>
      </c>
      <c r="E348" s="343">
        <f>PISOS!G1435</f>
        <v>37300</v>
      </c>
      <c r="F348" s="372"/>
    </row>
    <row r="349" spans="2:6" ht="12.75">
      <c r="B349" s="508">
        <v>28</v>
      </c>
      <c r="C349" s="341" t="str">
        <f>PISOS!C1438</f>
        <v>CERAMICA ESPARTA 0.205x0.205 (Decorpiso)</v>
      </c>
      <c r="D349" s="342" t="str">
        <f>PISOS!G1436</f>
        <v>M2</v>
      </c>
      <c r="E349" s="343">
        <f>PISOS!G1488</f>
        <v>37300</v>
      </c>
      <c r="F349" s="372"/>
    </row>
    <row r="350" spans="2:6" ht="12.75">
      <c r="B350" s="508">
        <v>29</v>
      </c>
      <c r="C350" s="341" t="str">
        <f>PISOS!C1491</f>
        <v xml:space="preserve">TABLON VITRIFICADO 7x25 </v>
      </c>
      <c r="D350" s="342" t="str">
        <f>PISOS!G1489</f>
        <v>M2</v>
      </c>
      <c r="E350" s="343">
        <f>PISOS!G1541</f>
        <v>25400</v>
      </c>
      <c r="F350" s="372"/>
    </row>
    <row r="351" spans="2:6" ht="12.75">
      <c r="B351" s="508">
        <v>30</v>
      </c>
      <c r="C351" s="341" t="str">
        <f>PISOS!C1544</f>
        <v xml:space="preserve">TABLON VITRIFICADO 12x25 </v>
      </c>
      <c r="D351" s="342" t="str">
        <f>PISOS!G1542</f>
        <v>M2</v>
      </c>
      <c r="E351" s="343">
        <f>PISOS!G1594</f>
        <v>25400</v>
      </c>
      <c r="F351" s="372"/>
    </row>
    <row r="352" spans="2:6" ht="12.75">
      <c r="B352" s="508">
        <v>31</v>
      </c>
      <c r="C352" s="341" t="str">
        <f>PISOS!C1597</f>
        <v xml:space="preserve">TABLON VITRIFICADO 25x25 GRAFILADO </v>
      </c>
      <c r="D352" s="342" t="str">
        <f>PISOS!G1595</f>
        <v>M2</v>
      </c>
      <c r="E352" s="343">
        <f>PISOS!G1647</f>
        <v>25400</v>
      </c>
      <c r="F352" s="372"/>
    </row>
    <row r="353" spans="2:6" ht="12.75">
      <c r="B353" s="508">
        <v>32</v>
      </c>
      <c r="C353" s="341" t="str">
        <f>PISOS!C1650</f>
        <v>TABLON VITRIFICADO 25x25 TIPO A</v>
      </c>
      <c r="D353" s="342" t="str">
        <f>PISOS!G1648</f>
        <v>M2</v>
      </c>
      <c r="E353" s="343">
        <f>PISOS!G1700</f>
        <v>23800</v>
      </c>
      <c r="F353" s="372"/>
    </row>
    <row r="354" spans="2:6" ht="12.75">
      <c r="B354" s="508">
        <v>33</v>
      </c>
      <c r="C354" s="341" t="str">
        <f>PISOS!C1703</f>
        <v>TABLETA DE GRESS DE 20X20</v>
      </c>
      <c r="D354" s="342" t="str">
        <f>PISOS!G1701</f>
        <v>M2</v>
      </c>
      <c r="E354" s="343">
        <f>PISOS!G1753</f>
        <v>36800</v>
      </c>
      <c r="F354" s="372"/>
    </row>
    <row r="355" spans="2:6" ht="12.75">
      <c r="B355" s="508">
        <v>34</v>
      </c>
      <c r="C355" s="341" t="str">
        <f>PISOS!C1756</f>
        <v>SUMINISTRO E INSTALACIÓN PISO EN CERAMICA PARA BAÑOS 20.5X20.5 CM</v>
      </c>
      <c r="D355" s="342" t="str">
        <f>PISOS!G1754</f>
        <v>M2</v>
      </c>
      <c r="E355" s="343">
        <f>PISOS!G1805</f>
        <v>37500</v>
      </c>
      <c r="F355" s="372"/>
    </row>
    <row r="356" spans="2:6">
      <c r="B356" s="511"/>
      <c r="C356" s="331" t="s">
        <v>196</v>
      </c>
      <c r="D356" s="335"/>
      <c r="E356" s="336"/>
      <c r="F356" s="372"/>
    </row>
    <row r="357" spans="2:6" ht="12.75">
      <c r="B357" s="508">
        <v>1</v>
      </c>
      <c r="C357" s="341" t="str">
        <f>CUBIERTA!C8</f>
        <v>CANALETA 43 DE 3.50 M</v>
      </c>
      <c r="D357" s="342" t="str">
        <f>CUBIERTA!G6</f>
        <v>M2</v>
      </c>
      <c r="E357" s="343">
        <f>CUBIERTA!G58</f>
        <v>52200</v>
      </c>
      <c r="F357" s="372"/>
    </row>
    <row r="358" spans="2:6" ht="12.75">
      <c r="B358" s="508">
        <v>2</v>
      </c>
      <c r="C358" s="341" t="str">
        <f>CUBIERTA!C61</f>
        <v>CANALETA 43 DE 4.00 M</v>
      </c>
      <c r="D358" s="342" t="str">
        <f>CUBIERTA!G59</f>
        <v>M2</v>
      </c>
      <c r="E358" s="343">
        <f>CUBIERTA!G111</f>
        <v>52900</v>
      </c>
      <c r="F358" s="372"/>
    </row>
    <row r="359" spans="2:6" ht="12.75">
      <c r="B359" s="508">
        <v>3</v>
      </c>
      <c r="C359" s="341" t="str">
        <f>CUBIERTA!C114</f>
        <v>CANALETA 43 DE 4.50 M</v>
      </c>
      <c r="D359" s="342" t="str">
        <f>CUBIERTA!G112</f>
        <v>M2</v>
      </c>
      <c r="E359" s="343">
        <f>CUBIERTA!G164</f>
        <v>50300</v>
      </c>
      <c r="F359" s="372"/>
    </row>
    <row r="360" spans="2:6" ht="12.75">
      <c r="B360" s="508">
        <v>4</v>
      </c>
      <c r="C360" s="341" t="str">
        <f>CUBIERTA!C167</f>
        <v>CANALETA 43 DE 5.00 M</v>
      </c>
      <c r="D360" s="342" t="str">
        <f>CUBIERTA!G165</f>
        <v>M2</v>
      </c>
      <c r="E360" s="343">
        <f>CUBIERTA!G217</f>
        <v>49800</v>
      </c>
      <c r="F360" s="372"/>
    </row>
    <row r="361" spans="2:6" ht="12.75">
      <c r="B361" s="508">
        <v>5</v>
      </c>
      <c r="C361" s="341" t="str">
        <f>CUBIERTA!C220</f>
        <v>CANALETA 43 DE 5.50 M</v>
      </c>
      <c r="D361" s="342" t="str">
        <f>CUBIERTA!G218</f>
        <v>M2</v>
      </c>
      <c r="E361" s="343">
        <f>CUBIERTA!G270</f>
        <v>49500</v>
      </c>
      <c r="F361" s="372"/>
    </row>
    <row r="362" spans="2:6" ht="12.75">
      <c r="B362" s="508">
        <v>6</v>
      </c>
      <c r="C362" s="341" t="str">
        <f>CUBIERTA!C273</f>
        <v>CANALETA 43 DE 6.00 M</v>
      </c>
      <c r="D362" s="342" t="str">
        <f>CUBIERTA!G271</f>
        <v>M2</v>
      </c>
      <c r="E362" s="343">
        <f>CUBIERTA!G323</f>
        <v>49300</v>
      </c>
      <c r="F362" s="372"/>
    </row>
    <row r="363" spans="2:6" ht="12.75">
      <c r="B363" s="508">
        <v>7</v>
      </c>
      <c r="C363" s="341" t="str">
        <f>CUBIERTA!C326</f>
        <v>CANALETA 90 DE 3.75 M</v>
      </c>
      <c r="D363" s="342" t="str">
        <f>CUBIERTA!G324</f>
        <v>M2</v>
      </c>
      <c r="E363" s="343">
        <f>CUBIERTA!G376</f>
        <v>46200</v>
      </c>
      <c r="F363" s="372"/>
    </row>
    <row r="364" spans="2:6" ht="12.75">
      <c r="B364" s="508">
        <v>8</v>
      </c>
      <c r="C364" s="341" t="str">
        <f>CUBIERTA!C379</f>
        <v>CANALETA 90 DE 4.50 M</v>
      </c>
      <c r="D364" s="342" t="str">
        <f>CUBIERTA!G377</f>
        <v>M2</v>
      </c>
      <c r="E364" s="343">
        <f>CUBIERTA!G429</f>
        <v>46200</v>
      </c>
      <c r="F364" s="372"/>
    </row>
    <row r="365" spans="2:6" ht="12.75">
      <c r="B365" s="508">
        <v>9</v>
      </c>
      <c r="C365" s="341" t="str">
        <f>CUBIERTA!C432</f>
        <v>CANALETA 90 DE 5.25 M</v>
      </c>
      <c r="D365" s="342" t="str">
        <f>CUBIERTA!G430</f>
        <v>M2</v>
      </c>
      <c r="E365" s="343">
        <f>CUBIERTA!G482</f>
        <v>47700</v>
      </c>
      <c r="F365" s="372"/>
    </row>
    <row r="366" spans="2:6" ht="12.75">
      <c r="B366" s="508">
        <v>10</v>
      </c>
      <c r="C366" s="341" t="str">
        <f>CUBIERTA!C485</f>
        <v>CANALETA 90 DE 6.00 M</v>
      </c>
      <c r="D366" s="342" t="str">
        <f>CUBIERTA!G483</f>
        <v>M2</v>
      </c>
      <c r="E366" s="343">
        <f>CUBIERTA!G535</f>
        <v>46500</v>
      </c>
      <c r="F366" s="372"/>
    </row>
    <row r="367" spans="2:6" ht="12.75">
      <c r="B367" s="508">
        <v>11</v>
      </c>
      <c r="C367" s="341" t="str">
        <f>CUBIERTA!C538</f>
        <v>CANALETA 90 DE 7.50 M</v>
      </c>
      <c r="D367" s="342" t="str">
        <f>CUBIERTA!G536</f>
        <v>M2</v>
      </c>
      <c r="E367" s="343">
        <f>CUBIERTA!G588</f>
        <v>39500</v>
      </c>
      <c r="F367" s="372"/>
    </row>
    <row r="368" spans="2:6" ht="12.75">
      <c r="B368" s="508">
        <v>12</v>
      </c>
      <c r="C368" s="341" t="str">
        <f>CUBIERTA!C591</f>
        <v>CANALETA 90 DE 9.00 M</v>
      </c>
      <c r="D368" s="342" t="str">
        <f>CUBIERTA!G589</f>
        <v>M2</v>
      </c>
      <c r="E368" s="343">
        <f>CUBIERTA!G641</f>
        <v>49100</v>
      </c>
      <c r="F368" s="372"/>
    </row>
    <row r="369" spans="2:6" ht="12.75">
      <c r="B369" s="508">
        <v>13</v>
      </c>
      <c r="C369" s="341" t="str">
        <f>CUBIERTA!C644</f>
        <v>CANALETA 90 DE 3.00 M Cal. 26 ACESCO</v>
      </c>
      <c r="D369" s="342" t="str">
        <f>CUBIERTA!G642</f>
        <v>M2</v>
      </c>
      <c r="E369" s="343">
        <f>CUBIERTA!G694</f>
        <v>26000</v>
      </c>
      <c r="F369" s="372"/>
    </row>
    <row r="370" spans="2:6" ht="12.75">
      <c r="B370" s="508">
        <v>14</v>
      </c>
      <c r="C370" s="341" t="str">
        <f>CUBIERTA!C697</f>
        <v>CANALETA 90 DE 4.50 M Cal. 24 ACESCO</v>
      </c>
      <c r="D370" s="342" t="str">
        <f>CUBIERTA!G695</f>
        <v>M2</v>
      </c>
      <c r="E370" s="343">
        <f>CUBIERTA!G747</f>
        <v>28500</v>
      </c>
      <c r="F370" s="372"/>
    </row>
    <row r="371" spans="2:6" ht="12.75">
      <c r="B371" s="508">
        <v>15</v>
      </c>
      <c r="C371" s="341" t="str">
        <f>CUBIERTA!C750</f>
        <v>CANALETA 90 DE 5.00 M Cal. 24 ACESCO</v>
      </c>
      <c r="D371" s="342" t="str">
        <f>CUBIERTA!G748</f>
        <v>M2</v>
      </c>
      <c r="E371" s="343">
        <f>CUBIERTA!G800</f>
        <v>28200</v>
      </c>
      <c r="F371" s="372"/>
    </row>
    <row r="372" spans="2:6" ht="12.75">
      <c r="B372" s="508">
        <v>16</v>
      </c>
      <c r="C372" s="341" t="str">
        <f>CUBIERTA!C803</f>
        <v>CANALETA 90 DE 6.00 M Cal. 24 ACESCO</v>
      </c>
      <c r="D372" s="342" t="str">
        <f>CUBIERTA!G801</f>
        <v>M2</v>
      </c>
      <c r="E372" s="343">
        <f>CUBIERTA!G853</f>
        <v>29200</v>
      </c>
      <c r="F372" s="372"/>
    </row>
    <row r="373" spans="2:6" ht="12.75">
      <c r="B373" s="508">
        <v>17</v>
      </c>
      <c r="C373" s="341" t="str">
        <f>CUBIERTA!C856</f>
        <v>CANALETA 90 DE 7.00 M Cal. 24 ACESCO</v>
      </c>
      <c r="D373" s="342" t="str">
        <f>CUBIERTA!G854</f>
        <v>M2</v>
      </c>
      <c r="E373" s="343">
        <f>CUBIERTA!G906</f>
        <v>28900</v>
      </c>
      <c r="F373" s="372"/>
    </row>
    <row r="374" spans="2:6" ht="12.75">
      <c r="B374" s="508">
        <v>18</v>
      </c>
      <c r="C374" s="341" t="str">
        <f>CUBIERTA!C909</f>
        <v>CANALETA 90 DE 8.00 M Cal. 24 ACESCO</v>
      </c>
      <c r="D374" s="342" t="str">
        <f>CUBIERTA!G907</f>
        <v>M2</v>
      </c>
      <c r="E374" s="343">
        <f>CUBIERTA!G959</f>
        <v>31100</v>
      </c>
      <c r="F374" s="372"/>
    </row>
    <row r="375" spans="2:6" ht="12.75">
      <c r="B375" s="508">
        <v>19</v>
      </c>
      <c r="C375" s="341" t="str">
        <f>CUBIERTA!C962</f>
        <v>TEJA DE BARRO</v>
      </c>
      <c r="D375" s="342" t="str">
        <f>CUBIERTA!G960</f>
        <v>M2</v>
      </c>
      <c r="E375" s="343">
        <f>CUBIERTA!G1012</f>
        <v>33500</v>
      </c>
      <c r="F375" s="372"/>
    </row>
    <row r="376" spans="2:6" ht="12.75">
      <c r="B376" s="508">
        <v>20</v>
      </c>
      <c r="C376" s="341" t="str">
        <f>CUBIERTA!C1015</f>
        <v>TEJA ESPAÑOLA</v>
      </c>
      <c r="D376" s="342" t="str">
        <f>CUBIERTA!G1013</f>
        <v>M2</v>
      </c>
      <c r="E376" s="343">
        <f>CUBIERTA!G1065</f>
        <v>31800</v>
      </c>
      <c r="F376" s="372"/>
    </row>
    <row r="377" spans="2:6" ht="12.75">
      <c r="B377" s="508">
        <v>21</v>
      </c>
      <c r="C377" s="341" t="str">
        <f>CUBIERTA!C1068</f>
        <v>TEJA ONDULADA Nº 4</v>
      </c>
      <c r="D377" s="342" t="str">
        <f>CUBIERTA!G1066</f>
        <v>M2</v>
      </c>
      <c r="E377" s="343">
        <f>CUBIERTA!G1118</f>
        <v>24800</v>
      </c>
      <c r="F377" s="372"/>
    </row>
    <row r="378" spans="2:6" ht="12.75">
      <c r="B378" s="508">
        <v>22</v>
      </c>
      <c r="C378" s="341" t="str">
        <f>CUBIERTA!C1121</f>
        <v>TEJA ONDULADA Nº 5</v>
      </c>
      <c r="D378" s="342" t="str">
        <f>CUBIERTA!G1119</f>
        <v>M2</v>
      </c>
      <c r="E378" s="343">
        <f>CUBIERTA!G1171</f>
        <v>34100</v>
      </c>
      <c r="F378" s="372"/>
    </row>
    <row r="379" spans="2:6" ht="12.75">
      <c r="B379" s="508">
        <v>23</v>
      </c>
      <c r="C379" s="341" t="str">
        <f>CUBIERTA!C1174</f>
        <v>TEJA ONDULADA N° 6</v>
      </c>
      <c r="D379" s="342" t="str">
        <f>CUBIERTA!G1172</f>
        <v>M2</v>
      </c>
      <c r="E379" s="343">
        <f>CUBIERTA!G1224</f>
        <v>25800</v>
      </c>
      <c r="F379" s="372"/>
    </row>
    <row r="380" spans="2:6" ht="12.75">
      <c r="B380" s="508">
        <v>24</v>
      </c>
      <c r="C380" s="341" t="str">
        <f>CUBIERTA!C1227</f>
        <v>TEJA ONDULADA Nº 8</v>
      </c>
      <c r="D380" s="342" t="str">
        <f>CUBIERTA!G1225</f>
        <v>M2</v>
      </c>
      <c r="E380" s="343">
        <f>CUBIERTA!G1277</f>
        <v>26500</v>
      </c>
      <c r="F380" s="372"/>
    </row>
    <row r="381" spans="2:6" ht="12.75">
      <c r="B381" s="508">
        <v>25</v>
      </c>
      <c r="C381" s="341" t="str">
        <f>CUBIERTA!C1280</f>
        <v>TEJA TRANSPARENTE Nº 4</v>
      </c>
      <c r="D381" s="342" t="str">
        <f>CUBIERTA!G1278</f>
        <v>M2</v>
      </c>
      <c r="E381" s="343">
        <f>CUBIERTA!G1330</f>
        <v>29900</v>
      </c>
      <c r="F381" s="372"/>
    </row>
    <row r="382" spans="2:6" ht="12.75">
      <c r="B382" s="508">
        <v>26</v>
      </c>
      <c r="C382" s="341" t="str">
        <f>CUBIERTA!C1333</f>
        <v>TEJA TRANSPARENTE Nº 6</v>
      </c>
      <c r="D382" s="342" t="str">
        <f>CUBIERTA!G1331</f>
        <v>M2</v>
      </c>
      <c r="E382" s="343">
        <f>CUBIERTA!G1383</f>
        <v>28000</v>
      </c>
      <c r="F382" s="372"/>
    </row>
    <row r="383" spans="2:6" ht="12.75">
      <c r="B383" s="508">
        <v>27</v>
      </c>
      <c r="C383" s="341" t="str">
        <f>CUBIERTA!C1386</f>
        <v>ENTRAMADO MADERA TEJA ONDULADA</v>
      </c>
      <c r="D383" s="342" t="str">
        <f>CUBIERTA!G1384</f>
        <v>M2</v>
      </c>
      <c r="E383" s="343">
        <f>CUBIERTA!G1436</f>
        <v>33300</v>
      </c>
      <c r="F383" s="372"/>
    </row>
    <row r="384" spans="2:6" ht="12.75">
      <c r="B384" s="508">
        <v>28</v>
      </c>
      <c r="C384" s="341" t="str">
        <f>CUBIERTA!C1440</f>
        <v>IMPERMEABILIZACION DE PLACA PERMA PLY 3 CAPAS</v>
      </c>
      <c r="D384" s="342" t="str">
        <f>CUBIERTA!G1438</f>
        <v>M2</v>
      </c>
      <c r="E384" s="343">
        <f>CUBIERTA!G1490</f>
        <v>20800</v>
      </c>
      <c r="F384" s="372"/>
    </row>
    <row r="385" spans="2:6" ht="12.75">
      <c r="B385" s="508">
        <v>29</v>
      </c>
      <c r="C385" s="341" t="str">
        <f>CUBIERTA!C1494</f>
        <v>SUMINISTRO E INSTALACION CORREA METALICA DE 1/2" Y CELOSIA DE 3/8"</v>
      </c>
      <c r="D385" s="342" t="str">
        <f>CUBIERTA!G1492</f>
        <v>ML</v>
      </c>
      <c r="E385" s="343">
        <f>CUBIERTA!G1544</f>
        <v>31600</v>
      </c>
      <c r="F385" s="372"/>
    </row>
    <row r="386" spans="2:6" ht="12.75">
      <c r="B386" s="508">
        <v>30</v>
      </c>
      <c r="C386" s="341" t="str">
        <f>CUBIERTA!C1547</f>
        <v>ENTRAMADO METALICO PARA TEJA ONDULADA</v>
      </c>
      <c r="D386" s="342" t="str">
        <f>CUBIERTA!G1545</f>
        <v>M2</v>
      </c>
      <c r="E386" s="343">
        <f>CUBIERTA!G1597</f>
        <v>50800</v>
      </c>
      <c r="F386" s="372"/>
    </row>
    <row r="387" spans="2:6">
      <c r="B387" s="511"/>
      <c r="C387" s="331" t="s">
        <v>1016</v>
      </c>
      <c r="D387" s="335"/>
      <c r="E387" s="336"/>
      <c r="F387" s="372"/>
    </row>
    <row r="388" spans="2:6" ht="12.75">
      <c r="B388" s="508">
        <v>1</v>
      </c>
      <c r="C388" s="341" t="str">
        <f>CIELORASO!C8</f>
        <v>LAMINA PLANA ETERNIT, incluye entramado de madera</v>
      </c>
      <c r="D388" s="342" t="str">
        <f>CIELORASO!G6</f>
        <v>M2</v>
      </c>
      <c r="E388" s="343">
        <f>CIELORASO!G58</f>
        <v>36800</v>
      </c>
      <c r="F388" s="372"/>
    </row>
    <row r="389" spans="2:6" ht="22.5">
      <c r="B389" s="508">
        <v>2</v>
      </c>
      <c r="C389" s="341" t="str">
        <f>CIELORASO!C61</f>
        <v>SUMINISTRO E INSTALACIÓN CIELO RASO EN LAMINA PLANA DE FIBROCEMENTO INCLUYE PINTURA VINILO TIPO I Y ENTRAMADO EN ALUMINIO</v>
      </c>
      <c r="D389" s="342" t="str">
        <f>CIELORASO!G59</f>
        <v>M2</v>
      </c>
      <c r="E389" s="417">
        <f>CIELORASO!G110</f>
        <v>32400</v>
      </c>
      <c r="F389" s="372"/>
    </row>
    <row r="390" spans="2:6" ht="12.75">
      <c r="B390" s="508">
        <v>3</v>
      </c>
      <c r="C390" s="341" t="str">
        <f>CIELORASO!C113</f>
        <v>LAMINA MADEFLEX, incluye entramado de madera</v>
      </c>
      <c r="D390" s="342" t="str">
        <f>CIELORASO!G111</f>
        <v>M2</v>
      </c>
      <c r="E390" s="417">
        <f>CIELORASO!G163</f>
        <v>27400</v>
      </c>
      <c r="F390" s="372"/>
    </row>
    <row r="391" spans="2:6" ht="12.75">
      <c r="B391" s="508">
        <v>4</v>
      </c>
      <c r="C391" s="341" t="str">
        <f>CIELORASO!C166</f>
        <v>LISTON MACHIHEMBRADO VIROLA, incluye entramado de madera</v>
      </c>
      <c r="D391" s="342" t="str">
        <f>CIELORASO!G164</f>
        <v>M2</v>
      </c>
      <c r="E391" s="417">
        <f>CIELORASO!G216</f>
        <v>37200</v>
      </c>
      <c r="F391" s="372"/>
    </row>
    <row r="392" spans="2:6" ht="12.75">
      <c r="B392" s="508">
        <v>5</v>
      </c>
      <c r="C392" s="341" t="str">
        <f>CIELORASO!C219</f>
        <v>LAMINA ICOPOR TEXTURIZADO 0.6x1.2 M, incluye entramado en aluminio</v>
      </c>
      <c r="D392" s="342" t="str">
        <f>CIELORASO!G217</f>
        <v>M2</v>
      </c>
      <c r="E392" s="417">
        <f>CIELORASO!G269</f>
        <v>28500</v>
      </c>
      <c r="F392" s="372"/>
    </row>
    <row r="393" spans="2:6" ht="12.75">
      <c r="B393" s="508">
        <v>6</v>
      </c>
      <c r="C393" s="341" t="str">
        <f>CIELORASO!C272</f>
        <v>LAMINA IVC TEXTURIZADO 0.6x1.2 M, incluye entramado en aluminio</v>
      </c>
      <c r="D393" s="342" t="str">
        <f>CIELORASO!G270</f>
        <v>M2</v>
      </c>
      <c r="E393" s="418">
        <f>CIELORASO!G322</f>
        <v>29600</v>
      </c>
      <c r="F393" s="372"/>
    </row>
    <row r="394" spans="2:6">
      <c r="B394" s="511"/>
      <c r="C394" s="331" t="s">
        <v>941</v>
      </c>
      <c r="D394" s="335"/>
      <c r="E394" s="336"/>
      <c r="F394" s="372"/>
    </row>
    <row r="395" spans="2:6" ht="12.75">
      <c r="B395" s="508">
        <v>1</v>
      </c>
      <c r="C395" s="341" t="str">
        <f>APAR.SANIT!C8</f>
        <v>SUMINISTRO E INSTALACION DE SANITARIO ACUACER, INCLUYE PUNTO HIDRAULICO</v>
      </c>
      <c r="D395" s="342" t="str">
        <f>APAR.SANIT!G6</f>
        <v>UND</v>
      </c>
      <c r="E395" s="343">
        <f>APAR.SANIT!G58</f>
        <v>210700</v>
      </c>
      <c r="F395" s="372"/>
    </row>
    <row r="396" spans="2:6" ht="12.75">
      <c r="B396" s="508">
        <v>2</v>
      </c>
      <c r="C396" s="341" t="str">
        <f>APAR.SANIT!C61</f>
        <v>SUMINISTRO E INSTALACION DE SANITARIO NOVA, INCLUYE PUNTO HIDRAULICO</v>
      </c>
      <c r="D396" s="342" t="str">
        <f>APAR.SANIT!G59</f>
        <v>UND</v>
      </c>
      <c r="E396" s="343">
        <f>APAR.SANIT!G111</f>
        <v>240700</v>
      </c>
      <c r="F396" s="372"/>
    </row>
    <row r="397" spans="2:6" ht="12.75">
      <c r="B397" s="508">
        <v>3</v>
      </c>
      <c r="C397" s="341" t="str">
        <f>APAR.SANIT!C114</f>
        <v>SUMINISTRO E INSTALACION DE SANITARIO TIFFANY, INCLUYE PUNTO HIDRAULICO</v>
      </c>
      <c r="D397" s="342" t="str">
        <f>APAR.SANIT!G112</f>
        <v>UND</v>
      </c>
      <c r="E397" s="343">
        <f>APAR.SANIT!G164</f>
        <v>322000</v>
      </c>
      <c r="F397" s="372"/>
    </row>
    <row r="398" spans="2:6" ht="12.75">
      <c r="B398" s="508">
        <v>4</v>
      </c>
      <c r="C398" s="341" t="str">
        <f>APAR.SANIT!C167</f>
        <v>SUMINISTRO E INSTALACION DE LAVAMANOS ACUACER, INCLUYE PUNTO HIDRAULICO</v>
      </c>
      <c r="D398" s="342" t="str">
        <f>APAR.SANIT!G165</f>
        <v>UND</v>
      </c>
      <c r="E398" s="343">
        <f>APAR.SANIT!G217</f>
        <v>91100</v>
      </c>
      <c r="F398" s="372"/>
    </row>
    <row r="399" spans="2:6" ht="12.75">
      <c r="B399" s="508">
        <v>5</v>
      </c>
      <c r="C399" s="341" t="str">
        <f>APAR.SANIT!C220</f>
        <v>SUMINISTRO E INSTALACION DE LAVAMANOS NOVA, INCLUYE PUNTO HIDRAULICO</v>
      </c>
      <c r="D399" s="342" t="str">
        <f>APAR.SANIT!G218</f>
        <v>UND</v>
      </c>
      <c r="E399" s="343">
        <f>APAR.SANIT!G270</f>
        <v>158500</v>
      </c>
      <c r="F399" s="372"/>
    </row>
    <row r="400" spans="2:6" ht="12.75">
      <c r="B400" s="508">
        <v>6</v>
      </c>
      <c r="C400" s="341" t="str">
        <f>APAR.SANIT!C273</f>
        <v>SUMINISTRO E INSTALACION DE LAVAMANOS TIFFANY, INCLUYE PUNTO HIDRAULICO</v>
      </c>
      <c r="D400" s="342" t="str">
        <f>APAR.SANIT!G271</f>
        <v>UND</v>
      </c>
      <c r="E400" s="343">
        <f>APAR.SANIT!G323</f>
        <v>236600</v>
      </c>
      <c r="F400" s="372"/>
    </row>
    <row r="401" spans="2:6" ht="12.75">
      <c r="B401" s="508">
        <v>7</v>
      </c>
      <c r="C401" s="341" t="str">
        <f>APAR.SANIT!C326</f>
        <v>SUMINISTRO E INSTALACION DE ORINAL MEDIANO, INCLUYE PUNTO HIDRAULICO</v>
      </c>
      <c r="D401" s="342" t="str">
        <f>APAR.SANIT!G324</f>
        <v>UND</v>
      </c>
      <c r="E401" s="343">
        <f>APAR.SANIT!G376</f>
        <v>264900</v>
      </c>
      <c r="F401" s="372"/>
    </row>
    <row r="402" spans="2:6" ht="12.75">
      <c r="B402" s="508">
        <v>8</v>
      </c>
      <c r="C402" s="341" t="str">
        <f>APAR.SANIT!C379</f>
        <v>SUMINISTRO E INSTALACION DE ORINAL RESIDENCIAL, INCLUYE PUNTO HIDRAULICO</v>
      </c>
      <c r="D402" s="342" t="str">
        <f>APAR.SANIT!G377</f>
        <v>UND</v>
      </c>
      <c r="E402" s="343">
        <f>APAR.SANIT!G429</f>
        <v>141700</v>
      </c>
      <c r="F402" s="372"/>
    </row>
    <row r="403" spans="2:6" ht="12.75">
      <c r="B403" s="508">
        <v>9</v>
      </c>
      <c r="C403" s="341" t="str">
        <f>APAR.SANIT!C432</f>
        <v>SUMINISTRO E INSTALACION DE SANITARIO TREVI</v>
      </c>
      <c r="D403" s="342" t="str">
        <f>APAR.SANIT!G430</f>
        <v>UND</v>
      </c>
      <c r="E403" s="343">
        <f>APAR.SANIT!G482</f>
        <v>197200</v>
      </c>
      <c r="F403" s="372"/>
    </row>
    <row r="404" spans="2:6" ht="12.75">
      <c r="B404" s="508">
        <v>10</v>
      </c>
      <c r="C404" s="341" t="str">
        <f>APAR.SANIT!C485</f>
        <v>SUMINISTRO E INSTALACION DE ORINAL CON GRIFERIA</v>
      </c>
      <c r="D404" s="342" t="str">
        <f>APAR.SANIT!G483</f>
        <v>UND</v>
      </c>
      <c r="E404" s="343">
        <f>APAR.SANIT!G535</f>
        <v>260000</v>
      </c>
      <c r="F404" s="372"/>
    </row>
    <row r="405" spans="2:6" ht="12.75">
      <c r="B405" s="508">
        <v>11</v>
      </c>
      <c r="C405" s="341" t="str">
        <f>APAR.SANIT!C538</f>
        <v>SUMINISTRO E INSTALACION DE LAVAMANOS TREVI</v>
      </c>
      <c r="D405" s="342" t="str">
        <f>APAR.SANIT!G536</f>
        <v>UND</v>
      </c>
      <c r="E405" s="343">
        <f>APAR.SANIT!G588</f>
        <v>88300</v>
      </c>
      <c r="F405" s="372"/>
    </row>
    <row r="406" spans="2:6" ht="12.75">
      <c r="B406" s="508">
        <v>12</v>
      </c>
      <c r="C406" s="341" t="str">
        <f>APAR.SANIT!C591</f>
        <v xml:space="preserve">INSTALACION DE LAVAMANOS </v>
      </c>
      <c r="D406" s="342" t="str">
        <f>APAR.SANIT!G589</f>
        <v>UND</v>
      </c>
      <c r="E406" s="343">
        <f>APAR.SANIT!G641</f>
        <v>33700</v>
      </c>
      <c r="F406" s="372"/>
    </row>
    <row r="407" spans="2:6" ht="12.75">
      <c r="B407" s="508">
        <v>13</v>
      </c>
      <c r="C407" s="341" t="str">
        <f>APAR.SANIT!C644</f>
        <v xml:space="preserve">INSTALACION DE SANITARIO </v>
      </c>
      <c r="D407" s="342" t="str">
        <f>APAR.SANIT!G642</f>
        <v>UND</v>
      </c>
      <c r="E407" s="343">
        <f>APAR.SANIT!G694</f>
        <v>33700</v>
      </c>
      <c r="F407" s="372"/>
    </row>
    <row r="408" spans="2:6" ht="12.75">
      <c r="B408" s="508">
        <v>14</v>
      </c>
      <c r="C408" s="341" t="str">
        <f>APAR.SANIT!C697</f>
        <v>SUMINISTRO E INSTALACION DE LAVAPLATOS EN ACERO INOXIDABLE INCLUYE MEZCLADOR</v>
      </c>
      <c r="D408" s="342" t="str">
        <f>APAR.SANIT!G695</f>
        <v>UND</v>
      </c>
      <c r="E408" s="343">
        <f>APAR.SANIT!G747</f>
        <v>153400</v>
      </c>
      <c r="F408" s="372"/>
    </row>
    <row r="409" spans="2:6" ht="12.75">
      <c r="B409" s="508">
        <v>15</v>
      </c>
      <c r="C409" s="341" t="str">
        <f>APAR.SANIT!C750</f>
        <v>INSTALACION DE LAVAPLATOS</v>
      </c>
      <c r="D409" s="342" t="str">
        <f>APAR.SANIT!G748</f>
        <v>UND</v>
      </c>
      <c r="E409" s="343">
        <f>APAR.SANIT!G800</f>
        <v>27000</v>
      </c>
      <c r="F409" s="372"/>
    </row>
    <row r="410" spans="2:6" ht="12.75">
      <c r="B410" s="508">
        <v>16</v>
      </c>
      <c r="C410" s="341" t="str">
        <f>APAR.SANIT!C805</f>
        <v>SUMINISTRO E INSTALACIÒN DUCHA MEZCLADORA</v>
      </c>
      <c r="D410" s="342" t="str">
        <f>APAR.SANIT!G803</f>
        <v>UND</v>
      </c>
      <c r="E410" s="343">
        <f>APAR.SANIT!G855</f>
        <v>45100</v>
      </c>
      <c r="F410" s="372"/>
    </row>
    <row r="411" spans="2:6" ht="12.75">
      <c r="B411" s="508">
        <v>17</v>
      </c>
      <c r="C411" s="341" t="str">
        <f>APAR.SANIT!C860</f>
        <v>SUMINISTRO E INSTALACIÒN DE DUCHA TELEFONO</v>
      </c>
      <c r="D411" s="342" t="str">
        <f>APAR.SANIT!G858</f>
        <v>UND</v>
      </c>
      <c r="E411" s="343">
        <f>APAR.SANIT!G910</f>
        <v>78700</v>
      </c>
      <c r="F411" s="372"/>
    </row>
    <row r="412" spans="2:6" ht="12.75">
      <c r="B412" s="508">
        <v>18</v>
      </c>
      <c r="C412" s="341" t="str">
        <f>APAR.SANIT!C915</f>
        <v>SUMINISTRO E INSTALACIÓN LAVAMANOS QUIRURGICO</v>
      </c>
      <c r="D412" s="342" t="str">
        <f>APAR.SANIT!G913</f>
        <v>UND</v>
      </c>
      <c r="E412" s="343">
        <f>APAR.SANIT!G965</f>
        <v>2000700</v>
      </c>
      <c r="F412" s="372"/>
    </row>
    <row r="413" spans="2:6" ht="12.75">
      <c r="B413" s="508">
        <v>19</v>
      </c>
      <c r="C413" s="341" t="str">
        <f>APAR.SANIT!C970</f>
        <v xml:space="preserve">SUMINISTRO E INSTALACION ACCESORIOS PARA INCRUSTAR </v>
      </c>
      <c r="D413" s="342" t="str">
        <f>APAR.SANIT!G968</f>
        <v>UND</v>
      </c>
      <c r="E413" s="343">
        <f>APAR.SANIT!G1020</f>
        <v>36700</v>
      </c>
      <c r="F413" s="372"/>
    </row>
    <row r="414" spans="2:6" ht="12.75">
      <c r="B414" s="508">
        <v>20</v>
      </c>
      <c r="C414" s="341" t="str">
        <f>APAR.SANIT!C1025</f>
        <v>SUMINISTRO E INSTALACION REJILLA PLASTICA PARA PISO</v>
      </c>
      <c r="D414" s="342" t="str">
        <f>APAR.SANIT!G1023</f>
        <v>UND</v>
      </c>
      <c r="E414" s="343">
        <f>APAR.SANIT!G1075</f>
        <v>8700</v>
      </c>
      <c r="F414" s="372"/>
    </row>
    <row r="415" spans="2:6">
      <c r="B415" s="511"/>
      <c r="C415" s="331" t="s">
        <v>1017</v>
      </c>
      <c r="D415" s="335"/>
      <c r="E415" s="336"/>
      <c r="F415" s="372"/>
    </row>
    <row r="416" spans="2:6" ht="12.75">
      <c r="B416" s="508">
        <v>1</v>
      </c>
      <c r="C416" s="341" t="str">
        <f>'ESTUCO Y PINTURA'!C8</f>
        <v>ANTICORROSIVO SOBRE LAMINA</v>
      </c>
      <c r="D416" s="342" t="str">
        <f>'ESTUCO Y PINTURA'!G6</f>
        <v>ML</v>
      </c>
      <c r="E416" s="392">
        <f>'ESTUCO Y PINTURA'!G58</f>
        <v>4400</v>
      </c>
      <c r="F416" s="372"/>
    </row>
    <row r="417" spans="2:6" ht="12.75">
      <c r="B417" s="508">
        <v>2</v>
      </c>
      <c r="C417" s="341" t="str">
        <f>'ESTUCO Y PINTURA'!C61</f>
        <v>ANTICORROSIVO SOBRE LAMINA LLENA</v>
      </c>
      <c r="D417" s="342" t="str">
        <f>'ESTUCO Y PINTURA'!G59</f>
        <v>M2</v>
      </c>
      <c r="E417" s="392">
        <f>'ESTUCO Y PINTURA'!G111</f>
        <v>7900</v>
      </c>
      <c r="F417" s="372"/>
    </row>
    <row r="418" spans="2:6" ht="12.75">
      <c r="B418" s="508">
        <v>3</v>
      </c>
      <c r="C418" s="341" t="str">
        <f>'ESTUCO Y PINTURA'!C114</f>
        <v>CARBURO SOBRE PAÑETE</v>
      </c>
      <c r="D418" s="342" t="str">
        <f>'ESTUCO Y PINTURA'!G112</f>
        <v>M2</v>
      </c>
      <c r="E418" s="392">
        <f>'ESTUCO Y PINTURA'!G164</f>
        <v>7100</v>
      </c>
      <c r="F418" s="372"/>
    </row>
    <row r="419" spans="2:6" ht="12.75">
      <c r="B419" s="508">
        <v>4</v>
      </c>
      <c r="C419" s="341" t="str">
        <f>'ESTUCO Y PINTURA'!C167</f>
        <v>ESMALTE SOBRE LAMINA</v>
      </c>
      <c r="D419" s="342" t="str">
        <f>'ESTUCO Y PINTURA'!G165</f>
        <v>ML</v>
      </c>
      <c r="E419" s="392">
        <f>'ESTUCO Y PINTURA'!G217</f>
        <v>4300</v>
      </c>
      <c r="F419" s="372"/>
    </row>
    <row r="420" spans="2:6" ht="12.75">
      <c r="B420" s="508">
        <v>5</v>
      </c>
      <c r="C420" s="341" t="str">
        <f>'ESTUCO Y PINTURA'!C220</f>
        <v>ESMALTE SOBRE LAMINA LLENA</v>
      </c>
      <c r="D420" s="342" t="str">
        <f>'ESTUCO Y PINTURA'!G218</f>
        <v>M2</v>
      </c>
      <c r="E420" s="392">
        <f>'ESTUCO Y PINTURA'!G270</f>
        <v>8500</v>
      </c>
      <c r="F420" s="372"/>
    </row>
    <row r="421" spans="2:6" ht="12.75">
      <c r="B421" s="508">
        <v>6</v>
      </c>
      <c r="C421" s="341" t="str">
        <f>'ESTUCO Y PINTURA'!C273</f>
        <v>ESMALTE SOBRE MADERA LLENA</v>
      </c>
      <c r="D421" s="342" t="str">
        <f>'ESTUCO Y PINTURA'!G271</f>
        <v>M2</v>
      </c>
      <c r="E421" s="392">
        <f>'ESTUCO Y PINTURA'!G323</f>
        <v>14300</v>
      </c>
      <c r="F421" s="372"/>
    </row>
    <row r="422" spans="2:6" ht="12.75">
      <c r="B422" s="508">
        <v>7</v>
      </c>
      <c r="C422" s="341" t="str">
        <f>'ESTUCO Y PINTURA'!C326</f>
        <v>ESMALTE SOBRE MADERA</v>
      </c>
      <c r="D422" s="342" t="str">
        <f>'ESTUCO Y PINTURA'!G324</f>
        <v>ML</v>
      </c>
      <c r="E422" s="392">
        <f>'ESTUCO Y PINTURA'!G376</f>
        <v>3400</v>
      </c>
      <c r="F422" s="372"/>
    </row>
    <row r="423" spans="2:6" ht="12.75">
      <c r="B423" s="508">
        <v>8</v>
      </c>
      <c r="C423" s="341" t="str">
        <f>'ESTUCO Y PINTURA'!C379</f>
        <v>ESMALTE SOBRE MARCOS LAMINA</v>
      </c>
      <c r="D423" s="342" t="str">
        <f>'ESTUCO Y PINTURA'!G377</f>
        <v>ML</v>
      </c>
      <c r="E423" s="392">
        <f>'ESTUCO Y PINTURA'!G429</f>
        <v>7200</v>
      </c>
      <c r="F423" s="372"/>
    </row>
    <row r="424" spans="2:6" ht="12.75">
      <c r="B424" s="508">
        <v>9</v>
      </c>
      <c r="C424" s="341" t="str">
        <f>'ESTUCO Y PINTURA'!C432</f>
        <v>ESMALTE SOBRE MARCOS MADERA</v>
      </c>
      <c r="D424" s="342" t="str">
        <f>'ESTUCO Y PINTURA'!G430</f>
        <v>ML</v>
      </c>
      <c r="E424" s="392">
        <f>'ESTUCO Y PINTURA'!G482</f>
        <v>7300</v>
      </c>
      <c r="F424" s="372"/>
    </row>
    <row r="425" spans="2:6" ht="12.75">
      <c r="B425" s="508">
        <v>10</v>
      </c>
      <c r="C425" s="341" t="str">
        <f>'ESTUCO Y PINTURA'!C485</f>
        <v>ESTUCO</v>
      </c>
      <c r="D425" s="342" t="str">
        <f>'ESTUCO Y PINTURA'!G483</f>
        <v>M2</v>
      </c>
      <c r="E425" s="343">
        <f>'ESTUCO Y PINTURA'!G535</f>
        <v>4400</v>
      </c>
      <c r="F425" s="372"/>
    </row>
    <row r="426" spans="2:6" ht="12.75">
      <c r="B426" s="508">
        <v>11</v>
      </c>
      <c r="C426" s="341" t="str">
        <f>'ESTUCO Y PINTURA'!C538</f>
        <v>ESTUCO Y VINILO 3 MANOS</v>
      </c>
      <c r="D426" s="342" t="str">
        <f>'ESTUCO Y PINTURA'!G536</f>
        <v>M2</v>
      </c>
      <c r="E426" s="343">
        <f>'ESTUCO Y PINTURA'!G588</f>
        <v>8000</v>
      </c>
      <c r="F426" s="372"/>
    </row>
    <row r="427" spans="2:6" ht="12.75">
      <c r="B427" s="508">
        <v>12</v>
      </c>
      <c r="C427" s="341" t="str">
        <f>'ESTUCO Y PINTURA'!C591</f>
        <v>FILOS Y DILATACIONES</v>
      </c>
      <c r="D427" s="342" t="str">
        <f>'ESTUCO Y PINTURA'!G589</f>
        <v>ML</v>
      </c>
      <c r="E427" s="343">
        <f>'ESTUCO Y PINTURA'!G641</f>
        <v>3100</v>
      </c>
      <c r="F427" s="372"/>
    </row>
    <row r="428" spans="2:6" ht="12.75">
      <c r="B428" s="508">
        <v>13</v>
      </c>
      <c r="C428" s="341" t="str">
        <f>'ESTUCO Y PINTURA'!C644</f>
        <v>MARMOLINA SOBRE PAÑETE</v>
      </c>
      <c r="D428" s="342" t="str">
        <f>'ESTUCO Y PINTURA'!G642</f>
        <v>M2</v>
      </c>
      <c r="E428" s="343">
        <f>'ESTUCO Y PINTURA'!G694</f>
        <v>6500</v>
      </c>
      <c r="F428" s="372"/>
    </row>
    <row r="429" spans="2:6" ht="12.75">
      <c r="B429" s="508">
        <v>14</v>
      </c>
      <c r="C429" s="341" t="str">
        <f>'ESTUCO Y PINTURA'!C697</f>
        <v>VINILO SOBRE PAÑETE 2 MANOS</v>
      </c>
      <c r="D429" s="342" t="str">
        <f>'ESTUCO Y PINTURA'!G695</f>
        <v>M2</v>
      </c>
      <c r="E429" s="343">
        <f>'ESTUCO Y PINTURA'!G747</f>
        <v>4600</v>
      </c>
      <c r="F429" s="372"/>
    </row>
    <row r="430" spans="2:6" ht="12.75">
      <c r="B430" s="508">
        <v>15</v>
      </c>
      <c r="C430" s="341" t="str">
        <f>'ESTUCO Y PINTURA'!C750</f>
        <v>APLICACIÓN PLASTIESTUCO</v>
      </c>
      <c r="D430" s="342" t="str">
        <f>'ESTUCO Y PINTURA'!G748</f>
        <v>M2</v>
      </c>
      <c r="E430" s="343">
        <f>'ESTUCO Y PINTURA'!G800</f>
        <v>6100</v>
      </c>
      <c r="F430" s="372"/>
    </row>
    <row r="431" spans="2:6" ht="12.75">
      <c r="B431" s="508">
        <v>16</v>
      </c>
      <c r="C431" s="341" t="str">
        <f>'ESTUCO Y PINTURA'!C803</f>
        <v>APLICACIÓN PLASTIESTUCO Y TRES MANOS VINILO</v>
      </c>
      <c r="D431" s="342" t="str">
        <f>'ESTUCO Y PINTURA'!G801</f>
        <v>M2</v>
      </c>
      <c r="E431" s="343">
        <f>'ESTUCO Y PINTURA'!G853</f>
        <v>10900</v>
      </c>
      <c r="F431" s="372"/>
    </row>
    <row r="432" spans="2:6" ht="12.75">
      <c r="B432" s="508">
        <v>17</v>
      </c>
      <c r="C432" s="341" t="str">
        <f>'ESTUCO Y PINTURA'!C856</f>
        <v>PINTURA VINILO 3 MANOS</v>
      </c>
      <c r="D432" s="342" t="str">
        <f>'ESTUCO Y PINTURA'!G854</f>
        <v>M2</v>
      </c>
      <c r="E432" s="343">
        <f>'ESTUCO Y PINTURA'!G906</f>
        <v>7000</v>
      </c>
      <c r="F432" s="372"/>
    </row>
    <row r="433" spans="2:6" ht="12.75">
      <c r="B433" s="508">
        <v>18</v>
      </c>
      <c r="C433" s="341" t="str">
        <f>'ESTUCO Y PINTURA'!C909</f>
        <v>ESTUCO Y PINTURA EXTERIORES</v>
      </c>
      <c r="D433" s="342" t="str">
        <f>'ESTUCO Y PINTURA'!G907</f>
        <v>M2</v>
      </c>
      <c r="E433" s="343">
        <f>'ESTUCO Y PINTURA'!G959</f>
        <v>10900</v>
      </c>
      <c r="F433" s="372"/>
    </row>
    <row r="434" spans="2:6" ht="12.75">
      <c r="B434" s="508">
        <v>19</v>
      </c>
      <c r="C434" s="341" t="str">
        <f>'ESTUCO Y PINTURA'!C962</f>
        <v>PINTURA EPOXICA</v>
      </c>
      <c r="D434" s="342" t="str">
        <f>'ESTUCO Y PINTURA'!G960</f>
        <v>M2</v>
      </c>
      <c r="E434" s="343">
        <f>'ESTUCO Y PINTURA'!G1012</f>
        <v>16800</v>
      </c>
      <c r="F434" s="372"/>
    </row>
    <row r="435" spans="2:6" ht="12.75">
      <c r="B435" s="508">
        <v>20</v>
      </c>
      <c r="C435" s="341" t="str">
        <f>'ESTUCO Y PINTURA'!C1015</f>
        <v>PINTURA VINILO 3 MANOS PARA CIELO RASO</v>
      </c>
      <c r="D435" s="342" t="str">
        <f>'ESTUCO Y PINTURA'!G1013</f>
        <v>M2</v>
      </c>
      <c r="E435" s="343">
        <f>'ESTUCO Y PINTURA'!G1065</f>
        <v>9900</v>
      </c>
      <c r="F435" s="372"/>
    </row>
    <row r="436" spans="2:6" ht="12.75">
      <c r="B436" s="508">
        <v>21</v>
      </c>
      <c r="C436" s="341" t="str">
        <f>'ESTUCO Y PINTURA'!C1068</f>
        <v>PINTURA PARA EXTERIORES</v>
      </c>
      <c r="D436" s="342" t="str">
        <f>'ESTUCO Y PINTURA'!G1066</f>
        <v>M2</v>
      </c>
      <c r="E436" s="343">
        <f>'ESTUCO Y PINTURA'!G1118</f>
        <v>7200</v>
      </c>
      <c r="F436" s="372"/>
    </row>
    <row r="437" spans="2:6" ht="12.75">
      <c r="B437" s="508">
        <v>22</v>
      </c>
      <c r="C437" s="341" t="str">
        <f>'ESTUCO Y PINTURA'!C1121</f>
        <v>PINTURA ACRILICA PARA CIELO RASO</v>
      </c>
      <c r="D437" s="342" t="str">
        <f>'ESTUCO Y PINTURA'!G1119</f>
        <v>M2</v>
      </c>
      <c r="E437" s="343">
        <f>'ESTUCO Y PINTURA'!G1171</f>
        <v>16000</v>
      </c>
      <c r="F437" s="372"/>
    </row>
    <row r="438" spans="2:6" ht="12.75">
      <c r="B438" s="508">
        <v>23</v>
      </c>
      <c r="C438" s="341" t="str">
        <f>'ESTUCO Y PINTURA'!C1175</f>
        <v>PINTURA FACHADA CON PIGMENTO SOBRE GRANIPLAST</v>
      </c>
      <c r="D438" s="342" t="str">
        <f>'ESTUCO Y PINTURA'!G1173</f>
        <v>M2</v>
      </c>
      <c r="E438" s="343">
        <f>'ESTUCO Y PINTURA'!G1225</f>
        <v>5600</v>
      </c>
      <c r="F438" s="372"/>
    </row>
    <row r="439" spans="2:6">
      <c r="B439" s="511"/>
      <c r="C439" s="331" t="s">
        <v>929</v>
      </c>
      <c r="D439" s="335"/>
      <c r="E439" s="336"/>
      <c r="F439" s="372"/>
    </row>
    <row r="440" spans="2:6" ht="12.75">
      <c r="B440" s="508">
        <v>1</v>
      </c>
      <c r="C440" s="341" t="str">
        <f>'CARPINTERIA MADERA'!C8</f>
        <v>SUMINISTRO E INSTALACIÓN PUERTA EN VAIVEN DE (1.85X2.00) CON VIDRIO</v>
      </c>
      <c r="D440" s="342" t="str">
        <f>'CARPINTERIA MADERA'!G6</f>
        <v>UND</v>
      </c>
      <c r="E440" s="417">
        <f>'CARPINTERIA MADERA'!G58</f>
        <v>498700</v>
      </c>
      <c r="F440" s="372"/>
    </row>
    <row r="441" spans="2:6" ht="12.75">
      <c r="B441" s="508">
        <v>2</v>
      </c>
      <c r="C441" s="341" t="str">
        <f>'CARPINTERIA MADERA'!C61</f>
        <v>SUMINISTRO E INSTALACIÓN DE PUERTA DE MADERA  EN VAIVEN DE (1.4X2.00) CON VIDRIO</v>
      </c>
      <c r="D441" s="342" t="str">
        <f>'CARPINTERIA MADERA'!G59</f>
        <v>UND</v>
      </c>
      <c r="E441" s="417">
        <f>'CARPINTERIA MADERA'!G111</f>
        <v>427200</v>
      </c>
      <c r="F441" s="372"/>
    </row>
    <row r="442" spans="2:6" ht="12.75">
      <c r="B442" s="508">
        <v>3</v>
      </c>
      <c r="C442" s="341" t="str">
        <f>'CARPINTERIA MADERA'!C114</f>
        <v>SUMINISTRO E INSTALACIÓN PUERTA MADERA EN VAIVEN DE (0.85X2.00) CON VIDRIO</v>
      </c>
      <c r="D442" s="342" t="str">
        <f>'CARPINTERIA MADERA'!G112</f>
        <v>UND</v>
      </c>
      <c r="E442" s="417">
        <f>'CARPINTERIA MADERA'!G164</f>
        <v>247200</v>
      </c>
      <c r="F442" s="372"/>
    </row>
    <row r="443" spans="2:6" ht="12.75">
      <c r="B443" s="508">
        <v>4</v>
      </c>
      <c r="C443" s="341" t="str">
        <f>'CARPINTERIA MADERA'!C167</f>
        <v>HOJA FORTEC 0.90x2.00 M, NO INCLUYE MARCO NI CERRADURA</v>
      </c>
      <c r="D443" s="342" t="str">
        <f>'CARPINTERIA MADERA'!G165</f>
        <v>UND</v>
      </c>
      <c r="E443" s="417">
        <f>'CARPINTERIA MADERA'!G217</f>
        <v>127900</v>
      </c>
      <c r="F443" s="372"/>
    </row>
    <row r="444" spans="2:6" ht="12.75">
      <c r="B444" s="508">
        <v>5</v>
      </c>
      <c r="C444" s="341" t="str">
        <f>'CARPINTERIA MADERA'!C220</f>
        <v>HOJA FORTEC 1.00x2.00 M, NO INCLUYE MARCO NI CERRADURA</v>
      </c>
      <c r="D444" s="342" t="str">
        <f>'CARPINTERIA MADERA'!G218</f>
        <v>UND</v>
      </c>
      <c r="E444" s="417">
        <f>'CARPINTERIA MADERA'!G270</f>
        <v>138400</v>
      </c>
      <c r="F444" s="372"/>
    </row>
    <row r="445" spans="2:6" ht="12.75">
      <c r="B445" s="508">
        <v>6</v>
      </c>
      <c r="C445" s="341" t="str">
        <f>'CARPINTERIA MADERA'!C273</f>
        <v>HOJA PIZANO 0.70x2.00 M, NO INCLUYE MARCO NI CERRADURA</v>
      </c>
      <c r="D445" s="342" t="str">
        <f>'CARPINTERIA MADERA'!G271</f>
        <v>UND</v>
      </c>
      <c r="E445" s="417">
        <f>'CARPINTERIA MADERA'!G323</f>
        <v>127900</v>
      </c>
      <c r="F445" s="372"/>
    </row>
    <row r="446" spans="2:6" ht="12.75">
      <c r="B446" s="508">
        <v>7</v>
      </c>
      <c r="C446" s="341" t="str">
        <f>'CARPINTERIA MADERA'!C326</f>
        <v>HOJA PIZANO 0.80x2.00 M, NO INCLUYE MARCO NI CERRADURA</v>
      </c>
      <c r="D446" s="342" t="str">
        <f>'CARPINTERIA MADERA'!G324</f>
        <v>UND</v>
      </c>
      <c r="E446" s="417">
        <f>'CARPINTERIA MADERA'!G376</f>
        <v>148900</v>
      </c>
      <c r="F446" s="372"/>
    </row>
    <row r="447" spans="2:6" ht="22.5" customHeight="1">
      <c r="B447" s="508">
        <v>8</v>
      </c>
      <c r="C447" s="341" t="str">
        <f>'CARPINTERIA MADERA'!C379</f>
        <v>HOJA FORTEC 0.60x2.00 M, INCLUYE MARCO CERRADURA E INSTALACION</v>
      </c>
      <c r="D447" s="342" t="str">
        <f>'CARPINTERIA MADERA'!G377</f>
        <v>UND</v>
      </c>
      <c r="E447" s="417">
        <f>'CARPINTERIA MADERA'!G429</f>
        <v>204900</v>
      </c>
      <c r="F447" s="372"/>
    </row>
    <row r="448" spans="2:6" ht="12.75">
      <c r="B448" s="508">
        <v>9</v>
      </c>
      <c r="C448" s="341" t="str">
        <f>'CARPINTERIA MADERA'!C432</f>
        <v>SUMINISTRO E INSTALACIÓN PUERTA EN MADERA 0.70x2.00 M, INCLUYE MARCO CERRADURA E INSTALACION</v>
      </c>
      <c r="D448" s="361" t="str">
        <f>'CARPINTERIA MADERA'!G430</f>
        <v>UND</v>
      </c>
      <c r="E448" s="417">
        <f>'CARPINTERIA MADERA'!G482</f>
        <v>230100</v>
      </c>
      <c r="F448" s="372"/>
    </row>
    <row r="449" spans="2:6" ht="22.5" customHeight="1">
      <c r="B449" s="508">
        <v>10</v>
      </c>
      <c r="C449" s="341" t="str">
        <f>'CARPINTERIA MADERA'!C485</f>
        <v>SUMINISTRO E INSTALACIÓ PUERTA EN MADERA 0.80x2.00 M, INCLUYE MARCO CERRADURA E INSTALACION</v>
      </c>
      <c r="D449" s="342" t="str">
        <f>'CARPINTERIA MADERA'!G483</f>
        <v>UND</v>
      </c>
      <c r="E449" s="417">
        <f>'CARPINTERIA MADERA'!G535</f>
        <v>248000</v>
      </c>
      <c r="F449" s="372"/>
    </row>
    <row r="450" spans="2:6" ht="12.75">
      <c r="B450" s="508">
        <v>11</v>
      </c>
      <c r="C450" s="341" t="str">
        <f>'CARPINTERIA MADERA'!C538</f>
        <v>SUMINISTRO E INSTALACIÓN PUERTA EN MADERA 0.90x2.00 M, INCLUYE MARCO CERRADURA E INSTALACION</v>
      </c>
      <c r="D450" s="342" t="str">
        <f>'CARPINTERIA MADERA'!G536</f>
        <v>UND</v>
      </c>
      <c r="E450" s="417">
        <f>'CARPINTERIA MADERA'!G588</f>
        <v>267900</v>
      </c>
      <c r="F450" s="372"/>
    </row>
    <row r="451" spans="2:6" ht="22.5">
      <c r="B451" s="508">
        <v>12</v>
      </c>
      <c r="C451" s="341" t="str">
        <f>'CARPINTERIA MADERA'!C591</f>
        <v>SUMINISTRO E INSTALACIÓN PUERTA EN MADERA  1.00x2.00 M, INCLUYE MARCO CERRADURA DE SEGURIDAD E INSTALACION</v>
      </c>
      <c r="D451" s="342" t="str">
        <f>'CARPINTERIA MADERA'!G589</f>
        <v>UND</v>
      </c>
      <c r="E451" s="417">
        <f>'CARPINTERIA MADERA'!G641</f>
        <v>285200</v>
      </c>
      <c r="F451" s="372"/>
    </row>
    <row r="452" spans="2:6" ht="12.75">
      <c r="B452" s="508">
        <v>13</v>
      </c>
      <c r="C452" s="341" t="str">
        <f>'CARPINTERIA MADERA'!C644</f>
        <v>HOJA PIZANO 0.70x2.00 M, INCLUYE MARCO CERRADURA E INSTALACION</v>
      </c>
      <c r="D452" s="342" t="str">
        <f>'CARPINTERIA MADERA'!G642</f>
        <v>UND</v>
      </c>
      <c r="E452" s="418">
        <f>'CARPINTERIA MADERA'!G694</f>
        <v>263700</v>
      </c>
      <c r="F452" s="372"/>
    </row>
    <row r="453" spans="2:6" ht="12.75">
      <c r="B453" s="508">
        <v>14</v>
      </c>
      <c r="C453" s="341" t="str">
        <f>'CARPINTERIA MADERA'!C697</f>
        <v>HOJA PIZANO 0.80x2.00 M, INCLUYE MARCO CERRADURA E INSTALACION</v>
      </c>
      <c r="D453" s="342" t="str">
        <f>'CARPINTERIA MADERA'!G695</f>
        <v>UND</v>
      </c>
      <c r="E453" s="418">
        <f>'CARPINTERIA MADERA'!G747</f>
        <v>301500</v>
      </c>
      <c r="F453" s="372"/>
    </row>
    <row r="454" spans="2:6" ht="12.75">
      <c r="B454" s="508">
        <v>15</v>
      </c>
      <c r="C454" s="341" t="str">
        <f>'CARPINTERIA MADERA'!C750</f>
        <v>SUMINISTRO E INSTALACION CERRADURA PARA PORTON</v>
      </c>
      <c r="D454" s="342" t="str">
        <f>'CARPINTERIA MADERA'!G748</f>
        <v>UND</v>
      </c>
      <c r="E454" s="417">
        <f>'CARPINTERIA MADERA'!G800</f>
        <v>82700</v>
      </c>
      <c r="F454" s="372"/>
    </row>
    <row r="455" spans="2:6" ht="12.75">
      <c r="B455" s="508">
        <v>16</v>
      </c>
      <c r="C455" s="341" t="str">
        <f>'CARPINTERIA MADERA'!C803</f>
        <v>INSTALACION MARCO Y PUERTA EN MADERA</v>
      </c>
      <c r="D455" s="342" t="str">
        <f>'CARPINTERIA MADERA'!G801</f>
        <v>UND</v>
      </c>
      <c r="E455" s="417">
        <f>'CARPINTERIA MADERA'!G853</f>
        <v>56700</v>
      </c>
      <c r="F455" s="372"/>
    </row>
    <row r="456" spans="2:6">
      <c r="B456" s="511"/>
      <c r="C456" s="331" t="s">
        <v>1018</v>
      </c>
      <c r="D456" s="335"/>
      <c r="E456" s="336"/>
      <c r="F456" s="372"/>
    </row>
    <row r="457" spans="2:6" ht="12.75">
      <c r="B457" s="508">
        <v>1</v>
      </c>
      <c r="C457" s="395" t="str">
        <f>'CARPINTERIA METALICA-ALUMINIO'!C8</f>
        <v>SUMINISTRO E INSTALACION CANASTA DE SEGURIDAD PARA AIRE ACONDICIONADO 0.90x0.60x0.50, Ø ½" CUADRADO</v>
      </c>
      <c r="D457" s="342" t="str">
        <f>'CARPINTERIA METALICA-ALUMINIO'!G6</f>
        <v>UND</v>
      </c>
      <c r="E457" s="416">
        <f>'CARPINTERIA METALICA-ALUMINIO'!G57</f>
        <v>167700</v>
      </c>
      <c r="F457" s="372"/>
    </row>
    <row r="458" spans="2:6" ht="22.5">
      <c r="B458" s="508">
        <v>2</v>
      </c>
      <c r="C458" s="395" t="str">
        <f>'CARPINTERIA METALICA-ALUMINIO'!C60</f>
        <v>SUMINISTRO E INSTALACION REJILLA PARA CUNETA a = 0.20 M, ANGULO 1"x3/16", VARILLA CORRUGADA Ø 1/2", C/ 5 CM</v>
      </c>
      <c r="D458" s="342" t="str">
        <f>'CARPINTERIA METALICA-ALUMINIO'!G58</f>
        <v>ML</v>
      </c>
      <c r="E458" s="416">
        <f>'CARPINTERIA METALICA-ALUMINIO'!G109</f>
        <v>45900</v>
      </c>
      <c r="F458" s="372"/>
    </row>
    <row r="459" spans="2:6" ht="22.5">
      <c r="B459" s="508">
        <v>3</v>
      </c>
      <c r="C459" s="395" t="str">
        <f>'CARPINTERIA METALICA-ALUMINIO'!C112</f>
        <v>SUMINISTRO E INSTALACION REJILLA PARA CUNETA a = 0.30 M, ANGULO 1"x3/16", VARILLA CORRUGADA Ø 1/2", C/ 5 CM</v>
      </c>
      <c r="D459" s="342" t="str">
        <f>'CARPINTERIA METALICA-ALUMINIO'!G110</f>
        <v>ML</v>
      </c>
      <c r="E459" s="416">
        <f>'CARPINTERIA METALICA-ALUMINIO'!G161</f>
        <v>49200</v>
      </c>
      <c r="F459" s="372"/>
    </row>
    <row r="460" spans="2:6" ht="22.5">
      <c r="B460" s="508">
        <v>4</v>
      </c>
      <c r="C460" s="341" t="str">
        <f>'CARPINTERIA METALICA-ALUMINIO'!C164</f>
        <v>SUMINISTRO E INSTALACION PUERTA ENTAMBORADA 0.90x2.0x(0.07-0.10) M, LAMINA COL ROLE CALIBRE 20, CON CERROJO Y MARCO INCLUIDO</v>
      </c>
      <c r="D460" s="342" t="str">
        <f>'CARPINTERIA METALICA-ALUMINIO'!G162</f>
        <v>UND</v>
      </c>
      <c r="E460" s="343">
        <f>'CARPINTERIA METALICA-ALUMINIO'!G213</f>
        <v>283200</v>
      </c>
      <c r="F460" s="372"/>
    </row>
    <row r="461" spans="2:6" ht="22.5">
      <c r="B461" s="508">
        <v>5</v>
      </c>
      <c r="C461" s="341" t="str">
        <f>'CARPINTERIA METALICA-ALUMINIO'!C216</f>
        <v>SUMINISTRO E INSTALACION PUERTA ENTAMBORADA 1.0x2.0x(0.07-0.10) M, LAMINA COL ROLE CALIBRE 20, CON CERROJO Y MARCO INCLUIDO</v>
      </c>
      <c r="D461" s="342" t="str">
        <f>'CARPINTERIA METALICA-ALUMINIO'!G214</f>
        <v>UND</v>
      </c>
      <c r="E461" s="343">
        <f>'CARPINTERIA METALICA-ALUMINIO'!G265</f>
        <v>268900</v>
      </c>
      <c r="F461" s="372"/>
    </row>
    <row r="462" spans="2:6" ht="22.5">
      <c r="B462" s="508">
        <v>6</v>
      </c>
      <c r="C462" s="341" t="str">
        <f>'CARPINTERIA METALICA-ALUMINIO'!C268</f>
        <v>SUMINISTRO E INSTALACION PUERTA ENTAMBORADA 1.8x2.0x(0.07-0.10) M, LAMINA COL ROLE CALIBRE 20, CON CERRADURA  Y MARCO INCLUIDO</v>
      </c>
      <c r="D462" s="342" t="str">
        <f>'CARPINTERIA METALICA-ALUMINIO'!G266</f>
        <v>UND</v>
      </c>
      <c r="E462" s="343">
        <f>'CARPINTERIA METALICA-ALUMINIO'!G317</f>
        <v>419900</v>
      </c>
      <c r="F462" s="372"/>
    </row>
    <row r="463" spans="2:6" ht="22.5">
      <c r="B463" s="508">
        <v>7</v>
      </c>
      <c r="C463" s="341" t="str">
        <f>'CARPINTERIA METALICA-ALUMINIO'!C320</f>
        <v>SUMINISTRO E INSTALACION PUERTA ENTAMBORADA 1.0x2.0x(0.07-0.10) M, LAMINA COL ROLE CALIBRE 20, CON CERRADURA Y MARCO INCLUIDO</v>
      </c>
      <c r="D463" s="342" t="str">
        <f>'CARPINTERIA METALICA-ALUMINIO'!G318</f>
        <v>UND</v>
      </c>
      <c r="E463" s="343">
        <f>'CARPINTERIA METALICA-ALUMINIO'!G369</f>
        <v>299100</v>
      </c>
      <c r="F463" s="372"/>
    </row>
    <row r="464" spans="2:6" ht="12.75">
      <c r="B464" s="508">
        <v>8</v>
      </c>
      <c r="C464" s="341" t="str">
        <f>'CARPINTERIA METALICA-ALUMINIO'!C372</f>
        <v>SUMINISTRO E INSTALACION VENTANA CORREDIZA 1.60x1.20 M, TUBO 1"x1"</v>
      </c>
      <c r="D464" s="342" t="str">
        <f>'CARPINTERIA METALICA-ALUMINIO'!G370</f>
        <v>UND</v>
      </c>
      <c r="E464" s="343">
        <f>'CARPINTERIA METALICA-ALUMINIO'!G422</f>
        <v>181900</v>
      </c>
      <c r="F464" s="372"/>
    </row>
    <row r="465" spans="2:7" ht="22.5">
      <c r="B465" s="508">
        <v>9</v>
      </c>
      <c r="C465" s="341" t="str">
        <f>'CARPINTERIA METALICA-ALUMINIO'!C425</f>
        <v>SUMINISTRO E INSTALACION VENTANA FIJA, CON UN ABRA,  1.60x1.20 M, ANGULO 3/4"x1/8", LAMINA COL ROL CALIB. 18</v>
      </c>
      <c r="D465" s="342" t="str">
        <f>'CARPINTERIA METALICA-ALUMINIO'!G423</f>
        <v>UND</v>
      </c>
      <c r="E465" s="343">
        <f>'CARPINTERIA METALICA-ALUMINIO'!G474</f>
        <v>208000</v>
      </c>
      <c r="F465" s="372"/>
    </row>
    <row r="466" spans="2:7" ht="22.5">
      <c r="B466" s="508">
        <v>10</v>
      </c>
      <c r="C466" s="341" t="str">
        <f>'CARPINTERIA METALICA-ALUMINIO'!C477</f>
        <v>SUMINISTRO E INSTALACION VENTANA FIJA, CON DOS ABRAS,  2.00x1.20 M, ANGULO 3/4"x1/8", LAMINA COL ROL CALIB. 18</v>
      </c>
      <c r="D466" s="342" t="str">
        <f>'CARPINTERIA METALICA-ALUMINIO'!G475</f>
        <v>UND</v>
      </c>
      <c r="E466" s="343">
        <f>'CARPINTERIA METALICA-ALUMINIO'!G526</f>
        <v>263000</v>
      </c>
      <c r="F466" s="372"/>
    </row>
    <row r="467" spans="2:7" ht="12.75">
      <c r="B467" s="508">
        <v>11</v>
      </c>
      <c r="C467" s="341" t="str">
        <f>'CARPINTERIA METALICA-ALUMINIO'!C529</f>
        <v>SUMINISTRO E INSTALACION PORTON 2.50x2.20 M, TRES ABRAS, LAMINA GALVANIZADA CALIBRE 18</v>
      </c>
      <c r="D467" s="342" t="str">
        <f>'CARPINTERIA METALICA-ALUMINIO'!G527</f>
        <v>UND</v>
      </c>
      <c r="E467" s="343">
        <f>'CARPINTERIA METALICA-ALUMINIO'!G578</f>
        <v>844100</v>
      </c>
      <c r="F467" s="372"/>
    </row>
    <row r="468" spans="2:7" ht="12.75">
      <c r="B468" s="508">
        <v>12</v>
      </c>
      <c r="C468" s="341" t="str">
        <f>'CARPINTERIA METALICA-ALUMINIO'!C581</f>
        <v>SUMINISTRO E INSTALACION PORTON 3.00x2.30 M, DOS ABRAS, METALICA</v>
      </c>
      <c r="D468" s="342" t="str">
        <f>'CARPINTERIA METALICA-ALUMINIO'!G579</f>
        <v>UND</v>
      </c>
      <c r="E468" s="343">
        <f>'CARPINTERIA METALICA-ALUMINIO'!G630</f>
        <v>1059600</v>
      </c>
      <c r="F468" s="372"/>
    </row>
    <row r="469" spans="2:7" ht="12.75">
      <c r="B469" s="508">
        <v>13</v>
      </c>
      <c r="C469" s="341" t="str">
        <f>'CARPINTERIA METALICA-ALUMINIO'!C633</f>
        <v>SUMINISTRO E INSTALACION PUERTA ENTAMBORADA 1.0x2.0x(0.07-0.10) M, LAMINA COL ROLE CALIBRE 20</v>
      </c>
      <c r="D469" s="342" t="str">
        <f>'CARPINTERIA METALICA-ALUMINIO'!G631</f>
        <v>UND</v>
      </c>
      <c r="E469" s="343">
        <f>'CARPINTERIA METALICA-ALUMINIO'!G680</f>
        <v>322000</v>
      </c>
      <c r="F469" s="372"/>
    </row>
    <row r="470" spans="2:7" ht="22.5">
      <c r="B470" s="508">
        <v>14</v>
      </c>
      <c r="C470" s="341" t="str">
        <f>'CARPINTERIA METALICA-ALUMINIO'!C683</f>
        <v>SUMINISTRO E INSTALACION VENTANA FIJA, CON UN ABRA,  1.60x1.20 M, ANGULO 3/4"x1/8", LAMINA COL ROL CALIB. 18</v>
      </c>
      <c r="D470" s="342" t="str">
        <f>'CARPINTERIA METALICA-ALUMINIO'!G681</f>
        <v>UND</v>
      </c>
      <c r="E470" s="343">
        <f>'CARPINTERIA METALICA-ALUMINIO'!G731</f>
        <v>115900</v>
      </c>
      <c r="F470" s="372"/>
    </row>
    <row r="471" spans="2:7" ht="12.75">
      <c r="B471" s="508">
        <v>15</v>
      </c>
      <c r="C471" s="341" t="str">
        <f>'CARPINTERIA METALICA-ALUMINIO'!C734</f>
        <v>SUMINISTRO E INSTALACION ARAÑA DE SEGURIDAD PARA VENTANAS, Ø ½" CUADRADO</v>
      </c>
      <c r="D471" s="342" t="str">
        <f>'CARPINTERIA METALICA-ALUMINIO'!G732</f>
        <v>M2</v>
      </c>
      <c r="E471" s="343">
        <f>'CARPINTERIA METALICA-ALUMINIO'!G784</f>
        <v>68900</v>
      </c>
      <c r="F471" s="372"/>
    </row>
    <row r="472" spans="2:7" ht="12.75">
      <c r="B472" s="508">
        <v>16</v>
      </c>
      <c r="C472" s="341" t="str">
        <f>'CARPINTERIA METALICA-ALUMINIO'!C787</f>
        <v>SUMINISTRO E INSTALACION DE VENTANA DE ALUMINIO 0.8X1.20 M</v>
      </c>
      <c r="D472" s="342" t="str">
        <f>'CARPINTERIA METALICA-ALUMINIO'!G785</f>
        <v>M2</v>
      </c>
      <c r="E472" s="343">
        <f>'CARPINTERIA METALICA-ALUMINIO'!G837</f>
        <v>117400</v>
      </c>
      <c r="F472" s="372"/>
    </row>
    <row r="473" spans="2:7" ht="12.75">
      <c r="B473" s="508">
        <v>17</v>
      </c>
      <c r="C473" s="341" t="str">
        <f>'CARPINTERIA METALICA-ALUMINIO'!C840</f>
        <v>SUMINISTRO E INSTALACION PUERTA 1.0x1,5 M, LAMINA COL ROLE CALIBRE 20</v>
      </c>
      <c r="D473" s="342" t="str">
        <f>'CARPINTERIA METALICA-ALUMINIO'!G838</f>
        <v>UND</v>
      </c>
      <c r="E473" s="343">
        <f>'CARPINTERIA METALICA-ALUMINIO'!G887</f>
        <v>202000</v>
      </c>
      <c r="F473" s="372"/>
    </row>
    <row r="474" spans="2:7" ht="12.75">
      <c r="B474" s="508">
        <v>18</v>
      </c>
      <c r="C474" s="341" t="str">
        <f>'CARPINTERIA METALICA-ALUMINIO'!C890</f>
        <v>SUMINISTRO E INSTALACIÒN DE PUERTA CORREDERA DE ALUMINIO Y ACRILICO PARA MESÓN</v>
      </c>
      <c r="D474" s="342" t="str">
        <f>'CARPINTERIA METALICA-ALUMINIO'!G888</f>
        <v>M2</v>
      </c>
      <c r="E474" s="343">
        <f>'CARPINTERIA METALICA-ALUMINIO'!G937</f>
        <v>145800</v>
      </c>
      <c r="F474" s="372"/>
    </row>
    <row r="475" spans="2:7" ht="12.75">
      <c r="B475" s="508">
        <v>19</v>
      </c>
      <c r="C475" s="341" t="str">
        <f>'CARPINTERIA METALICA-ALUMINIO'!C940</f>
        <v>SUMINISTRO E INSTALACIÓN DE VENTANA DE ALUMINIO ANOLOCK CORREDIZA MAYOR A 1 M2</v>
      </c>
      <c r="D475" s="342" t="str">
        <f>'CARPINTERIA METALICA-ALUMINIO'!G938</f>
        <v>M2</v>
      </c>
      <c r="E475" s="343">
        <f>'CARPINTERIA METALICA-ALUMINIO'!G987</f>
        <v>157100</v>
      </c>
      <c r="F475" s="372"/>
    </row>
    <row r="476" spans="2:7" ht="12.75">
      <c r="B476" s="508">
        <v>20</v>
      </c>
      <c r="C476" s="341" t="str">
        <f>'CARPINTERIA METALICA-ALUMINIO'!C990</f>
        <v>SUMINISTRO E INSTALACIÓN DE VENTANA DE ALUMINIO ANOLOCK CORREDIZA MENOR A 1 M2</v>
      </c>
      <c r="D476" s="342" t="str">
        <f>'CARPINTERIA METALICA-ALUMINIO'!G988</f>
        <v>M2</v>
      </c>
      <c r="E476" s="343">
        <f>'CARPINTERIA METALICA-ALUMINIO'!G1037</f>
        <v>157100</v>
      </c>
      <c r="F476" s="372"/>
    </row>
    <row r="477" spans="2:7" ht="12.75">
      <c r="B477" s="508">
        <v>21</v>
      </c>
      <c r="C477" s="341" t="str">
        <f>'CARPINTERIA METALICA-ALUMINIO'!C1040</f>
        <v xml:space="preserve">SUMINISTRO E INSTALACIÓN DE REJA DE SEGURIDAD EN ALUMINIO </v>
      </c>
      <c r="D477" s="342" t="str">
        <f>'CARPINTERIA METALICA-ALUMINIO'!G1038</f>
        <v>M2</v>
      </c>
      <c r="E477" s="343">
        <f>'CARPINTERIA METALICA-ALUMINIO'!G1087</f>
        <v>128800</v>
      </c>
      <c r="F477" s="372"/>
    </row>
    <row r="478" spans="2:7" ht="12.75">
      <c r="B478" s="508">
        <v>22</v>
      </c>
      <c r="C478" s="341" t="str">
        <f>'CARPINTERIA METALICA-ALUMINIO'!C1090</f>
        <v>SUMINISTRO E INSTALACIÓN DE CANAL METALICO</v>
      </c>
      <c r="D478" s="342" t="str">
        <f>'CARPINTERIA METALICA-ALUMINIO'!G1088</f>
        <v>ML</v>
      </c>
      <c r="E478" s="343">
        <f>'CARPINTERIA METALICA-ALUMINIO'!G1137</f>
        <v>36700</v>
      </c>
      <c r="F478" s="372"/>
    </row>
    <row r="479" spans="2:7" ht="12.75">
      <c r="B479" s="511"/>
      <c r="C479" s="737" t="s">
        <v>1613</v>
      </c>
      <c r="D479" s="737"/>
      <c r="E479" s="737"/>
      <c r="F479" s="420"/>
      <c r="G479" s="420"/>
    </row>
    <row r="480" spans="2:7" ht="12.75">
      <c r="B480" s="508">
        <v>1</v>
      </c>
      <c r="C480" s="452" t="str">
        <f>PAVIMENTOS!C436</f>
        <v>IMPRIMACION</v>
      </c>
      <c r="D480" s="453" t="str">
        <f>PAVIMENTOS!G434</f>
        <v>M2</v>
      </c>
      <c r="E480" s="454">
        <f>PAVIMENTOS!G486</f>
        <v>2000</v>
      </c>
      <c r="F480" s="420"/>
      <c r="G480" s="420"/>
    </row>
    <row r="481" spans="2:7" ht="12.75">
      <c r="B481" s="508">
        <v>2</v>
      </c>
      <c r="C481" s="452" t="str">
        <f>PAVIMENTOS!C489</f>
        <v>CONFORMACION DE LA CALZADA EXISTENTE</v>
      </c>
      <c r="D481" s="453" t="str">
        <f>PAVIMENTOS!G487</f>
        <v>M2</v>
      </c>
      <c r="E481" s="454">
        <f>PAVIMENTOS!G539</f>
        <v>800</v>
      </c>
      <c r="F481" s="420"/>
      <c r="G481" s="420"/>
    </row>
    <row r="482" spans="2:7" ht="12.75">
      <c r="B482" s="508">
        <v>3</v>
      </c>
      <c r="C482" s="452" t="str">
        <f>PAVIMENTOS!C542</f>
        <v>SUMINISTRO E INSTALACION DE MEZCLA DENSA EN FRIO TIPO MDF-3: (e= 0,07)</v>
      </c>
      <c r="D482" s="453" t="str">
        <f>PAVIMENTOS!G540</f>
        <v>M3</v>
      </c>
      <c r="E482" s="454">
        <f>PAVIMENTOS!G592</f>
        <v>416100</v>
      </c>
      <c r="F482" s="420"/>
      <c r="G482" s="420"/>
    </row>
    <row r="483" spans="2:7" ht="12.75">
      <c r="B483" s="508">
        <v>4</v>
      </c>
      <c r="C483" s="452" t="str">
        <f>PAVIMENTOS!C595</f>
        <v>SUM. E INST. DE MATERIAL SELECCIONADO HASTA EL NIVEL DE SUBBASE</v>
      </c>
      <c r="D483" s="453" t="str">
        <f>PAVIMENTOS!G593</f>
        <v>M3</v>
      </c>
      <c r="E483" s="454">
        <f>PAVIMENTOS!G645</f>
        <v>36200</v>
      </c>
      <c r="F483" s="419"/>
      <c r="G483" s="419"/>
    </row>
    <row r="484" spans="2:7" ht="12.75">
      <c r="B484" s="508">
        <v>5</v>
      </c>
      <c r="C484" s="452" t="s">
        <v>1615</v>
      </c>
      <c r="D484" s="453" t="str">
        <f>PAVIMENTOS!G646</f>
        <v>M3</v>
      </c>
      <c r="E484" s="454">
        <f>PAVIMENTOS!G698</f>
        <v>77200</v>
      </c>
      <c r="F484" s="419"/>
      <c r="G484" s="419"/>
    </row>
    <row r="485" spans="2:7" ht="12.75">
      <c r="B485" s="508">
        <v>6</v>
      </c>
      <c r="C485" s="452" t="str">
        <f>PAVIMENTOS!C701</f>
        <v>SUM. E INST. DE BASE GRANULAR (e=0,15m)</v>
      </c>
      <c r="D485" s="453" t="str">
        <f>PAVIMENTOS!G699</f>
        <v>M3</v>
      </c>
      <c r="E485" s="454">
        <f>PAVIMENTOS!G751</f>
        <v>86300</v>
      </c>
      <c r="F485" s="419"/>
      <c r="G485" s="419"/>
    </row>
    <row r="486" spans="2:7" ht="12.75">
      <c r="B486" s="508">
        <v>7</v>
      </c>
      <c r="C486" s="452" t="str">
        <f>PAVIMENTOS!C754</f>
        <v>SUM. E INST. DE BASE ASFALTICA (e= 0,08 m) MDC-1 CON ASFALTO MODIFICADO CON POLIMEROS</v>
      </c>
      <c r="D486" s="453" t="str">
        <f>PAVIMENTOS!G752</f>
        <v>M3</v>
      </c>
      <c r="E486" s="454">
        <f>PAVIMENTOS!G804</f>
        <v>444600</v>
      </c>
      <c r="F486" s="419"/>
      <c r="G486" s="419"/>
    </row>
    <row r="487" spans="2:7" ht="12.75">
      <c r="B487" s="508">
        <v>8</v>
      </c>
      <c r="C487" s="452" t="str">
        <f>PAVIMENTOS!C807</f>
        <v>SUM. E INST. DE BASE ASFALTICA (e= 0,05 m) MDC-2 CON ASFALTO MODIFICADO CON POLIMEROS</v>
      </c>
      <c r="D487" s="453" t="str">
        <f>PAVIMENTOS!G805</f>
        <v>M3</v>
      </c>
      <c r="E487" s="454">
        <f>PAVIMENTOS!G857</f>
        <v>447800</v>
      </c>
      <c r="F487" s="419"/>
      <c r="G487" s="419"/>
    </row>
    <row r="488" spans="2:7" ht="12.75">
      <c r="B488" s="508">
        <v>9</v>
      </c>
      <c r="C488" s="452" t="str">
        <f>PAVIMENTOS!C860</f>
        <v>RIEGO DE LIGA</v>
      </c>
      <c r="D488" s="453" t="str">
        <f>PAVIMENTOS!G858</f>
        <v>M2</v>
      </c>
      <c r="E488" s="454">
        <f>PAVIMENTOS!G909</f>
        <v>1900</v>
      </c>
      <c r="F488" s="419"/>
      <c r="G488" s="419"/>
    </row>
    <row r="489" spans="2:7">
      <c r="B489" s="511"/>
      <c r="C489" s="737" t="s">
        <v>1647</v>
      </c>
      <c r="D489" s="737"/>
      <c r="E489" s="737"/>
    </row>
    <row r="490" spans="2:7" ht="12.75">
      <c r="B490" s="508">
        <v>1</v>
      </c>
      <c r="C490" s="341" t="str">
        <f>'MOBILIARIO URBANO'!C7</f>
        <v>SARDINEL EN CONCRETO PREFABRICADO TIPO A-85 (0,8 x 0,35 x 0,20)</v>
      </c>
      <c r="D490" s="342" t="str">
        <f>'MOBILIARIO URBANO'!G5</f>
        <v>M2</v>
      </c>
      <c r="E490" s="454">
        <f>'MOBILIARIO URBANO'!G57</f>
        <v>49100</v>
      </c>
    </row>
    <row r="491" spans="2:7" ht="12.75">
      <c r="B491" s="508">
        <v>2</v>
      </c>
      <c r="C491" s="341" t="str">
        <f>'MOBILIARIO URBANO'!C60</f>
        <v>SUM. E INSAT DE SUBBASE GRANULAR BASE ANDENES Y SARDINELES</v>
      </c>
      <c r="D491" s="342" t="str">
        <f>'MOBILIARIO URBANO'!G58</f>
        <v>M3</v>
      </c>
      <c r="E491" s="454">
        <f>'MOBILIARIO URBANO'!G109</f>
        <v>114400</v>
      </c>
    </row>
    <row r="492" spans="2:7" ht="12.75">
      <c r="B492" s="508">
        <v>3</v>
      </c>
      <c r="C492" s="341" t="str">
        <f>'MOBILIARIO URBANO'!C112</f>
        <v>SUM. E INSAT DE BASE EN ARENA GRUESA</v>
      </c>
      <c r="D492" s="342" t="str">
        <f>'MOBILIARIO URBANO'!G110</f>
        <v>M3</v>
      </c>
      <c r="E492" s="454">
        <f>'MOBILIARIO URBANO'!G161</f>
        <v>101300</v>
      </c>
    </row>
    <row r="493" spans="2:7" ht="12.75">
      <c r="B493" s="508">
        <v>4</v>
      </c>
      <c r="C493" s="341" t="str">
        <f>'MOBILIARIO URBANO'!C164</f>
        <v>SUM. E INSAT DE BASE EN ARENA FINA</v>
      </c>
      <c r="D493" s="342" t="str">
        <f>'MOBILIARIO URBANO'!G162</f>
        <v>M3</v>
      </c>
      <c r="E493" s="454">
        <f>'MOBILIARIO URBANO'!G213</f>
        <v>96100</v>
      </c>
    </row>
    <row r="494" spans="2:7" ht="12.75">
      <c r="B494" s="508">
        <v>5</v>
      </c>
      <c r="C494" s="341" t="str">
        <f>'MOBILIARIO URBANO'!C216</f>
        <v xml:space="preserve">SUM E INST. ADOQUIN PEATONAL 26*6*6 </v>
      </c>
      <c r="D494" s="342" t="str">
        <f>'MOBILIARIO URBANO'!G214</f>
        <v>M2</v>
      </c>
      <c r="E494" s="454">
        <f>'MOBILIARIO URBANO'!G266</f>
        <v>67200</v>
      </c>
    </row>
    <row r="495" spans="2:7" ht="12.75">
      <c r="B495" s="508">
        <v>6</v>
      </c>
      <c r="C495" s="341" t="str">
        <f>'MOBILIARIO URBANO'!C269</f>
        <v>SUM E INST. ADOQUIN PEATONAL 20*10*6</v>
      </c>
      <c r="D495" s="342" t="str">
        <f>'MOBILIARIO URBANO'!G267</f>
        <v>M2</v>
      </c>
      <c r="E495" s="454">
        <f>'MOBILIARIO URBANO'!G319</f>
        <v>66700</v>
      </c>
    </row>
    <row r="496" spans="2:7" ht="12.75">
      <c r="B496" s="508">
        <v>7</v>
      </c>
      <c r="C496" s="341" t="str">
        <f>'MOBILIARIO URBANO'!C322</f>
        <v>SUMINISTRO E INSTALACION DE BANCAS EN MADERA</v>
      </c>
      <c r="D496" s="342" t="str">
        <f>'MOBILIARIO URBANO'!G320</f>
        <v>UND</v>
      </c>
      <c r="E496" s="392">
        <f>'MOBILIARIO URBANO'!G366</f>
        <v>309664.95</v>
      </c>
    </row>
    <row r="497" spans="2:5" ht="22.5">
      <c r="B497" s="508">
        <v>8</v>
      </c>
      <c r="C497" s="341" t="str">
        <f>'MOBILIARIO URBANO'!C369</f>
        <v>SUMINISTRO E INSTALACION DE UNA RUEDA CARRUSEL DE 2.10 MTS DE DIAMETRO, DOBLE BALINERA, ESTRUCTURA METALICA PINTADA EN BASE ANTICORROSIVA, ASIENTOS EN MADERA DECORADOS EN COLORES SURTIDOS</v>
      </c>
      <c r="D497" s="342" t="str">
        <f>'MOBILIARIO URBANO'!G367</f>
        <v>UND</v>
      </c>
      <c r="E497" s="392">
        <f>'MOBILIARIO URBANO'!G413</f>
        <v>2032628.85</v>
      </c>
    </row>
    <row r="498" spans="2:5" ht="12.75">
      <c r="B498" s="508">
        <v>9</v>
      </c>
      <c r="C498" s="341" t="str">
        <f>'MOBILIARIO URBANO'!C416:G416</f>
        <v>SARDINEL EN CONCRETO PREFABRICADO (0,8 x 0,5 x 0,20)</v>
      </c>
      <c r="D498" s="361" t="str">
        <f>'MOBILIARIO URBANO'!G414</f>
        <v>ML</v>
      </c>
      <c r="E498" s="392">
        <f>'MOBILIARIO URBANO'!G462</f>
        <v>73700</v>
      </c>
    </row>
    <row r="499" spans="2:5">
      <c r="B499" s="511"/>
      <c r="C499" s="737" t="s">
        <v>1311</v>
      </c>
      <c r="D499" s="737"/>
      <c r="E499" s="737"/>
    </row>
    <row r="500" spans="2:5" ht="12.75">
      <c r="B500" s="508">
        <v>1</v>
      </c>
      <c r="C500" s="341" t="str">
        <f>OTROS!C7</f>
        <v>SUMINISTRO E INSTALACION DE GEOTEXTIL NT 1600</v>
      </c>
      <c r="D500" s="342" t="str">
        <f>OTROS!G5</f>
        <v>M2</v>
      </c>
      <c r="E500" s="454">
        <f>OTROS!G52</f>
        <v>6100</v>
      </c>
    </row>
    <row r="501" spans="2:5" ht="12.75">
      <c r="B501" s="508">
        <v>2</v>
      </c>
      <c r="C501" s="341" t="str">
        <f>OTROS!C55</f>
        <v>CONSTRUCCION GAVION DE 2 X 1 X 1</v>
      </c>
      <c r="D501" s="342" t="str">
        <f>OTROS!G53</f>
        <v>M3</v>
      </c>
      <c r="E501" s="454">
        <f>OTROS!G99</f>
        <v>196600</v>
      </c>
    </row>
    <row r="502" spans="2:5" ht="12.75">
      <c r="B502" s="508">
        <v>3</v>
      </c>
      <c r="C502" s="341" t="str">
        <f>OTROS!C102</f>
        <v>LAGRIMALES EN TUBERÍA SANITARIA PVC 2" L= 0,20 M @ 1.0 M</v>
      </c>
      <c r="D502" s="342" t="str">
        <f>OTROS!G101</f>
        <v>UND</v>
      </c>
      <c r="E502" s="454">
        <f>OTROS!G142</f>
        <v>1289</v>
      </c>
    </row>
  </sheetData>
  <mergeCells count="20">
    <mergeCell ref="C499:E499"/>
    <mergeCell ref="C489:E489"/>
    <mergeCell ref="C479:E479"/>
    <mergeCell ref="G10:J10"/>
    <mergeCell ref="G22:J22"/>
    <mergeCell ref="G12:J12"/>
    <mergeCell ref="G13:J13"/>
    <mergeCell ref="G14:J14"/>
    <mergeCell ref="G15:J15"/>
    <mergeCell ref="G16:J16"/>
    <mergeCell ref="G131:K131"/>
    <mergeCell ref="G17:J17"/>
    <mergeCell ref="G19:J19"/>
    <mergeCell ref="G20:J20"/>
    <mergeCell ref="G21:J21"/>
    <mergeCell ref="C2:E2"/>
    <mergeCell ref="C3:E3"/>
    <mergeCell ref="G8:J8"/>
    <mergeCell ref="G9:J9"/>
    <mergeCell ref="G11:J11"/>
  </mergeCells>
  <phoneticPr fontId="21" type="noConversion"/>
  <hyperlinks>
    <hyperlink ref="B478" location="'CARPINTERIA METALICA-ALUMINIO'!CANALMETALICO" display="'CARPINTERIA METALICA-ALUMINIO'!CANALMETALICO"/>
    <hyperlink ref="B8" location="'CONCRETOS - HIERROS'!concreto3500psi" display="'CONCRETOS - HIERROS'!concreto3500psi"/>
    <hyperlink ref="B9" location="'CONCRETOS - HIERROS'!concreto3000psi" display="'CONCRETOS - HIERROS'!concreto3000psi"/>
    <hyperlink ref="B10" location="'CONCRETOS - HIERROS'!concreto2500psi" display="'CONCRETOS - HIERROS'!concreto2500psi"/>
    <hyperlink ref="B11" location="'CONCRETOS - HIERROS'!concreto2000psi" display="'CONCRETOS - HIERROS'!concreto2000psi"/>
    <hyperlink ref="B12" location="'CONCRETOS - HIERROS'!mortero1´2" display="'CONCRETOS - HIERROS'!mortero1´2"/>
    <hyperlink ref="B13" location="'CONCRETOS - HIERROS'!mortero1´2imp" display="'CONCRETOS - HIERROS'!mortero1´2imp"/>
    <hyperlink ref="B14" location="'CONCRETOS - HIERROS'!mortero1´3" display="'CONCRETOS - HIERROS'!mortero1´3"/>
    <hyperlink ref="B15" location="'CONCRETOS - HIERROS'!mortero1´3imp" display="'CONCRETOS - HIERROS'!mortero1´3imp"/>
    <hyperlink ref="B16" location="'CONCRETOS - HIERROS'!mortero1´4" display="'CONCRETOS - HIERROS'!mortero1´4"/>
    <hyperlink ref="B17" location="'CONCRETOS - HIERROS'!mortero1´5" display="'CONCRETOS - HIERROS'!mortero1´5"/>
    <hyperlink ref="B18" location="'CONCRETOS - HIERROS'!mortero1´6" display="'CONCRETOS - HIERROS'!mortero1´6"/>
    <hyperlink ref="B20" location="'CONCRETOS - HIERROS'!hierro1´4" display="'CONCRETOS - HIERROS'!hierro1´4"/>
    <hyperlink ref="B21" location="'CONCRETOS - HIERROS'!hierro3´8" display="'CONCRETOS - HIERROS'!hierro3´8"/>
    <hyperlink ref="B23" location="PRELIMINARES!loc_repla_manual" display="PRELIMINARES!loc_repla_manual"/>
    <hyperlink ref="B24" location="PRELIMINARES!Descapote_con_maquina" display="PRELIMINARES!Descapote_con_maquina"/>
    <hyperlink ref="B25" location="PRELIMINARES!Descapote_a_mano" display="PRELIMINARES!Descapote_a_mano"/>
    <hyperlink ref="B26" location="PRELIMINARES!Movimiento_de_tierra" display="PRELIMINARES!Movimiento_de_tierra"/>
    <hyperlink ref="B27" location="PRELIMINARES!Demolicion_vigas_columnas" display="PRELIMINARES!Demolicion_vigas_columnas"/>
    <hyperlink ref="B28" location="PRELIMINARES!Demo_vigas_colum_acarr" display="PRELIMINARES!Demo_vigas_colum_acarr"/>
    <hyperlink ref="B29" location="PRELIMINARES!Demolicion_muros" display="PRELIMINARES!Demolicion_muros"/>
    <hyperlink ref="B30" location="PRELIMINARES!Demolicion_placa_maciza" display="PRELIMINARES!Demolicion_placa_maciza"/>
    <hyperlink ref="B31" location="Demolicion_placa_piso" display="Demolicion_placa_piso"/>
    <hyperlink ref="B32" location="PRELIMINARES!Demonte_apar_sanit" display="PRELIMINARES!Demonte_apar_sanit"/>
    <hyperlink ref="B33" location="PRELIMINARES!Desmonte_cubierta_AC" display="PRELIMINARES!Desmonte_cubierta_AC"/>
    <hyperlink ref="B34" location="PRELIMINARES!Desm_cubiert_entrama_madera" display="PRELIMINARES!Desm_cubiert_entrama_madera"/>
    <hyperlink ref="B35" location="PRELIMINARES!Desmonte_cielo_raso" display="PRELIMINARES!Desmonte_cielo_raso"/>
    <hyperlink ref="B36" location="PRELIMINARES!Desm_ciel_raso_entra_madera" display="PRELIMINARES!Desm_ciel_raso_entra_madera"/>
    <hyperlink ref="B37" location="PRELIMINARES!Desm_marc_puert_mad_metal" display="PRELIMINARES!Desm_marc_puert_mad_metal"/>
    <hyperlink ref="B38" location="PRELIMINARES!Desm_marc_puert_vaiven" display="PRELIMINARES!Desm_marc_puert_vaiven"/>
    <hyperlink ref="B39" location="PRELIMINARES!Desmo_porto_metal" display="PRELIMINARES!Desmo_porto_metal"/>
    <hyperlink ref="B40" location="PRELIMINARES!Desm_hoj_puert_lamina" display="PRELIMINARES!Desm_hoj_puert_lamina"/>
    <hyperlink ref="B41" location="PRELIMINARES!Desmonte_ventanas" display="PRELIMINARES!Desmonte_ventanas"/>
    <hyperlink ref="B42" location="PRELIMINARES!Retiro_de_escombros" display="PRELIMINARES!Retiro_de_escombros"/>
    <hyperlink ref="B43" location="PRELIMINARES!Limpieza_adec_terreno" display="PRELIMINARES!Limpieza_adec_terreno"/>
    <hyperlink ref="B44" location="PRELIMINARES!Campamento_20m" display="PRELIMINARES!Campamento_20m"/>
    <hyperlink ref="B45" location="PRELIMINARES!Cerramiento_fibr_plastica" display="PRELIMINARES!Cerramiento_fibr_plastica"/>
    <hyperlink ref="B46" location="PRELIMINARES!Demolicion_columna_mamp" display="PRELIMINARES!Demolicion_columna_mamp"/>
    <hyperlink ref="B47" location="PRELIMINARES!Demol_cimiento_conc_ciclo" display="PRELIMINARES!Demol_cimiento_conc_ciclo"/>
    <hyperlink ref="B48" location="PRELIMINARES!Demo_piso_exist_baldosa" display="PRELIMINARES!Demo_piso_exist_baldosa"/>
    <hyperlink ref="B49" location="PRELIMINARES!Demol_guar_escob" display="PRELIMINARES!Demol_guar_escob"/>
    <hyperlink ref="B50" location="PRELIMINARES!Demol_guard_escob_med_caña" display="PRELIMINARES!Demol_guard_escob_med_caña"/>
    <hyperlink ref="B51" location="PRELIMINARES!Demolicion_enchape" display="PRELIMINARES!Demolicion_enchape"/>
    <hyperlink ref="B52" location="PRELIMINARES!Arreglo_sanitario" display="PRELIMINARES!Arreglo_sanitario"/>
    <hyperlink ref="B53" location="PRELIMINARES!Demolicion_meson" display="PRELIMINARES!Demolicion_meson"/>
    <hyperlink ref="B54" location="PRELIMINARES!Sello_punto_hidraulico" display="PRELIMINARES!Sello_punto_hidraulico"/>
    <hyperlink ref="B55" location="PRELIMINARES!Desm_tanq_elevado" display="PRELIMINARES!Desm_tanq_elevado"/>
    <hyperlink ref="B56" location="PRELIMINARES!Sello_puntos_sanitarios" display="PRELIMINARES!Sello_puntos_sanitarios"/>
    <hyperlink ref="B57" location="PRELIMINARES!Desm_reinst_un_odontol" display="PRELIMINARES!Desm_reinst_un_odontol"/>
    <hyperlink ref="B58" location="PRELIMINARES!Aseo_general" display="PRELIMINARES!Aseo_general"/>
    <hyperlink ref="B59" location="PRELIMINARES!Sum_mueble_formica" display="PRELIMINARES!Sum_mueble_formica"/>
    <hyperlink ref="B60" location="PRELIMINARES!Sum_inst_vidrio_corru" display="PRELIMINARES!Sum_inst_vidrio_corru"/>
    <hyperlink ref="B61" location="PRELIMINARES!Sum_valla_inform_2x4" display="PRELIMINARES!Sum_valla_inform_2x4"/>
    <hyperlink ref="B62" location="PRELIMINARES!Sum_vallas_portatil_07x12" display="PRELIMINARES!Sum_vallas_portatil_07x12"/>
    <hyperlink ref="B65" location="EXCAVACIONES!Exca_mano_mat_suel" display="EXCAVACIONES!Exca_mano_mat_suel"/>
    <hyperlink ref="B66" location="EXCAVACIONES!Exc_mano_mat_suel_hum" display="EXCAVACIONES!Exc_mano_mat_suel_hum"/>
    <hyperlink ref="B67" location="EXCAVACIONES!Exc_man_mat_blan_seco" display="EXCAVACIONES!Exc_man_mat_blan_seco"/>
    <hyperlink ref="B68" location="EXCAVACIONES!Exc_man_mat_bland_humed" display="EXCAVACIONES!Exc_man_mat_bland_humed"/>
    <hyperlink ref="B69" location="EXCAVACIONES!Exc_man_mat_duro_seco" display="EXCAVACIONES!Exc_man_mat_duro_seco"/>
    <hyperlink ref="B70" location="EXCAVACIONES!Exc_man_mat_duro_humed" display="EXCAVACIONES!Exc_man_mat_duro_humed"/>
    <hyperlink ref="B71" location="EXCAVACIONES!Exc_man_tierra_1m" display="EXCAVACIONES!Exc_man_tierra_1m"/>
    <hyperlink ref="B72" location="EXCAVACIONES!Exc_man_tierra_1.5m" display="EXCAVACIONES!Exc_man_tierra_1.5m"/>
    <hyperlink ref="B73" location="EXCAVACIONES!Exc_man_tierra_2m" display="EXCAVACIONES!Exc_man_tierra_2m"/>
    <hyperlink ref="B74" location="EXCAVACIONES!Exc_man_tierra_2_3m" display="EXCAVACIONES!Exc_man_tierra_2_3m"/>
    <hyperlink ref="B75" location="EXCAVACIONES!Exc_man_tierra_3_4m" display="EXCAVACIONES!Exc_man_tierra_3_4m"/>
    <hyperlink ref="B76" location="EXCAVACIONES!Exc_man_tierra_4_5m" display="EXCAVACIONES!Exc_man_tierra_4_5m"/>
    <hyperlink ref="B77" location="EXCAVACIONES!Exc_man_tierra_5_6m" display="EXCAVACIONES!Exc_man_tierra_5_6m"/>
    <hyperlink ref="B78" location="EXCAVACIONES!Exc_man_conglom_2m" display="EXCAVACIONES!Exc_man_conglom_2m"/>
    <hyperlink ref="B79" location="EXCAVACIONES!Exc_man_conglom_2_3m" display="EXCAVACIONES!Exc_man_conglom_2_3m"/>
    <hyperlink ref="B80" location="EXCAVACIONES!Exc_man_conglom_3_4m" display="EXCAVACIONES!Exc_man_conglom_3_4m"/>
    <hyperlink ref="B81" location="EXCAVACIONES!Exc_man_congl_4_5m" display="EXCAVACIONES!Exc_man_congl_4_5m"/>
    <hyperlink ref="B82" location="EXCAVACIONES!Exc_man_congl_5_6m" display="EXCAVACIONES!Exc_man_congl_5_6m"/>
    <hyperlink ref="B83" location="EXCAVACIONES!Exc_man_piedra_2m" display="EXCAVACIONES!Exc_man_piedra_2m"/>
    <hyperlink ref="B84" location="EXCAVACIONES!Exc_man_piedra_2_3m" display="EXCAVACIONES!Exc_man_piedra_2_3m"/>
    <hyperlink ref="B85" location="EXCAVACIONES!Exc_man_piedra_3_4m" display="EXCAVACIONES!Exc_man_piedra_3_4m"/>
    <hyperlink ref="B86" location="EXCAVACIONES!Exc_man_roca_2m" display="EXCAVACIONES!Exc_man_roca_2m"/>
    <hyperlink ref="B87" location="EXCAVACIONES!Exc_man_roca_2_3m" display="EXCAVACIONES!Exc_man_roca_2_3m"/>
    <hyperlink ref="B88" location="EXCAVACIONES!Exc_man_roca_3_4m" display="EXCAVACIONES!Exc_man_roca_3_4m"/>
    <hyperlink ref="B89" location="EXCAVACIONES!Exc_man_roca_4_5m" display="EXCAVACIONES!Exc_man_roca_4_5m"/>
    <hyperlink ref="B90" location="EXCAVACIONES!Exc_man_tier_agua_2m_bomb" display="EXCAVACIONES!Exc_man_tier_agua_2m_bomb"/>
    <hyperlink ref="B91" location="EXCAVACIONES!Exc_man_tier_agua_2_3m_bomb" display="EXCAVACIONES!Exc_man_tier_agua_2_3m_bomb"/>
    <hyperlink ref="B92" location="EXCAVACIONES!Exc_man_tier_agua_3_4m_bomb" display="EXCAVACIONES!Exc_man_tier_agua_3_4m_bomb"/>
    <hyperlink ref="B93" location="EXCAVACIONES!Exc_man_tier_agua_4_5m_bomb" display="EXCAVACIONES!Exc_man_tier_agua_4_5m_bomb"/>
    <hyperlink ref="B94" location="EXCAVACIONES!Exc_man_congl_agua_2m_bomb" display="EXCAVACIONES!Exc_man_congl_agua_2m_bomb"/>
    <hyperlink ref="B95" location="EXCAVACIONES!Exc_man_conglo_agua_2_3m_bomb" display="EXCAVACIONES!Exc_man_conglo_agua_2_3m_bomb"/>
    <hyperlink ref="B96" location="EXCAVACIONES!Exc_man_conglo_agua_3_4m_bomb" display="EXCAVACIONES!Exc_man_conglo_agua_3_4m_bomb"/>
    <hyperlink ref="B97" location="EXCAVACIONES!Exc_man_conglo_agua_4_5m_bomb" display="EXCAVACIONES!Exc_man_conglo_agua_4_5m_bomb"/>
    <hyperlink ref="B98" location="EXCAVACIONES!Exc_man_conglo_agua_5_6m_bomb" display="EXCAVACIONES!Exc_man_conglo_agua_5_6m_bomb"/>
    <hyperlink ref="B99" location="EXCAVACIONES!Exc_man_pied_agua_2m_bomb" display="EXCAVACIONES!Exc_man_pied_agua_2m_bomb"/>
    <hyperlink ref="B100" location="Exc_man_piedr_agua_2_3m_bomb" display="Exc_man_piedr_agua_2_3m_bomb"/>
    <hyperlink ref="B101" location="EXCAVACIONES!Exc_man_piedr_agua_3_4m_bomb" display="EXCAVACIONES!Exc_man_piedr_agua_3_4m_bomb"/>
    <hyperlink ref="B102" location="EXCAVACIONES!Exc_man_piedr_agua_4_5m_bomb" display="EXCAVACIONES!Exc_man_piedr_agua_4_5m_bomb"/>
    <hyperlink ref="B103" location="EXCAVACIONES!Exc_man_roca_agua_2m_bomb" display="EXCAVACIONES!Exc_man_roca_agua_2m_bomb"/>
    <hyperlink ref="B104" location="Exc_man_roca_agua_2_3m_bomb" display="Exc_man_roca_agua_2_3m_bomb"/>
    <hyperlink ref="B105" location="EXCAVACIONES!Exc_man_roca_agua_3_4m_bomb" display="EXCAVACIONES!Exc_man_roca_agua_3_4m_bomb"/>
    <hyperlink ref="B106" location="EXCAVACIONES!Exc_derrum_2m" display="EXCAVACIONES!Exc_derrum_2m"/>
    <hyperlink ref="B107" location="EXCAVACIONES!Exc_derrum_2_3m" display="EXCAVACIONES!Exc_derrum_2_3m"/>
    <hyperlink ref="B108" location="EXCAVACIONES!Exc_derrum_3_4m" display="EXCAVACIONES!Exc_derrum_3_4m"/>
    <hyperlink ref="B109" location="EXCAVACIONES!Exc_derrum_4_5m" display="EXCAVACIONES!Exc_derrum_4_5m"/>
    <hyperlink ref="B110" location="EXCAVACIONES!Exc_derrum_5_6m" display="EXCAVACIONES!Exc_derrum_5_6m"/>
    <hyperlink ref="B111" location="EXCAVACIONES!relle_misma_excv" display="EXCAVACIONES!relle_misma_excv"/>
    <hyperlink ref="B112" location="EXCAVACIONES!Rell_mat_gran_casc" display="EXCAVACIONES!Rell_mat_gran_casc"/>
    <hyperlink ref="B113" location="EXCAVACIONES!Rell_mat_selec_rece" display="EXCAVACIONES!Rell_mat_selec_rece"/>
    <hyperlink ref="B114" location="EXCAVACIONES!Rell_mat_selec_arena" display="EXCAVACIONES!Rell_mat_selec_arena"/>
    <hyperlink ref="B119" location="CIMIENTOS!Base_concr_2000psi" display="CIMIENTOS!Base_concr_2000psi"/>
    <hyperlink ref="B120" location="CIMIENTOS!Concr_ciclo_3000PSI" display="CIMIENTOS!Concr_ciclo_3000PSI"/>
    <hyperlink ref="B121" location="CIMIENTOS!Const_vig_cimie_3000psi" display="CIMIENTOS!Const_vig_cimie_3000psi"/>
    <hyperlink ref="B122" location="CIMIENTOS!Const_vig_trapez_3000psi" display="CIMIENTOS!Const_vig_trapez_3000psi"/>
    <hyperlink ref="B123" location="CIMIENTOS!Viga_cimie_tee_invert_3000psi" display="CIMIENTOS!Viga_cimie_tee_invert_3000psi"/>
    <hyperlink ref="B124" location="CIMIENTOS!Viga_cimien_lindero_3000psi" display="CIMIENTOS!Viga_cimien_lindero_3000psi"/>
    <hyperlink ref="B125" location="CIMIENTOS!Sobrec_ladrill_tole" display="CIMIENTOS!Sobrec_ladrill_tole"/>
    <hyperlink ref="B126" location="CIMIENTOS!Sobrec_ladril_tolet_imperm" display="CIMIENTOS!Sobrec_ladril_tolet_imperm"/>
    <hyperlink ref="B127" location="CIMIENTOS!Sobrec_bloq_cem_imperm" display="CIMIENTOS!Sobrec_bloq_cem_imperm"/>
    <hyperlink ref="B128" location="CIMIENTOS!Sobrec_bloq_cem_010_imperm" display="CIMIENTOS!Sobrec_bloq_cem_010_imperm"/>
    <hyperlink ref="B129" location="CIMIENTOS!Sobre_ladril_arrob_imp" display="CIMIENTOS!Sobre_ladril_arrob_imp"/>
    <hyperlink ref="B130" location="CIMIENTOS!Sobre_concr_3000psi" display="CIMIENTOS!Sobre_concr_3000psi"/>
    <hyperlink ref="B131" location="CIMIENTOS!Sobre_concr_3000ps_imper" display="CIMIENTOS!Sobre_concr_3000ps_imper"/>
    <hyperlink ref="B132" location="CIMIENTOS!Zapatas_1_1" display="CIMIENTOS!Zapatas_1_1"/>
    <hyperlink ref="B133" location="CIMIENTOS!Zapatas_1.2_1.2" display="CIMIENTOS!Zapatas_1.2_1.2"/>
    <hyperlink ref="B134" location="CIMIENTOS!Sobre_ladr_tol_0.15x0.25_imper" display="CIMIENTOS!Sobre_ladr_tol_0.15x0.25_imper"/>
    <hyperlink ref="B135" location="CIMIENTOS!Sobr_ladril_tole_0.25x0.25_imperm" display="CIMIENTOS!Sobr_ladril_tole_0.25x0.25_imperm"/>
    <hyperlink ref="B136" location="CIMIENTOS!Const_estru_tanque" display="CIMIENTOS!Const_estru_tanque"/>
    <hyperlink ref="B137" location="CIMIENTOS!Cons_estr_tanqu_sub" display="CIMIENTOS!Cons_estr_tanqu_sub"/>
    <hyperlink ref="B139" location="DESAGUES!Tuberia_gres_3" display="DESAGUES!Tuberia_gres_3"/>
    <hyperlink ref="B140" location="DESAGUES!Accesorio_gres_3" display="DESAGUES!Accesorio_gres_3"/>
    <hyperlink ref="B141" location="DESAGUES!Tuberia_gres_4" display="DESAGUES!Tuberia_gres_4"/>
    <hyperlink ref="B142" location="DESAGUES!Accesorio_gres_4" display="DESAGUES!Accesorio_gres_4"/>
    <hyperlink ref="B143" location="DESAGUES!Tuberis_gres_6" display="DESAGUES!Tuberis_gres_6"/>
    <hyperlink ref="B144" location="DESAGUES!Accesorio_gres_6" display="DESAGUES!Accesorio_gres_6"/>
    <hyperlink ref="B145" location="DESAGUES!Tuberis_gres_8" display="DESAGUES!Tuberis_gres_8"/>
    <hyperlink ref="B146" location="DESAGUES!Accesorio_gres_8" display="DESAGUES!Accesorio_gres_8"/>
    <hyperlink ref="B147" location="DESAGUES!Tuberis_drenaje_gres_4" display="DESAGUES!Tuberis_drenaje_gres_4"/>
    <hyperlink ref="B148" location="DESAGUES!Tuberia_drenaje_gres_6" display="DESAGUES!Tuberia_drenaje_gres_6"/>
    <hyperlink ref="B149" location="DESAGUES!Caja_inspec_0.30x0.30" display="DESAGUES!Caja_inspec_0.30x0.30"/>
    <hyperlink ref="B150" location="DESAGUES!Caja_inspec_0.4x0.4" display="DESAGUES!Caja_inspec_0.4x0.4"/>
    <hyperlink ref="B151" location="DESAGUES!Caja_inspec_0.5x0.5" display="DESAGUES!Caja_inspec_0.5x0.5"/>
    <hyperlink ref="B152" location="DESAGUES!Caja_inpec_0.5x0.5x0.5" display="DESAGUES!Caja_inpec_0.5x0.5x0.5"/>
    <hyperlink ref="B153" location="DESAGUES!Const_cala_inspe_0.6x0.6" display="DESAGUES!Const_cala_inspe_0.6x0.6"/>
    <hyperlink ref="B154" location="DESAGUES!Caja_inspec_0.7x0.7" display="DESAGUES!Caja_inspec_0.7x0.7"/>
    <hyperlink ref="B155" location="DESAGUES!Construc_caja_inspec_0.8x0.8" display="DESAGUES!Construc_caja_inspec_0.8x0.8"/>
    <hyperlink ref="B156" location="DESAGUES!Caja_inspec_0.9x0.9x0.9" display="DESAGUES!Caja_inspec_0.9x0.9x0.9"/>
    <hyperlink ref="B157" location="DESAGUES!Constr_caja_inspc_1x1" display="DESAGUES!Constr_caja_inspc_1x1"/>
    <hyperlink ref="B158" location="DESAGUES!Punto_desague_gres_3_4" display="DESAGUES!Punto_desague_gres_3_4"/>
    <hyperlink ref="B159" location="DESAGUES!Punto_desague_3_sifon" display="DESAGUES!Punto_desague_3_sifon"/>
    <hyperlink ref="B160" location="DESAGUES!Punto_des_gres_4_sani" display="DESAGUES!Punto_des_gres_4_sani"/>
    <hyperlink ref="B162" location="columneta_0.07x0.30m" display="columneta_0.07x0.30m"/>
    <hyperlink ref="B163" location="columneta_0.12x0.3m" display="columneta_0.12x0.3m"/>
    <hyperlink ref="B164" location="columneta_0.15x0.30m" display="columneta_0.15x0.30m"/>
    <hyperlink ref="B165" location="Const_colum_0.2x0.2m" display="Const_colum_0.2x0.2m"/>
    <hyperlink ref="B166" location="columna_0.20x0.25m" display="columna_0.20x0.25m"/>
    <hyperlink ref="B167" location="Columna_0.25x0.25m" display="Columna_0.25x0.25m"/>
    <hyperlink ref="B168" location="Columna_0.25x0.30m" display="Columna_0.25x0.30m"/>
    <hyperlink ref="B169" location="Columna_0.25x0.30m_6" display="Columna_0.25x0.30m_6"/>
    <hyperlink ref="B170" location="Columna_0.20x0.36" display="Columna_0.20x0.36"/>
    <hyperlink ref="B171" location="Columna_0.45x0.30m" display="Columna_0.45x0.30m"/>
    <hyperlink ref="B172" location="Columna_0.45x0.30_1_2" display="Columna_0.45x0.30_1_2"/>
    <hyperlink ref="B173" location="Viga_corona_0.45x0.30" display="Viga_corona_0.45x0.30"/>
    <hyperlink ref="B174" location="Viga_0.20x0.36" display="Viga_0.20x0.36"/>
    <hyperlink ref="B175" location="Viga_amarre_0.12x0.25" display="Viga_amarre_0.12x0.25"/>
    <hyperlink ref="B176" location="Viga_correa_0.08x0.20" display="Viga_correa_0.08x0.20"/>
    <hyperlink ref="B177" location="Viga_amarre_0.12x0.30" display="Viga_amarre_0.12x0.30"/>
    <hyperlink ref="B178" location="Viga_amarre_0.15x0.30" display="Viga_amarre_0.15x0.30"/>
    <hyperlink ref="B179" location="Viga_amarre_0.12x0.20" display="Viga_amarre_0.12x0.20"/>
    <hyperlink ref="B180" location="Viga_amarre_0.12x0.30_4" display="Viga_amarre_0.12x0.30_4"/>
    <hyperlink ref="B181" location="Viga_amarre_0.20x0.25" display="Viga_amarre_0.20x0.25"/>
    <hyperlink ref="B182" location="Dintel_concret_3000psi" display="Dintel_concret_3000psi"/>
    <hyperlink ref="B183" location="Dintel_0.15x0.15" display="Dintel_0.15x0.15"/>
    <hyperlink ref="B184" location="Placa_maciza_2_3" display="Placa_maciza_2_3"/>
    <hyperlink ref="B185" location="Placa_maciza_h0.08" display="Placa_maciza_h0.08"/>
    <hyperlink ref="B186" location="Viga_aerea_0.10x0.20" display="Viga_aerea_0.10x0.20"/>
    <hyperlink ref="B187" location="Meson_doble_concret" display="Meson_doble_concret"/>
    <hyperlink ref="B188" location="Columneta_0.15x0.15m" display="Columneta_0.15x0.15m"/>
    <hyperlink ref="B189" location="Anden_concret_e0.10" display="Anden_concret_e0.10"/>
    <hyperlink ref="B190" location="Const_base_puert_corred" display="Const_base_puert_corred"/>
    <hyperlink ref="B193" location="Tuberia_ag_lluv_pvc_3" display="Tuberia_ag_lluv_pvc_3"/>
    <hyperlink ref="B194" location="Tuber_ag_lluv_pvc4" display="Tuber_ag_lluv_pvc4"/>
    <hyperlink ref="B195" location="Tuber_aguas_negr_pvc3" display="Tuber_aguas_negr_pvc3"/>
    <hyperlink ref="B196" location="Sumn_inst_red_sanit_pvc4" display="Sumn_inst_red_sanit_pvc4"/>
    <hyperlink ref="B197" location="Sumn_inst_red_sanit_pvc6" display="Sumn_inst_red_sanit_pvc6"/>
    <hyperlink ref="B198" location="Tuberia_revintila_pvc2" display="Tuberia_revintila_pvc2"/>
    <hyperlink ref="B199" location="Tuberia_revintila_pvc3" display="Tuberia_revintila_pvc3"/>
    <hyperlink ref="B200" location="Punto_sanit_pvc3_4" display="Punto_sanit_pvc3_4"/>
    <hyperlink ref="B201" location="Constr_pun_sanit_pvc_3_sifon" display="Constr_pun_sanit_pvc_3_sifon"/>
    <hyperlink ref="B202" location="Const_punt_sanit_pvc4" display="Const_punt_sanit_pvc4"/>
    <hyperlink ref="B203" location="Const_punt_sanit_pvc2" display="Const_punt_sanit_pvc2"/>
    <hyperlink ref="B204" location="Suminis_inst_red_sanit_pvc2" display="Suminis_inst_red_sanit_pvc2"/>
    <hyperlink ref="B205" location="Suminist_instal_rejilla_piso" display="Suminist_instal_rejilla_piso"/>
    <hyperlink ref="B208" location="Acomet_pvc_1_2_estrato_1" display="Acomet_pvc_1_2_estrato_1"/>
    <hyperlink ref="B209" location="Acomet_pvc_1_2_estrato_2a" display="Acomet_pvc_1_2_estrato_2a"/>
    <hyperlink ref="B210" location="Acomet_pvc_1_2_estrato_3" display="Acomet_pvc_1_2_estrato_3"/>
    <hyperlink ref="B211" location="Acomet_pvc_1_2_estrato_4" display="Acomet_pvc_1_2_estrato_4"/>
    <hyperlink ref="B212" location="Acomet_pvc_3_4_estrato_1" display="Acomet_pvc_3_4_estrato_1"/>
    <hyperlink ref="B213" location="Acomet_pvc_3_4_estrato_2" display="Acomet_pvc_3_4_estrato_2"/>
    <hyperlink ref="B214" location="Acomet_pvc_3_4_estrato_3" display="Acomet_pvc_3_4_estrato_3"/>
    <hyperlink ref="B215" location="Acomet_pvc_3_4_estrato_4" display="Acomet_pvc_3_4_estrato_4"/>
    <hyperlink ref="B216" location="Conex_tanq_elev_pvc" display="Conex_tanq_elev_pvc"/>
    <hyperlink ref="B217" location="Sum_inst_tanq_elev_ac_250" display="Sum_inst_tanq_elev_ac_250"/>
    <hyperlink ref="B218" location="Sum_inst_tanq_elev_ac_500" display="Sum_inst_tanq_elev_ac_500"/>
    <hyperlink ref="B219" location="Sum_inst_tanq_elev_ac_1000" display="Sum_inst_tanq_elev_ac_1000"/>
    <hyperlink ref="B220" location="Sum_inst_tanq_elev_plast_250" display="Sum_inst_tanq_elev_plast_250"/>
    <hyperlink ref="B221" location="Sum_inst_tanq_elev_plast_500" display="Sum_inst_tanq_elev_plast_500"/>
    <hyperlink ref="B222" location="Sum_inst_tanq_elev_plast_1000" display="Sum_inst_tanq_elev_plast_1000"/>
    <hyperlink ref="B223" location="Const_punt_hidrau_pvc" display="Const_punt_hidrau_pvc"/>
    <hyperlink ref="B224" location="Punt_pvc_agua_1_2_ducha" display="Punt_pvc_agua_1_2_ducha"/>
    <hyperlink ref="B225" location="Punt_pvc_agua_1_2_lavam" display="Punt_pvc_agua_1_2_lavam"/>
    <hyperlink ref="B226" location="Punt_pavc_agua_1_2_sanit" display="Punt_pavc_agua_1_2_sanit"/>
    <hyperlink ref="B227" location="Sum_inst_red_hidr_pvc_1_2" display="Sum_inst_red_hidr_pvc_1_2"/>
    <hyperlink ref="B228" location="Sum_inst_red_hidrau_pvc_3_4" display="Sum_inst_red_hidrau_pvc_3_4"/>
    <hyperlink ref="B229" location="Sum_inst_red_hidr_pvc_1" display="Sum_inst_red_hidr_pvc_1"/>
    <hyperlink ref="B230" location="Sum_inst_red_hidr_pavc_11_2" display="Sum_inst_red_hidr_pavc_11_2"/>
    <hyperlink ref="B231" location="Red_sumin_pvc_2" display="Red_sumin_pvc_2"/>
    <hyperlink ref="B232" location="Sumin_inst_llav_croma_1_2" display="Sumin_inst_llav_croma_1_2"/>
    <hyperlink ref="B233" location="Sumin_inst_llav_registr_3_4" display="Sumin_inst_llav_registr_3_4"/>
    <hyperlink ref="B235" location="elec1" display="elec1"/>
    <hyperlink ref="B236" location="elec2" display="elec2"/>
    <hyperlink ref="B237" location="elec3" display="elec3"/>
    <hyperlink ref="B238" location="elec4" display="elec4"/>
    <hyperlink ref="B239" location="elec5" display="elec5"/>
    <hyperlink ref="B240" location="elec6" display="elec6"/>
    <hyperlink ref="B241" location="elec7" display="elec7"/>
    <hyperlink ref="B242" location="elec8" display="elec8"/>
    <hyperlink ref="B243" location="elec9" display="elec9"/>
    <hyperlink ref="B244" location="elec10" display="elec10"/>
    <hyperlink ref="B245" location="elec11" display="elec11"/>
    <hyperlink ref="B246" location="elec12" display="elec12"/>
    <hyperlink ref="B247" location="elec13" display="elec13"/>
    <hyperlink ref="B248" location="elec14" display="elec14"/>
    <hyperlink ref="B249" location="elec15" display="elec15"/>
    <hyperlink ref="B250" location="elec16" display="elec16"/>
    <hyperlink ref="B251" location="elec17" display="elec17"/>
    <hyperlink ref="B252" location="elec18" display="elec18"/>
    <hyperlink ref="B253" location="elec19" display="elec19"/>
    <hyperlink ref="B254" location="elec20" display="elec20"/>
    <hyperlink ref="B255" location="elec21" display="elec21"/>
    <hyperlink ref="B256" location="elec22" display="elec22"/>
    <hyperlink ref="B257" location="elec23" display="elec23"/>
    <hyperlink ref="B258" location="elec24" display="elec24"/>
    <hyperlink ref="B259" location="elec25" display="elec25"/>
    <hyperlink ref="B260" location="elec26" display="elec26"/>
    <hyperlink ref="B261" location="elec27" display="elec27"/>
    <hyperlink ref="B262" location="elec28" display="elec28"/>
    <hyperlink ref="B263" location="elec29" display="elec29"/>
    <hyperlink ref="B264" location="elec30" display="elec30"/>
    <hyperlink ref="B265" location="elec31" display="elec31"/>
    <hyperlink ref="B266" location="elec32" display="elec32"/>
    <hyperlink ref="B267" location="elec33" display="elec33"/>
    <hyperlink ref="B268" location="elec34" display="elec34"/>
    <hyperlink ref="B269" location="elec35" display="elec35"/>
    <hyperlink ref="B270" location="elec36" display="elec36"/>
    <hyperlink ref="B271" location="elec37" display="elec37"/>
    <hyperlink ref="B272" location="elec38" display="elec38"/>
    <hyperlink ref="B273" location="elec39" display="elec39"/>
    <hyperlink ref="B274" location="elec40" display="elec40"/>
    <hyperlink ref="B275" location="elec41" display="elec41"/>
    <hyperlink ref="B276" location="elec42" display="elec42"/>
    <hyperlink ref="B277" location="elec43" display="elec43"/>
    <hyperlink ref="B278" location="elec44" display="elec44"/>
    <hyperlink ref="B280" location="m_1" display="m_1"/>
    <hyperlink ref="B281" location="m_2" display="m_2"/>
    <hyperlink ref="B282" location="m_3" display="m_3"/>
    <hyperlink ref="B283" location="m_4" display="m_4"/>
    <hyperlink ref="B284" location="m_5" display="m_5"/>
    <hyperlink ref="B285" location="m_6" display="m_6"/>
    <hyperlink ref="B286" location="m_7" display="m_7"/>
    <hyperlink ref="B287" location="m_8" display="m_8"/>
    <hyperlink ref="B288" location="m_9" display="m_9"/>
    <hyperlink ref="B289" location="m_10" display="m_10"/>
    <hyperlink ref="B290" location="m_11" display="m_11"/>
    <hyperlink ref="B291" location="m_12" display="m_12"/>
    <hyperlink ref="B292" location="m_13" display="m_13"/>
    <hyperlink ref="B293" location="m_14" display="m_14"/>
    <hyperlink ref="B294" location="m_15" display="m_15"/>
    <hyperlink ref="B295" location="m_16" display="m_16"/>
    <hyperlink ref="B296" location="m_17" display="m_17"/>
    <hyperlink ref="B297" location="m_18" display="m_18"/>
    <hyperlink ref="B298" location="m_19" display="m_19"/>
    <hyperlink ref="B299" location="m_20" display="m_20"/>
    <hyperlink ref="B300" location="m_21" display="m_21"/>
    <hyperlink ref="B301" location="m_22" display="m_22"/>
    <hyperlink ref="B302" location="m_23" display="m_23"/>
    <hyperlink ref="B304" location="p_1" display="p_1"/>
    <hyperlink ref="B305" location="p_2" display="p_2"/>
    <hyperlink ref="B306" location="p_3" display="p_3"/>
    <hyperlink ref="B307" location="p_4" display="p_4"/>
    <hyperlink ref="B308" location="p_5" display="p_5"/>
    <hyperlink ref="B309" location="p_6" display="p_6"/>
    <hyperlink ref="B310" location="p_7" display="p_7"/>
    <hyperlink ref="B311" location="p_8" display="p_8"/>
    <hyperlink ref="B312" location="p_9" display="p_9"/>
    <hyperlink ref="B313" location="p_10" display="p_10"/>
    <hyperlink ref="B314" location="p_11" display="p_11"/>
    <hyperlink ref="B315" location="p_12" display="p_12"/>
    <hyperlink ref="B316" location="p_13" display="p_13"/>
    <hyperlink ref="B317" location="p_14" display="p_14"/>
    <hyperlink ref="B318" location="p_15" display="p_15"/>
    <hyperlink ref="B319" location="p_16" display="p_16"/>
    <hyperlink ref="B320" location="p_17" display="p_17"/>
    <hyperlink ref="B322" location="pis_1" display="pis_1"/>
    <hyperlink ref="B323" location="pis_2" display="pis_2"/>
    <hyperlink ref="B324" location="pis_3" display="pis_3"/>
    <hyperlink ref="B325" location="pis_4" display="pis_4"/>
    <hyperlink ref="B326" location="pis_5" display="pis_5"/>
    <hyperlink ref="B327" location="pis_6" display="pis_6"/>
    <hyperlink ref="B328" location="pis_" display="pis_"/>
    <hyperlink ref="B329" location="pis_8" display="pis_8"/>
    <hyperlink ref="B330" location="pis_9" display="pis_9"/>
    <hyperlink ref="B331" location="pis_10" display="pis_10"/>
    <hyperlink ref="B332" location="pis_11" display="pis_11"/>
    <hyperlink ref="B333" location="pis_12" display="pis_12"/>
    <hyperlink ref="B334" location="pis_13" display="pis_13"/>
    <hyperlink ref="B335" location="pis_14" display="pis_14"/>
    <hyperlink ref="B336" location="pis_15" display="pis_15"/>
    <hyperlink ref="B337" location="pis_16" display="pis_16"/>
    <hyperlink ref="B338" location="pis_17" display="pis_17"/>
    <hyperlink ref="B339" location="pis_18" display="pis_18"/>
    <hyperlink ref="B340" location="pis_19" display="pis_19"/>
    <hyperlink ref="B341" location="pis_20" display="pis_20"/>
    <hyperlink ref="B342" location="pis_21" display="pis_21"/>
    <hyperlink ref="B343" location="pis_22" display="pis_22"/>
    <hyperlink ref="B344" location="pis_23" display="pis_23"/>
    <hyperlink ref="B345" location="pis_24" display="pis_24"/>
    <hyperlink ref="B346" location="pis_25" display="pis_25"/>
    <hyperlink ref="B347" location="pis_267" display="pis_267"/>
    <hyperlink ref="B348" location="pis_27" display="pis_27"/>
    <hyperlink ref="B349" location="pis_28" display="pis_28"/>
    <hyperlink ref="B350" location="pis_29" display="pis_29"/>
    <hyperlink ref="B351" location="pis_30" display="pis_30"/>
    <hyperlink ref="B353" location="pis_32" display="pis_32"/>
    <hyperlink ref="B354" location="pis_33" display="pis_33"/>
    <hyperlink ref="B355" location="pis_34" display="pis_34"/>
    <hyperlink ref="B352" location="pis_31" display="pis_31"/>
    <hyperlink ref="B357" location="cu_1" display="cu_1"/>
    <hyperlink ref="B358" location="cu_2" display="cu_2"/>
    <hyperlink ref="B359" location="cu_3" display="cu_3"/>
    <hyperlink ref="B360" location="cu_4" display="cu_4"/>
    <hyperlink ref="B361" location="cu_5" display="cu_5"/>
    <hyperlink ref="B362" location="cu_6" display="cu_6"/>
    <hyperlink ref="B363" location="cu_7" display="cu_7"/>
    <hyperlink ref="B364" location="cu_8" display="cu_8"/>
    <hyperlink ref="B365" location="cu_9" display="cu_9"/>
    <hyperlink ref="B366" location="cu_10" display="cu_10"/>
    <hyperlink ref="B367" location="cu_11" display="cu_11"/>
    <hyperlink ref="B368" location="cu_12" display="cu_12"/>
    <hyperlink ref="B369" location="cu_13" display="cu_13"/>
    <hyperlink ref="B370" location="cu_14" display="cu_14"/>
    <hyperlink ref="B371" location="cu_15" display="cu_15"/>
    <hyperlink ref="B372" location="cu_16" display="cu_16"/>
    <hyperlink ref="B373" location="cu_17" display="cu_17"/>
    <hyperlink ref="B374" location="cu_18" display="cu_18"/>
    <hyperlink ref="B375" location="cu_19" display="cu_19"/>
    <hyperlink ref="B376" location="cu_20" display="cu_20"/>
    <hyperlink ref="B377" location="cu_21" display="cu_21"/>
    <hyperlink ref="B378" location="cu_22" display="cu_22"/>
    <hyperlink ref="B379" location="cu_23" display="cu_23"/>
    <hyperlink ref="B380" location="cu_24" display="cu_24"/>
    <hyperlink ref="B381" location="cu_25" display="cu_25"/>
    <hyperlink ref="B382" location="cu_26" display="cu_26"/>
    <hyperlink ref="B383" location="cu_27" display="cu_27"/>
    <hyperlink ref="B384" location="cu_28" display="cu_28"/>
    <hyperlink ref="B385" location="cu_29" display="cu_29"/>
    <hyperlink ref="B386" location="CU_30" display="CU_30"/>
    <hyperlink ref="B388" location="cie1" display="cie1"/>
    <hyperlink ref="B389" location="cie2" display="cie2"/>
    <hyperlink ref="B390" location="cie3" display="cie3"/>
    <hyperlink ref="B391" location="cie4" display="cie4"/>
    <hyperlink ref="B392" location="cie5" display="cie5"/>
    <hyperlink ref="B393" location="cie6" display="cie6"/>
    <hyperlink ref="B395" location="apasanit1" display="apasanit1"/>
    <hyperlink ref="B396" location="apasanit2" display="apasanit2"/>
    <hyperlink ref="B397" location="apasanit3" display="apasanit3"/>
    <hyperlink ref="B398" location="apasanit4" display="apasanit4"/>
    <hyperlink ref="B399" location="apasanit5" display="apasanit5"/>
    <hyperlink ref="B400" location="apasanit6" display="apasanit6"/>
    <hyperlink ref="B401" location="apasanit7" display="apasanit7"/>
    <hyperlink ref="B402" location="apasanit8" display="apasanit8"/>
    <hyperlink ref="B403" location="apasanit9" display="apasanit9"/>
    <hyperlink ref="B404" location="apasanit10" display="apasanit10"/>
    <hyperlink ref="B405" location="apasanit11" display="apasanit11"/>
    <hyperlink ref="B406" location="apasanit12" display="apasanit12"/>
    <hyperlink ref="B407" location="apasanit13" display="apasanit13"/>
    <hyperlink ref="B408" location="apasanit14" display="apasanit14"/>
    <hyperlink ref="B409" location="apasanit15" display="apasanit15"/>
    <hyperlink ref="B410" location="apasanit16" display="apasanit16"/>
    <hyperlink ref="B411" location="apasanit17" display="apasanit17"/>
    <hyperlink ref="B412" location="apasanit18" display="apasanit18"/>
    <hyperlink ref="B413" location="apasanit19" display="apasanit19"/>
    <hyperlink ref="B414" location="apasanit20" display="apasanit20"/>
    <hyperlink ref="B416" location="estuco1" display="estuco1"/>
    <hyperlink ref="B417" location="estuco2" display="estuco2"/>
    <hyperlink ref="B418" location="estuco3" display="estuco3"/>
    <hyperlink ref="B419" location="estuco4" display="estuco4"/>
    <hyperlink ref="B420" location="estuco5" display="estuco5"/>
    <hyperlink ref="B421" location="estuco6" display="estuco6"/>
    <hyperlink ref="B422" location="estuco7" display="estuco7"/>
    <hyperlink ref="B423" location="estuco8" display="estuco8"/>
    <hyperlink ref="B424" location="estuco9" display="estuco9"/>
    <hyperlink ref="B425" location="estuco10" display="estuco10"/>
    <hyperlink ref="B426" location="estuco11" display="estuco11"/>
    <hyperlink ref="B427" location="estuco12" display="estuco12"/>
    <hyperlink ref="B428" location="estuco13" display="estuco13"/>
    <hyperlink ref="B429" location="estuco14" display="estuco14"/>
    <hyperlink ref="B430" location="estuco15" display="estuco15"/>
    <hyperlink ref="B431" location="estuco16" display="estuco16"/>
    <hyperlink ref="B432" location="estuco17" display="estuco17"/>
    <hyperlink ref="B433" location="estuco18" display="estuco18"/>
    <hyperlink ref="B434" location="estuco19" display="estuco19"/>
    <hyperlink ref="B435" location="estuco20" display="estuco20"/>
    <hyperlink ref="B436" location="estuco21" display="estuco21"/>
    <hyperlink ref="B437" location="estuco22" display="estuco22"/>
    <hyperlink ref="B438" location="estuco23" display="estuco23"/>
    <hyperlink ref="B440" location="carpmad1" display="carpmad1"/>
    <hyperlink ref="B441" location="carpmad2" display="carpmad2"/>
    <hyperlink ref="B442" location="carpmad3" display="carpmad3"/>
    <hyperlink ref="B443" location="carpmad4" display="carpmad4"/>
    <hyperlink ref="B444" location="carpmad5" display="carpmad5"/>
    <hyperlink ref="B445" location="carpmad6" display="carpmad6"/>
    <hyperlink ref="B446" location="carpmad7" display="carpmad7"/>
    <hyperlink ref="B447" location="carpmad8" display="carpmad8"/>
    <hyperlink ref="B448" location="carpmad9" display="carpmad9"/>
    <hyperlink ref="B449" location="carpmad10" display="carpmad10"/>
    <hyperlink ref="B450" location="carpmad11" display="carpmad11"/>
    <hyperlink ref="B451" location="carpmad12" display="carpmad12"/>
    <hyperlink ref="B452" location="carpmad13" display="carpmad13"/>
    <hyperlink ref="B453" location="carpmad14" display="carpmad14"/>
    <hyperlink ref="B454" location="carpmad15" display="carpmad15"/>
    <hyperlink ref="B455" location="carpmad16" display="carpmad16"/>
    <hyperlink ref="B457" location="carpmet1" display="carpmet1"/>
    <hyperlink ref="B458" location="carpmet2" display="carpmet2"/>
    <hyperlink ref="B459" location="carpmet3" display="carpmet3"/>
    <hyperlink ref="B460" location="carpmet4" display="carpmet4"/>
    <hyperlink ref="B461" location="carpmet5" display="carpmet5"/>
    <hyperlink ref="B462" location="carpmet6" display="carpmet6"/>
    <hyperlink ref="B463" location="carpmet7" display="carpmet7"/>
    <hyperlink ref="B464" location="carpmet8" display="carpmet8"/>
    <hyperlink ref="B465" location="carpmet9" display="carpmet9"/>
    <hyperlink ref="B466" location="carpmet10" display="carpmet10"/>
    <hyperlink ref="B467" location="carpmet11" display="carpmet11"/>
    <hyperlink ref="B468" location="carpmet12" display="carpmet12"/>
    <hyperlink ref="B469" location="carpmet13" display="carpmet13"/>
    <hyperlink ref="B470" location="carpmet14" display="carpmet14"/>
    <hyperlink ref="B471" location="carpmet15" display="carpmet15"/>
    <hyperlink ref="B472" location="carpmet16" display="carpmet16"/>
    <hyperlink ref="B473" location="carpmet17" display="carpmet17"/>
    <hyperlink ref="B474" location="carpmet18" display="carpmet18"/>
    <hyperlink ref="B475" location="carpmet19" display="carpmet19"/>
    <hyperlink ref="B476" location="carpmet20" display="carpmet20"/>
    <hyperlink ref="B477" location="carpmet21" display="carpmet21"/>
    <hyperlink ref="B480" location="vias1" display="vias1"/>
    <hyperlink ref="B481" location="vias2" display="vias2"/>
    <hyperlink ref="B482" location="vias3" display="vias3"/>
    <hyperlink ref="B483" location="vias4" display="vias4"/>
    <hyperlink ref="B484" location="vias5" display="vias5"/>
    <hyperlink ref="B485" location="vias6" display="vias6"/>
    <hyperlink ref="B486" location="vias7" display="vias7"/>
    <hyperlink ref="B487" location="vias8" display="vias8"/>
    <hyperlink ref="B488" location="vias9" display="vias9"/>
    <hyperlink ref="B490" location="mobilurban1" display="mobilurban1"/>
    <hyperlink ref="B491" location="mobilurban2" display="mobilurban2"/>
    <hyperlink ref="B492" location="mobilurban3" display="mobilurban3"/>
    <hyperlink ref="B493" location="mobilurban4" display="mobilurban4"/>
    <hyperlink ref="B494" location="mobilurban5" display="mobilurban5"/>
    <hyperlink ref="B495" location="mobilurban6" display="mobilurban6"/>
    <hyperlink ref="B496" location="mobilurban7" display="mobilurban7"/>
    <hyperlink ref="B497" location="mobilurban8" display="mobilurban8"/>
    <hyperlink ref="B498" location="mobilurban9" display="mobilurban9"/>
    <hyperlink ref="B115" location="excava51" display="excava51"/>
    <hyperlink ref="B116" location="excava52" display="excava52"/>
    <hyperlink ref="B500" location="otros_1" display="otros_1"/>
    <hyperlink ref="B501" location="otros_2" display="otros_2"/>
    <hyperlink ref="B206" location="inst_sanit14" display="inst_sanit14"/>
    <hyperlink ref="B191" location="estructuras_30" display="estructuras_30"/>
    <hyperlink ref="B117" location="excava53" display="excava53"/>
    <hyperlink ref="B63" location="prelim_41" display="prelim_41"/>
    <hyperlink ref="B502" location="otros_3" display="otros_3"/>
  </hyperlinks>
  <pageMargins left="0.75" right="0.75" top="1" bottom="1" header="0" footer="0"/>
  <pageSetup scale="6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1" enableFormatConditionsCalculation="0">
    <tabColor indexed="11"/>
  </sheetPr>
  <dimension ref="A1:H1589"/>
  <sheetViews>
    <sheetView topLeftCell="A324" zoomScale="85" zoomScaleNormal="85" zoomScaleSheetLayoutView="70" workbookViewId="0">
      <selection activeCell="H350" sqref="H350"/>
    </sheetView>
  </sheetViews>
  <sheetFormatPr baseColWidth="10" defaultRowHeight="12.75"/>
  <cols>
    <col min="2" max="2" width="22.5703125" customWidth="1"/>
    <col min="3" max="3" width="26.85546875" customWidth="1"/>
    <col min="4" max="4" width="12.7109375" customWidth="1"/>
    <col min="5" max="5" width="13.7109375" customWidth="1"/>
    <col min="6" max="6" width="14.7109375" customWidth="1"/>
    <col min="7" max="7" width="16.7109375" customWidth="1"/>
  </cols>
  <sheetData>
    <row r="1" spans="1:8" ht="19.5" thickTop="1">
      <c r="A1" s="95"/>
      <c r="B1" s="225"/>
      <c r="C1" s="848" t="s">
        <v>1054</v>
      </c>
      <c r="D1" s="848"/>
      <c r="E1" s="848"/>
      <c r="F1" s="848"/>
      <c r="G1" s="849"/>
    </row>
    <row r="2" spans="1:8" ht="18.75">
      <c r="A2" s="95"/>
      <c r="B2" s="226"/>
      <c r="C2" s="780" t="s">
        <v>1381</v>
      </c>
      <c r="D2" s="780"/>
      <c r="E2" s="780"/>
      <c r="F2" s="780"/>
      <c r="G2" s="850"/>
    </row>
    <row r="3" spans="1:8" ht="18.75">
      <c r="A3" s="95"/>
      <c r="B3" s="226"/>
      <c r="C3" s="781"/>
      <c r="D3" s="781"/>
      <c r="E3" s="781"/>
      <c r="F3" s="781"/>
      <c r="G3" s="851"/>
    </row>
    <row r="4" spans="1:8" ht="15.75">
      <c r="A4" s="95"/>
      <c r="B4" s="881" t="s">
        <v>780</v>
      </c>
      <c r="C4" s="852"/>
      <c r="D4" s="852"/>
      <c r="E4" s="852"/>
      <c r="F4" s="852"/>
      <c r="G4" s="853"/>
    </row>
    <row r="5" spans="1:8" ht="15.75" thickBot="1">
      <c r="A5" s="95"/>
      <c r="B5" s="227"/>
      <c r="C5" s="856"/>
      <c r="D5" s="856"/>
      <c r="E5" s="856"/>
      <c r="F5" s="856"/>
      <c r="G5" s="857"/>
    </row>
    <row r="6" spans="1:8" ht="13.5" thickTop="1">
      <c r="A6" s="95"/>
      <c r="B6" s="90" t="s">
        <v>303</v>
      </c>
      <c r="C6" s="843"/>
      <c r="D6" s="843"/>
      <c r="E6" s="843"/>
      <c r="F6" s="92" t="s">
        <v>781</v>
      </c>
      <c r="G6" s="93" t="s">
        <v>831</v>
      </c>
      <c r="H6" s="505" t="s">
        <v>1670</v>
      </c>
    </row>
    <row r="7" spans="1:8">
      <c r="A7" s="95"/>
      <c r="B7" s="91" t="s">
        <v>834</v>
      </c>
      <c r="C7" s="844" t="s">
        <v>368</v>
      </c>
      <c r="D7" s="844"/>
      <c r="E7" s="844"/>
      <c r="F7" s="15" t="s">
        <v>833</v>
      </c>
      <c r="G7" s="165" t="str">
        <f>'MANO DE OBRA'!D61</f>
        <v>Agosto de 2010</v>
      </c>
    </row>
    <row r="8" spans="1:8" ht="13.5" thickBot="1">
      <c r="A8" s="127"/>
      <c r="B8" s="94" t="s">
        <v>835</v>
      </c>
      <c r="C8" s="845" t="s">
        <v>685</v>
      </c>
      <c r="D8" s="845"/>
      <c r="E8" s="845"/>
      <c r="F8" s="845"/>
      <c r="G8" s="846"/>
    </row>
    <row r="9" spans="1:8" ht="14.25" thickTop="1" thickBot="1">
      <c r="A9" s="95"/>
      <c r="B9" s="847"/>
      <c r="C9" s="847"/>
      <c r="D9" s="847"/>
      <c r="E9" s="847"/>
      <c r="F9" s="847"/>
      <c r="G9" s="847"/>
    </row>
    <row r="10" spans="1:8" ht="13.5" thickTop="1">
      <c r="A10" s="95"/>
      <c r="B10" s="811" t="s">
        <v>304</v>
      </c>
      <c r="C10" s="812"/>
      <c r="D10" s="812"/>
      <c r="E10" s="812"/>
      <c r="F10" s="812"/>
      <c r="G10" s="825"/>
    </row>
    <row r="11" spans="1:8">
      <c r="A11" s="95"/>
      <c r="B11" s="105"/>
      <c r="C11" s="97"/>
      <c r="D11" s="98" t="s">
        <v>301</v>
      </c>
      <c r="E11" s="98" t="s">
        <v>1072</v>
      </c>
      <c r="F11" s="99" t="s">
        <v>839</v>
      </c>
      <c r="G11" s="107" t="s">
        <v>840</v>
      </c>
    </row>
    <row r="12" spans="1:8">
      <c r="A12" s="95"/>
      <c r="B12" s="821" t="s">
        <v>838</v>
      </c>
      <c r="C12" s="822"/>
      <c r="D12" s="100" t="s">
        <v>308</v>
      </c>
      <c r="E12" s="100" t="s">
        <v>305</v>
      </c>
      <c r="F12" s="101" t="s">
        <v>306</v>
      </c>
      <c r="G12" s="108" t="s">
        <v>310</v>
      </c>
    </row>
    <row r="13" spans="1:8">
      <c r="A13" s="95"/>
      <c r="B13" s="115"/>
      <c r="C13" s="102"/>
      <c r="D13" s="103"/>
      <c r="E13" s="103" t="s">
        <v>309</v>
      </c>
      <c r="F13" s="104" t="s">
        <v>307</v>
      </c>
      <c r="G13" s="109"/>
    </row>
    <row r="14" spans="1:8">
      <c r="A14" s="127"/>
      <c r="B14" s="823" t="str">
        <f>'MAQUINARIA Y EQUIPOS'!C28</f>
        <v>HERRAMIENTAS MENORES</v>
      </c>
      <c r="C14" s="824"/>
      <c r="D14" s="87">
        <v>1</v>
      </c>
      <c r="E14" s="82">
        <f>ROUND(G47*0.05,0)</f>
        <v>531</v>
      </c>
      <c r="F14" s="81">
        <v>1</v>
      </c>
      <c r="G14" s="110">
        <f>ROUND(D14*E14/F14,0)</f>
        <v>531</v>
      </c>
    </row>
    <row r="15" spans="1:8">
      <c r="A15" s="95"/>
      <c r="B15" s="835" t="str">
        <f>'MAQUINARIA Y EQUIPOS'!C53</f>
        <v>VIBRADOR A GASOLINA</v>
      </c>
      <c r="C15" s="836"/>
      <c r="D15" s="37">
        <v>1</v>
      </c>
      <c r="E15" s="82">
        <f>'MAQUINARIA Y EQUIPOS'!D53</f>
        <v>51040</v>
      </c>
      <c r="F15" s="83">
        <v>25</v>
      </c>
      <c r="G15" s="111">
        <f>ROUND(D15*E15/F15,0)</f>
        <v>2042</v>
      </c>
    </row>
    <row r="16" spans="1:8">
      <c r="A16" s="95"/>
      <c r="B16" s="835" t="str">
        <f>'MAQUINARIA Y EQUIPOS'!C9</f>
        <v>ANDAMIO TUBULAR 1.50 m</v>
      </c>
      <c r="C16" s="836"/>
      <c r="D16" s="37">
        <v>3</v>
      </c>
      <c r="E16" s="82">
        <f>'MAQUINARIA Y EQUIPOS'!D9</f>
        <v>754</v>
      </c>
      <c r="F16" s="83">
        <f>+F42</f>
        <v>10</v>
      </c>
      <c r="G16" s="111">
        <f>ROUND(D16*E16/F16,0)</f>
        <v>226</v>
      </c>
    </row>
    <row r="17" spans="1:8">
      <c r="A17" s="95"/>
      <c r="B17" s="835" t="str">
        <f>'MAQUINARIA Y EQUIPOS'!C37</f>
        <v>PARAL TELESCOPICO 3 MTS</v>
      </c>
      <c r="C17" s="836"/>
      <c r="D17" s="37">
        <v>15</v>
      </c>
      <c r="E17" s="82">
        <f>'MAQUINARIA Y EQUIPOS'!D37</f>
        <v>290</v>
      </c>
      <c r="F17" s="83">
        <f>+F42</f>
        <v>10</v>
      </c>
      <c r="G17" s="111">
        <f>ROUND(D17*E17/F17,0)</f>
        <v>435</v>
      </c>
    </row>
    <row r="18" spans="1:8">
      <c r="A18" s="95"/>
      <c r="B18" s="835" t="str">
        <f>'MAQUINARIA Y EQUIPOS'!C47</f>
        <v>TABLONES 3m</v>
      </c>
      <c r="C18" s="836"/>
      <c r="D18" s="37">
        <v>2</v>
      </c>
      <c r="E18" s="82">
        <f>'MAQUINARIA Y EQUIPOS'!D47</f>
        <v>348</v>
      </c>
      <c r="F18" s="83">
        <f>+F43</f>
        <v>10</v>
      </c>
      <c r="G18" s="111">
        <f>ROUND(D18*E18/F18,0)</f>
        <v>70</v>
      </c>
    </row>
    <row r="19" spans="1:8" ht="13.5" thickBot="1">
      <c r="A19" s="95"/>
      <c r="B19" s="839" t="s">
        <v>841</v>
      </c>
      <c r="C19" s="840"/>
      <c r="D19" s="77"/>
      <c r="E19" s="106"/>
      <c r="F19" s="86"/>
      <c r="G19" s="112"/>
    </row>
    <row r="20" spans="1:8" ht="14.25" thickTop="1" thickBot="1">
      <c r="A20" s="95"/>
      <c r="B20" s="808"/>
      <c r="C20" s="808"/>
      <c r="D20" s="808"/>
      <c r="E20" s="809"/>
      <c r="F20" s="119" t="s">
        <v>856</v>
      </c>
      <c r="G20" s="118">
        <f>SUM(G14:G19)</f>
        <v>3304</v>
      </c>
    </row>
    <row r="21" spans="1:8" ht="14.25" thickTop="1" thickBot="1">
      <c r="A21" s="95"/>
      <c r="B21" s="830"/>
      <c r="C21" s="830"/>
      <c r="D21" s="830"/>
      <c r="E21" s="830"/>
      <c r="F21" s="830"/>
      <c r="G21" s="830"/>
    </row>
    <row r="22" spans="1:8" ht="13.5" thickTop="1">
      <c r="A22" s="95"/>
      <c r="B22" s="811" t="s">
        <v>311</v>
      </c>
      <c r="C22" s="812"/>
      <c r="D22" s="812"/>
      <c r="E22" s="812"/>
      <c r="F22" s="812"/>
      <c r="G22" s="825"/>
    </row>
    <row r="23" spans="1:8">
      <c r="A23" s="95"/>
      <c r="B23" s="817" t="s">
        <v>838</v>
      </c>
      <c r="C23" s="818"/>
      <c r="D23" s="98" t="s">
        <v>842</v>
      </c>
      <c r="E23" s="98" t="s">
        <v>853</v>
      </c>
      <c r="F23" s="99" t="s">
        <v>1047</v>
      </c>
      <c r="G23" s="107" t="s">
        <v>840</v>
      </c>
    </row>
    <row r="24" spans="1:8">
      <c r="A24" s="95"/>
      <c r="B24" s="115"/>
      <c r="C24" s="102"/>
      <c r="D24" s="100"/>
      <c r="E24" s="100" t="s">
        <v>312</v>
      </c>
      <c r="F24" s="101" t="s">
        <v>313</v>
      </c>
      <c r="G24" s="108" t="s">
        <v>314</v>
      </c>
    </row>
    <row r="25" spans="1:8" ht="14.25">
      <c r="A25" s="125"/>
      <c r="B25" s="841" t="str">
        <f>MATERIALES2!C35</f>
        <v>CONCRETO 1:2:3-3000 psi(MATERIALES)</v>
      </c>
      <c r="C25" s="842"/>
      <c r="D25" s="87" t="s">
        <v>1066</v>
      </c>
      <c r="E25" s="159">
        <v>2.1000000000000001E-2</v>
      </c>
      <c r="F25" s="80">
        <f>MATERIALES2!E35</f>
        <v>367600</v>
      </c>
      <c r="G25" s="110">
        <f t="shared" ref="G25:G31" si="0">ROUND(E25*F25,0)</f>
        <v>7720</v>
      </c>
    </row>
    <row r="26" spans="1:8">
      <c r="A26" s="123"/>
      <c r="B26" s="854" t="str">
        <f>MATERIALES2!C163</f>
        <v>TABLON 2x12x10</v>
      </c>
      <c r="C26" s="855"/>
      <c r="D26" s="37" t="s">
        <v>865</v>
      </c>
      <c r="E26" s="138">
        <f>ROUND(3/3/4,2)</f>
        <v>0.25</v>
      </c>
      <c r="F26" s="82">
        <f>MATERIALES2!E163</f>
        <v>20000</v>
      </c>
      <c r="G26" s="111">
        <f t="shared" si="0"/>
        <v>5000</v>
      </c>
    </row>
    <row r="27" spans="1:8">
      <c r="A27" s="95"/>
      <c r="B27" s="854" t="str">
        <f>MATERIALES2!C151</f>
        <v>ABARCO DE 2X2X4,50</v>
      </c>
      <c r="C27" s="855"/>
      <c r="D27" s="37" t="s">
        <v>865</v>
      </c>
      <c r="E27" s="83">
        <f>ROUND((0.4*2+0.15*2)*3/4.5/4,2)</f>
        <v>0.18</v>
      </c>
      <c r="F27" s="82">
        <f>MATERIALES2!E151</f>
        <v>5000</v>
      </c>
      <c r="G27" s="111">
        <f t="shared" si="0"/>
        <v>900</v>
      </c>
    </row>
    <row r="28" spans="1:8">
      <c r="A28" s="95"/>
      <c r="B28" s="854" t="str">
        <f>MATERIALES2!C919</f>
        <v>PUNTILLAS DE 3"</v>
      </c>
      <c r="C28" s="855"/>
      <c r="D28" s="37" t="s">
        <v>922</v>
      </c>
      <c r="E28" s="138">
        <v>0.5</v>
      </c>
      <c r="F28" s="82">
        <f>MATERIALES2!E919</f>
        <v>1500</v>
      </c>
      <c r="G28" s="111">
        <f t="shared" si="0"/>
        <v>750</v>
      </c>
    </row>
    <row r="29" spans="1:8">
      <c r="A29" s="95"/>
      <c r="B29" s="854" t="str">
        <f>MATERIALES2!C61</f>
        <v>HIERRO CHIPA ¼"</v>
      </c>
      <c r="C29" s="855"/>
      <c r="D29" s="37" t="s">
        <v>925</v>
      </c>
      <c r="E29" s="146">
        <f>ROUND(12*0.7*0.3,2)</f>
        <v>2.52</v>
      </c>
      <c r="F29" s="82">
        <f>MATERIALES2!E61</f>
        <v>2100</v>
      </c>
      <c r="G29" s="111">
        <f t="shared" si="0"/>
        <v>5292</v>
      </c>
    </row>
    <row r="30" spans="1:8">
      <c r="A30" s="95"/>
      <c r="B30" s="854" t="str">
        <f>MATERIALES2!C62</f>
        <v>HIERRO CHIPA 3/8"</v>
      </c>
      <c r="C30" s="855"/>
      <c r="D30" s="37" t="s">
        <v>925</v>
      </c>
      <c r="E30" s="146">
        <f>ROUND(4*1.4*0.61,2)</f>
        <v>3.42</v>
      </c>
      <c r="F30" s="82">
        <f>MATERIALES2!E62</f>
        <v>2100</v>
      </c>
      <c r="G30" s="111">
        <f t="shared" si="0"/>
        <v>7182</v>
      </c>
    </row>
    <row r="31" spans="1:8">
      <c r="A31" s="95"/>
      <c r="B31" s="854" t="str">
        <f>MATERIALES2!C65</f>
        <v>ALAMBRE NEGRO</v>
      </c>
      <c r="C31" s="855"/>
      <c r="D31" s="37" t="s">
        <v>925</v>
      </c>
      <c r="E31" s="160">
        <v>0.23</v>
      </c>
      <c r="F31" s="82">
        <f>MATERIALES2!E65</f>
        <v>2100</v>
      </c>
      <c r="G31" s="111">
        <f t="shared" si="0"/>
        <v>483</v>
      </c>
    </row>
    <row r="32" spans="1:8">
      <c r="A32" s="95"/>
      <c r="B32" s="938" t="s">
        <v>841</v>
      </c>
      <c r="C32" s="939"/>
      <c r="D32" s="53" t="s">
        <v>841</v>
      </c>
      <c r="E32" s="53"/>
      <c r="F32" s="82"/>
      <c r="G32" s="111"/>
      <c r="H32" s="505" t="s">
        <v>1670</v>
      </c>
    </row>
    <row r="33" spans="1:7" ht="13.5" thickBot="1">
      <c r="A33" s="95"/>
      <c r="B33" s="942" t="s">
        <v>841</v>
      </c>
      <c r="C33" s="943"/>
      <c r="D33" s="84" t="s">
        <v>841</v>
      </c>
      <c r="E33" s="84"/>
      <c r="F33" s="85"/>
      <c r="G33" s="112"/>
    </row>
    <row r="34" spans="1:7" ht="13.5" thickTop="1">
      <c r="A34" s="95"/>
      <c r="B34" s="808"/>
      <c r="C34" s="809"/>
      <c r="D34" s="801" t="s">
        <v>856</v>
      </c>
      <c r="E34" s="802"/>
      <c r="F34" s="9"/>
      <c r="G34" s="113">
        <f>SUM(G25:G33)</f>
        <v>27327</v>
      </c>
    </row>
    <row r="35" spans="1:7">
      <c r="A35" s="95"/>
      <c r="B35" s="819"/>
      <c r="C35" s="820"/>
      <c r="D35" s="801" t="s">
        <v>857</v>
      </c>
      <c r="E35" s="802"/>
      <c r="F35" s="79">
        <f>'MANO DE OBRA'!D60</f>
        <v>0.05</v>
      </c>
      <c r="G35" s="113">
        <f>ROUND(G34*F35,0)</f>
        <v>1366</v>
      </c>
    </row>
    <row r="36" spans="1:7" ht="13.5" thickBot="1">
      <c r="A36" s="95"/>
      <c r="B36" s="819"/>
      <c r="C36" s="820"/>
      <c r="D36" s="803" t="s">
        <v>320</v>
      </c>
      <c r="E36" s="804"/>
      <c r="F36" s="114"/>
      <c r="G36" s="118">
        <f>+G34+G35</f>
        <v>28693</v>
      </c>
    </row>
    <row r="37" spans="1:7" ht="14.25" thickTop="1" thickBot="1">
      <c r="A37" s="95"/>
      <c r="B37" s="830"/>
      <c r="C37" s="830"/>
      <c r="D37" s="830"/>
      <c r="E37" s="830"/>
      <c r="F37" s="830"/>
      <c r="G37" s="830"/>
    </row>
    <row r="38" spans="1:7" ht="13.5" thickTop="1">
      <c r="A38" s="95"/>
      <c r="B38" s="811" t="s">
        <v>858</v>
      </c>
      <c r="C38" s="812"/>
      <c r="D38" s="812"/>
      <c r="E38" s="812"/>
      <c r="F38" s="812"/>
      <c r="G38" s="825"/>
    </row>
    <row r="39" spans="1:7">
      <c r="A39" s="95"/>
      <c r="B39" s="817"/>
      <c r="C39" s="818"/>
      <c r="D39" s="98" t="s">
        <v>301</v>
      </c>
      <c r="E39" s="98" t="s">
        <v>859</v>
      </c>
      <c r="F39" s="99" t="s">
        <v>839</v>
      </c>
      <c r="G39" s="107" t="s">
        <v>840</v>
      </c>
    </row>
    <row r="40" spans="1:7">
      <c r="A40" s="95"/>
      <c r="B40" s="821" t="s">
        <v>838</v>
      </c>
      <c r="C40" s="822"/>
      <c r="D40" s="100" t="s">
        <v>316</v>
      </c>
      <c r="E40" s="100" t="s">
        <v>315</v>
      </c>
      <c r="F40" s="101" t="s">
        <v>306</v>
      </c>
      <c r="G40" s="108" t="s">
        <v>319</v>
      </c>
    </row>
    <row r="41" spans="1:7">
      <c r="A41" s="95"/>
      <c r="B41" s="115"/>
      <c r="C41" s="102"/>
      <c r="D41" s="103"/>
      <c r="E41" s="103" t="s">
        <v>317</v>
      </c>
      <c r="F41" s="104" t="s">
        <v>318</v>
      </c>
      <c r="G41" s="109"/>
    </row>
    <row r="42" spans="1:7">
      <c r="A42" s="95"/>
      <c r="B42" s="823" t="str">
        <f>'MANO DE OBRA'!B10</f>
        <v>AYUDANTE CUAD. TIPO AA</v>
      </c>
      <c r="C42" s="824"/>
      <c r="D42" s="87">
        <v>1</v>
      </c>
      <c r="E42" s="80">
        <f>'MANO DE OBRA'!E10</f>
        <v>34680</v>
      </c>
      <c r="F42" s="81">
        <v>10</v>
      </c>
      <c r="G42" s="110">
        <f>ROUND(D42*E42/F42,0)</f>
        <v>3468</v>
      </c>
    </row>
    <row r="43" spans="1:7">
      <c r="A43" s="95"/>
      <c r="B43" s="835" t="str">
        <f>'MANO DE OBRA'!B15</f>
        <v xml:space="preserve">OFICIAL CUAD. TIPO AA </v>
      </c>
      <c r="C43" s="836"/>
      <c r="D43" s="37">
        <v>1</v>
      </c>
      <c r="E43" s="82">
        <f>'MANO DE OBRA'!E15</f>
        <v>71474</v>
      </c>
      <c r="F43" s="83">
        <v>10</v>
      </c>
      <c r="G43" s="111">
        <f>ROUND(D43*E43/F43,0)</f>
        <v>7147</v>
      </c>
    </row>
    <row r="44" spans="1:7">
      <c r="A44" s="95"/>
      <c r="B44" s="835"/>
      <c r="C44" s="836"/>
      <c r="D44" s="89"/>
      <c r="E44" s="82"/>
      <c r="F44" s="83"/>
      <c r="G44" s="111"/>
    </row>
    <row r="45" spans="1:7">
      <c r="A45" s="95"/>
      <c r="B45" s="835" t="s">
        <v>841</v>
      </c>
      <c r="C45" s="836"/>
      <c r="D45" s="37"/>
      <c r="E45" s="82"/>
      <c r="F45" s="83"/>
      <c r="G45" s="111"/>
    </row>
    <row r="46" spans="1:7" ht="13.5" thickBot="1">
      <c r="A46" s="95"/>
      <c r="B46" s="828" t="s">
        <v>841</v>
      </c>
      <c r="C46" s="829"/>
      <c r="D46" s="77"/>
      <c r="E46" s="82"/>
      <c r="F46" s="86"/>
      <c r="G46" s="112"/>
    </row>
    <row r="47" spans="1:7" ht="14.25" thickTop="1" thickBot="1">
      <c r="A47" s="95"/>
      <c r="B47" s="808"/>
      <c r="C47" s="808"/>
      <c r="D47" s="808"/>
      <c r="E47" s="809"/>
      <c r="F47" s="120" t="s">
        <v>856</v>
      </c>
      <c r="G47" s="118">
        <f>SUM(G42:G46)</f>
        <v>10615</v>
      </c>
    </row>
    <row r="48" spans="1:7" ht="14.25" thickTop="1" thickBot="1">
      <c r="A48" s="95"/>
      <c r="B48" s="810"/>
      <c r="C48" s="810"/>
      <c r="D48" s="810"/>
      <c r="E48" s="810"/>
      <c r="F48" s="810"/>
      <c r="G48" s="810"/>
    </row>
    <row r="49" spans="1:8" ht="13.5" thickTop="1">
      <c r="A49" s="95"/>
      <c r="B49" s="811" t="s">
        <v>321</v>
      </c>
      <c r="C49" s="812"/>
      <c r="D49" s="812"/>
      <c r="E49" s="812"/>
      <c r="F49" s="812"/>
      <c r="G49" s="825"/>
    </row>
    <row r="50" spans="1:8">
      <c r="A50" s="95"/>
      <c r="B50" s="817" t="s">
        <v>838</v>
      </c>
      <c r="C50" s="818"/>
      <c r="D50" s="98" t="s">
        <v>301</v>
      </c>
      <c r="E50" s="98" t="s">
        <v>297</v>
      </c>
      <c r="F50" s="99" t="s">
        <v>839</v>
      </c>
      <c r="G50" s="107" t="s">
        <v>840</v>
      </c>
    </row>
    <row r="51" spans="1:8">
      <c r="A51" s="95"/>
      <c r="B51" s="115"/>
      <c r="C51" s="102"/>
      <c r="D51" s="103" t="s">
        <v>322</v>
      </c>
      <c r="E51" s="103" t="s">
        <v>323</v>
      </c>
      <c r="F51" s="104" t="s">
        <v>324</v>
      </c>
      <c r="G51" s="109" t="s">
        <v>325</v>
      </c>
    </row>
    <row r="52" spans="1:8">
      <c r="A52" s="95"/>
      <c r="B52" s="826"/>
      <c r="C52" s="827"/>
      <c r="D52" s="96"/>
      <c r="E52" s="96"/>
      <c r="F52" s="96"/>
      <c r="G52" s="116"/>
    </row>
    <row r="53" spans="1:8" ht="13.5" thickBot="1">
      <c r="A53" s="95"/>
      <c r="B53" s="828" t="s">
        <v>841</v>
      </c>
      <c r="C53" s="829"/>
      <c r="D53" s="77"/>
      <c r="E53" s="82"/>
      <c r="F53" s="86"/>
      <c r="G53" s="112"/>
    </row>
    <row r="54" spans="1:8" ht="14.25" thickTop="1" thickBot="1">
      <c r="A54" s="95"/>
      <c r="B54" s="808"/>
      <c r="C54" s="808"/>
      <c r="D54" s="808"/>
      <c r="E54" s="809"/>
      <c r="F54" s="120" t="s">
        <v>856</v>
      </c>
      <c r="G54" s="118">
        <f>SUM(G49:G53)</f>
        <v>0</v>
      </c>
    </row>
    <row r="55" spans="1:8" ht="14.25" thickTop="1" thickBot="1">
      <c r="A55" s="95"/>
      <c r="B55" s="810"/>
      <c r="C55" s="810"/>
      <c r="D55" s="810"/>
      <c r="E55" s="810"/>
      <c r="F55" s="810"/>
      <c r="G55" s="834"/>
    </row>
    <row r="56" spans="1:8" ht="13.5" thickTop="1">
      <c r="A56" s="95"/>
      <c r="B56" s="811" t="s">
        <v>326</v>
      </c>
      <c r="C56" s="812"/>
      <c r="D56" s="812"/>
      <c r="E56" s="812"/>
      <c r="F56" s="813"/>
      <c r="G56" s="121">
        <f>+G20+G36+G47</f>
        <v>42612</v>
      </c>
    </row>
    <row r="57" spans="1:8">
      <c r="A57" s="95"/>
      <c r="B57" s="814" t="s">
        <v>861</v>
      </c>
      <c r="C57" s="815"/>
      <c r="D57" s="815"/>
      <c r="E57" s="816"/>
      <c r="F57" s="128">
        <f>'MANO DE OBRA'!D59</f>
        <v>0</v>
      </c>
      <c r="G57" s="122">
        <f>ROUND(G56*F57,0)</f>
        <v>0</v>
      </c>
    </row>
    <row r="58" spans="1:8" ht="13.5" thickBot="1">
      <c r="A58" s="95"/>
      <c r="B58" s="805" t="s">
        <v>1049</v>
      </c>
      <c r="C58" s="806"/>
      <c r="D58" s="806"/>
      <c r="E58" s="806"/>
      <c r="F58" s="807"/>
      <c r="G58" s="118">
        <f>ROUND(G56+G57,-2)</f>
        <v>42600</v>
      </c>
      <c r="H58" s="505" t="s">
        <v>1670</v>
      </c>
    </row>
    <row r="59" spans="1:8" ht="13.5" thickTop="1">
      <c r="A59" s="95"/>
      <c r="B59" s="90" t="s">
        <v>303</v>
      </c>
      <c r="C59" s="843"/>
      <c r="D59" s="843"/>
      <c r="E59" s="843"/>
      <c r="F59" s="92" t="s">
        <v>781</v>
      </c>
      <c r="G59" s="93" t="s">
        <v>831</v>
      </c>
    </row>
    <row r="60" spans="1:8">
      <c r="A60" s="95"/>
      <c r="B60" s="91" t="s">
        <v>834</v>
      </c>
      <c r="C60" s="844" t="s">
        <v>368</v>
      </c>
      <c r="D60" s="844"/>
      <c r="E60" s="844"/>
      <c r="F60" s="15" t="s">
        <v>833</v>
      </c>
      <c r="G60" s="165" t="str">
        <f>'MANO DE OBRA'!D61</f>
        <v>Agosto de 2010</v>
      </c>
    </row>
    <row r="61" spans="1:8" ht="13.5" thickBot="1">
      <c r="A61" s="127"/>
      <c r="B61" s="94" t="s">
        <v>835</v>
      </c>
      <c r="C61" s="845" t="s">
        <v>686</v>
      </c>
      <c r="D61" s="845"/>
      <c r="E61" s="845"/>
      <c r="F61" s="845"/>
      <c r="G61" s="846"/>
    </row>
    <row r="62" spans="1:8" ht="14.25" thickTop="1" thickBot="1">
      <c r="A62" s="95"/>
      <c r="B62" s="847"/>
      <c r="C62" s="847"/>
      <c r="D62" s="847"/>
      <c r="E62" s="847"/>
      <c r="F62" s="847"/>
      <c r="G62" s="847"/>
    </row>
    <row r="63" spans="1:8" ht="13.5" thickTop="1">
      <c r="A63" s="95"/>
      <c r="B63" s="811" t="s">
        <v>304</v>
      </c>
      <c r="C63" s="812"/>
      <c r="D63" s="812"/>
      <c r="E63" s="812"/>
      <c r="F63" s="812"/>
      <c r="G63" s="825"/>
    </row>
    <row r="64" spans="1:8">
      <c r="A64" s="95"/>
      <c r="B64" s="105"/>
      <c r="C64" s="97"/>
      <c r="D64" s="98" t="s">
        <v>301</v>
      </c>
      <c r="E64" s="98" t="s">
        <v>1072</v>
      </c>
      <c r="F64" s="99" t="s">
        <v>839</v>
      </c>
      <c r="G64" s="107" t="s">
        <v>840</v>
      </c>
    </row>
    <row r="65" spans="1:7">
      <c r="A65" s="95"/>
      <c r="B65" s="821" t="s">
        <v>838</v>
      </c>
      <c r="C65" s="822"/>
      <c r="D65" s="100" t="s">
        <v>308</v>
      </c>
      <c r="E65" s="100" t="s">
        <v>305</v>
      </c>
      <c r="F65" s="101" t="s">
        <v>306</v>
      </c>
      <c r="G65" s="108" t="s">
        <v>310</v>
      </c>
    </row>
    <row r="66" spans="1:7">
      <c r="A66" s="95"/>
      <c r="B66" s="115"/>
      <c r="C66" s="102"/>
      <c r="D66" s="103"/>
      <c r="E66" s="103" t="s">
        <v>309</v>
      </c>
      <c r="F66" s="104" t="s">
        <v>307</v>
      </c>
      <c r="G66" s="109"/>
    </row>
    <row r="67" spans="1:7">
      <c r="A67" s="127"/>
      <c r="B67" s="823" t="str">
        <f>'MAQUINARIA Y EQUIPOS'!C28</f>
        <v>HERRAMIENTAS MENORES</v>
      </c>
      <c r="C67" s="824"/>
      <c r="D67" s="87">
        <v>1</v>
      </c>
      <c r="E67" s="82">
        <f>ROUND(G100*0.05,0)</f>
        <v>531</v>
      </c>
      <c r="F67" s="81">
        <v>1</v>
      </c>
      <c r="G67" s="110">
        <f>ROUND(D67*E67/F67,0)</f>
        <v>531</v>
      </c>
    </row>
    <row r="68" spans="1:7">
      <c r="A68" s="95"/>
      <c r="B68" s="835" t="str">
        <f>'MAQUINARIA Y EQUIPOS'!C53</f>
        <v>VIBRADOR A GASOLINA</v>
      </c>
      <c r="C68" s="836"/>
      <c r="D68" s="37">
        <v>1</v>
      </c>
      <c r="E68" s="82">
        <f>'MAQUINARIA Y EQUIPOS'!D53</f>
        <v>51040</v>
      </c>
      <c r="F68" s="83">
        <v>25</v>
      </c>
      <c r="G68" s="111">
        <f>ROUND(D68*E68/F68,0)</f>
        <v>2042</v>
      </c>
    </row>
    <row r="69" spans="1:7">
      <c r="A69" s="95"/>
      <c r="B69" s="835" t="str">
        <f>'MAQUINARIA Y EQUIPOS'!C9</f>
        <v>ANDAMIO TUBULAR 1.50 m</v>
      </c>
      <c r="C69" s="836"/>
      <c r="D69" s="37">
        <v>2</v>
      </c>
      <c r="E69" s="82">
        <f>'MAQUINARIA Y EQUIPOS'!D9</f>
        <v>754</v>
      </c>
      <c r="F69" s="83">
        <f>+F95</f>
        <v>10</v>
      </c>
      <c r="G69" s="111">
        <f>ROUND(D69*E69/F69,0)</f>
        <v>151</v>
      </c>
    </row>
    <row r="70" spans="1:7">
      <c r="A70" s="95"/>
      <c r="B70" s="835" t="str">
        <f>'MAQUINARIA Y EQUIPOS'!C37</f>
        <v>PARAL TELESCOPICO 3 MTS</v>
      </c>
      <c r="C70" s="836"/>
      <c r="D70" s="37">
        <v>4</v>
      </c>
      <c r="E70" s="82">
        <f>'MAQUINARIA Y EQUIPOS'!D37</f>
        <v>290</v>
      </c>
      <c r="F70" s="83">
        <f>+F95</f>
        <v>10</v>
      </c>
      <c r="G70" s="111">
        <f>ROUND(D70*E70/F70,0)</f>
        <v>116</v>
      </c>
    </row>
    <row r="71" spans="1:7">
      <c r="A71" s="95"/>
      <c r="B71" s="835" t="str">
        <f>'MAQUINARIA Y EQUIPOS'!C47</f>
        <v>TABLONES 3m</v>
      </c>
      <c r="C71" s="836"/>
      <c r="D71" s="37">
        <v>2</v>
      </c>
      <c r="E71" s="82">
        <f>'MAQUINARIA Y EQUIPOS'!D47</f>
        <v>348</v>
      </c>
      <c r="F71" s="83">
        <f>+F96</f>
        <v>10</v>
      </c>
      <c r="G71" s="111">
        <f>ROUND(D71*E71/F71,0)</f>
        <v>70</v>
      </c>
    </row>
    <row r="72" spans="1:7" ht="13.5" thickBot="1">
      <c r="A72" s="95"/>
      <c r="B72" s="839" t="s">
        <v>841</v>
      </c>
      <c r="C72" s="840"/>
      <c r="D72" s="77"/>
      <c r="E72" s="106"/>
      <c r="F72" s="86"/>
      <c r="G72" s="112"/>
    </row>
    <row r="73" spans="1:7" ht="14.25" thickTop="1" thickBot="1">
      <c r="A73" s="95"/>
      <c r="B73" s="808"/>
      <c r="C73" s="808"/>
      <c r="D73" s="808"/>
      <c r="E73" s="809"/>
      <c r="F73" s="119" t="s">
        <v>856</v>
      </c>
      <c r="G73" s="118">
        <f>SUM(G67:G72)</f>
        <v>2910</v>
      </c>
    </row>
    <row r="74" spans="1:7" ht="14.25" thickTop="1" thickBot="1">
      <c r="A74" s="95"/>
      <c r="B74" s="830"/>
      <c r="C74" s="830"/>
      <c r="D74" s="830"/>
      <c r="E74" s="830"/>
      <c r="F74" s="830"/>
      <c r="G74" s="830"/>
    </row>
    <row r="75" spans="1:7" ht="13.5" thickTop="1">
      <c r="A75" s="95"/>
      <c r="B75" s="811" t="s">
        <v>311</v>
      </c>
      <c r="C75" s="812"/>
      <c r="D75" s="812"/>
      <c r="E75" s="812"/>
      <c r="F75" s="812"/>
      <c r="G75" s="825"/>
    </row>
    <row r="76" spans="1:7">
      <c r="A76" s="95"/>
      <c r="B76" s="817" t="s">
        <v>838</v>
      </c>
      <c r="C76" s="818"/>
      <c r="D76" s="98" t="s">
        <v>842</v>
      </c>
      <c r="E76" s="98" t="s">
        <v>853</v>
      </c>
      <c r="F76" s="99" t="s">
        <v>1047</v>
      </c>
      <c r="G76" s="107" t="s">
        <v>840</v>
      </c>
    </row>
    <row r="77" spans="1:7">
      <c r="A77" s="95"/>
      <c r="B77" s="115"/>
      <c r="C77" s="102"/>
      <c r="D77" s="100"/>
      <c r="E77" s="100" t="s">
        <v>312</v>
      </c>
      <c r="F77" s="101" t="s">
        <v>313</v>
      </c>
      <c r="G77" s="108" t="s">
        <v>314</v>
      </c>
    </row>
    <row r="78" spans="1:7" ht="14.25">
      <c r="A78" s="125"/>
      <c r="B78" s="841" t="str">
        <f>MATERIALES2!C35</f>
        <v>CONCRETO 1:2:3-3000 psi(MATERIALES)</v>
      </c>
      <c r="C78" s="842"/>
      <c r="D78" s="87" t="s">
        <v>1066</v>
      </c>
      <c r="E78" s="140">
        <v>3.5999999999999997E-2</v>
      </c>
      <c r="F78" s="80">
        <f>MATERIALES2!E35</f>
        <v>367600</v>
      </c>
      <c r="G78" s="110">
        <f t="shared" ref="G78:G84" si="1">ROUND(E78*F78,0)</f>
        <v>13234</v>
      </c>
    </row>
    <row r="79" spans="1:7">
      <c r="A79" s="123"/>
      <c r="B79" s="854" t="str">
        <f>MATERIALES2!C163</f>
        <v>TABLON 2x12x10</v>
      </c>
      <c r="C79" s="855"/>
      <c r="D79" s="37" t="s">
        <v>865</v>
      </c>
      <c r="E79" s="138">
        <f>ROUND(4/3/4,2)</f>
        <v>0.33</v>
      </c>
      <c r="F79" s="82">
        <f>MATERIALES2!E163</f>
        <v>20000</v>
      </c>
      <c r="G79" s="111">
        <f t="shared" si="1"/>
        <v>6600</v>
      </c>
    </row>
    <row r="80" spans="1:7">
      <c r="A80" s="95"/>
      <c r="B80" s="854" t="str">
        <f>MATERIALES2!C151</f>
        <v>ABARCO DE 2X2X4,50</v>
      </c>
      <c r="C80" s="855"/>
      <c r="D80" s="37" t="s">
        <v>865</v>
      </c>
      <c r="E80" s="83">
        <f>ROUND((0.4*2+0.2*2)*3/4.5/4,2)</f>
        <v>0.2</v>
      </c>
      <c r="F80" s="82">
        <f>MATERIALES2!E151</f>
        <v>5000</v>
      </c>
      <c r="G80" s="111">
        <f t="shared" si="1"/>
        <v>1000</v>
      </c>
    </row>
    <row r="81" spans="1:8">
      <c r="A81" s="95"/>
      <c r="B81" s="854" t="str">
        <f>MATERIALES2!C919</f>
        <v>PUNTILLAS DE 3"</v>
      </c>
      <c r="C81" s="855"/>
      <c r="D81" s="37" t="s">
        <v>922</v>
      </c>
      <c r="E81" s="83">
        <v>0.5</v>
      </c>
      <c r="F81" s="82">
        <f>MATERIALES2!E919</f>
        <v>1500</v>
      </c>
      <c r="G81" s="111">
        <f t="shared" si="1"/>
        <v>750</v>
      </c>
    </row>
    <row r="82" spans="1:8">
      <c r="A82" s="95"/>
      <c r="B82" s="854" t="str">
        <f>MATERIALES2!C61</f>
        <v>HIERRO CHIPA ¼"</v>
      </c>
      <c r="C82" s="855"/>
      <c r="D82" s="37" t="s">
        <v>925</v>
      </c>
      <c r="E82" s="146">
        <f>ROUND(12*0.8*0.3,2)</f>
        <v>2.88</v>
      </c>
      <c r="F82" s="82">
        <f>MATERIALES2!E61</f>
        <v>2100</v>
      </c>
      <c r="G82" s="111">
        <f t="shared" si="1"/>
        <v>6048</v>
      </c>
    </row>
    <row r="83" spans="1:8">
      <c r="A83" s="95"/>
      <c r="B83" s="854" t="str">
        <f>MATERIALES2!C62</f>
        <v>HIERRO CHIPA 3/8"</v>
      </c>
      <c r="C83" s="855"/>
      <c r="D83" s="37" t="s">
        <v>925</v>
      </c>
      <c r="E83" s="146">
        <f>ROUND(4*1.4*0.61,2)</f>
        <v>3.42</v>
      </c>
      <c r="F83" s="82">
        <f>MATERIALES2!E62</f>
        <v>2100</v>
      </c>
      <c r="G83" s="111">
        <f t="shared" si="1"/>
        <v>7182</v>
      </c>
    </row>
    <row r="84" spans="1:8">
      <c r="A84" s="95"/>
      <c r="B84" s="854" t="str">
        <f>MATERIALES2!C65</f>
        <v>ALAMBRE NEGRO</v>
      </c>
      <c r="C84" s="855"/>
      <c r="D84" s="37" t="s">
        <v>925</v>
      </c>
      <c r="E84" s="160">
        <v>0.23</v>
      </c>
      <c r="F84" s="82">
        <f>MATERIALES2!E65</f>
        <v>2100</v>
      </c>
      <c r="G84" s="111">
        <f t="shared" si="1"/>
        <v>483</v>
      </c>
    </row>
    <row r="85" spans="1:8">
      <c r="A85" s="95"/>
      <c r="B85" s="938" t="s">
        <v>841</v>
      </c>
      <c r="C85" s="939"/>
      <c r="D85" s="53" t="s">
        <v>841</v>
      </c>
      <c r="E85" s="53"/>
      <c r="F85" s="82"/>
      <c r="G85" s="111"/>
      <c r="H85" s="505" t="s">
        <v>1670</v>
      </c>
    </row>
    <row r="86" spans="1:8" ht="13.5" thickBot="1">
      <c r="A86" s="95"/>
      <c r="B86" s="839" t="s">
        <v>841</v>
      </c>
      <c r="C86" s="840"/>
      <c r="D86" s="84" t="s">
        <v>841</v>
      </c>
      <c r="E86" s="84"/>
      <c r="F86" s="85"/>
      <c r="G86" s="112"/>
    </row>
    <row r="87" spans="1:8" ht="13.5" thickTop="1">
      <c r="A87" s="95"/>
      <c r="B87" s="808"/>
      <c r="C87" s="809"/>
      <c r="D87" s="801" t="s">
        <v>856</v>
      </c>
      <c r="E87" s="802"/>
      <c r="F87" s="9"/>
      <c r="G87" s="113">
        <f>SUM(G78:G86)</f>
        <v>35297</v>
      </c>
    </row>
    <row r="88" spans="1:8">
      <c r="A88" s="95"/>
      <c r="B88" s="819"/>
      <c r="C88" s="820"/>
      <c r="D88" s="801" t="s">
        <v>857</v>
      </c>
      <c r="E88" s="802"/>
      <c r="F88" s="79">
        <f>'MANO DE OBRA'!D60</f>
        <v>0.05</v>
      </c>
      <c r="G88" s="113">
        <f>ROUND(G87*F88,0)</f>
        <v>1765</v>
      </c>
    </row>
    <row r="89" spans="1:8" ht="13.5" thickBot="1">
      <c r="A89" s="95"/>
      <c r="B89" s="819"/>
      <c r="C89" s="820"/>
      <c r="D89" s="803" t="s">
        <v>320</v>
      </c>
      <c r="E89" s="804"/>
      <c r="F89" s="114"/>
      <c r="G89" s="118">
        <f>+G87+G88</f>
        <v>37062</v>
      </c>
    </row>
    <row r="90" spans="1:8" ht="14.25" thickTop="1" thickBot="1">
      <c r="A90" s="95"/>
      <c r="B90" s="830"/>
      <c r="C90" s="830"/>
      <c r="D90" s="830"/>
      <c r="E90" s="830"/>
      <c r="F90" s="830"/>
      <c r="G90" s="830"/>
    </row>
    <row r="91" spans="1:8" ht="13.5" thickTop="1">
      <c r="A91" s="95"/>
      <c r="B91" s="811" t="s">
        <v>858</v>
      </c>
      <c r="C91" s="812"/>
      <c r="D91" s="812"/>
      <c r="E91" s="812"/>
      <c r="F91" s="812"/>
      <c r="G91" s="825"/>
    </row>
    <row r="92" spans="1:8">
      <c r="A92" s="95"/>
      <c r="B92" s="817"/>
      <c r="C92" s="818"/>
      <c r="D92" s="98" t="s">
        <v>301</v>
      </c>
      <c r="E92" s="98" t="s">
        <v>859</v>
      </c>
      <c r="F92" s="99" t="s">
        <v>839</v>
      </c>
      <c r="G92" s="107" t="s">
        <v>840</v>
      </c>
    </row>
    <row r="93" spans="1:8">
      <c r="A93" s="95"/>
      <c r="B93" s="821" t="s">
        <v>838</v>
      </c>
      <c r="C93" s="822"/>
      <c r="D93" s="100" t="s">
        <v>316</v>
      </c>
      <c r="E93" s="100" t="s">
        <v>315</v>
      </c>
      <c r="F93" s="101" t="s">
        <v>306</v>
      </c>
      <c r="G93" s="108" t="s">
        <v>319</v>
      </c>
    </row>
    <row r="94" spans="1:8">
      <c r="A94" s="95"/>
      <c r="B94" s="115"/>
      <c r="C94" s="102"/>
      <c r="D94" s="103"/>
      <c r="E94" s="103" t="s">
        <v>317</v>
      </c>
      <c r="F94" s="104" t="s">
        <v>318</v>
      </c>
      <c r="G94" s="109"/>
    </row>
    <row r="95" spans="1:8">
      <c r="A95" s="95"/>
      <c r="B95" s="823" t="str">
        <f>'MANO DE OBRA'!B10</f>
        <v>AYUDANTE CUAD. TIPO AA</v>
      </c>
      <c r="C95" s="824"/>
      <c r="D95" s="87">
        <v>1</v>
      </c>
      <c r="E95" s="80">
        <f>'MANO DE OBRA'!E10</f>
        <v>34680</v>
      </c>
      <c r="F95" s="81">
        <v>10</v>
      </c>
      <c r="G95" s="110">
        <f>ROUND(D95*E95/F95,0)</f>
        <v>3468</v>
      </c>
    </row>
    <row r="96" spans="1:8">
      <c r="A96" s="95"/>
      <c r="B96" s="835" t="str">
        <f>'MANO DE OBRA'!B15</f>
        <v xml:space="preserve">OFICIAL CUAD. TIPO AA </v>
      </c>
      <c r="C96" s="836"/>
      <c r="D96" s="37">
        <v>1</v>
      </c>
      <c r="E96" s="82">
        <f>'MANO DE OBRA'!E15</f>
        <v>71474</v>
      </c>
      <c r="F96" s="83">
        <v>10</v>
      </c>
      <c r="G96" s="111">
        <f>ROUND(D96*E96/F96,0)</f>
        <v>7147</v>
      </c>
    </row>
    <row r="97" spans="1:8">
      <c r="A97" s="95"/>
      <c r="B97" s="835"/>
      <c r="C97" s="836"/>
      <c r="D97" s="89"/>
      <c r="E97" s="82"/>
      <c r="F97" s="83"/>
      <c r="G97" s="111"/>
    </row>
    <row r="98" spans="1:8">
      <c r="A98" s="95"/>
      <c r="B98" s="835" t="s">
        <v>841</v>
      </c>
      <c r="C98" s="836"/>
      <c r="D98" s="37"/>
      <c r="E98" s="82"/>
      <c r="F98" s="83"/>
      <c r="G98" s="111"/>
    </row>
    <row r="99" spans="1:8" ht="13.5" thickBot="1">
      <c r="A99" s="95"/>
      <c r="B99" s="828" t="s">
        <v>841</v>
      </c>
      <c r="C99" s="829"/>
      <c r="D99" s="77"/>
      <c r="E99" s="82"/>
      <c r="F99" s="86"/>
      <c r="G99" s="112"/>
    </row>
    <row r="100" spans="1:8" ht="14.25" thickTop="1" thickBot="1">
      <c r="A100" s="95"/>
      <c r="B100" s="808"/>
      <c r="C100" s="808"/>
      <c r="D100" s="808"/>
      <c r="E100" s="809"/>
      <c r="F100" s="120" t="s">
        <v>856</v>
      </c>
      <c r="G100" s="118">
        <f>SUM(G95:G99)</f>
        <v>10615</v>
      </c>
    </row>
    <row r="101" spans="1:8" ht="14.25" thickTop="1" thickBot="1">
      <c r="A101" s="95"/>
      <c r="B101" s="810"/>
      <c r="C101" s="810"/>
      <c r="D101" s="810"/>
      <c r="E101" s="810"/>
      <c r="F101" s="810"/>
      <c r="G101" s="810"/>
    </row>
    <row r="102" spans="1:8" ht="13.5" thickTop="1">
      <c r="A102" s="95"/>
      <c r="B102" s="811" t="s">
        <v>321</v>
      </c>
      <c r="C102" s="812"/>
      <c r="D102" s="812"/>
      <c r="E102" s="812"/>
      <c r="F102" s="812"/>
      <c r="G102" s="825"/>
    </row>
    <row r="103" spans="1:8">
      <c r="A103" s="95"/>
      <c r="B103" s="817" t="s">
        <v>838</v>
      </c>
      <c r="C103" s="818"/>
      <c r="D103" s="98" t="s">
        <v>301</v>
      </c>
      <c r="E103" s="98" t="s">
        <v>297</v>
      </c>
      <c r="F103" s="99" t="s">
        <v>839</v>
      </c>
      <c r="G103" s="107" t="s">
        <v>840</v>
      </c>
    </row>
    <row r="104" spans="1:8">
      <c r="A104" s="95"/>
      <c r="B104" s="115"/>
      <c r="C104" s="102"/>
      <c r="D104" s="103" t="s">
        <v>322</v>
      </c>
      <c r="E104" s="103" t="s">
        <v>323</v>
      </c>
      <c r="F104" s="104" t="s">
        <v>324</v>
      </c>
      <c r="G104" s="109" t="s">
        <v>325</v>
      </c>
    </row>
    <row r="105" spans="1:8">
      <c r="A105" s="95"/>
      <c r="B105" s="826"/>
      <c r="C105" s="827"/>
      <c r="D105" s="96"/>
      <c r="E105" s="96"/>
      <c r="F105" s="96"/>
      <c r="G105" s="116"/>
    </row>
    <row r="106" spans="1:8" ht="13.5" thickBot="1">
      <c r="A106" s="95"/>
      <c r="B106" s="828" t="s">
        <v>841</v>
      </c>
      <c r="C106" s="829"/>
      <c r="D106" s="77"/>
      <c r="E106" s="82"/>
      <c r="F106" s="86"/>
      <c r="G106" s="112"/>
    </row>
    <row r="107" spans="1:8" ht="14.25" thickTop="1" thickBot="1">
      <c r="A107" s="95"/>
      <c r="B107" s="808"/>
      <c r="C107" s="808"/>
      <c r="D107" s="808"/>
      <c r="E107" s="809"/>
      <c r="F107" s="120" t="s">
        <v>856</v>
      </c>
      <c r="G107" s="118">
        <f>SUM(G102:G106)</f>
        <v>0</v>
      </c>
    </row>
    <row r="108" spans="1:8" ht="14.25" thickTop="1" thickBot="1">
      <c r="A108" s="95"/>
      <c r="B108" s="810"/>
      <c r="C108" s="810"/>
      <c r="D108" s="810"/>
      <c r="E108" s="810"/>
      <c r="F108" s="810"/>
      <c r="G108" s="834"/>
    </row>
    <row r="109" spans="1:8" ht="13.5" thickTop="1">
      <c r="A109" s="95"/>
      <c r="B109" s="811" t="s">
        <v>326</v>
      </c>
      <c r="C109" s="812"/>
      <c r="D109" s="812"/>
      <c r="E109" s="812"/>
      <c r="F109" s="813"/>
      <c r="G109" s="121">
        <f>+G73+G89+G100</f>
        <v>50587</v>
      </c>
    </row>
    <row r="110" spans="1:8">
      <c r="A110" s="95"/>
      <c r="B110" s="814" t="s">
        <v>861</v>
      </c>
      <c r="C110" s="815"/>
      <c r="D110" s="815"/>
      <c r="E110" s="816"/>
      <c r="F110" s="128">
        <f>'MANO DE OBRA'!D59</f>
        <v>0</v>
      </c>
      <c r="G110" s="122">
        <f>ROUND(G109*F110,0)</f>
        <v>0</v>
      </c>
    </row>
    <row r="111" spans="1:8" ht="13.5" thickBot="1">
      <c r="A111" s="95"/>
      <c r="B111" s="805" t="s">
        <v>1049</v>
      </c>
      <c r="C111" s="806"/>
      <c r="D111" s="806"/>
      <c r="E111" s="806"/>
      <c r="F111" s="807"/>
      <c r="G111" s="118">
        <f>ROUND(G109+G110,-2)</f>
        <v>50600</v>
      </c>
      <c r="H111" s="505" t="s">
        <v>1670</v>
      </c>
    </row>
    <row r="112" spans="1:8" ht="13.5" thickTop="1">
      <c r="A112" s="95"/>
      <c r="B112" s="90" t="s">
        <v>303</v>
      </c>
      <c r="C112" s="843"/>
      <c r="D112" s="843"/>
      <c r="E112" s="843"/>
      <c r="F112" s="92" t="s">
        <v>781</v>
      </c>
      <c r="G112" s="93" t="s">
        <v>831</v>
      </c>
    </row>
    <row r="113" spans="1:7">
      <c r="A113" s="95"/>
      <c r="B113" s="91" t="s">
        <v>834</v>
      </c>
      <c r="C113" s="844" t="s">
        <v>368</v>
      </c>
      <c r="D113" s="844"/>
      <c r="E113" s="844"/>
      <c r="F113" s="15" t="s">
        <v>833</v>
      </c>
      <c r="G113" s="165" t="str">
        <f>'MANO DE OBRA'!D61</f>
        <v>Agosto de 2010</v>
      </c>
    </row>
    <row r="114" spans="1:7" ht="13.5" thickBot="1">
      <c r="A114" s="127"/>
      <c r="B114" s="94" t="s">
        <v>835</v>
      </c>
      <c r="C114" s="845" t="s">
        <v>691</v>
      </c>
      <c r="D114" s="845"/>
      <c r="E114" s="845"/>
      <c r="F114" s="845"/>
      <c r="G114" s="846"/>
    </row>
    <row r="115" spans="1:7" ht="14.25" thickTop="1" thickBot="1">
      <c r="A115" s="95"/>
      <c r="B115" s="847"/>
      <c r="C115" s="847"/>
      <c r="D115" s="847"/>
      <c r="E115" s="847"/>
      <c r="F115" s="847"/>
      <c r="G115" s="847"/>
    </row>
    <row r="116" spans="1:7" ht="13.5" thickTop="1">
      <c r="A116" s="95"/>
      <c r="B116" s="811" t="s">
        <v>304</v>
      </c>
      <c r="C116" s="812"/>
      <c r="D116" s="812"/>
      <c r="E116" s="812"/>
      <c r="F116" s="812"/>
      <c r="G116" s="825"/>
    </row>
    <row r="117" spans="1:7">
      <c r="A117" s="95"/>
      <c r="B117" s="105"/>
      <c r="C117" s="97"/>
      <c r="D117" s="98" t="s">
        <v>301</v>
      </c>
      <c r="E117" s="98" t="s">
        <v>1072</v>
      </c>
      <c r="F117" s="99" t="s">
        <v>839</v>
      </c>
      <c r="G117" s="107" t="s">
        <v>840</v>
      </c>
    </row>
    <row r="118" spans="1:7">
      <c r="A118" s="95"/>
      <c r="B118" s="821" t="s">
        <v>838</v>
      </c>
      <c r="C118" s="822"/>
      <c r="D118" s="100" t="s">
        <v>308</v>
      </c>
      <c r="E118" s="100" t="s">
        <v>305</v>
      </c>
      <c r="F118" s="101" t="s">
        <v>306</v>
      </c>
      <c r="G118" s="108" t="s">
        <v>310</v>
      </c>
    </row>
    <row r="119" spans="1:7">
      <c r="A119" s="95"/>
      <c r="B119" s="115"/>
      <c r="C119" s="102"/>
      <c r="D119" s="103"/>
      <c r="E119" s="103" t="s">
        <v>309</v>
      </c>
      <c r="F119" s="104" t="s">
        <v>307</v>
      </c>
      <c r="G119" s="109"/>
    </row>
    <row r="120" spans="1:7">
      <c r="A120" s="127"/>
      <c r="B120" s="823" t="str">
        <f>'MAQUINARIA Y EQUIPOS'!C28</f>
        <v>HERRAMIENTAS MENORES</v>
      </c>
      <c r="C120" s="824"/>
      <c r="D120" s="87">
        <v>1</v>
      </c>
      <c r="E120" s="82">
        <f>ROUND(G153*0.05,0)</f>
        <v>531</v>
      </c>
      <c r="F120" s="81">
        <v>1</v>
      </c>
      <c r="G120" s="110">
        <f>ROUND(D120*E120/F120,0)</f>
        <v>531</v>
      </c>
    </row>
    <row r="121" spans="1:7">
      <c r="A121" s="95"/>
      <c r="B121" s="835" t="str">
        <f>'MAQUINARIA Y EQUIPOS'!C53</f>
        <v>VIBRADOR A GASOLINA</v>
      </c>
      <c r="C121" s="836"/>
      <c r="D121" s="37">
        <v>1</v>
      </c>
      <c r="E121" s="82">
        <f>'MAQUINARIA Y EQUIPOS'!D53</f>
        <v>51040</v>
      </c>
      <c r="F121" s="83">
        <v>25</v>
      </c>
      <c r="G121" s="111">
        <f>ROUND(D121*E121/F121,0)</f>
        <v>2042</v>
      </c>
    </row>
    <row r="122" spans="1:7">
      <c r="A122" s="95"/>
      <c r="B122" s="835" t="str">
        <f>'MAQUINARIA Y EQUIPOS'!C9</f>
        <v>ANDAMIO TUBULAR 1.50 m</v>
      </c>
      <c r="C122" s="836"/>
      <c r="D122" s="37">
        <v>2</v>
      </c>
      <c r="E122" s="82">
        <f>'MAQUINARIA Y EQUIPOS'!D9</f>
        <v>754</v>
      </c>
      <c r="F122" s="83">
        <f>+F148</f>
        <v>10</v>
      </c>
      <c r="G122" s="111">
        <f>ROUND(D122*E122/F122,0)</f>
        <v>151</v>
      </c>
    </row>
    <row r="123" spans="1:7">
      <c r="A123" s="95"/>
      <c r="B123" s="835" t="str">
        <f>'MAQUINARIA Y EQUIPOS'!C37</f>
        <v>PARAL TELESCOPICO 3 MTS</v>
      </c>
      <c r="C123" s="836"/>
      <c r="D123" s="37">
        <v>4</v>
      </c>
      <c r="E123" s="82">
        <f>'MAQUINARIA Y EQUIPOS'!D37</f>
        <v>290</v>
      </c>
      <c r="F123" s="83">
        <f>+F148</f>
        <v>10</v>
      </c>
      <c r="G123" s="111">
        <f>ROUND(D123*E123/F123,0)</f>
        <v>116</v>
      </c>
    </row>
    <row r="124" spans="1:7">
      <c r="A124" s="95"/>
      <c r="B124" s="835" t="str">
        <f>'MAQUINARIA Y EQUIPOS'!C47</f>
        <v>TABLONES 3m</v>
      </c>
      <c r="C124" s="836"/>
      <c r="D124" s="37">
        <v>2</v>
      </c>
      <c r="E124" s="82">
        <f>'MAQUINARIA Y EQUIPOS'!D47</f>
        <v>348</v>
      </c>
      <c r="F124" s="83">
        <f>+F149</f>
        <v>10</v>
      </c>
      <c r="G124" s="111">
        <f>ROUND(D124*E124/F124,0)</f>
        <v>70</v>
      </c>
    </row>
    <row r="125" spans="1:7" ht="13.5" thickBot="1">
      <c r="A125" s="95"/>
      <c r="B125" s="839" t="s">
        <v>841</v>
      </c>
      <c r="C125" s="840"/>
      <c r="D125" s="77"/>
      <c r="E125" s="106"/>
      <c r="F125" s="86"/>
      <c r="G125" s="112"/>
    </row>
    <row r="126" spans="1:7" ht="14.25" thickTop="1" thickBot="1">
      <c r="A126" s="95"/>
      <c r="B126" s="808"/>
      <c r="C126" s="808"/>
      <c r="D126" s="808"/>
      <c r="E126" s="809"/>
      <c r="F126" s="119" t="s">
        <v>856</v>
      </c>
      <c r="G126" s="118">
        <f>SUM(G120:G125)</f>
        <v>2910</v>
      </c>
    </row>
    <row r="127" spans="1:7" ht="14.25" thickTop="1" thickBot="1">
      <c r="A127" s="95"/>
      <c r="B127" s="830"/>
      <c r="C127" s="830"/>
      <c r="D127" s="830"/>
      <c r="E127" s="830"/>
      <c r="F127" s="830"/>
      <c r="G127" s="830"/>
    </row>
    <row r="128" spans="1:7" ht="13.5" thickTop="1">
      <c r="A128" s="95"/>
      <c r="B128" s="811" t="s">
        <v>311</v>
      </c>
      <c r="C128" s="812"/>
      <c r="D128" s="812"/>
      <c r="E128" s="812"/>
      <c r="F128" s="812"/>
      <c r="G128" s="825"/>
    </row>
    <row r="129" spans="1:8">
      <c r="A129" s="95"/>
      <c r="B129" s="817" t="s">
        <v>838</v>
      </c>
      <c r="C129" s="818"/>
      <c r="D129" s="98" t="s">
        <v>842</v>
      </c>
      <c r="E129" s="98" t="s">
        <v>853</v>
      </c>
      <c r="F129" s="99" t="s">
        <v>1047</v>
      </c>
      <c r="G129" s="107" t="s">
        <v>840</v>
      </c>
    </row>
    <row r="130" spans="1:8">
      <c r="A130" s="95"/>
      <c r="B130" s="115"/>
      <c r="C130" s="102"/>
      <c r="D130" s="100"/>
      <c r="E130" s="100" t="s">
        <v>312</v>
      </c>
      <c r="F130" s="101" t="s">
        <v>313</v>
      </c>
      <c r="G130" s="108" t="s">
        <v>314</v>
      </c>
    </row>
    <row r="131" spans="1:8" ht="14.25">
      <c r="A131" s="125"/>
      <c r="B131" s="841" t="str">
        <f>MATERIALES2!C35</f>
        <v>CONCRETO 1:2:3-3000 psi(MATERIALES)</v>
      </c>
      <c r="C131" s="842"/>
      <c r="D131" s="87" t="s">
        <v>1066</v>
      </c>
      <c r="E131" s="140">
        <v>4.4999999999999998E-2</v>
      </c>
      <c r="F131" s="80">
        <f>MATERIALES2!E35</f>
        <v>367600</v>
      </c>
      <c r="G131" s="110">
        <f t="shared" ref="G131:G137" si="2">ROUND(E131*F131,0)</f>
        <v>16542</v>
      </c>
    </row>
    <row r="132" spans="1:8">
      <c r="A132" s="123"/>
      <c r="B132" s="854" t="str">
        <f>MATERIALES2!C163</f>
        <v>TABLON 2x12x10</v>
      </c>
      <c r="C132" s="855"/>
      <c r="D132" s="37" t="s">
        <v>865</v>
      </c>
      <c r="E132" s="83">
        <f>ROUND(4*1/3/4,2)</f>
        <v>0.33</v>
      </c>
      <c r="F132" s="82">
        <f>MATERIALES2!E163</f>
        <v>20000</v>
      </c>
      <c r="G132" s="111">
        <f t="shared" si="2"/>
        <v>6600</v>
      </c>
    </row>
    <row r="133" spans="1:8">
      <c r="A133" s="95"/>
      <c r="B133" s="854" t="str">
        <f>MATERIALES2!C151</f>
        <v>ABARCO DE 2X2X4,50</v>
      </c>
      <c r="C133" s="855"/>
      <c r="D133" s="37" t="s">
        <v>865</v>
      </c>
      <c r="E133" s="83">
        <f>ROUND((0.4*2+0.25*2)*3/4.5/4,2)</f>
        <v>0.22</v>
      </c>
      <c r="F133" s="82">
        <f>MATERIALES2!E151</f>
        <v>5000</v>
      </c>
      <c r="G133" s="111">
        <f t="shared" si="2"/>
        <v>1100</v>
      </c>
    </row>
    <row r="134" spans="1:8">
      <c r="A134" s="95"/>
      <c r="B134" s="854" t="str">
        <f>MATERIALES2!C919</f>
        <v>PUNTILLAS DE 3"</v>
      </c>
      <c r="C134" s="855"/>
      <c r="D134" s="37" t="s">
        <v>922</v>
      </c>
      <c r="E134" s="83">
        <v>0.5</v>
      </c>
      <c r="F134" s="82">
        <f>MATERIALES2!E919</f>
        <v>1500</v>
      </c>
      <c r="G134" s="111">
        <f t="shared" si="2"/>
        <v>750</v>
      </c>
    </row>
    <row r="135" spans="1:8">
      <c r="A135" s="95"/>
      <c r="B135" s="854" t="str">
        <f>MATERIALES2!C61</f>
        <v>HIERRO CHIPA ¼"</v>
      </c>
      <c r="C135" s="855"/>
      <c r="D135" s="37" t="s">
        <v>925</v>
      </c>
      <c r="E135" s="146">
        <f>ROUND(12*0.85*0.3,2)</f>
        <v>3.06</v>
      </c>
      <c r="F135" s="82">
        <f>MATERIALES2!E61</f>
        <v>2100</v>
      </c>
      <c r="G135" s="111">
        <f t="shared" si="2"/>
        <v>6426</v>
      </c>
    </row>
    <row r="136" spans="1:8">
      <c r="A136" s="95"/>
      <c r="B136" s="854" t="str">
        <f>MATERIALES2!C62</f>
        <v>HIERRO CHIPA 3/8"</v>
      </c>
      <c r="C136" s="855"/>
      <c r="D136" s="37" t="s">
        <v>925</v>
      </c>
      <c r="E136" s="146">
        <f>ROUND(4*1.4*0.61,2)</f>
        <v>3.42</v>
      </c>
      <c r="F136" s="82">
        <f>MATERIALES2!E62</f>
        <v>2100</v>
      </c>
      <c r="G136" s="111">
        <f t="shared" si="2"/>
        <v>7182</v>
      </c>
    </row>
    <row r="137" spans="1:8">
      <c r="A137" s="95"/>
      <c r="B137" s="854" t="str">
        <f>MATERIALES2!C65</f>
        <v>ALAMBRE NEGRO</v>
      </c>
      <c r="C137" s="855"/>
      <c r="D137" s="37" t="s">
        <v>925</v>
      </c>
      <c r="E137" s="160">
        <v>0.23</v>
      </c>
      <c r="F137" s="82">
        <f>MATERIALES2!E65</f>
        <v>2100</v>
      </c>
      <c r="G137" s="111">
        <f t="shared" si="2"/>
        <v>483</v>
      </c>
    </row>
    <row r="138" spans="1:8">
      <c r="A138" s="95"/>
      <c r="B138" s="938" t="s">
        <v>841</v>
      </c>
      <c r="C138" s="939"/>
      <c r="D138" s="53" t="s">
        <v>841</v>
      </c>
      <c r="E138" s="53"/>
      <c r="F138" s="82"/>
      <c r="G138" s="111"/>
      <c r="H138" s="505" t="s">
        <v>1670</v>
      </c>
    </row>
    <row r="139" spans="1:8" ht="13.5" thickBot="1">
      <c r="A139" s="95"/>
      <c r="B139" s="839" t="s">
        <v>841</v>
      </c>
      <c r="C139" s="840"/>
      <c r="D139" s="84" t="s">
        <v>841</v>
      </c>
      <c r="E139" s="84"/>
      <c r="F139" s="85"/>
      <c r="G139" s="112"/>
    </row>
    <row r="140" spans="1:8" ht="13.5" thickTop="1">
      <c r="A140" s="95"/>
      <c r="B140" s="808"/>
      <c r="C140" s="809"/>
      <c r="D140" s="801" t="s">
        <v>856</v>
      </c>
      <c r="E140" s="802"/>
      <c r="F140" s="9"/>
      <c r="G140" s="113">
        <f>SUM(G131:G139)</f>
        <v>39083</v>
      </c>
    </row>
    <row r="141" spans="1:8">
      <c r="A141" s="95"/>
      <c r="B141" s="819"/>
      <c r="C141" s="820"/>
      <c r="D141" s="801" t="s">
        <v>857</v>
      </c>
      <c r="E141" s="802"/>
      <c r="F141" s="79">
        <f>'MANO DE OBRA'!D60</f>
        <v>0.05</v>
      </c>
      <c r="G141" s="113">
        <f>ROUND(G140*F141,0)</f>
        <v>1954</v>
      </c>
    </row>
    <row r="142" spans="1:8" ht="13.5" thickBot="1">
      <c r="A142" s="95"/>
      <c r="B142" s="819"/>
      <c r="C142" s="820"/>
      <c r="D142" s="803" t="s">
        <v>320</v>
      </c>
      <c r="E142" s="804"/>
      <c r="F142" s="114"/>
      <c r="G142" s="118">
        <f>+G140+G141</f>
        <v>41037</v>
      </c>
    </row>
    <row r="143" spans="1:8" ht="14.25" thickTop="1" thickBot="1">
      <c r="A143" s="95"/>
      <c r="B143" s="830"/>
      <c r="C143" s="830"/>
      <c r="D143" s="830"/>
      <c r="E143" s="830"/>
      <c r="F143" s="830"/>
      <c r="G143" s="830"/>
    </row>
    <row r="144" spans="1:8" ht="13.5" thickTop="1">
      <c r="A144" s="95"/>
      <c r="B144" s="811" t="s">
        <v>858</v>
      </c>
      <c r="C144" s="812"/>
      <c r="D144" s="812"/>
      <c r="E144" s="812"/>
      <c r="F144" s="812"/>
      <c r="G144" s="825"/>
    </row>
    <row r="145" spans="1:7">
      <c r="A145" s="95"/>
      <c r="B145" s="817"/>
      <c r="C145" s="818"/>
      <c r="D145" s="98" t="s">
        <v>301</v>
      </c>
      <c r="E145" s="98" t="s">
        <v>859</v>
      </c>
      <c r="F145" s="99" t="s">
        <v>839</v>
      </c>
      <c r="G145" s="107" t="s">
        <v>840</v>
      </c>
    </row>
    <row r="146" spans="1:7">
      <c r="A146" s="95"/>
      <c r="B146" s="821" t="s">
        <v>838</v>
      </c>
      <c r="C146" s="822"/>
      <c r="D146" s="100" t="s">
        <v>316</v>
      </c>
      <c r="E146" s="100" t="s">
        <v>315</v>
      </c>
      <c r="F146" s="101" t="s">
        <v>306</v>
      </c>
      <c r="G146" s="108" t="s">
        <v>319</v>
      </c>
    </row>
    <row r="147" spans="1:7">
      <c r="A147" s="95"/>
      <c r="B147" s="115"/>
      <c r="C147" s="102"/>
      <c r="D147" s="103"/>
      <c r="E147" s="103" t="s">
        <v>317</v>
      </c>
      <c r="F147" s="104" t="s">
        <v>318</v>
      </c>
      <c r="G147" s="109"/>
    </row>
    <row r="148" spans="1:7">
      <c r="A148" s="95"/>
      <c r="B148" s="823" t="str">
        <f>'MANO DE OBRA'!B10</f>
        <v>AYUDANTE CUAD. TIPO AA</v>
      </c>
      <c r="C148" s="824"/>
      <c r="D148" s="87">
        <v>1</v>
      </c>
      <c r="E148" s="80">
        <f>'MANO DE OBRA'!E10</f>
        <v>34680</v>
      </c>
      <c r="F148" s="81">
        <v>10</v>
      </c>
      <c r="G148" s="110">
        <f>ROUND(D148*E148/F148,0)</f>
        <v>3468</v>
      </c>
    </row>
    <row r="149" spans="1:7">
      <c r="A149" s="95"/>
      <c r="B149" s="835" t="str">
        <f>'MANO DE OBRA'!B15</f>
        <v xml:space="preserve">OFICIAL CUAD. TIPO AA </v>
      </c>
      <c r="C149" s="836"/>
      <c r="D149" s="37">
        <v>1</v>
      </c>
      <c r="E149" s="82">
        <f>'MANO DE OBRA'!E15</f>
        <v>71474</v>
      </c>
      <c r="F149" s="83">
        <v>10</v>
      </c>
      <c r="G149" s="111">
        <f>ROUND(D149*E149/F149,0)</f>
        <v>7147</v>
      </c>
    </row>
    <row r="150" spans="1:7">
      <c r="A150" s="95"/>
      <c r="B150" s="835"/>
      <c r="C150" s="836"/>
      <c r="D150" s="89"/>
      <c r="E150" s="82"/>
      <c r="F150" s="83"/>
      <c r="G150" s="111"/>
    </row>
    <row r="151" spans="1:7">
      <c r="A151" s="95"/>
      <c r="B151" s="835" t="s">
        <v>841</v>
      </c>
      <c r="C151" s="836"/>
      <c r="D151" s="37"/>
      <c r="E151" s="82"/>
      <c r="F151" s="83"/>
      <c r="G151" s="111"/>
    </row>
    <row r="152" spans="1:7" ht="13.5" thickBot="1">
      <c r="A152" s="95"/>
      <c r="B152" s="828" t="s">
        <v>841</v>
      </c>
      <c r="C152" s="829"/>
      <c r="D152" s="77"/>
      <c r="E152" s="82"/>
      <c r="F152" s="86"/>
      <c r="G152" s="112"/>
    </row>
    <row r="153" spans="1:7" ht="14.25" thickTop="1" thickBot="1">
      <c r="A153" s="95"/>
      <c r="B153" s="808"/>
      <c r="C153" s="808"/>
      <c r="D153" s="808"/>
      <c r="E153" s="809"/>
      <c r="F153" s="120" t="s">
        <v>856</v>
      </c>
      <c r="G153" s="118">
        <f>SUM(G148:G152)</f>
        <v>10615</v>
      </c>
    </row>
    <row r="154" spans="1:7" ht="14.25" thickTop="1" thickBot="1">
      <c r="A154" s="95"/>
      <c r="B154" s="810"/>
      <c r="C154" s="810"/>
      <c r="D154" s="810"/>
      <c r="E154" s="810"/>
      <c r="F154" s="810"/>
      <c r="G154" s="810"/>
    </row>
    <row r="155" spans="1:7" ht="13.5" thickTop="1">
      <c r="A155" s="95"/>
      <c r="B155" s="811" t="s">
        <v>321</v>
      </c>
      <c r="C155" s="812"/>
      <c r="D155" s="812"/>
      <c r="E155" s="812"/>
      <c r="F155" s="812"/>
      <c r="G155" s="825"/>
    </row>
    <row r="156" spans="1:7">
      <c r="A156" s="95"/>
      <c r="B156" s="817" t="s">
        <v>838</v>
      </c>
      <c r="C156" s="818"/>
      <c r="D156" s="98" t="s">
        <v>301</v>
      </c>
      <c r="E156" s="98" t="s">
        <v>297</v>
      </c>
      <c r="F156" s="99" t="s">
        <v>839</v>
      </c>
      <c r="G156" s="107" t="s">
        <v>840</v>
      </c>
    </row>
    <row r="157" spans="1:7">
      <c r="A157" s="95"/>
      <c r="B157" s="115"/>
      <c r="C157" s="102"/>
      <c r="D157" s="103" t="s">
        <v>322</v>
      </c>
      <c r="E157" s="103" t="s">
        <v>323</v>
      </c>
      <c r="F157" s="104" t="s">
        <v>324</v>
      </c>
      <c r="G157" s="109" t="s">
        <v>325</v>
      </c>
    </row>
    <row r="158" spans="1:7">
      <c r="A158" s="95"/>
      <c r="B158" s="826"/>
      <c r="C158" s="827"/>
      <c r="D158" s="96"/>
      <c r="E158" s="96"/>
      <c r="F158" s="96"/>
      <c r="G158" s="116"/>
    </row>
    <row r="159" spans="1:7" ht="13.5" thickBot="1">
      <c r="A159" s="95"/>
      <c r="B159" s="828" t="s">
        <v>841</v>
      </c>
      <c r="C159" s="829"/>
      <c r="D159" s="77"/>
      <c r="E159" s="82"/>
      <c r="F159" s="86"/>
      <c r="G159" s="112"/>
    </row>
    <row r="160" spans="1:7" ht="14.25" thickTop="1" thickBot="1">
      <c r="A160" s="95"/>
      <c r="B160" s="808"/>
      <c r="C160" s="808"/>
      <c r="D160" s="808"/>
      <c r="E160" s="809"/>
      <c r="F160" s="120" t="s">
        <v>856</v>
      </c>
      <c r="G160" s="118">
        <f>SUM(G155:G159)</f>
        <v>0</v>
      </c>
    </row>
    <row r="161" spans="1:8" ht="14.25" thickTop="1" thickBot="1">
      <c r="A161" s="95"/>
      <c r="B161" s="810"/>
      <c r="C161" s="810"/>
      <c r="D161" s="810"/>
      <c r="E161" s="810"/>
      <c r="F161" s="810"/>
      <c r="G161" s="834"/>
    </row>
    <row r="162" spans="1:8" ht="13.5" thickTop="1">
      <c r="A162" s="95"/>
      <c r="B162" s="811" t="s">
        <v>326</v>
      </c>
      <c r="C162" s="812"/>
      <c r="D162" s="812"/>
      <c r="E162" s="812"/>
      <c r="F162" s="813"/>
      <c r="G162" s="121">
        <f>+G126+G142+G153</f>
        <v>54562</v>
      </c>
    </row>
    <row r="163" spans="1:8">
      <c r="A163" s="95"/>
      <c r="B163" s="814" t="s">
        <v>861</v>
      </c>
      <c r="C163" s="815"/>
      <c r="D163" s="815"/>
      <c r="E163" s="816"/>
      <c r="F163" s="128">
        <f>'MANO DE OBRA'!D112</f>
        <v>0</v>
      </c>
      <c r="G163" s="122">
        <f>ROUND(G162*F163,0)</f>
        <v>0</v>
      </c>
    </row>
    <row r="164" spans="1:8" ht="13.5" thickBot="1">
      <c r="A164" s="95"/>
      <c r="B164" s="805" t="s">
        <v>1049</v>
      </c>
      <c r="C164" s="806"/>
      <c r="D164" s="806"/>
      <c r="E164" s="806"/>
      <c r="F164" s="807"/>
      <c r="G164" s="118">
        <f>ROUND(G162+G163,-2)</f>
        <v>54600</v>
      </c>
      <c r="H164" s="505" t="s">
        <v>1670</v>
      </c>
    </row>
    <row r="165" spans="1:8" ht="13.5" thickTop="1">
      <c r="A165" s="95"/>
      <c r="B165" s="90" t="s">
        <v>303</v>
      </c>
      <c r="C165" s="843"/>
      <c r="D165" s="843"/>
      <c r="E165" s="843"/>
      <c r="F165" s="92" t="s">
        <v>781</v>
      </c>
      <c r="G165" s="93" t="s">
        <v>831</v>
      </c>
    </row>
    <row r="166" spans="1:8">
      <c r="A166" s="95"/>
      <c r="B166" s="91" t="s">
        <v>834</v>
      </c>
      <c r="C166" s="844" t="s">
        <v>377</v>
      </c>
      <c r="D166" s="844"/>
      <c r="E166" s="844"/>
      <c r="F166" s="15" t="s">
        <v>833</v>
      </c>
      <c r="G166" s="165" t="str">
        <f>'MANO DE OBRA'!D61</f>
        <v>Agosto de 2010</v>
      </c>
    </row>
    <row r="167" spans="1:8" ht="13.5" thickBot="1">
      <c r="A167" s="127"/>
      <c r="B167" s="94" t="s">
        <v>835</v>
      </c>
      <c r="C167" s="845" t="s">
        <v>111</v>
      </c>
      <c r="D167" s="845"/>
      <c r="E167" s="845"/>
      <c r="F167" s="845"/>
      <c r="G167" s="846"/>
    </row>
    <row r="168" spans="1:8" ht="14.25" thickTop="1" thickBot="1">
      <c r="A168" s="95"/>
      <c r="B168" s="847"/>
      <c r="C168" s="847"/>
      <c r="D168" s="847"/>
      <c r="E168" s="847"/>
      <c r="F168" s="847"/>
      <c r="G168" s="847"/>
    </row>
    <row r="169" spans="1:8" ht="13.5" thickTop="1">
      <c r="A169" s="95"/>
      <c r="B169" s="811" t="s">
        <v>304</v>
      </c>
      <c r="C169" s="812"/>
      <c r="D169" s="812"/>
      <c r="E169" s="812"/>
      <c r="F169" s="812"/>
      <c r="G169" s="825"/>
    </row>
    <row r="170" spans="1:8">
      <c r="A170" s="95"/>
      <c r="B170" s="105"/>
      <c r="C170" s="97"/>
      <c r="D170" s="98" t="s">
        <v>301</v>
      </c>
      <c r="E170" s="98" t="s">
        <v>1072</v>
      </c>
      <c r="F170" s="99" t="s">
        <v>839</v>
      </c>
      <c r="G170" s="107" t="s">
        <v>840</v>
      </c>
    </row>
    <row r="171" spans="1:8">
      <c r="A171" s="95"/>
      <c r="B171" s="821" t="s">
        <v>838</v>
      </c>
      <c r="C171" s="822"/>
      <c r="D171" s="100" t="s">
        <v>308</v>
      </c>
      <c r="E171" s="100" t="s">
        <v>305</v>
      </c>
      <c r="F171" s="101" t="s">
        <v>306</v>
      </c>
      <c r="G171" s="108" t="s">
        <v>310</v>
      </c>
    </row>
    <row r="172" spans="1:8">
      <c r="A172" s="95"/>
      <c r="B172" s="115"/>
      <c r="C172" s="102"/>
      <c r="D172" s="103"/>
      <c r="E172" s="103" t="s">
        <v>309</v>
      </c>
      <c r="F172" s="104" t="s">
        <v>307</v>
      </c>
      <c r="G172" s="109"/>
    </row>
    <row r="173" spans="1:8">
      <c r="A173" s="127"/>
      <c r="B173" s="823" t="str">
        <f>'MAQUINARIA Y EQUIPOS'!C28</f>
        <v>HERRAMIENTAS MENORES</v>
      </c>
      <c r="C173" s="824"/>
      <c r="D173" s="87">
        <v>1</v>
      </c>
      <c r="E173" s="82">
        <f>ROUND(G206*0.05,0)</f>
        <v>483</v>
      </c>
      <c r="F173" s="81">
        <v>1</v>
      </c>
      <c r="G173" s="110">
        <f>ROUND(D173*E173/F173,0)</f>
        <v>483</v>
      </c>
    </row>
    <row r="174" spans="1:8">
      <c r="A174" s="95"/>
      <c r="B174" s="835" t="str">
        <f>'MAQUINARIA Y EQUIPOS'!C53</f>
        <v>VIBRADOR A GASOLINA</v>
      </c>
      <c r="C174" s="836"/>
      <c r="D174" s="37">
        <v>1</v>
      </c>
      <c r="E174" s="82">
        <f>'MAQUINARIA Y EQUIPOS'!D53</f>
        <v>51040</v>
      </c>
      <c r="F174" s="83">
        <v>25</v>
      </c>
      <c r="G174" s="111">
        <f>ROUND(D174*E174/F174,0)</f>
        <v>2042</v>
      </c>
    </row>
    <row r="175" spans="1:8">
      <c r="A175" s="95"/>
      <c r="B175" s="835" t="str">
        <f>'MAQUINARIA Y EQUIPOS'!C9</f>
        <v>ANDAMIO TUBULAR 1.50 m</v>
      </c>
      <c r="C175" s="836"/>
      <c r="D175" s="37">
        <v>2</v>
      </c>
      <c r="E175" s="82">
        <f>'MAQUINARIA Y EQUIPOS'!D9</f>
        <v>754</v>
      </c>
      <c r="F175" s="83">
        <f>+F201</f>
        <v>11</v>
      </c>
      <c r="G175" s="111">
        <f>ROUND(D175*E175/F175,0)</f>
        <v>137</v>
      </c>
    </row>
    <row r="176" spans="1:8">
      <c r="A176" s="95"/>
      <c r="B176" s="835" t="str">
        <f>'MAQUINARIA Y EQUIPOS'!C37</f>
        <v>PARAL TELESCOPICO 3 MTS</v>
      </c>
      <c r="C176" s="836"/>
      <c r="D176" s="37">
        <v>4</v>
      </c>
      <c r="E176" s="82">
        <f>'MAQUINARIA Y EQUIPOS'!D37</f>
        <v>290</v>
      </c>
      <c r="F176" s="83">
        <f>+F201</f>
        <v>11</v>
      </c>
      <c r="G176" s="111">
        <f>ROUND(D176*E176/F176,0)</f>
        <v>105</v>
      </c>
    </row>
    <row r="177" spans="1:8">
      <c r="A177" s="95"/>
      <c r="B177" s="835" t="str">
        <f>'MAQUINARIA Y EQUIPOS'!C47</f>
        <v>TABLONES 3m</v>
      </c>
      <c r="C177" s="836"/>
      <c r="D177" s="37">
        <v>2</v>
      </c>
      <c r="E177" s="82">
        <f>'MAQUINARIA Y EQUIPOS'!D47</f>
        <v>348</v>
      </c>
      <c r="F177" s="83">
        <f>+F202</f>
        <v>11</v>
      </c>
      <c r="G177" s="111">
        <f>ROUND(D177*E177/F177,0)</f>
        <v>63</v>
      </c>
    </row>
    <row r="178" spans="1:8" ht="13.5" thickBot="1">
      <c r="A178" s="95"/>
      <c r="B178" s="839" t="s">
        <v>841</v>
      </c>
      <c r="C178" s="840"/>
      <c r="D178" s="77"/>
      <c r="E178" s="106"/>
      <c r="F178" s="86"/>
      <c r="G178" s="112"/>
    </row>
    <row r="179" spans="1:8" ht="14.25" thickTop="1" thickBot="1">
      <c r="A179" s="95"/>
      <c r="B179" s="808"/>
      <c r="C179" s="808"/>
      <c r="D179" s="808"/>
      <c r="E179" s="809"/>
      <c r="F179" s="119" t="s">
        <v>856</v>
      </c>
      <c r="G179" s="118">
        <f>SUM(G173:G178)</f>
        <v>2830</v>
      </c>
    </row>
    <row r="180" spans="1:8" ht="14.25" thickTop="1" thickBot="1">
      <c r="A180" s="95"/>
      <c r="B180" s="830"/>
      <c r="C180" s="830"/>
      <c r="D180" s="830"/>
      <c r="E180" s="830"/>
      <c r="F180" s="830"/>
      <c r="G180" s="830"/>
    </row>
    <row r="181" spans="1:8" ht="13.5" thickTop="1">
      <c r="A181" s="95"/>
      <c r="B181" s="811" t="s">
        <v>311</v>
      </c>
      <c r="C181" s="812"/>
      <c r="D181" s="812"/>
      <c r="E181" s="812"/>
      <c r="F181" s="812"/>
      <c r="G181" s="825"/>
    </row>
    <row r="182" spans="1:8">
      <c r="A182" s="95"/>
      <c r="B182" s="817" t="s">
        <v>838</v>
      </c>
      <c r="C182" s="818"/>
      <c r="D182" s="98" t="s">
        <v>842</v>
      </c>
      <c r="E182" s="98" t="s">
        <v>853</v>
      </c>
      <c r="F182" s="99" t="s">
        <v>1047</v>
      </c>
      <c r="G182" s="107" t="s">
        <v>840</v>
      </c>
    </row>
    <row r="183" spans="1:8">
      <c r="A183" s="95"/>
      <c r="B183" s="115"/>
      <c r="C183" s="102"/>
      <c r="D183" s="100"/>
      <c r="E183" s="100" t="s">
        <v>312</v>
      </c>
      <c r="F183" s="101" t="s">
        <v>313</v>
      </c>
      <c r="G183" s="108" t="s">
        <v>314</v>
      </c>
    </row>
    <row r="184" spans="1:8" ht="14.25">
      <c r="A184" s="125"/>
      <c r="B184" s="841" t="str">
        <f>MATERIALES2!C35</f>
        <v>CONCRETO 1:2:3-3000 psi(MATERIALES)</v>
      </c>
      <c r="C184" s="842"/>
      <c r="D184" s="87" t="s">
        <v>1066</v>
      </c>
      <c r="E184" s="81">
        <v>0.04</v>
      </c>
      <c r="F184" s="80">
        <f>MATERIALES2!E35</f>
        <v>367600</v>
      </c>
      <c r="G184" s="110">
        <f t="shared" ref="G184:G190" si="3">ROUND(E184*F184,0)</f>
        <v>14704</v>
      </c>
    </row>
    <row r="185" spans="1:8">
      <c r="A185" s="123"/>
      <c r="B185" s="854" t="str">
        <f>MATERIALES2!C162</f>
        <v>TABLON 2X10X10</v>
      </c>
      <c r="C185" s="855"/>
      <c r="D185" s="37" t="s">
        <v>865</v>
      </c>
      <c r="E185" s="83">
        <f>ROUND(4*1/3/4,2)</f>
        <v>0.33</v>
      </c>
      <c r="F185" s="82">
        <f>MATERIALES2!E163</f>
        <v>20000</v>
      </c>
      <c r="G185" s="111">
        <f t="shared" si="3"/>
        <v>6600</v>
      </c>
    </row>
    <row r="186" spans="1:8">
      <c r="A186" s="95"/>
      <c r="B186" s="854" t="str">
        <f>MATERIALES2!C151</f>
        <v>ABARCO DE 2X2X4,50</v>
      </c>
      <c r="C186" s="855"/>
      <c r="D186" s="37" t="s">
        <v>865</v>
      </c>
      <c r="E186" s="83">
        <f>ROUND((0.4*2+0.2*2)*3/4.5/4,2)</f>
        <v>0.2</v>
      </c>
      <c r="F186" s="82">
        <f>MATERIALES2!E151</f>
        <v>5000</v>
      </c>
      <c r="G186" s="111">
        <f t="shared" si="3"/>
        <v>1000</v>
      </c>
    </row>
    <row r="187" spans="1:8">
      <c r="A187" s="95"/>
      <c r="B187" s="854" t="str">
        <f>MATERIALES2!C919</f>
        <v>PUNTILLAS DE 3"</v>
      </c>
      <c r="C187" s="855"/>
      <c r="D187" s="37" t="s">
        <v>922</v>
      </c>
      <c r="E187" s="83">
        <v>0.5</v>
      </c>
      <c r="F187" s="82">
        <f>MATERIALES2!E919</f>
        <v>1500</v>
      </c>
      <c r="G187" s="111">
        <f t="shared" si="3"/>
        <v>750</v>
      </c>
    </row>
    <row r="188" spans="1:8">
      <c r="A188" s="95"/>
      <c r="B188" s="854" t="str">
        <f>MATERIALES2!C62</f>
        <v>HIERRO CHIPA 3/8"</v>
      </c>
      <c r="C188" s="855"/>
      <c r="D188" s="37" t="s">
        <v>925</v>
      </c>
      <c r="E188" s="146">
        <v>5.38</v>
      </c>
      <c r="F188" s="82">
        <f>MATERIALES2!E62</f>
        <v>2100</v>
      </c>
      <c r="G188" s="111">
        <f t="shared" si="3"/>
        <v>11298</v>
      </c>
    </row>
    <row r="189" spans="1:8">
      <c r="A189" s="95"/>
      <c r="B189" s="854" t="str">
        <f>MATERIALES2!C70</f>
        <v>VARILLA CORRUGADA ½" x 6.0 M</v>
      </c>
      <c r="C189" s="855"/>
      <c r="D189" s="37" t="s">
        <v>865</v>
      </c>
      <c r="E189" s="146">
        <v>0.83</v>
      </c>
      <c r="F189" s="82">
        <f>MATERIALES2!E70</f>
        <v>9300</v>
      </c>
      <c r="G189" s="111">
        <f t="shared" si="3"/>
        <v>7719</v>
      </c>
    </row>
    <row r="190" spans="1:8">
      <c r="A190" s="95"/>
      <c r="B190" s="854" t="str">
        <f>MATERIALES2!C65</f>
        <v>ALAMBRE NEGRO</v>
      </c>
      <c r="C190" s="855"/>
      <c r="D190" s="37" t="s">
        <v>925</v>
      </c>
      <c r="E190" s="160">
        <v>0.23</v>
      </c>
      <c r="F190" s="82">
        <f>MATERIALES2!E65</f>
        <v>2100</v>
      </c>
      <c r="G190" s="111">
        <f t="shared" si="3"/>
        <v>483</v>
      </c>
    </row>
    <row r="191" spans="1:8">
      <c r="A191" s="95"/>
      <c r="B191" s="938" t="s">
        <v>841</v>
      </c>
      <c r="C191" s="939"/>
      <c r="D191" s="53" t="s">
        <v>841</v>
      </c>
      <c r="E191" s="53"/>
      <c r="F191" s="82"/>
      <c r="G191" s="111"/>
      <c r="H191" s="505" t="s">
        <v>1670</v>
      </c>
    </row>
    <row r="192" spans="1:8" ht="13.5" thickBot="1">
      <c r="A192" s="95"/>
      <c r="B192" s="839" t="s">
        <v>841</v>
      </c>
      <c r="C192" s="840"/>
      <c r="D192" s="84" t="s">
        <v>841</v>
      </c>
      <c r="E192" s="84"/>
      <c r="F192" s="85"/>
      <c r="G192" s="112"/>
    </row>
    <row r="193" spans="1:7" ht="13.5" thickTop="1">
      <c r="A193" s="95"/>
      <c r="B193" s="808"/>
      <c r="C193" s="809"/>
      <c r="D193" s="801" t="s">
        <v>856</v>
      </c>
      <c r="E193" s="802"/>
      <c r="F193" s="9"/>
      <c r="G193" s="113">
        <f>SUM(G184:G192)</f>
        <v>42554</v>
      </c>
    </row>
    <row r="194" spans="1:7">
      <c r="A194" s="95"/>
      <c r="B194" s="819"/>
      <c r="C194" s="820"/>
      <c r="D194" s="801" t="s">
        <v>857</v>
      </c>
      <c r="E194" s="802"/>
      <c r="F194" s="79">
        <f>'MANO DE OBRA'!D60</f>
        <v>0.05</v>
      </c>
      <c r="G194" s="113">
        <f>ROUND(G193*F194,0)</f>
        <v>2128</v>
      </c>
    </row>
    <row r="195" spans="1:7" ht="13.5" thickBot="1">
      <c r="A195" s="95"/>
      <c r="B195" s="819"/>
      <c r="C195" s="820"/>
      <c r="D195" s="803" t="s">
        <v>320</v>
      </c>
      <c r="E195" s="804"/>
      <c r="F195" s="114"/>
      <c r="G195" s="118">
        <f>+G193+G194</f>
        <v>44682</v>
      </c>
    </row>
    <row r="196" spans="1:7" ht="14.25" thickTop="1" thickBot="1">
      <c r="A196" s="95"/>
      <c r="B196" s="830"/>
      <c r="C196" s="830"/>
      <c r="D196" s="830"/>
      <c r="E196" s="830"/>
      <c r="F196" s="830"/>
      <c r="G196" s="830"/>
    </row>
    <row r="197" spans="1:7" ht="13.5" thickTop="1">
      <c r="A197" s="95"/>
      <c r="B197" s="811" t="s">
        <v>858</v>
      </c>
      <c r="C197" s="812"/>
      <c r="D197" s="812"/>
      <c r="E197" s="812"/>
      <c r="F197" s="812"/>
      <c r="G197" s="825"/>
    </row>
    <row r="198" spans="1:7">
      <c r="A198" s="95"/>
      <c r="B198" s="817"/>
      <c r="C198" s="818"/>
      <c r="D198" s="98" t="s">
        <v>301</v>
      </c>
      <c r="E198" s="98" t="s">
        <v>859</v>
      </c>
      <c r="F198" s="99" t="s">
        <v>839</v>
      </c>
      <c r="G198" s="107" t="s">
        <v>840</v>
      </c>
    </row>
    <row r="199" spans="1:7">
      <c r="A199" s="95"/>
      <c r="B199" s="821" t="s">
        <v>838</v>
      </c>
      <c r="C199" s="822"/>
      <c r="D199" s="100" t="s">
        <v>316</v>
      </c>
      <c r="E199" s="100" t="s">
        <v>315</v>
      </c>
      <c r="F199" s="101" t="s">
        <v>306</v>
      </c>
      <c r="G199" s="108" t="s">
        <v>319</v>
      </c>
    </row>
    <row r="200" spans="1:7">
      <c r="A200" s="95"/>
      <c r="B200" s="115"/>
      <c r="C200" s="102"/>
      <c r="D200" s="103"/>
      <c r="E200" s="103" t="s">
        <v>317</v>
      </c>
      <c r="F200" s="104" t="s">
        <v>318</v>
      </c>
      <c r="G200" s="109"/>
    </row>
    <row r="201" spans="1:7">
      <c r="A201" s="95"/>
      <c r="B201" s="823" t="str">
        <f>'MANO DE OBRA'!B10</f>
        <v>AYUDANTE CUAD. TIPO AA</v>
      </c>
      <c r="C201" s="824"/>
      <c r="D201" s="87">
        <v>1</v>
      </c>
      <c r="E201" s="80">
        <f>'MANO DE OBRA'!E10</f>
        <v>34680</v>
      </c>
      <c r="F201" s="81">
        <v>11</v>
      </c>
      <c r="G201" s="110">
        <f>ROUND(D201*E201/F201,0)</f>
        <v>3153</v>
      </c>
    </row>
    <row r="202" spans="1:7">
      <c r="A202" s="95"/>
      <c r="B202" s="835" t="str">
        <f>'MANO DE OBRA'!B15</f>
        <v xml:space="preserve">OFICIAL CUAD. TIPO AA </v>
      </c>
      <c r="C202" s="836"/>
      <c r="D202" s="37">
        <v>1</v>
      </c>
      <c r="E202" s="82">
        <f>'MANO DE OBRA'!E15</f>
        <v>71474</v>
      </c>
      <c r="F202" s="83">
        <v>11</v>
      </c>
      <c r="G202" s="111">
        <f>ROUND(D202*E202/F202,0)</f>
        <v>6498</v>
      </c>
    </row>
    <row r="203" spans="1:7">
      <c r="A203" s="95"/>
      <c r="B203" s="835"/>
      <c r="C203" s="836"/>
      <c r="D203" s="89"/>
      <c r="E203" s="82"/>
      <c r="F203" s="83"/>
      <c r="G203" s="111"/>
    </row>
    <row r="204" spans="1:7">
      <c r="A204" s="95"/>
      <c r="B204" s="835" t="s">
        <v>841</v>
      </c>
      <c r="C204" s="836"/>
      <c r="D204" s="37"/>
      <c r="E204" s="82"/>
      <c r="F204" s="83"/>
      <c r="G204" s="111"/>
    </row>
    <row r="205" spans="1:7" ht="13.5" thickBot="1">
      <c r="A205" s="95"/>
      <c r="B205" s="828" t="s">
        <v>841</v>
      </c>
      <c r="C205" s="829"/>
      <c r="D205" s="77"/>
      <c r="E205" s="82"/>
      <c r="F205" s="86"/>
      <c r="G205" s="112"/>
    </row>
    <row r="206" spans="1:7" ht="14.25" thickTop="1" thickBot="1">
      <c r="A206" s="95"/>
      <c r="B206" s="808"/>
      <c r="C206" s="808"/>
      <c r="D206" s="808"/>
      <c r="E206" s="809"/>
      <c r="F206" s="120" t="s">
        <v>856</v>
      </c>
      <c r="G206" s="118">
        <f>SUM(G201:G205)</f>
        <v>9651</v>
      </c>
    </row>
    <row r="207" spans="1:7" ht="14.25" thickTop="1" thickBot="1">
      <c r="A207" s="95"/>
      <c r="B207" s="810"/>
      <c r="C207" s="810"/>
      <c r="D207" s="810"/>
      <c r="E207" s="810"/>
      <c r="F207" s="810"/>
      <c r="G207" s="810"/>
    </row>
    <row r="208" spans="1:7" ht="13.5" thickTop="1">
      <c r="A208" s="95"/>
      <c r="B208" s="811" t="s">
        <v>321</v>
      </c>
      <c r="C208" s="812"/>
      <c r="D208" s="812"/>
      <c r="E208" s="812"/>
      <c r="F208" s="812"/>
      <c r="G208" s="825"/>
    </row>
    <row r="209" spans="1:8">
      <c r="A209" s="95"/>
      <c r="B209" s="817" t="s">
        <v>838</v>
      </c>
      <c r="C209" s="818"/>
      <c r="D209" s="98" t="s">
        <v>301</v>
      </c>
      <c r="E209" s="98" t="s">
        <v>297</v>
      </c>
      <c r="F209" s="99" t="s">
        <v>839</v>
      </c>
      <c r="G209" s="107" t="s">
        <v>840</v>
      </c>
    </row>
    <row r="210" spans="1:8">
      <c r="A210" s="95"/>
      <c r="B210" s="115"/>
      <c r="C210" s="102"/>
      <c r="D210" s="103" t="s">
        <v>322</v>
      </c>
      <c r="E210" s="103" t="s">
        <v>323</v>
      </c>
      <c r="F210" s="104" t="s">
        <v>324</v>
      </c>
      <c r="G210" s="109" t="s">
        <v>325</v>
      </c>
    </row>
    <row r="211" spans="1:8">
      <c r="A211" s="95"/>
      <c r="B211" s="826"/>
      <c r="C211" s="827"/>
      <c r="D211" s="96"/>
      <c r="E211" s="96"/>
      <c r="F211" s="96"/>
      <c r="G211" s="116"/>
    </row>
    <row r="212" spans="1:8" ht="13.5" thickBot="1">
      <c r="A212" s="95"/>
      <c r="B212" s="828" t="s">
        <v>841</v>
      </c>
      <c r="C212" s="829"/>
      <c r="D212" s="77"/>
      <c r="E212" s="82"/>
      <c r="F212" s="86"/>
      <c r="G212" s="112"/>
    </row>
    <row r="213" spans="1:8" ht="14.25" thickTop="1" thickBot="1">
      <c r="A213" s="95"/>
      <c r="B213" s="808"/>
      <c r="C213" s="808"/>
      <c r="D213" s="808"/>
      <c r="E213" s="809"/>
      <c r="F213" s="120" t="s">
        <v>856</v>
      </c>
      <c r="G213" s="118">
        <f>SUM(G208:G212)</f>
        <v>0</v>
      </c>
    </row>
    <row r="214" spans="1:8" ht="14.25" thickTop="1" thickBot="1">
      <c r="A214" s="95"/>
      <c r="B214" s="810"/>
      <c r="C214" s="810"/>
      <c r="D214" s="810"/>
      <c r="E214" s="810"/>
      <c r="F214" s="810"/>
      <c r="G214" s="834"/>
    </row>
    <row r="215" spans="1:8" ht="13.5" thickTop="1">
      <c r="A215" s="95"/>
      <c r="B215" s="811" t="s">
        <v>326</v>
      </c>
      <c r="C215" s="812"/>
      <c r="D215" s="812"/>
      <c r="E215" s="812"/>
      <c r="F215" s="813"/>
      <c r="G215" s="121">
        <f>+G179+G195+G206</f>
        <v>57163</v>
      </c>
    </row>
    <row r="216" spans="1:8">
      <c r="A216" s="95"/>
      <c r="B216" s="814" t="s">
        <v>861</v>
      </c>
      <c r="C216" s="815"/>
      <c r="D216" s="815"/>
      <c r="E216" s="816"/>
      <c r="F216" s="128">
        <f>'MANO DE OBRA'!D59</f>
        <v>0</v>
      </c>
      <c r="G216" s="122">
        <f>ROUND(G215*F216,0)</f>
        <v>0</v>
      </c>
    </row>
    <row r="217" spans="1:8" ht="13.5" thickBot="1">
      <c r="A217" s="95"/>
      <c r="B217" s="805" t="s">
        <v>1049</v>
      </c>
      <c r="C217" s="806"/>
      <c r="D217" s="806"/>
      <c r="E217" s="806"/>
      <c r="F217" s="807"/>
      <c r="G217" s="118">
        <f>ROUND(G215+G216,-2)</f>
        <v>57200</v>
      </c>
      <c r="H217" s="505" t="s">
        <v>1670</v>
      </c>
    </row>
    <row r="218" spans="1:8" ht="13.5" thickTop="1">
      <c r="A218" s="95"/>
      <c r="B218" s="90" t="s">
        <v>303</v>
      </c>
      <c r="C218" s="843"/>
      <c r="D218" s="843"/>
      <c r="E218" s="843"/>
      <c r="F218" s="92" t="s">
        <v>781</v>
      </c>
      <c r="G218" s="93" t="s">
        <v>831</v>
      </c>
    </row>
    <row r="219" spans="1:8">
      <c r="A219" s="95"/>
      <c r="B219" s="91" t="s">
        <v>834</v>
      </c>
      <c r="C219" s="844" t="s">
        <v>368</v>
      </c>
      <c r="D219" s="844"/>
      <c r="E219" s="844"/>
      <c r="F219" s="15" t="s">
        <v>833</v>
      </c>
      <c r="G219" s="165" t="str">
        <f>'MANO DE OBRA'!D61</f>
        <v>Agosto de 2010</v>
      </c>
    </row>
    <row r="220" spans="1:8" ht="13.5" thickBot="1">
      <c r="A220" s="127"/>
      <c r="B220" s="94" t="s">
        <v>835</v>
      </c>
      <c r="C220" s="845" t="s">
        <v>757</v>
      </c>
      <c r="D220" s="845"/>
      <c r="E220" s="845"/>
      <c r="F220" s="845"/>
      <c r="G220" s="846"/>
    </row>
    <row r="221" spans="1:8" ht="14.25" thickTop="1" thickBot="1">
      <c r="A221" s="95"/>
      <c r="B221" s="847"/>
      <c r="C221" s="847"/>
      <c r="D221" s="847"/>
      <c r="E221" s="847"/>
      <c r="F221" s="847"/>
      <c r="G221" s="847"/>
    </row>
    <row r="222" spans="1:8" ht="13.5" thickTop="1">
      <c r="A222" s="95"/>
      <c r="B222" s="811" t="s">
        <v>304</v>
      </c>
      <c r="C222" s="812"/>
      <c r="D222" s="812"/>
      <c r="E222" s="812"/>
      <c r="F222" s="812"/>
      <c r="G222" s="825"/>
    </row>
    <row r="223" spans="1:8">
      <c r="A223" s="95"/>
      <c r="B223" s="105"/>
      <c r="C223" s="97"/>
      <c r="D223" s="98" t="s">
        <v>301</v>
      </c>
      <c r="E223" s="98" t="s">
        <v>1072</v>
      </c>
      <c r="F223" s="99" t="s">
        <v>839</v>
      </c>
      <c r="G223" s="107" t="s">
        <v>840</v>
      </c>
    </row>
    <row r="224" spans="1:8">
      <c r="A224" s="95"/>
      <c r="B224" s="821" t="s">
        <v>838</v>
      </c>
      <c r="C224" s="822"/>
      <c r="D224" s="100" t="s">
        <v>308</v>
      </c>
      <c r="E224" s="100" t="s">
        <v>305</v>
      </c>
      <c r="F224" s="101" t="s">
        <v>306</v>
      </c>
      <c r="G224" s="108" t="s">
        <v>310</v>
      </c>
    </row>
    <row r="225" spans="1:7">
      <c r="A225" s="95"/>
      <c r="B225" s="115"/>
      <c r="C225" s="102"/>
      <c r="D225" s="103"/>
      <c r="E225" s="103" t="s">
        <v>309</v>
      </c>
      <c r="F225" s="104" t="s">
        <v>307</v>
      </c>
      <c r="G225" s="109"/>
    </row>
    <row r="226" spans="1:7">
      <c r="A226" s="127"/>
      <c r="B226" s="823" t="str">
        <f>'MAQUINARIA Y EQUIPOS'!C28</f>
        <v>HERRAMIENTAS MENORES</v>
      </c>
      <c r="C226" s="824"/>
      <c r="D226" s="87">
        <v>1</v>
      </c>
      <c r="E226" s="82">
        <f>ROUND(G259*0.05,0)</f>
        <v>708</v>
      </c>
      <c r="F226" s="81">
        <v>1</v>
      </c>
      <c r="G226" s="110">
        <f>ROUND(D226*E226/F226,0)</f>
        <v>708</v>
      </c>
    </row>
    <row r="227" spans="1:7">
      <c r="A227" s="95"/>
      <c r="B227" s="835" t="str">
        <f>'MAQUINARIA Y EQUIPOS'!C53</f>
        <v>VIBRADOR A GASOLINA</v>
      </c>
      <c r="C227" s="836"/>
      <c r="D227" s="37">
        <v>1</v>
      </c>
      <c r="E227" s="82">
        <f>'MAQUINARIA Y EQUIPOS'!D53</f>
        <v>51040</v>
      </c>
      <c r="F227" s="83">
        <v>25</v>
      </c>
      <c r="G227" s="111">
        <f>ROUND(D227*E227/F227,0)</f>
        <v>2042</v>
      </c>
    </row>
    <row r="228" spans="1:7">
      <c r="A228" s="95"/>
      <c r="B228" s="835" t="str">
        <f>'MAQUINARIA Y EQUIPOS'!C9</f>
        <v>ANDAMIO TUBULAR 1.50 m</v>
      </c>
      <c r="C228" s="836"/>
      <c r="D228" s="37">
        <v>2</v>
      </c>
      <c r="E228" s="82">
        <f>'MAQUINARIA Y EQUIPOS'!D9</f>
        <v>754</v>
      </c>
      <c r="F228" s="83">
        <f>+F254</f>
        <v>7.5</v>
      </c>
      <c r="G228" s="111">
        <f>ROUND(D228*E228/F228,0)</f>
        <v>201</v>
      </c>
    </row>
    <row r="229" spans="1:7">
      <c r="A229" s="95"/>
      <c r="B229" s="835" t="str">
        <f>'MAQUINARIA Y EQUIPOS'!C37</f>
        <v>PARAL TELESCOPICO 3 MTS</v>
      </c>
      <c r="C229" s="836"/>
      <c r="D229" s="37">
        <v>4</v>
      </c>
      <c r="E229" s="82">
        <f>'MAQUINARIA Y EQUIPOS'!D37</f>
        <v>290</v>
      </c>
      <c r="F229" s="83">
        <f>+F254</f>
        <v>7.5</v>
      </c>
      <c r="G229" s="111">
        <f>ROUND(D229*E229/F229,0)</f>
        <v>155</v>
      </c>
    </row>
    <row r="230" spans="1:7">
      <c r="A230" s="95"/>
      <c r="B230" s="835" t="str">
        <f>'MAQUINARIA Y EQUIPOS'!C47</f>
        <v>TABLONES 3m</v>
      </c>
      <c r="C230" s="836"/>
      <c r="D230" s="37">
        <v>2</v>
      </c>
      <c r="E230" s="82">
        <f>'MAQUINARIA Y EQUIPOS'!D47</f>
        <v>348</v>
      </c>
      <c r="F230" s="83">
        <f>+F255</f>
        <v>7.5</v>
      </c>
      <c r="G230" s="111">
        <f>ROUND(D230*E230/F230,0)</f>
        <v>93</v>
      </c>
    </row>
    <row r="231" spans="1:7" ht="13.5" thickBot="1">
      <c r="A231" s="95"/>
      <c r="B231" s="839" t="s">
        <v>841</v>
      </c>
      <c r="C231" s="840"/>
      <c r="D231" s="77"/>
      <c r="E231" s="106"/>
      <c r="F231" s="86"/>
      <c r="G231" s="112"/>
    </row>
    <row r="232" spans="1:7" ht="14.25" thickTop="1" thickBot="1">
      <c r="A232" s="95"/>
      <c r="B232" s="808"/>
      <c r="C232" s="808"/>
      <c r="D232" s="808"/>
      <c r="E232" s="809"/>
      <c r="F232" s="119" t="s">
        <v>856</v>
      </c>
      <c r="G232" s="118">
        <f>SUM(G226:G231)</f>
        <v>3199</v>
      </c>
    </row>
    <row r="233" spans="1:7" ht="14.25" thickTop="1" thickBot="1">
      <c r="A233" s="95"/>
      <c r="B233" s="830"/>
      <c r="C233" s="830"/>
      <c r="D233" s="830"/>
      <c r="E233" s="830"/>
      <c r="F233" s="830"/>
      <c r="G233" s="830"/>
    </row>
    <row r="234" spans="1:7" ht="13.5" thickTop="1">
      <c r="A234" s="95"/>
      <c r="B234" s="811" t="s">
        <v>311</v>
      </c>
      <c r="C234" s="812"/>
      <c r="D234" s="812"/>
      <c r="E234" s="812"/>
      <c r="F234" s="812"/>
      <c r="G234" s="825"/>
    </row>
    <row r="235" spans="1:7">
      <c r="A235" s="95"/>
      <c r="B235" s="817" t="s">
        <v>838</v>
      </c>
      <c r="C235" s="818"/>
      <c r="D235" s="98" t="s">
        <v>842</v>
      </c>
      <c r="E235" s="98" t="s">
        <v>853</v>
      </c>
      <c r="F235" s="99" t="s">
        <v>1047</v>
      </c>
      <c r="G235" s="107" t="s">
        <v>840</v>
      </c>
    </row>
    <row r="236" spans="1:7">
      <c r="A236" s="95"/>
      <c r="B236" s="115"/>
      <c r="C236" s="102"/>
      <c r="D236" s="100"/>
      <c r="E236" s="100" t="s">
        <v>312</v>
      </c>
      <c r="F236" s="101" t="s">
        <v>313</v>
      </c>
      <c r="G236" s="108" t="s">
        <v>314</v>
      </c>
    </row>
    <row r="237" spans="1:7" ht="14.25">
      <c r="A237" s="125"/>
      <c r="B237" s="841" t="str">
        <f>MATERIALES2!C35</f>
        <v>CONCRETO 1:2:3-3000 psi(MATERIALES)</v>
      </c>
      <c r="C237" s="842"/>
      <c r="D237" s="87" t="s">
        <v>1066</v>
      </c>
      <c r="E237" s="81">
        <v>0.05</v>
      </c>
      <c r="F237" s="80">
        <f>MATERIALES2!E35</f>
        <v>367600</v>
      </c>
      <c r="G237" s="110">
        <f t="shared" ref="G237:G243" si="4">ROUND(E237*F237,0)</f>
        <v>18380</v>
      </c>
    </row>
    <row r="238" spans="1:7">
      <c r="A238" s="123"/>
      <c r="B238" s="854" t="str">
        <f>MATERIALES2!C163</f>
        <v>TABLON 2x12x10</v>
      </c>
      <c r="C238" s="855"/>
      <c r="D238" s="37" t="s">
        <v>865</v>
      </c>
      <c r="E238" s="83">
        <f>ROUND(2*1/3/4,2)</f>
        <v>0.17</v>
      </c>
      <c r="F238" s="82">
        <f>MATERIALES2!E163</f>
        <v>20000</v>
      </c>
      <c r="G238" s="111">
        <f t="shared" si="4"/>
        <v>3400</v>
      </c>
    </row>
    <row r="239" spans="1:7">
      <c r="A239" s="95"/>
      <c r="B239" s="854" t="str">
        <f>MATERIALES2!C151</f>
        <v>ABARCO DE 2X2X4,50</v>
      </c>
      <c r="C239" s="855"/>
      <c r="D239" s="37" t="s">
        <v>865</v>
      </c>
      <c r="E239" s="83">
        <f>ROUND((0.4*2+0.25*2)*3/4.5/4,2)</f>
        <v>0.22</v>
      </c>
      <c r="F239" s="82">
        <f>MATERIALES2!E151</f>
        <v>5000</v>
      </c>
      <c r="G239" s="111">
        <f t="shared" si="4"/>
        <v>1100</v>
      </c>
    </row>
    <row r="240" spans="1:7">
      <c r="A240" s="95"/>
      <c r="B240" s="854" t="str">
        <f>MATERIALES2!C919</f>
        <v>PUNTILLAS DE 3"</v>
      </c>
      <c r="C240" s="855"/>
      <c r="D240" s="37" t="s">
        <v>922</v>
      </c>
      <c r="E240" s="83">
        <v>0.5</v>
      </c>
      <c r="F240" s="82">
        <f>MATERIALES2!E919</f>
        <v>1500</v>
      </c>
      <c r="G240" s="111">
        <f t="shared" si="4"/>
        <v>750</v>
      </c>
    </row>
    <row r="241" spans="1:8">
      <c r="A241" s="95"/>
      <c r="B241" s="854" t="str">
        <f>MATERIALES2!C62</f>
        <v>HIERRO CHIPA 3/8"</v>
      </c>
      <c r="C241" s="855"/>
      <c r="D241" s="37" t="s">
        <v>925</v>
      </c>
      <c r="E241" s="146">
        <f>ROUND(12*0.9*0.61,2)</f>
        <v>6.59</v>
      </c>
      <c r="F241" s="82">
        <f>MATERIALES2!E62</f>
        <v>2100</v>
      </c>
      <c r="G241" s="111">
        <f t="shared" si="4"/>
        <v>13839</v>
      </c>
    </row>
    <row r="242" spans="1:8">
      <c r="A242" s="95"/>
      <c r="B242" s="854" t="str">
        <f>MATERIALES2!C71</f>
        <v>VARILLA CORRUGADA 5/8" x 6.0 M</v>
      </c>
      <c r="C242" s="855"/>
      <c r="D242" s="37" t="s">
        <v>865</v>
      </c>
      <c r="E242" s="146">
        <v>0.93</v>
      </c>
      <c r="F242" s="82">
        <f>MATERIALES2!E71</f>
        <v>17700</v>
      </c>
      <c r="G242" s="111">
        <f t="shared" si="4"/>
        <v>16461</v>
      </c>
    </row>
    <row r="243" spans="1:8">
      <c r="A243" s="95"/>
      <c r="B243" s="854" t="str">
        <f>MATERIALES2!C65</f>
        <v>ALAMBRE NEGRO</v>
      </c>
      <c r="C243" s="855"/>
      <c r="D243" s="37" t="s">
        <v>925</v>
      </c>
      <c r="E243" s="160">
        <v>0.23</v>
      </c>
      <c r="F243" s="82">
        <f>MATERIALES2!E65</f>
        <v>2100</v>
      </c>
      <c r="G243" s="111">
        <f t="shared" si="4"/>
        <v>483</v>
      </c>
    </row>
    <row r="244" spans="1:8">
      <c r="A244" s="95"/>
      <c r="B244" s="835" t="str">
        <f>MATERIALES2!C162</f>
        <v>TABLON 2X10X10</v>
      </c>
      <c r="C244" s="836"/>
      <c r="D244" s="239" t="s">
        <v>865</v>
      </c>
      <c r="E244" s="83">
        <f>ROUND(2*1/3/4,2)</f>
        <v>0.17</v>
      </c>
      <c r="F244" s="82">
        <f>MATERIALES2!E162</f>
        <v>16700</v>
      </c>
      <c r="G244" s="111">
        <f>ROUND(E244*F244,0)</f>
        <v>2839</v>
      </c>
      <c r="H244" s="505" t="s">
        <v>1670</v>
      </c>
    </row>
    <row r="245" spans="1:8" ht="13.5" thickBot="1">
      <c r="A245" s="95"/>
      <c r="B245" s="839" t="s">
        <v>841</v>
      </c>
      <c r="C245" s="840"/>
      <c r="D245" s="84" t="s">
        <v>841</v>
      </c>
      <c r="E245" s="84"/>
      <c r="F245" s="85"/>
      <c r="G245" s="112"/>
    </row>
    <row r="246" spans="1:8" ht="13.5" thickTop="1">
      <c r="A246" s="95"/>
      <c r="B246" s="808"/>
      <c r="C246" s="809"/>
      <c r="D246" s="801" t="s">
        <v>856</v>
      </c>
      <c r="E246" s="802"/>
      <c r="F246" s="9"/>
      <c r="G246" s="113">
        <f>SUM(G237:G245)</f>
        <v>57252</v>
      </c>
    </row>
    <row r="247" spans="1:8">
      <c r="A247" s="95"/>
      <c r="B247" s="819"/>
      <c r="C247" s="820"/>
      <c r="D247" s="801" t="s">
        <v>857</v>
      </c>
      <c r="E247" s="802"/>
      <c r="F247" s="79">
        <f>'MANO DE OBRA'!D60</f>
        <v>0.05</v>
      </c>
      <c r="G247" s="113">
        <f>ROUND(G246*F247,0)</f>
        <v>2863</v>
      </c>
    </row>
    <row r="248" spans="1:8" ht="13.5" thickBot="1">
      <c r="A248" s="95"/>
      <c r="B248" s="819"/>
      <c r="C248" s="820"/>
      <c r="D248" s="803" t="s">
        <v>320</v>
      </c>
      <c r="E248" s="804"/>
      <c r="F248" s="114"/>
      <c r="G248" s="118">
        <f>+G246+G247</f>
        <v>60115</v>
      </c>
    </row>
    <row r="249" spans="1:8" ht="14.25" thickTop="1" thickBot="1">
      <c r="A249" s="95"/>
      <c r="B249" s="830"/>
      <c r="C249" s="830"/>
      <c r="D249" s="830"/>
      <c r="E249" s="830"/>
      <c r="F249" s="830"/>
      <c r="G249" s="830"/>
    </row>
    <row r="250" spans="1:8" ht="13.5" thickTop="1">
      <c r="A250" s="95"/>
      <c r="B250" s="811" t="s">
        <v>858</v>
      </c>
      <c r="C250" s="812"/>
      <c r="D250" s="812"/>
      <c r="E250" s="812"/>
      <c r="F250" s="812"/>
      <c r="G250" s="825"/>
    </row>
    <row r="251" spans="1:8">
      <c r="A251" s="95"/>
      <c r="B251" s="817"/>
      <c r="C251" s="818"/>
      <c r="D251" s="98" t="s">
        <v>301</v>
      </c>
      <c r="E251" s="98" t="s">
        <v>859</v>
      </c>
      <c r="F251" s="99" t="s">
        <v>839</v>
      </c>
      <c r="G251" s="107" t="s">
        <v>840</v>
      </c>
    </row>
    <row r="252" spans="1:8">
      <c r="A252" s="95"/>
      <c r="B252" s="821" t="s">
        <v>838</v>
      </c>
      <c r="C252" s="822"/>
      <c r="D252" s="100" t="s">
        <v>316</v>
      </c>
      <c r="E252" s="100" t="s">
        <v>315</v>
      </c>
      <c r="F252" s="101" t="s">
        <v>306</v>
      </c>
      <c r="G252" s="108" t="s">
        <v>319</v>
      </c>
    </row>
    <row r="253" spans="1:8">
      <c r="A253" s="95"/>
      <c r="B253" s="115"/>
      <c r="C253" s="102"/>
      <c r="D253" s="103"/>
      <c r="E253" s="103" t="s">
        <v>317</v>
      </c>
      <c r="F253" s="104" t="s">
        <v>318</v>
      </c>
      <c r="G253" s="109"/>
    </row>
    <row r="254" spans="1:8">
      <c r="A254" s="95"/>
      <c r="B254" s="823" t="str">
        <f>'MANO DE OBRA'!B10</f>
        <v>AYUDANTE CUAD. TIPO AA</v>
      </c>
      <c r="C254" s="824"/>
      <c r="D254" s="87">
        <v>1</v>
      </c>
      <c r="E254" s="80">
        <f>'MANO DE OBRA'!E10</f>
        <v>34680</v>
      </c>
      <c r="F254" s="81">
        <v>7.5</v>
      </c>
      <c r="G254" s="110">
        <f>ROUND(D254*E254/F254,0)</f>
        <v>4624</v>
      </c>
    </row>
    <row r="255" spans="1:8">
      <c r="A255" s="95"/>
      <c r="B255" s="835" t="str">
        <f>'MANO DE OBRA'!B15</f>
        <v xml:space="preserve">OFICIAL CUAD. TIPO AA </v>
      </c>
      <c r="C255" s="836"/>
      <c r="D255" s="37">
        <v>1</v>
      </c>
      <c r="E255" s="82">
        <f>'MANO DE OBRA'!E15</f>
        <v>71474</v>
      </c>
      <c r="F255" s="83">
        <v>7.5</v>
      </c>
      <c r="G255" s="111">
        <f>ROUND(D255*E255/F255,0)</f>
        <v>9530</v>
      </c>
    </row>
    <row r="256" spans="1:8">
      <c r="A256" s="95"/>
      <c r="B256" s="835"/>
      <c r="C256" s="836"/>
      <c r="D256" s="89"/>
      <c r="E256" s="82"/>
      <c r="F256" s="83"/>
      <c r="G256" s="111"/>
    </row>
    <row r="257" spans="1:8">
      <c r="A257" s="95"/>
      <c r="B257" s="835" t="s">
        <v>841</v>
      </c>
      <c r="C257" s="836"/>
      <c r="D257" s="37"/>
      <c r="E257" s="82"/>
      <c r="F257" s="83"/>
      <c r="G257" s="111"/>
    </row>
    <row r="258" spans="1:8" ht="13.5" thickBot="1">
      <c r="A258" s="95"/>
      <c r="B258" s="828" t="s">
        <v>841</v>
      </c>
      <c r="C258" s="829"/>
      <c r="D258" s="77"/>
      <c r="E258" s="82"/>
      <c r="F258" s="86"/>
      <c r="G258" s="112"/>
    </row>
    <row r="259" spans="1:8" ht="14.25" thickTop="1" thickBot="1">
      <c r="A259" s="95"/>
      <c r="B259" s="808"/>
      <c r="C259" s="808"/>
      <c r="D259" s="808"/>
      <c r="E259" s="809"/>
      <c r="F259" s="120" t="s">
        <v>856</v>
      </c>
      <c r="G259" s="118">
        <f>SUM(G254:G258)</f>
        <v>14154</v>
      </c>
    </row>
    <row r="260" spans="1:8" ht="14.25" thickTop="1" thickBot="1">
      <c r="A260" s="95"/>
      <c r="B260" s="810"/>
      <c r="C260" s="810"/>
      <c r="D260" s="810"/>
      <c r="E260" s="810"/>
      <c r="F260" s="810"/>
      <c r="G260" s="810"/>
    </row>
    <row r="261" spans="1:8" ht="13.5" thickTop="1">
      <c r="A261" s="95"/>
      <c r="B261" s="811" t="s">
        <v>321</v>
      </c>
      <c r="C261" s="812"/>
      <c r="D261" s="812"/>
      <c r="E261" s="812"/>
      <c r="F261" s="812"/>
      <c r="G261" s="825"/>
    </row>
    <row r="262" spans="1:8">
      <c r="A262" s="95"/>
      <c r="B262" s="817" t="s">
        <v>838</v>
      </c>
      <c r="C262" s="818"/>
      <c r="D262" s="98" t="s">
        <v>301</v>
      </c>
      <c r="E262" s="98" t="s">
        <v>297</v>
      </c>
      <c r="F262" s="99" t="s">
        <v>839</v>
      </c>
      <c r="G262" s="107" t="s">
        <v>840</v>
      </c>
    </row>
    <row r="263" spans="1:8">
      <c r="A263" s="95"/>
      <c r="B263" s="115"/>
      <c r="C263" s="102"/>
      <c r="D263" s="103" t="s">
        <v>322</v>
      </c>
      <c r="E263" s="103" t="s">
        <v>323</v>
      </c>
      <c r="F263" s="104" t="s">
        <v>324</v>
      </c>
      <c r="G263" s="109" t="s">
        <v>325</v>
      </c>
    </row>
    <row r="264" spans="1:8">
      <c r="A264" s="95"/>
      <c r="B264" s="826"/>
      <c r="C264" s="827"/>
      <c r="D264" s="96"/>
      <c r="E264" s="96"/>
      <c r="F264" s="96"/>
      <c r="G264" s="116"/>
    </row>
    <row r="265" spans="1:8" ht="13.5" thickBot="1">
      <c r="A265" s="95"/>
      <c r="B265" s="828" t="s">
        <v>841</v>
      </c>
      <c r="C265" s="829"/>
      <c r="D265" s="77"/>
      <c r="E265" s="82"/>
      <c r="F265" s="86"/>
      <c r="G265" s="112"/>
    </row>
    <row r="266" spans="1:8" ht="14.25" thickTop="1" thickBot="1">
      <c r="A266" s="95"/>
      <c r="B266" s="808"/>
      <c r="C266" s="808"/>
      <c r="D266" s="808"/>
      <c r="E266" s="809"/>
      <c r="F266" s="120" t="s">
        <v>856</v>
      </c>
      <c r="G266" s="118">
        <f>SUM(G261:G265)</f>
        <v>0</v>
      </c>
    </row>
    <row r="267" spans="1:8" ht="14.25" thickTop="1" thickBot="1">
      <c r="A267" s="95"/>
      <c r="B267" s="810"/>
      <c r="C267" s="810"/>
      <c r="D267" s="810"/>
      <c r="E267" s="810"/>
      <c r="F267" s="810"/>
      <c r="G267" s="834"/>
    </row>
    <row r="268" spans="1:8" ht="13.5" thickTop="1">
      <c r="A268" s="95"/>
      <c r="B268" s="811" t="s">
        <v>326</v>
      </c>
      <c r="C268" s="812"/>
      <c r="D268" s="812"/>
      <c r="E268" s="812"/>
      <c r="F268" s="813"/>
      <c r="G268" s="121">
        <f>+G232+G248+G259</f>
        <v>77468</v>
      </c>
    </row>
    <row r="269" spans="1:8">
      <c r="A269" s="95"/>
      <c r="B269" s="814" t="s">
        <v>861</v>
      </c>
      <c r="C269" s="815"/>
      <c r="D269" s="815"/>
      <c r="E269" s="816"/>
      <c r="F269" s="128">
        <f>'MANO DE OBRA'!D59</f>
        <v>0</v>
      </c>
      <c r="G269" s="122">
        <f>ROUND(G268*F269,0)</f>
        <v>0</v>
      </c>
    </row>
    <row r="270" spans="1:8" ht="13.5" thickBot="1">
      <c r="A270" s="95"/>
      <c r="B270" s="805" t="s">
        <v>1049</v>
      </c>
      <c r="C270" s="806"/>
      <c r="D270" s="806"/>
      <c r="E270" s="806"/>
      <c r="F270" s="807"/>
      <c r="G270" s="118">
        <f>ROUND(G268+G269,-2)</f>
        <v>77500</v>
      </c>
      <c r="H270" s="505" t="s">
        <v>1670</v>
      </c>
    </row>
    <row r="271" spans="1:8" ht="13.5" thickTop="1">
      <c r="A271" s="95"/>
      <c r="B271" s="90" t="s">
        <v>303</v>
      </c>
      <c r="C271" s="843"/>
      <c r="D271" s="843"/>
      <c r="E271" s="843"/>
      <c r="F271" s="92" t="s">
        <v>781</v>
      </c>
      <c r="G271" s="93" t="s">
        <v>831</v>
      </c>
    </row>
    <row r="272" spans="1:8">
      <c r="A272" s="95"/>
      <c r="B272" s="91" t="s">
        <v>834</v>
      </c>
      <c r="C272" s="844" t="s">
        <v>368</v>
      </c>
      <c r="D272" s="844"/>
      <c r="E272" s="844"/>
      <c r="F272" s="15" t="s">
        <v>833</v>
      </c>
      <c r="G272" s="165" t="str">
        <f>'MANO DE OBRA'!D61</f>
        <v>Agosto de 2010</v>
      </c>
    </row>
    <row r="273" spans="1:7" ht="13.5" thickBot="1">
      <c r="A273" s="127"/>
      <c r="B273" s="94" t="s">
        <v>835</v>
      </c>
      <c r="C273" s="845" t="s">
        <v>758</v>
      </c>
      <c r="D273" s="845"/>
      <c r="E273" s="845"/>
      <c r="F273" s="845"/>
      <c r="G273" s="846"/>
    </row>
    <row r="274" spans="1:7" ht="14.25" thickTop="1" thickBot="1">
      <c r="A274" s="95"/>
      <c r="B274" s="847"/>
      <c r="C274" s="847"/>
      <c r="D274" s="847"/>
      <c r="E274" s="847"/>
      <c r="F274" s="847"/>
      <c r="G274" s="847"/>
    </row>
    <row r="275" spans="1:7" ht="13.5" thickTop="1">
      <c r="A275" s="95"/>
      <c r="B275" s="811" t="s">
        <v>304</v>
      </c>
      <c r="C275" s="812"/>
      <c r="D275" s="812"/>
      <c r="E275" s="812"/>
      <c r="F275" s="812"/>
      <c r="G275" s="825"/>
    </row>
    <row r="276" spans="1:7">
      <c r="A276" s="95"/>
      <c r="B276" s="105"/>
      <c r="C276" s="97"/>
      <c r="D276" s="98" t="s">
        <v>301</v>
      </c>
      <c r="E276" s="98" t="s">
        <v>1072</v>
      </c>
      <c r="F276" s="99" t="s">
        <v>839</v>
      </c>
      <c r="G276" s="107" t="s">
        <v>840</v>
      </c>
    </row>
    <row r="277" spans="1:7">
      <c r="A277" s="95"/>
      <c r="B277" s="821" t="s">
        <v>838</v>
      </c>
      <c r="C277" s="822"/>
      <c r="D277" s="100" t="s">
        <v>308</v>
      </c>
      <c r="E277" s="100" t="s">
        <v>305</v>
      </c>
      <c r="F277" s="101" t="s">
        <v>306</v>
      </c>
      <c r="G277" s="108" t="s">
        <v>310</v>
      </c>
    </row>
    <row r="278" spans="1:7">
      <c r="A278" s="95"/>
      <c r="B278" s="115"/>
      <c r="C278" s="102"/>
      <c r="D278" s="103"/>
      <c r="E278" s="103" t="s">
        <v>309</v>
      </c>
      <c r="F278" s="104" t="s">
        <v>307</v>
      </c>
      <c r="G278" s="109"/>
    </row>
    <row r="279" spans="1:7">
      <c r="A279" s="127"/>
      <c r="B279" s="823" t="str">
        <f>'MAQUINARIA Y EQUIPOS'!C28</f>
        <v>HERRAMIENTAS MENORES</v>
      </c>
      <c r="C279" s="824"/>
      <c r="D279" s="87">
        <v>1</v>
      </c>
      <c r="E279" s="82">
        <f>ROUND(G312*0.05,0)</f>
        <v>483</v>
      </c>
      <c r="F279" s="81">
        <v>1</v>
      </c>
      <c r="G279" s="110">
        <f>ROUND(D279*E279/F279,0)</f>
        <v>483</v>
      </c>
    </row>
    <row r="280" spans="1:7">
      <c r="A280" s="95"/>
      <c r="B280" s="835" t="str">
        <f>'MAQUINARIA Y EQUIPOS'!C53</f>
        <v>VIBRADOR A GASOLINA</v>
      </c>
      <c r="C280" s="836"/>
      <c r="D280" s="37">
        <v>1</v>
      </c>
      <c r="E280" s="82">
        <f>'MAQUINARIA Y EQUIPOS'!D53</f>
        <v>51040</v>
      </c>
      <c r="F280" s="83">
        <v>25</v>
      </c>
      <c r="G280" s="111">
        <f>ROUND(D280*E280/F280,0)</f>
        <v>2042</v>
      </c>
    </row>
    <row r="281" spans="1:7">
      <c r="A281" s="95"/>
      <c r="B281" s="835" t="str">
        <f>'MAQUINARIA Y EQUIPOS'!C9</f>
        <v>ANDAMIO TUBULAR 1.50 m</v>
      </c>
      <c r="C281" s="836"/>
      <c r="D281" s="37">
        <v>2</v>
      </c>
      <c r="E281" s="82">
        <f>'MAQUINARIA Y EQUIPOS'!D9</f>
        <v>754</v>
      </c>
      <c r="F281" s="83">
        <f>+F307</f>
        <v>11</v>
      </c>
      <c r="G281" s="111">
        <f>ROUND(D281*E281/F281,0)</f>
        <v>137</v>
      </c>
    </row>
    <row r="282" spans="1:7">
      <c r="A282" s="95"/>
      <c r="B282" s="835" t="str">
        <f>'MAQUINARIA Y EQUIPOS'!C37</f>
        <v>PARAL TELESCOPICO 3 MTS</v>
      </c>
      <c r="C282" s="836"/>
      <c r="D282" s="37">
        <v>4</v>
      </c>
      <c r="E282" s="82">
        <f>'MAQUINARIA Y EQUIPOS'!D37</f>
        <v>290</v>
      </c>
      <c r="F282" s="83">
        <f>+F307</f>
        <v>11</v>
      </c>
      <c r="G282" s="111">
        <f>ROUND(D282*E282/F282,0)</f>
        <v>105</v>
      </c>
    </row>
    <row r="283" spans="1:7">
      <c r="A283" s="95"/>
      <c r="B283" s="835" t="str">
        <f>'MAQUINARIA Y EQUIPOS'!C47</f>
        <v>TABLONES 3m</v>
      </c>
      <c r="C283" s="836"/>
      <c r="D283" s="37">
        <v>2</v>
      </c>
      <c r="E283" s="82">
        <f>'MAQUINARIA Y EQUIPOS'!D47</f>
        <v>348</v>
      </c>
      <c r="F283" s="83">
        <f>+F308</f>
        <v>11</v>
      </c>
      <c r="G283" s="111">
        <f>ROUND(D283*E283/F283,0)</f>
        <v>63</v>
      </c>
    </row>
    <row r="284" spans="1:7" ht="13.5" thickBot="1">
      <c r="A284" s="95"/>
      <c r="B284" s="839" t="s">
        <v>841</v>
      </c>
      <c r="C284" s="840"/>
      <c r="D284" s="77"/>
      <c r="E284" s="106"/>
      <c r="F284" s="86"/>
      <c r="G284" s="112"/>
    </row>
    <row r="285" spans="1:7" ht="14.25" thickTop="1" thickBot="1">
      <c r="A285" s="95"/>
      <c r="B285" s="808"/>
      <c r="C285" s="808"/>
      <c r="D285" s="808"/>
      <c r="E285" s="809"/>
      <c r="F285" s="119" t="s">
        <v>856</v>
      </c>
      <c r="G285" s="118">
        <f>SUM(G279:G284)</f>
        <v>2830</v>
      </c>
    </row>
    <row r="286" spans="1:7" ht="14.25" thickTop="1" thickBot="1">
      <c r="A286" s="95"/>
      <c r="B286" s="830"/>
      <c r="C286" s="830"/>
      <c r="D286" s="830"/>
      <c r="E286" s="830"/>
      <c r="F286" s="830"/>
      <c r="G286" s="830"/>
    </row>
    <row r="287" spans="1:7" ht="13.5" thickTop="1">
      <c r="A287" s="95"/>
      <c r="B287" s="811" t="s">
        <v>311</v>
      </c>
      <c r="C287" s="812"/>
      <c r="D287" s="812"/>
      <c r="E287" s="812"/>
      <c r="F287" s="812"/>
      <c r="G287" s="825"/>
    </row>
    <row r="288" spans="1:7">
      <c r="A288" s="95"/>
      <c r="B288" s="817" t="s">
        <v>838</v>
      </c>
      <c r="C288" s="818"/>
      <c r="D288" s="98" t="s">
        <v>842</v>
      </c>
      <c r="E288" s="98" t="s">
        <v>853</v>
      </c>
      <c r="F288" s="99" t="s">
        <v>1047</v>
      </c>
      <c r="G288" s="107" t="s">
        <v>840</v>
      </c>
    </row>
    <row r="289" spans="1:8">
      <c r="A289" s="95"/>
      <c r="B289" s="115"/>
      <c r="C289" s="102"/>
      <c r="D289" s="100"/>
      <c r="E289" s="100" t="s">
        <v>312</v>
      </c>
      <c r="F289" s="101" t="s">
        <v>313</v>
      </c>
      <c r="G289" s="108" t="s">
        <v>314</v>
      </c>
    </row>
    <row r="290" spans="1:8" ht="14.25">
      <c r="A290" s="125"/>
      <c r="B290" s="841" t="str">
        <f>MATERIALES2!C35</f>
        <v>CONCRETO 1:2:3-3000 psi(MATERIALES)</v>
      </c>
      <c r="C290" s="842"/>
      <c r="D290" s="87" t="s">
        <v>1066</v>
      </c>
      <c r="E290" s="140">
        <v>6.25E-2</v>
      </c>
      <c r="F290" s="80">
        <f>MATERIALES2!E35</f>
        <v>367600</v>
      </c>
      <c r="G290" s="110">
        <f t="shared" ref="G290:G297" si="5">ROUND(E290*F290,0)</f>
        <v>22975</v>
      </c>
    </row>
    <row r="291" spans="1:8">
      <c r="A291" s="123"/>
      <c r="B291" s="854" t="str">
        <f>MATERIALES2!C163</f>
        <v>TABLON 2x12x10</v>
      </c>
      <c r="C291" s="855"/>
      <c r="D291" s="37" t="s">
        <v>865</v>
      </c>
      <c r="E291" s="83">
        <f>ROUND(2*1/3/4,2)</f>
        <v>0.17</v>
      </c>
      <c r="F291" s="82">
        <f>MATERIALES2!E163</f>
        <v>20000</v>
      </c>
      <c r="G291" s="111">
        <f t="shared" si="5"/>
        <v>3400</v>
      </c>
    </row>
    <row r="292" spans="1:8">
      <c r="A292" s="95"/>
      <c r="B292" s="854" t="str">
        <f>MATERIALES2!C151</f>
        <v>ABARCO DE 2X2X4,50</v>
      </c>
      <c r="C292" s="855"/>
      <c r="D292" s="37" t="s">
        <v>865</v>
      </c>
      <c r="E292" s="83">
        <f>ROUND((0.4*2+0.35*2)*3/4.5/4,2)</f>
        <v>0.25</v>
      </c>
      <c r="F292" s="82">
        <f>MATERIALES2!E151</f>
        <v>5000</v>
      </c>
      <c r="G292" s="111">
        <f t="shared" si="5"/>
        <v>1250</v>
      </c>
    </row>
    <row r="293" spans="1:8">
      <c r="A293" s="95"/>
      <c r="B293" s="854" t="str">
        <f>MATERIALES2!C919</f>
        <v>PUNTILLAS DE 3"</v>
      </c>
      <c r="C293" s="855"/>
      <c r="D293" s="37" t="s">
        <v>922</v>
      </c>
      <c r="E293" s="83">
        <v>0.5</v>
      </c>
      <c r="F293" s="82">
        <f>MATERIALES2!E919</f>
        <v>1500</v>
      </c>
      <c r="G293" s="111">
        <f t="shared" si="5"/>
        <v>750</v>
      </c>
    </row>
    <row r="294" spans="1:8">
      <c r="A294" s="95"/>
      <c r="B294" s="854" t="str">
        <f>MATERIALES2!C62</f>
        <v>HIERRO CHIPA 3/8"</v>
      </c>
      <c r="C294" s="855"/>
      <c r="D294" s="37" t="s">
        <v>925</v>
      </c>
      <c r="E294" s="146">
        <f>ROUND(12*1*0.61,2)</f>
        <v>7.32</v>
      </c>
      <c r="F294" s="82">
        <f>MATERIALES2!E62</f>
        <v>2100</v>
      </c>
      <c r="G294" s="111">
        <f t="shared" si="5"/>
        <v>15372</v>
      </c>
    </row>
    <row r="295" spans="1:8">
      <c r="A295" s="95"/>
      <c r="B295" s="854" t="str">
        <f>MATERIALES2!C71</f>
        <v>VARILLA CORRUGADA 5/8" x 6.0 M</v>
      </c>
      <c r="C295" s="855"/>
      <c r="D295" s="37" t="s">
        <v>865</v>
      </c>
      <c r="E295" s="146">
        <v>0.83</v>
      </c>
      <c r="F295" s="82">
        <f>MATERIALES2!E71</f>
        <v>17700</v>
      </c>
      <c r="G295" s="111">
        <f t="shared" si="5"/>
        <v>14691</v>
      </c>
    </row>
    <row r="296" spans="1:8">
      <c r="A296" s="95"/>
      <c r="B296" s="854" t="str">
        <f>MATERIALES2!C65</f>
        <v>ALAMBRE NEGRO</v>
      </c>
      <c r="C296" s="855"/>
      <c r="D296" s="37" t="s">
        <v>925</v>
      </c>
      <c r="E296" s="160">
        <v>0.23</v>
      </c>
      <c r="F296" s="82">
        <f>MATERIALES2!E65</f>
        <v>2100</v>
      </c>
      <c r="G296" s="111">
        <f t="shared" si="5"/>
        <v>483</v>
      </c>
    </row>
    <row r="297" spans="1:8">
      <c r="A297" s="95"/>
      <c r="B297" s="835" t="str">
        <f>MATERIALES2!C162</f>
        <v>TABLON 2X10X10</v>
      </c>
      <c r="C297" s="836"/>
      <c r="D297" s="239" t="s">
        <v>865</v>
      </c>
      <c r="E297" s="83">
        <f>ROUND(2*1/3/4,2)</f>
        <v>0.17</v>
      </c>
      <c r="F297" s="82">
        <f>MATERIALES2!E162</f>
        <v>16700</v>
      </c>
      <c r="G297" s="111">
        <f t="shared" si="5"/>
        <v>2839</v>
      </c>
      <c r="H297" s="505" t="s">
        <v>1670</v>
      </c>
    </row>
    <row r="298" spans="1:8" ht="13.5" thickBot="1">
      <c r="A298" s="95"/>
      <c r="B298" s="942" t="s">
        <v>841</v>
      </c>
      <c r="C298" s="943"/>
      <c r="D298" s="84" t="s">
        <v>841</v>
      </c>
      <c r="E298" s="84"/>
      <c r="F298" s="85"/>
      <c r="G298" s="112"/>
    </row>
    <row r="299" spans="1:8" ht="13.5" thickTop="1">
      <c r="A299" s="95"/>
      <c r="B299" s="808"/>
      <c r="C299" s="809"/>
      <c r="D299" s="801" t="s">
        <v>856</v>
      </c>
      <c r="E299" s="802"/>
      <c r="F299" s="9"/>
      <c r="G299" s="113">
        <f>SUM(G290:G298)</f>
        <v>61760</v>
      </c>
    </row>
    <row r="300" spans="1:8">
      <c r="A300" s="95"/>
      <c r="B300" s="819"/>
      <c r="C300" s="820"/>
      <c r="D300" s="801" t="s">
        <v>857</v>
      </c>
      <c r="E300" s="802"/>
      <c r="F300" s="79">
        <f>'MANO DE OBRA'!D60</f>
        <v>0.05</v>
      </c>
      <c r="G300" s="113">
        <f>ROUND(G299*F300,0)</f>
        <v>3088</v>
      </c>
    </row>
    <row r="301" spans="1:8" ht="13.5" thickBot="1">
      <c r="A301" s="95"/>
      <c r="B301" s="819"/>
      <c r="C301" s="820"/>
      <c r="D301" s="803" t="s">
        <v>320</v>
      </c>
      <c r="E301" s="804"/>
      <c r="F301" s="114"/>
      <c r="G301" s="118">
        <f>+G299+G300</f>
        <v>64848</v>
      </c>
    </row>
    <row r="302" spans="1:8" ht="14.25" thickTop="1" thickBot="1">
      <c r="A302" s="95"/>
      <c r="B302" s="830"/>
      <c r="C302" s="830"/>
      <c r="D302" s="830"/>
      <c r="E302" s="830"/>
      <c r="F302" s="830"/>
      <c r="G302" s="830"/>
    </row>
    <row r="303" spans="1:8" ht="13.5" thickTop="1">
      <c r="A303" s="95"/>
      <c r="B303" s="811" t="s">
        <v>858</v>
      </c>
      <c r="C303" s="812"/>
      <c r="D303" s="812"/>
      <c r="E303" s="812"/>
      <c r="F303" s="812"/>
      <c r="G303" s="825"/>
    </row>
    <row r="304" spans="1:8">
      <c r="A304" s="95"/>
      <c r="B304" s="817"/>
      <c r="C304" s="818"/>
      <c r="D304" s="98" t="s">
        <v>301</v>
      </c>
      <c r="E304" s="98" t="s">
        <v>859</v>
      </c>
      <c r="F304" s="99" t="s">
        <v>839</v>
      </c>
      <c r="G304" s="107" t="s">
        <v>840</v>
      </c>
    </row>
    <row r="305" spans="1:7">
      <c r="A305" s="95"/>
      <c r="B305" s="821" t="s">
        <v>838</v>
      </c>
      <c r="C305" s="822"/>
      <c r="D305" s="100" t="s">
        <v>316</v>
      </c>
      <c r="E305" s="100" t="s">
        <v>315</v>
      </c>
      <c r="F305" s="101" t="s">
        <v>306</v>
      </c>
      <c r="G305" s="108" t="s">
        <v>319</v>
      </c>
    </row>
    <row r="306" spans="1:7">
      <c r="A306" s="95"/>
      <c r="B306" s="115"/>
      <c r="C306" s="102"/>
      <c r="D306" s="103"/>
      <c r="E306" s="103" t="s">
        <v>317</v>
      </c>
      <c r="F306" s="104" t="s">
        <v>318</v>
      </c>
      <c r="G306" s="109"/>
    </row>
    <row r="307" spans="1:7">
      <c r="A307" s="95"/>
      <c r="B307" s="823" t="str">
        <f>'MANO DE OBRA'!B10</f>
        <v>AYUDANTE CUAD. TIPO AA</v>
      </c>
      <c r="C307" s="824"/>
      <c r="D307" s="87">
        <v>1</v>
      </c>
      <c r="E307" s="80">
        <f>'MANO DE OBRA'!E10</f>
        <v>34680</v>
      </c>
      <c r="F307" s="81">
        <v>11</v>
      </c>
      <c r="G307" s="110">
        <f>ROUND(D307*E307/F307,0)</f>
        <v>3153</v>
      </c>
    </row>
    <row r="308" spans="1:7">
      <c r="A308" s="95"/>
      <c r="B308" s="835" t="str">
        <f>'MANO DE OBRA'!B15</f>
        <v xml:space="preserve">OFICIAL CUAD. TIPO AA </v>
      </c>
      <c r="C308" s="836"/>
      <c r="D308" s="37">
        <v>1</v>
      </c>
      <c r="E308" s="82">
        <f>'MANO DE OBRA'!E15</f>
        <v>71474</v>
      </c>
      <c r="F308" s="83">
        <v>11</v>
      </c>
      <c r="G308" s="111">
        <f>ROUND(D308*E308/F308,0)</f>
        <v>6498</v>
      </c>
    </row>
    <row r="309" spans="1:7">
      <c r="A309" s="95"/>
      <c r="B309" s="835"/>
      <c r="C309" s="836"/>
      <c r="D309" s="89"/>
      <c r="E309" s="82"/>
      <c r="F309" s="83"/>
      <c r="G309" s="111"/>
    </row>
    <row r="310" spans="1:7">
      <c r="A310" s="95"/>
      <c r="B310" s="835" t="s">
        <v>841</v>
      </c>
      <c r="C310" s="836"/>
      <c r="D310" s="37"/>
      <c r="E310" s="82"/>
      <c r="F310" s="83"/>
      <c r="G310" s="111"/>
    </row>
    <row r="311" spans="1:7" ht="13.5" thickBot="1">
      <c r="A311" s="95"/>
      <c r="B311" s="828" t="s">
        <v>841</v>
      </c>
      <c r="C311" s="829"/>
      <c r="D311" s="77"/>
      <c r="E311" s="82"/>
      <c r="F311" s="86"/>
      <c r="G311" s="112"/>
    </row>
    <row r="312" spans="1:7" ht="14.25" thickTop="1" thickBot="1">
      <c r="A312" s="95"/>
      <c r="B312" s="808"/>
      <c r="C312" s="808"/>
      <c r="D312" s="808"/>
      <c r="E312" s="809"/>
      <c r="F312" s="120" t="s">
        <v>856</v>
      </c>
      <c r="G312" s="118">
        <f>SUM(G307:G311)</f>
        <v>9651</v>
      </c>
    </row>
    <row r="313" spans="1:7" ht="14.25" thickTop="1" thickBot="1">
      <c r="A313" s="95"/>
      <c r="B313" s="810"/>
      <c r="C313" s="810"/>
      <c r="D313" s="810"/>
      <c r="E313" s="810"/>
      <c r="F313" s="810"/>
      <c r="G313" s="810"/>
    </row>
    <row r="314" spans="1:7" ht="13.5" thickTop="1">
      <c r="A314" s="95"/>
      <c r="B314" s="811" t="s">
        <v>321</v>
      </c>
      <c r="C314" s="812"/>
      <c r="D314" s="812"/>
      <c r="E314" s="812"/>
      <c r="F314" s="812"/>
      <c r="G314" s="825"/>
    </row>
    <row r="315" spans="1:7">
      <c r="A315" s="95"/>
      <c r="B315" s="817" t="s">
        <v>838</v>
      </c>
      <c r="C315" s="818"/>
      <c r="D315" s="98" t="s">
        <v>301</v>
      </c>
      <c r="E315" s="98" t="s">
        <v>297</v>
      </c>
      <c r="F315" s="99" t="s">
        <v>839</v>
      </c>
      <c r="G315" s="107" t="s">
        <v>840</v>
      </c>
    </row>
    <row r="316" spans="1:7">
      <c r="A316" s="95"/>
      <c r="B316" s="115"/>
      <c r="C316" s="102"/>
      <c r="D316" s="103" t="s">
        <v>322</v>
      </c>
      <c r="E316" s="103" t="s">
        <v>323</v>
      </c>
      <c r="F316" s="104" t="s">
        <v>324</v>
      </c>
      <c r="G316" s="109" t="s">
        <v>325</v>
      </c>
    </row>
    <row r="317" spans="1:7">
      <c r="A317" s="95"/>
      <c r="B317" s="826"/>
      <c r="C317" s="827"/>
      <c r="D317" s="96"/>
      <c r="E317" s="96"/>
      <c r="F317" s="96"/>
      <c r="G317" s="116"/>
    </row>
    <row r="318" spans="1:7" ht="13.5" thickBot="1">
      <c r="A318" s="95"/>
      <c r="B318" s="828" t="s">
        <v>841</v>
      </c>
      <c r="C318" s="829"/>
      <c r="D318" s="77"/>
      <c r="E318" s="82"/>
      <c r="F318" s="86"/>
      <c r="G318" s="112"/>
    </row>
    <row r="319" spans="1:7" ht="14.25" thickTop="1" thickBot="1">
      <c r="A319" s="95"/>
      <c r="B319" s="808"/>
      <c r="C319" s="808"/>
      <c r="D319" s="808"/>
      <c r="E319" s="809"/>
      <c r="F319" s="120" t="s">
        <v>856</v>
      </c>
      <c r="G319" s="118">
        <f>SUM(G314:G318)</f>
        <v>0</v>
      </c>
    </row>
    <row r="320" spans="1:7" ht="14.25" thickTop="1" thickBot="1">
      <c r="A320" s="95"/>
      <c r="B320" s="810"/>
      <c r="C320" s="810"/>
      <c r="D320" s="810"/>
      <c r="E320" s="810"/>
      <c r="F320" s="810"/>
      <c r="G320" s="834"/>
    </row>
    <row r="321" spans="1:8" ht="13.5" thickTop="1">
      <c r="A321" s="95"/>
      <c r="B321" s="811" t="s">
        <v>326</v>
      </c>
      <c r="C321" s="812"/>
      <c r="D321" s="812"/>
      <c r="E321" s="812"/>
      <c r="F321" s="813"/>
      <c r="G321" s="121">
        <f>+G285+G301+G312</f>
        <v>77329</v>
      </c>
    </row>
    <row r="322" spans="1:8">
      <c r="A322" s="95"/>
      <c r="B322" s="814" t="s">
        <v>861</v>
      </c>
      <c r="C322" s="815"/>
      <c r="D322" s="815"/>
      <c r="E322" s="816"/>
      <c r="F322" s="128">
        <f>'MANO DE OBRA'!D59</f>
        <v>0</v>
      </c>
      <c r="G322" s="122">
        <f>ROUND(G321*F322,0)</f>
        <v>0</v>
      </c>
    </row>
    <row r="323" spans="1:8" ht="13.5" thickBot="1">
      <c r="A323" s="95"/>
      <c r="B323" s="805" t="s">
        <v>1049</v>
      </c>
      <c r="C323" s="806"/>
      <c r="D323" s="806"/>
      <c r="E323" s="806"/>
      <c r="F323" s="807"/>
      <c r="G323" s="118">
        <f>ROUND(G321+G322,-2)</f>
        <v>77300</v>
      </c>
      <c r="H323" s="505" t="s">
        <v>1670</v>
      </c>
    </row>
    <row r="324" spans="1:8" ht="13.5" thickTop="1">
      <c r="A324" s="95"/>
      <c r="B324" s="90" t="s">
        <v>303</v>
      </c>
      <c r="C324" s="843"/>
      <c r="D324" s="843"/>
      <c r="E324" s="843"/>
      <c r="F324" s="92" t="s">
        <v>781</v>
      </c>
      <c r="G324" s="93" t="s">
        <v>831</v>
      </c>
    </row>
    <row r="325" spans="1:8">
      <c r="A325" s="95"/>
      <c r="B325" s="91" t="s">
        <v>834</v>
      </c>
      <c r="C325" s="844" t="s">
        <v>368</v>
      </c>
      <c r="D325" s="844"/>
      <c r="E325" s="844"/>
      <c r="F325" s="15" t="s">
        <v>833</v>
      </c>
      <c r="G325" s="165" t="str">
        <f>'MANO DE OBRA'!D61</f>
        <v>Agosto de 2010</v>
      </c>
    </row>
    <row r="326" spans="1:8" ht="13.5" thickBot="1">
      <c r="A326" s="127"/>
      <c r="B326" s="94" t="s">
        <v>835</v>
      </c>
      <c r="C326" s="845" t="s">
        <v>759</v>
      </c>
      <c r="D326" s="845"/>
      <c r="E326" s="845"/>
      <c r="F326" s="845"/>
      <c r="G326" s="846"/>
    </row>
    <row r="327" spans="1:8" ht="14.25" thickTop="1" thickBot="1">
      <c r="A327" s="95"/>
      <c r="B327" s="847"/>
      <c r="C327" s="847"/>
      <c r="D327" s="847"/>
      <c r="E327" s="847"/>
      <c r="F327" s="847"/>
      <c r="G327" s="847"/>
    </row>
    <row r="328" spans="1:8" ht="13.5" thickTop="1">
      <c r="A328" s="95"/>
      <c r="B328" s="811" t="s">
        <v>304</v>
      </c>
      <c r="C328" s="812"/>
      <c r="D328" s="812"/>
      <c r="E328" s="812"/>
      <c r="F328" s="812"/>
      <c r="G328" s="825"/>
    </row>
    <row r="329" spans="1:8">
      <c r="A329" s="95"/>
      <c r="B329" s="105"/>
      <c r="C329" s="97"/>
      <c r="D329" s="98" t="s">
        <v>301</v>
      </c>
      <c r="E329" s="98" t="s">
        <v>1072</v>
      </c>
      <c r="F329" s="99" t="s">
        <v>839</v>
      </c>
      <c r="G329" s="107" t="s">
        <v>840</v>
      </c>
    </row>
    <row r="330" spans="1:8">
      <c r="A330" s="95"/>
      <c r="B330" s="821" t="s">
        <v>838</v>
      </c>
      <c r="C330" s="822"/>
      <c r="D330" s="100" t="s">
        <v>308</v>
      </c>
      <c r="E330" s="100" t="s">
        <v>305</v>
      </c>
      <c r="F330" s="101" t="s">
        <v>306</v>
      </c>
      <c r="G330" s="108" t="s">
        <v>310</v>
      </c>
    </row>
    <row r="331" spans="1:8">
      <c r="A331" s="95"/>
      <c r="B331" s="115"/>
      <c r="C331" s="102"/>
      <c r="D331" s="103"/>
      <c r="E331" s="103" t="s">
        <v>309</v>
      </c>
      <c r="F331" s="104" t="s">
        <v>307</v>
      </c>
      <c r="G331" s="109"/>
    </row>
    <row r="332" spans="1:8">
      <c r="A332" s="127"/>
      <c r="B332" s="823" t="str">
        <f>'MAQUINARIA Y EQUIPOS'!C28</f>
        <v>HERRAMIENTAS MENORES</v>
      </c>
      <c r="C332" s="824"/>
      <c r="D332" s="87">
        <v>1</v>
      </c>
      <c r="E332" s="82">
        <f>ROUND(G365*0.05,0)</f>
        <v>885</v>
      </c>
      <c r="F332" s="81">
        <v>1</v>
      </c>
      <c r="G332" s="110">
        <f>ROUND(D332*E332/F332,0)</f>
        <v>885</v>
      </c>
    </row>
    <row r="333" spans="1:8">
      <c r="A333" s="95"/>
      <c r="B333" s="835" t="str">
        <f>'MAQUINARIA Y EQUIPOS'!C53</f>
        <v>VIBRADOR A GASOLINA</v>
      </c>
      <c r="C333" s="836"/>
      <c r="D333" s="37">
        <v>1</v>
      </c>
      <c r="E333" s="82">
        <f>'MAQUINARIA Y EQUIPOS'!D53</f>
        <v>51040</v>
      </c>
      <c r="F333" s="83">
        <v>25</v>
      </c>
      <c r="G333" s="111">
        <f>ROUND(D333*E333/F333,0)</f>
        <v>2042</v>
      </c>
    </row>
    <row r="334" spans="1:8">
      <c r="A334" s="95"/>
      <c r="B334" s="835" t="str">
        <f>'MAQUINARIA Y EQUIPOS'!C9</f>
        <v>ANDAMIO TUBULAR 1.50 m</v>
      </c>
      <c r="C334" s="836"/>
      <c r="D334" s="37">
        <v>2</v>
      </c>
      <c r="E334" s="82">
        <f>'MAQUINARIA Y EQUIPOS'!D9</f>
        <v>754</v>
      </c>
      <c r="F334" s="83">
        <f>+F360</f>
        <v>6</v>
      </c>
      <c r="G334" s="111">
        <f>ROUND(D334*E334/F334,0)</f>
        <v>251</v>
      </c>
    </row>
    <row r="335" spans="1:8">
      <c r="A335" s="95"/>
      <c r="B335" s="835" t="str">
        <f>'MAQUINARIA Y EQUIPOS'!C37</f>
        <v>PARAL TELESCOPICO 3 MTS</v>
      </c>
      <c r="C335" s="836"/>
      <c r="D335" s="37">
        <v>4</v>
      </c>
      <c r="E335" s="82">
        <f>'MAQUINARIA Y EQUIPOS'!D37</f>
        <v>290</v>
      </c>
      <c r="F335" s="83">
        <f>+F360</f>
        <v>6</v>
      </c>
      <c r="G335" s="111">
        <f>ROUND(D335*E335/F335,0)</f>
        <v>193</v>
      </c>
    </row>
    <row r="336" spans="1:8">
      <c r="A336" s="95"/>
      <c r="B336" s="835" t="str">
        <f>'MAQUINARIA Y EQUIPOS'!C47</f>
        <v>TABLONES 3m</v>
      </c>
      <c r="C336" s="836"/>
      <c r="D336" s="37">
        <v>2</v>
      </c>
      <c r="E336" s="82">
        <f>'MAQUINARIA Y EQUIPOS'!D47</f>
        <v>348</v>
      </c>
      <c r="F336" s="83">
        <f>+F361</f>
        <v>6</v>
      </c>
      <c r="G336" s="111">
        <f>ROUND(D336*E336/F336,0)</f>
        <v>116</v>
      </c>
    </row>
    <row r="337" spans="1:8" ht="13.5" thickBot="1">
      <c r="A337" s="95"/>
      <c r="B337" s="839" t="s">
        <v>841</v>
      </c>
      <c r="C337" s="840"/>
      <c r="D337" s="77"/>
      <c r="E337" s="106"/>
      <c r="F337" s="86"/>
      <c r="G337" s="112"/>
    </row>
    <row r="338" spans="1:8" ht="14.25" thickTop="1" thickBot="1">
      <c r="A338" s="95"/>
      <c r="B338" s="808"/>
      <c r="C338" s="808"/>
      <c r="D338" s="808"/>
      <c r="E338" s="809"/>
      <c r="F338" s="119" t="s">
        <v>856</v>
      </c>
      <c r="G338" s="118">
        <f>SUM(G332:G337)</f>
        <v>3487</v>
      </c>
    </row>
    <row r="339" spans="1:8" ht="14.25" thickTop="1" thickBot="1">
      <c r="A339" s="95"/>
      <c r="B339" s="830"/>
      <c r="C339" s="830"/>
      <c r="D339" s="830"/>
      <c r="E339" s="830"/>
      <c r="F339" s="830"/>
      <c r="G339" s="830"/>
    </row>
    <row r="340" spans="1:8" ht="13.5" thickTop="1">
      <c r="A340" s="95"/>
      <c r="B340" s="811" t="s">
        <v>311</v>
      </c>
      <c r="C340" s="812"/>
      <c r="D340" s="812"/>
      <c r="E340" s="812"/>
      <c r="F340" s="812"/>
      <c r="G340" s="825"/>
    </row>
    <row r="341" spans="1:8">
      <c r="A341" s="95"/>
      <c r="B341" s="817" t="s">
        <v>838</v>
      </c>
      <c r="C341" s="818"/>
      <c r="D341" s="98" t="s">
        <v>842</v>
      </c>
      <c r="E341" s="98" t="s">
        <v>853</v>
      </c>
      <c r="F341" s="99" t="s">
        <v>1047</v>
      </c>
      <c r="G341" s="107" t="s">
        <v>840</v>
      </c>
    </row>
    <row r="342" spans="1:8">
      <c r="A342" s="95"/>
      <c r="B342" s="115"/>
      <c r="C342" s="102"/>
      <c r="D342" s="100"/>
      <c r="E342" s="100" t="s">
        <v>312</v>
      </c>
      <c r="F342" s="101" t="s">
        <v>313</v>
      </c>
      <c r="G342" s="108" t="s">
        <v>314</v>
      </c>
    </row>
    <row r="343" spans="1:8" ht="14.25">
      <c r="A343" s="125"/>
      <c r="B343" s="841" t="str">
        <f>MATERIALES2!C35</f>
        <v>CONCRETO 1:2:3-3000 psi(MATERIALES)</v>
      </c>
      <c r="C343" s="842"/>
      <c r="D343" s="87" t="s">
        <v>1066</v>
      </c>
      <c r="E343" s="140">
        <v>7.4999999999999997E-2</v>
      </c>
      <c r="F343" s="80">
        <f>MATERIALES2!E35</f>
        <v>367600</v>
      </c>
      <c r="G343" s="110">
        <f t="shared" ref="G343:G349" si="6">ROUND(E343*F343,0)</f>
        <v>27570</v>
      </c>
    </row>
    <row r="344" spans="1:8">
      <c r="A344" s="123"/>
      <c r="B344" s="854" t="str">
        <f>MATERIALES2!C163</f>
        <v>TABLON 2x12x10</v>
      </c>
      <c r="C344" s="855"/>
      <c r="D344" s="37" t="s">
        <v>865</v>
      </c>
      <c r="E344" s="83">
        <f>ROUND(4*1/3/4,2)</f>
        <v>0.33</v>
      </c>
      <c r="F344" s="82">
        <f>MATERIALES2!E163</f>
        <v>20000</v>
      </c>
      <c r="G344" s="111">
        <f t="shared" si="6"/>
        <v>6600</v>
      </c>
    </row>
    <row r="345" spans="1:8">
      <c r="A345" s="95"/>
      <c r="B345" s="854" t="str">
        <f>MATERIALES2!C151</f>
        <v>ABARCO DE 2X2X4,50</v>
      </c>
      <c r="C345" s="855"/>
      <c r="D345" s="37" t="s">
        <v>865</v>
      </c>
      <c r="E345" s="83">
        <f>ROUND((0.4*2+0.35*2)*3/4.5/4,2)</f>
        <v>0.25</v>
      </c>
      <c r="F345" s="82">
        <f>MATERIALES2!E151</f>
        <v>5000</v>
      </c>
      <c r="G345" s="111">
        <f t="shared" si="6"/>
        <v>1250</v>
      </c>
    </row>
    <row r="346" spans="1:8">
      <c r="A346" s="95"/>
      <c r="B346" s="854" t="str">
        <f>MATERIALES2!C919</f>
        <v>PUNTILLAS DE 3"</v>
      </c>
      <c r="C346" s="855"/>
      <c r="D346" s="37" t="s">
        <v>922</v>
      </c>
      <c r="E346" s="83">
        <v>0.5</v>
      </c>
      <c r="F346" s="82">
        <f>MATERIALES2!E919</f>
        <v>1500</v>
      </c>
      <c r="G346" s="111">
        <f t="shared" si="6"/>
        <v>750</v>
      </c>
    </row>
    <row r="347" spans="1:8">
      <c r="A347" s="95"/>
      <c r="B347" s="854" t="str">
        <f>MATERIALES2!C62</f>
        <v>HIERRO CHIPA 3/8"</v>
      </c>
      <c r="C347" s="855"/>
      <c r="D347" s="37" t="s">
        <v>925</v>
      </c>
      <c r="E347" s="146">
        <f>ROUND(12*1.1*0.61,2)</f>
        <v>8.0500000000000007</v>
      </c>
      <c r="F347" s="82">
        <f>MATERIALES2!E62</f>
        <v>2100</v>
      </c>
      <c r="G347" s="111">
        <f t="shared" si="6"/>
        <v>16905</v>
      </c>
    </row>
    <row r="348" spans="1:8">
      <c r="A348" s="95"/>
      <c r="B348" s="854" t="str">
        <f>MATERIALES2!C71</f>
        <v>VARILLA CORRUGADA 5/8" x 6.0 M</v>
      </c>
      <c r="C348" s="855"/>
      <c r="D348" s="37" t="s">
        <v>865</v>
      </c>
      <c r="E348" s="146">
        <v>0.93</v>
      </c>
      <c r="F348" s="82">
        <f>MATERIALES2!E71</f>
        <v>17700</v>
      </c>
      <c r="G348" s="111">
        <f t="shared" si="6"/>
        <v>16461</v>
      </c>
    </row>
    <row r="349" spans="1:8">
      <c r="A349" s="95"/>
      <c r="B349" s="854" t="str">
        <f>MATERIALES2!C65</f>
        <v>ALAMBRE NEGRO</v>
      </c>
      <c r="C349" s="855"/>
      <c r="D349" s="37" t="s">
        <v>925</v>
      </c>
      <c r="E349" s="160">
        <v>0.23</v>
      </c>
      <c r="F349" s="82">
        <f>MATERIALES2!E65</f>
        <v>2100</v>
      </c>
      <c r="G349" s="111">
        <f t="shared" si="6"/>
        <v>483</v>
      </c>
    </row>
    <row r="350" spans="1:8">
      <c r="A350" s="95"/>
      <c r="B350" s="938" t="s">
        <v>841</v>
      </c>
      <c r="C350" s="939"/>
      <c r="D350" s="53" t="s">
        <v>841</v>
      </c>
      <c r="E350" s="53"/>
      <c r="F350" s="82"/>
      <c r="G350" s="111"/>
      <c r="H350" s="505" t="s">
        <v>1670</v>
      </c>
    </row>
    <row r="351" spans="1:8" ht="13.5" thickBot="1">
      <c r="A351" s="95"/>
      <c r="B351" s="839" t="s">
        <v>841</v>
      </c>
      <c r="C351" s="840"/>
      <c r="D351" s="84" t="s">
        <v>841</v>
      </c>
      <c r="E351" s="84"/>
      <c r="F351" s="85"/>
      <c r="G351" s="112"/>
    </row>
    <row r="352" spans="1:8" ht="13.5" thickTop="1">
      <c r="A352" s="95"/>
      <c r="B352" s="808"/>
      <c r="C352" s="809"/>
      <c r="D352" s="801" t="s">
        <v>856</v>
      </c>
      <c r="E352" s="802"/>
      <c r="F352" s="9"/>
      <c r="G352" s="113">
        <f>SUM(G343:G351)</f>
        <v>70019</v>
      </c>
    </row>
    <row r="353" spans="1:7">
      <c r="A353" s="95"/>
      <c r="B353" s="819"/>
      <c r="C353" s="820"/>
      <c r="D353" s="801" t="s">
        <v>857</v>
      </c>
      <c r="E353" s="802"/>
      <c r="F353" s="79">
        <f>'MANO DE OBRA'!D60</f>
        <v>0.05</v>
      </c>
      <c r="G353" s="113">
        <f>ROUND(G352*F353,0)</f>
        <v>3501</v>
      </c>
    </row>
    <row r="354" spans="1:7" ht="13.5" thickBot="1">
      <c r="A354" s="95"/>
      <c r="B354" s="819"/>
      <c r="C354" s="820"/>
      <c r="D354" s="803" t="s">
        <v>320</v>
      </c>
      <c r="E354" s="804"/>
      <c r="F354" s="114"/>
      <c r="G354" s="118">
        <f>+G352+G353</f>
        <v>73520</v>
      </c>
    </row>
    <row r="355" spans="1:7" ht="14.25" thickTop="1" thickBot="1">
      <c r="A355" s="95"/>
      <c r="B355" s="830"/>
      <c r="C355" s="830"/>
      <c r="D355" s="830"/>
      <c r="E355" s="830"/>
      <c r="F355" s="830"/>
      <c r="G355" s="830"/>
    </row>
    <row r="356" spans="1:7" ht="13.5" thickTop="1">
      <c r="A356" s="95"/>
      <c r="B356" s="811" t="s">
        <v>858</v>
      </c>
      <c r="C356" s="812"/>
      <c r="D356" s="812"/>
      <c r="E356" s="812"/>
      <c r="F356" s="812"/>
      <c r="G356" s="825"/>
    </row>
    <row r="357" spans="1:7">
      <c r="A357" s="95"/>
      <c r="B357" s="817"/>
      <c r="C357" s="818"/>
      <c r="D357" s="98" t="s">
        <v>301</v>
      </c>
      <c r="E357" s="98" t="s">
        <v>859</v>
      </c>
      <c r="F357" s="99" t="s">
        <v>839</v>
      </c>
      <c r="G357" s="107" t="s">
        <v>840</v>
      </c>
    </row>
    <row r="358" spans="1:7">
      <c r="A358" s="95"/>
      <c r="B358" s="821" t="s">
        <v>838</v>
      </c>
      <c r="C358" s="822"/>
      <c r="D358" s="100" t="s">
        <v>316</v>
      </c>
      <c r="E358" s="100" t="s">
        <v>315</v>
      </c>
      <c r="F358" s="101" t="s">
        <v>306</v>
      </c>
      <c r="G358" s="108" t="s">
        <v>319</v>
      </c>
    </row>
    <row r="359" spans="1:7">
      <c r="A359" s="95"/>
      <c r="B359" s="115"/>
      <c r="C359" s="102"/>
      <c r="D359" s="103"/>
      <c r="E359" s="103" t="s">
        <v>317</v>
      </c>
      <c r="F359" s="104" t="s">
        <v>318</v>
      </c>
      <c r="G359" s="109"/>
    </row>
    <row r="360" spans="1:7">
      <c r="A360" s="95"/>
      <c r="B360" s="823" t="str">
        <f>'MANO DE OBRA'!B10</f>
        <v>AYUDANTE CUAD. TIPO AA</v>
      </c>
      <c r="C360" s="824"/>
      <c r="D360" s="87">
        <v>1</v>
      </c>
      <c r="E360" s="80">
        <f>'MANO DE OBRA'!E10</f>
        <v>34680</v>
      </c>
      <c r="F360" s="81">
        <v>6</v>
      </c>
      <c r="G360" s="110">
        <f>ROUND(D360*E360/F360,0)</f>
        <v>5780</v>
      </c>
    </row>
    <row r="361" spans="1:7">
      <c r="A361" s="95"/>
      <c r="B361" s="835" t="str">
        <f>'MANO DE OBRA'!B15</f>
        <v xml:space="preserve">OFICIAL CUAD. TIPO AA </v>
      </c>
      <c r="C361" s="836"/>
      <c r="D361" s="37">
        <v>1</v>
      </c>
      <c r="E361" s="82">
        <f>'MANO DE OBRA'!E15</f>
        <v>71474</v>
      </c>
      <c r="F361" s="83">
        <v>6</v>
      </c>
      <c r="G361" s="111">
        <f>ROUND(D361*E361/F361,0)</f>
        <v>11912</v>
      </c>
    </row>
    <row r="362" spans="1:7">
      <c r="A362" s="95"/>
      <c r="B362" s="835"/>
      <c r="C362" s="836"/>
      <c r="D362" s="89"/>
      <c r="E362" s="82"/>
      <c r="F362" s="83"/>
      <c r="G362" s="111"/>
    </row>
    <row r="363" spans="1:7">
      <c r="A363" s="95"/>
      <c r="B363" s="835" t="s">
        <v>841</v>
      </c>
      <c r="C363" s="836"/>
      <c r="D363" s="37"/>
      <c r="E363" s="82"/>
      <c r="F363" s="83"/>
      <c r="G363" s="111"/>
    </row>
    <row r="364" spans="1:7" ht="13.5" thickBot="1">
      <c r="A364" s="95"/>
      <c r="B364" s="828" t="s">
        <v>841</v>
      </c>
      <c r="C364" s="829"/>
      <c r="D364" s="77"/>
      <c r="E364" s="82"/>
      <c r="F364" s="86"/>
      <c r="G364" s="112"/>
    </row>
    <row r="365" spans="1:7" ht="14.25" thickTop="1" thickBot="1">
      <c r="A365" s="95"/>
      <c r="B365" s="808"/>
      <c r="C365" s="808"/>
      <c r="D365" s="808"/>
      <c r="E365" s="809"/>
      <c r="F365" s="120" t="s">
        <v>856</v>
      </c>
      <c r="G365" s="118">
        <f>SUM(G360:G364)</f>
        <v>17692</v>
      </c>
    </row>
    <row r="366" spans="1:7" ht="14.25" thickTop="1" thickBot="1">
      <c r="A366" s="95"/>
      <c r="B366" s="810"/>
      <c r="C366" s="810"/>
      <c r="D366" s="810"/>
      <c r="E366" s="810"/>
      <c r="F366" s="810"/>
      <c r="G366" s="810"/>
    </row>
    <row r="367" spans="1:7" ht="13.5" thickTop="1">
      <c r="A367" s="95"/>
      <c r="B367" s="811" t="s">
        <v>321</v>
      </c>
      <c r="C367" s="812"/>
      <c r="D367" s="812"/>
      <c r="E367" s="812"/>
      <c r="F367" s="812"/>
      <c r="G367" s="825"/>
    </row>
    <row r="368" spans="1:7">
      <c r="A368" s="95"/>
      <c r="B368" s="817" t="s">
        <v>838</v>
      </c>
      <c r="C368" s="818"/>
      <c r="D368" s="98" t="s">
        <v>301</v>
      </c>
      <c r="E368" s="98" t="s">
        <v>297</v>
      </c>
      <c r="F368" s="99" t="s">
        <v>839</v>
      </c>
      <c r="G368" s="107" t="s">
        <v>840</v>
      </c>
    </row>
    <row r="369" spans="1:8">
      <c r="A369" s="95"/>
      <c r="B369" s="115"/>
      <c r="C369" s="102"/>
      <c r="D369" s="103" t="s">
        <v>322</v>
      </c>
      <c r="E369" s="103" t="s">
        <v>323</v>
      </c>
      <c r="F369" s="104" t="s">
        <v>324</v>
      </c>
      <c r="G369" s="109" t="s">
        <v>325</v>
      </c>
    </row>
    <row r="370" spans="1:8">
      <c r="A370" s="95"/>
      <c r="B370" s="826"/>
      <c r="C370" s="827"/>
      <c r="D370" s="96"/>
      <c r="E370" s="96"/>
      <c r="F370" s="96"/>
      <c r="G370" s="116"/>
    </row>
    <row r="371" spans="1:8" ht="13.5" thickBot="1">
      <c r="A371" s="95"/>
      <c r="B371" s="828" t="s">
        <v>841</v>
      </c>
      <c r="C371" s="829"/>
      <c r="D371" s="77"/>
      <c r="E371" s="82"/>
      <c r="F371" s="86"/>
      <c r="G371" s="112"/>
    </row>
    <row r="372" spans="1:8" ht="14.25" thickTop="1" thickBot="1">
      <c r="A372" s="95"/>
      <c r="B372" s="808"/>
      <c r="C372" s="808"/>
      <c r="D372" s="808"/>
      <c r="E372" s="809"/>
      <c r="F372" s="120" t="s">
        <v>856</v>
      </c>
      <c r="G372" s="118">
        <f>SUM(G367:G371)</f>
        <v>0</v>
      </c>
    </row>
    <row r="373" spans="1:8" ht="14.25" thickTop="1" thickBot="1">
      <c r="A373" s="95"/>
      <c r="B373" s="810"/>
      <c r="C373" s="810"/>
      <c r="D373" s="810"/>
      <c r="E373" s="810"/>
      <c r="F373" s="810"/>
      <c r="G373" s="834"/>
    </row>
    <row r="374" spans="1:8" ht="13.5" thickTop="1">
      <c r="A374" s="95"/>
      <c r="B374" s="811" t="s">
        <v>326</v>
      </c>
      <c r="C374" s="812"/>
      <c r="D374" s="812"/>
      <c r="E374" s="812"/>
      <c r="F374" s="813"/>
      <c r="G374" s="121">
        <f>+G338+G354+G365</f>
        <v>94699</v>
      </c>
    </row>
    <row r="375" spans="1:8">
      <c r="A375" s="95"/>
      <c r="B375" s="814" t="s">
        <v>861</v>
      </c>
      <c r="C375" s="815"/>
      <c r="D375" s="815"/>
      <c r="E375" s="816"/>
      <c r="F375" s="128">
        <f>'MANO DE OBRA'!D59</f>
        <v>0</v>
      </c>
      <c r="G375" s="122">
        <f>ROUND(G374*F375,0)</f>
        <v>0</v>
      </c>
    </row>
    <row r="376" spans="1:8" ht="13.5" thickBot="1">
      <c r="A376" s="95"/>
      <c r="B376" s="805" t="s">
        <v>1049</v>
      </c>
      <c r="C376" s="806"/>
      <c r="D376" s="806"/>
      <c r="E376" s="806"/>
      <c r="F376" s="807"/>
      <c r="G376" s="118">
        <f>ROUND(G374+G375,-2)</f>
        <v>94700</v>
      </c>
      <c r="H376" s="505" t="s">
        <v>1670</v>
      </c>
    </row>
    <row r="377" spans="1:8" ht="13.5" thickTop="1">
      <c r="A377" s="95"/>
      <c r="B377" s="90" t="s">
        <v>303</v>
      </c>
      <c r="C377" s="843"/>
      <c r="D377" s="843"/>
      <c r="E377" s="843"/>
      <c r="F377" s="92" t="s">
        <v>781</v>
      </c>
      <c r="G377" s="93" t="s">
        <v>831</v>
      </c>
    </row>
    <row r="378" spans="1:8">
      <c r="A378" s="95"/>
      <c r="B378" s="91" t="s">
        <v>834</v>
      </c>
      <c r="C378" s="844" t="s">
        <v>368</v>
      </c>
      <c r="D378" s="844"/>
      <c r="E378" s="844"/>
      <c r="F378" s="15" t="s">
        <v>833</v>
      </c>
      <c r="G378" s="165" t="str">
        <f>'MANO DE OBRA'!D61</f>
        <v>Agosto de 2010</v>
      </c>
    </row>
    <row r="379" spans="1:8" ht="13.5" thickBot="1">
      <c r="A379" s="127"/>
      <c r="B379" s="94" t="s">
        <v>835</v>
      </c>
      <c r="C379" s="845" t="s">
        <v>521</v>
      </c>
      <c r="D379" s="845"/>
      <c r="E379" s="845"/>
      <c r="F379" s="845"/>
      <c r="G379" s="846"/>
    </row>
    <row r="380" spans="1:8" ht="14.25" thickTop="1" thickBot="1">
      <c r="A380" s="95"/>
      <c r="B380" s="847"/>
      <c r="C380" s="847"/>
      <c r="D380" s="847"/>
      <c r="E380" s="847"/>
      <c r="F380" s="847"/>
      <c r="G380" s="847"/>
    </row>
    <row r="381" spans="1:8" ht="13.5" thickTop="1">
      <c r="A381" s="95"/>
      <c r="B381" s="811" t="s">
        <v>304</v>
      </c>
      <c r="C381" s="812"/>
      <c r="D381" s="812"/>
      <c r="E381" s="812"/>
      <c r="F381" s="812"/>
      <c r="G381" s="825"/>
    </row>
    <row r="382" spans="1:8">
      <c r="A382" s="95"/>
      <c r="B382" s="105"/>
      <c r="C382" s="97"/>
      <c r="D382" s="98" t="s">
        <v>301</v>
      </c>
      <c r="E382" s="98" t="s">
        <v>1072</v>
      </c>
      <c r="F382" s="99" t="s">
        <v>839</v>
      </c>
      <c r="G382" s="107" t="s">
        <v>840</v>
      </c>
    </row>
    <row r="383" spans="1:8">
      <c r="A383" s="95"/>
      <c r="B383" s="821" t="s">
        <v>838</v>
      </c>
      <c r="C383" s="822"/>
      <c r="D383" s="100" t="s">
        <v>308</v>
      </c>
      <c r="E383" s="100" t="s">
        <v>305</v>
      </c>
      <c r="F383" s="101" t="s">
        <v>306</v>
      </c>
      <c r="G383" s="108" t="s">
        <v>310</v>
      </c>
    </row>
    <row r="384" spans="1:8">
      <c r="A384" s="95"/>
      <c r="B384" s="115"/>
      <c r="C384" s="102"/>
      <c r="D384" s="103"/>
      <c r="E384" s="103" t="s">
        <v>309</v>
      </c>
      <c r="F384" s="104" t="s">
        <v>307</v>
      </c>
      <c r="G384" s="109"/>
    </row>
    <row r="385" spans="1:7">
      <c r="A385" s="127"/>
      <c r="B385" s="823" t="str">
        <f>'MAQUINARIA Y EQUIPOS'!C28</f>
        <v>HERRAMIENTAS MENORES</v>
      </c>
      <c r="C385" s="824"/>
      <c r="D385" s="87">
        <v>1</v>
      </c>
      <c r="E385" s="82">
        <f>ROUND(G418*0.05,0)</f>
        <v>885</v>
      </c>
      <c r="F385" s="81">
        <v>1</v>
      </c>
      <c r="G385" s="110">
        <f>ROUND(D385*E385/F385,0)</f>
        <v>885</v>
      </c>
    </row>
    <row r="386" spans="1:7">
      <c r="A386" s="95"/>
      <c r="B386" s="835" t="str">
        <f>'MAQUINARIA Y EQUIPOS'!C53</f>
        <v>VIBRADOR A GASOLINA</v>
      </c>
      <c r="C386" s="836"/>
      <c r="D386" s="37">
        <v>1</v>
      </c>
      <c r="E386" s="82">
        <f>'MAQUINARIA Y EQUIPOS'!D53</f>
        <v>51040</v>
      </c>
      <c r="F386" s="83">
        <v>25</v>
      </c>
      <c r="G386" s="111">
        <f>ROUND(D386*E386/F386,0)</f>
        <v>2042</v>
      </c>
    </row>
    <row r="387" spans="1:7">
      <c r="A387" s="95"/>
      <c r="B387" s="835" t="str">
        <f>'MAQUINARIA Y EQUIPOS'!C9</f>
        <v>ANDAMIO TUBULAR 1.50 m</v>
      </c>
      <c r="C387" s="836"/>
      <c r="D387" s="37">
        <v>3</v>
      </c>
      <c r="E387" s="82">
        <f>'MAQUINARIA Y EQUIPOS'!D9</f>
        <v>754</v>
      </c>
      <c r="F387" s="83">
        <f>+F413</f>
        <v>6</v>
      </c>
      <c r="G387" s="111">
        <f>ROUND(D387*E387/F387,0)</f>
        <v>377</v>
      </c>
    </row>
    <row r="388" spans="1:7">
      <c r="A388" s="95"/>
      <c r="B388" s="835" t="str">
        <f>'MAQUINARIA Y EQUIPOS'!C47</f>
        <v>TABLONES 3m</v>
      </c>
      <c r="C388" s="836"/>
      <c r="D388" s="37">
        <v>2</v>
      </c>
      <c r="E388" s="82">
        <f>'MAQUINARIA Y EQUIPOS'!D47</f>
        <v>348</v>
      </c>
      <c r="F388" s="83">
        <f>+F413</f>
        <v>6</v>
      </c>
      <c r="G388" s="111">
        <f>ROUND(D388*E388/F388,0)</f>
        <v>116</v>
      </c>
    </row>
    <row r="389" spans="1:7">
      <c r="A389" s="95"/>
      <c r="B389" s="835" t="str">
        <f>'MAQUINARIA Y EQUIPOS'!C37</f>
        <v>PARAL TELESCOPICO 3 MTS</v>
      </c>
      <c r="C389" s="836"/>
      <c r="D389" s="37">
        <v>4</v>
      </c>
      <c r="E389" s="82">
        <f>'MAQUINARIA Y EQUIPOS'!D37</f>
        <v>290</v>
      </c>
      <c r="F389" s="83">
        <f>+F414</f>
        <v>6</v>
      </c>
      <c r="G389" s="111">
        <f>ROUND(D389*E389/F389,0)</f>
        <v>193</v>
      </c>
    </row>
    <row r="390" spans="1:7" ht="13.5" thickBot="1">
      <c r="A390" s="95"/>
      <c r="B390" s="839" t="s">
        <v>841</v>
      </c>
      <c r="C390" s="840"/>
      <c r="D390" s="77"/>
      <c r="E390" s="106"/>
      <c r="F390" s="86"/>
      <c r="G390" s="112"/>
    </row>
    <row r="391" spans="1:7" ht="14.25" thickTop="1" thickBot="1">
      <c r="A391" s="95"/>
      <c r="B391" s="808"/>
      <c r="C391" s="808"/>
      <c r="D391" s="808"/>
      <c r="E391" s="809"/>
      <c r="F391" s="119" t="s">
        <v>856</v>
      </c>
      <c r="G391" s="118">
        <f>SUM(G385:G390)</f>
        <v>3613</v>
      </c>
    </row>
    <row r="392" spans="1:7" ht="14.25" thickTop="1" thickBot="1">
      <c r="A392" s="95"/>
      <c r="B392" s="830"/>
      <c r="C392" s="830"/>
      <c r="D392" s="830"/>
      <c r="E392" s="830"/>
      <c r="F392" s="830"/>
      <c r="G392" s="830"/>
    </row>
    <row r="393" spans="1:7" ht="13.5" thickTop="1">
      <c r="A393" s="95"/>
      <c r="B393" s="811" t="s">
        <v>311</v>
      </c>
      <c r="C393" s="812"/>
      <c r="D393" s="812"/>
      <c r="E393" s="812"/>
      <c r="F393" s="812"/>
      <c r="G393" s="825"/>
    </row>
    <row r="394" spans="1:7">
      <c r="A394" s="95"/>
      <c r="B394" s="817" t="s">
        <v>838</v>
      </c>
      <c r="C394" s="818"/>
      <c r="D394" s="98" t="s">
        <v>842</v>
      </c>
      <c r="E394" s="98" t="s">
        <v>853</v>
      </c>
      <c r="F394" s="99" t="s">
        <v>1047</v>
      </c>
      <c r="G394" s="107" t="s">
        <v>840</v>
      </c>
    </row>
    <row r="395" spans="1:7">
      <c r="A395" s="95"/>
      <c r="B395" s="115"/>
      <c r="C395" s="102"/>
      <c r="D395" s="100"/>
      <c r="E395" s="100" t="s">
        <v>312</v>
      </c>
      <c r="F395" s="101" t="s">
        <v>313</v>
      </c>
      <c r="G395" s="108" t="s">
        <v>314</v>
      </c>
    </row>
    <row r="396" spans="1:7" ht="14.25">
      <c r="A396" s="125"/>
      <c r="B396" s="841" t="str">
        <f>MATERIALES2!C35</f>
        <v>CONCRETO 1:2:3-3000 psi(MATERIALES)</v>
      </c>
      <c r="C396" s="842"/>
      <c r="D396" s="87" t="s">
        <v>1066</v>
      </c>
      <c r="E396" s="140">
        <v>7.4999999999999997E-2</v>
      </c>
      <c r="F396" s="80">
        <f>MATERIALES2!E35</f>
        <v>367600</v>
      </c>
      <c r="G396" s="110">
        <f t="shared" ref="G396:G402" si="7">ROUND(E396*F396,0)</f>
        <v>27570</v>
      </c>
    </row>
    <row r="397" spans="1:7">
      <c r="A397" s="123"/>
      <c r="B397" s="854" t="str">
        <f>MATERIALES2!C163</f>
        <v>TABLON 2x12x10</v>
      </c>
      <c r="C397" s="855"/>
      <c r="D397" s="37" t="s">
        <v>865</v>
      </c>
      <c r="E397" s="83">
        <f>ROUND(4*1/3/4,2)</f>
        <v>0.33</v>
      </c>
      <c r="F397" s="82">
        <f>MATERIALES2!E163</f>
        <v>20000</v>
      </c>
      <c r="G397" s="111">
        <f t="shared" si="7"/>
        <v>6600</v>
      </c>
    </row>
    <row r="398" spans="1:7">
      <c r="A398" s="95"/>
      <c r="B398" s="854" t="str">
        <f>MATERIALES2!C151</f>
        <v>ABARCO DE 2X2X4,50</v>
      </c>
      <c r="C398" s="855"/>
      <c r="D398" s="37" t="s">
        <v>865</v>
      </c>
      <c r="E398" s="83">
        <f>ROUND((0.4*2+0.35*2)*3/4.5/4,2)</f>
        <v>0.25</v>
      </c>
      <c r="F398" s="82">
        <f>MATERIALES2!E151</f>
        <v>5000</v>
      </c>
      <c r="G398" s="111">
        <f t="shared" si="7"/>
        <v>1250</v>
      </c>
    </row>
    <row r="399" spans="1:7">
      <c r="A399" s="95"/>
      <c r="B399" s="854" t="str">
        <f>MATERIALES2!C919</f>
        <v>PUNTILLAS DE 3"</v>
      </c>
      <c r="C399" s="855"/>
      <c r="D399" s="37" t="s">
        <v>922</v>
      </c>
      <c r="E399" s="83">
        <v>0.5</v>
      </c>
      <c r="F399" s="82">
        <f>MATERIALES2!E919</f>
        <v>1500</v>
      </c>
      <c r="G399" s="111">
        <f t="shared" si="7"/>
        <v>750</v>
      </c>
    </row>
    <row r="400" spans="1:7">
      <c r="A400" s="95"/>
      <c r="B400" s="854" t="str">
        <f>MATERIALES2!C62</f>
        <v>HIERRO CHIPA 3/8"</v>
      </c>
      <c r="C400" s="855"/>
      <c r="D400" s="37" t="s">
        <v>925</v>
      </c>
      <c r="E400" s="146">
        <f>ROUND(12*1.1*0.61,2)</f>
        <v>8.0500000000000007</v>
      </c>
      <c r="F400" s="82">
        <f>MATERIALES2!E62</f>
        <v>2100</v>
      </c>
      <c r="G400" s="111">
        <f t="shared" si="7"/>
        <v>16905</v>
      </c>
    </row>
    <row r="401" spans="1:8">
      <c r="A401" s="95"/>
      <c r="B401" s="854" t="str">
        <f>MATERIALES2!C71</f>
        <v>VARILLA CORRUGADA 5/8" x 6.0 M</v>
      </c>
      <c r="C401" s="855"/>
      <c r="D401" s="37" t="s">
        <v>865</v>
      </c>
      <c r="E401" s="146">
        <v>1.4</v>
      </c>
      <c r="F401" s="82">
        <f>MATERIALES2!E71</f>
        <v>17700</v>
      </c>
      <c r="G401" s="111">
        <f t="shared" si="7"/>
        <v>24780</v>
      </c>
    </row>
    <row r="402" spans="1:8">
      <c r="A402" s="95"/>
      <c r="B402" s="854" t="str">
        <f>MATERIALES2!C65</f>
        <v>ALAMBRE NEGRO</v>
      </c>
      <c r="C402" s="855"/>
      <c r="D402" s="37" t="s">
        <v>925</v>
      </c>
      <c r="E402" s="160">
        <v>0.27</v>
      </c>
      <c r="F402" s="82">
        <f>MATERIALES2!E65</f>
        <v>2100</v>
      </c>
      <c r="G402" s="111">
        <f t="shared" si="7"/>
        <v>567</v>
      </c>
      <c r="H402" s="505" t="s">
        <v>1670</v>
      </c>
    </row>
    <row r="403" spans="1:8">
      <c r="A403" s="95"/>
      <c r="B403" s="938" t="s">
        <v>841</v>
      </c>
      <c r="C403" s="939"/>
      <c r="D403" s="53" t="s">
        <v>841</v>
      </c>
      <c r="E403" s="53"/>
      <c r="F403" s="82"/>
      <c r="G403" s="111"/>
    </row>
    <row r="404" spans="1:8" ht="13.5" thickBot="1">
      <c r="A404" s="95"/>
      <c r="B404" s="839" t="s">
        <v>841</v>
      </c>
      <c r="C404" s="840"/>
      <c r="D404" s="84" t="s">
        <v>841</v>
      </c>
      <c r="E404" s="84"/>
      <c r="F404" s="85"/>
      <c r="G404" s="112"/>
    </row>
    <row r="405" spans="1:8" ht="13.5" thickTop="1">
      <c r="A405" s="95"/>
      <c r="B405" s="808"/>
      <c r="C405" s="809"/>
      <c r="D405" s="801" t="s">
        <v>856</v>
      </c>
      <c r="E405" s="802"/>
      <c r="F405" s="9"/>
      <c r="G405" s="113">
        <f>SUM(G396:G404)</f>
        <v>78422</v>
      </c>
    </row>
    <row r="406" spans="1:8">
      <c r="A406" s="95"/>
      <c r="B406" s="819"/>
      <c r="C406" s="820"/>
      <c r="D406" s="801" t="s">
        <v>857</v>
      </c>
      <c r="E406" s="802"/>
      <c r="F406" s="79">
        <f>'MANO DE OBRA'!D60</f>
        <v>0.05</v>
      </c>
      <c r="G406" s="113">
        <f>ROUND(G405*F406,0)</f>
        <v>3921</v>
      </c>
    </row>
    <row r="407" spans="1:8" ht="13.5" thickBot="1">
      <c r="A407" s="95"/>
      <c r="B407" s="819"/>
      <c r="C407" s="820"/>
      <c r="D407" s="803" t="s">
        <v>320</v>
      </c>
      <c r="E407" s="804"/>
      <c r="F407" s="114"/>
      <c r="G407" s="118">
        <f>+G405+G406</f>
        <v>82343</v>
      </c>
    </row>
    <row r="408" spans="1:8" ht="14.25" thickTop="1" thickBot="1">
      <c r="A408" s="95"/>
      <c r="B408" s="830"/>
      <c r="C408" s="830"/>
      <c r="D408" s="830"/>
      <c r="E408" s="830"/>
      <c r="F408" s="830"/>
      <c r="G408" s="830"/>
    </row>
    <row r="409" spans="1:8" ht="13.5" thickTop="1">
      <c r="A409" s="95"/>
      <c r="B409" s="811" t="s">
        <v>858</v>
      </c>
      <c r="C409" s="812"/>
      <c r="D409" s="812"/>
      <c r="E409" s="812"/>
      <c r="F409" s="812"/>
      <c r="G409" s="825"/>
    </row>
    <row r="410" spans="1:8">
      <c r="A410" s="95"/>
      <c r="B410" s="817"/>
      <c r="C410" s="818"/>
      <c r="D410" s="98" t="s">
        <v>301</v>
      </c>
      <c r="E410" s="98" t="s">
        <v>859</v>
      </c>
      <c r="F410" s="99" t="s">
        <v>839</v>
      </c>
      <c r="G410" s="107" t="s">
        <v>840</v>
      </c>
    </row>
    <row r="411" spans="1:8">
      <c r="A411" s="95"/>
      <c r="B411" s="821" t="s">
        <v>838</v>
      </c>
      <c r="C411" s="822"/>
      <c r="D411" s="100" t="s">
        <v>316</v>
      </c>
      <c r="E411" s="100" t="s">
        <v>315</v>
      </c>
      <c r="F411" s="101" t="s">
        <v>306</v>
      </c>
      <c r="G411" s="108" t="s">
        <v>319</v>
      </c>
    </row>
    <row r="412" spans="1:8">
      <c r="A412" s="95"/>
      <c r="B412" s="115"/>
      <c r="C412" s="102"/>
      <c r="D412" s="103"/>
      <c r="E412" s="103" t="s">
        <v>317</v>
      </c>
      <c r="F412" s="104" t="s">
        <v>318</v>
      </c>
      <c r="G412" s="109"/>
    </row>
    <row r="413" spans="1:8">
      <c r="A413" s="95"/>
      <c r="B413" s="823" t="str">
        <f>'MANO DE OBRA'!B10</f>
        <v>AYUDANTE CUAD. TIPO AA</v>
      </c>
      <c r="C413" s="824"/>
      <c r="D413" s="87">
        <v>1</v>
      </c>
      <c r="E413" s="80">
        <f>'MANO DE OBRA'!E10</f>
        <v>34680</v>
      </c>
      <c r="F413" s="81">
        <v>6</v>
      </c>
      <c r="G413" s="110">
        <f>ROUND(D413*E413/F413,0)</f>
        <v>5780</v>
      </c>
    </row>
    <row r="414" spans="1:8">
      <c r="A414" s="95"/>
      <c r="B414" s="835" t="str">
        <f>'MANO DE OBRA'!B15</f>
        <v xml:space="preserve">OFICIAL CUAD. TIPO AA </v>
      </c>
      <c r="C414" s="836"/>
      <c r="D414" s="37">
        <v>1</v>
      </c>
      <c r="E414" s="82">
        <f>'MANO DE OBRA'!E15</f>
        <v>71474</v>
      </c>
      <c r="F414" s="83">
        <v>6</v>
      </c>
      <c r="G414" s="111">
        <f>ROUND(D414*E414/F414,0)</f>
        <v>11912</v>
      </c>
    </row>
    <row r="415" spans="1:8">
      <c r="A415" s="95"/>
      <c r="B415" s="835"/>
      <c r="C415" s="836"/>
      <c r="D415" s="89"/>
      <c r="E415" s="82"/>
      <c r="F415" s="83"/>
      <c r="G415" s="111"/>
    </row>
    <row r="416" spans="1:8">
      <c r="A416" s="95"/>
      <c r="B416" s="835" t="s">
        <v>841</v>
      </c>
      <c r="C416" s="836"/>
      <c r="D416" s="37"/>
      <c r="E416" s="82"/>
      <c r="F416" s="83"/>
      <c r="G416" s="111"/>
    </row>
    <row r="417" spans="1:8" ht="13.5" thickBot="1">
      <c r="A417" s="95"/>
      <c r="B417" s="828" t="s">
        <v>841</v>
      </c>
      <c r="C417" s="829"/>
      <c r="D417" s="77"/>
      <c r="E417" s="82"/>
      <c r="F417" s="86"/>
      <c r="G417" s="112"/>
    </row>
    <row r="418" spans="1:8" ht="14.25" thickTop="1" thickBot="1">
      <c r="A418" s="95"/>
      <c r="B418" s="808"/>
      <c r="C418" s="808"/>
      <c r="D418" s="808"/>
      <c r="E418" s="809"/>
      <c r="F418" s="120" t="s">
        <v>856</v>
      </c>
      <c r="G418" s="118">
        <f>SUM(G413:G417)</f>
        <v>17692</v>
      </c>
    </row>
    <row r="419" spans="1:8" ht="14.25" thickTop="1" thickBot="1">
      <c r="A419" s="95"/>
      <c r="B419" s="810"/>
      <c r="C419" s="810"/>
      <c r="D419" s="810"/>
      <c r="E419" s="810"/>
      <c r="F419" s="810"/>
      <c r="G419" s="810"/>
    </row>
    <row r="420" spans="1:8" ht="13.5" thickTop="1">
      <c r="A420" s="95"/>
      <c r="B420" s="811" t="s">
        <v>321</v>
      </c>
      <c r="C420" s="812"/>
      <c r="D420" s="812"/>
      <c r="E420" s="812"/>
      <c r="F420" s="812"/>
      <c r="G420" s="825"/>
    </row>
    <row r="421" spans="1:8">
      <c r="A421" s="95"/>
      <c r="B421" s="817" t="s">
        <v>838</v>
      </c>
      <c r="C421" s="818"/>
      <c r="D421" s="98" t="s">
        <v>301</v>
      </c>
      <c r="E421" s="98" t="s">
        <v>297</v>
      </c>
      <c r="F421" s="99" t="s">
        <v>839</v>
      </c>
      <c r="G421" s="107" t="s">
        <v>840</v>
      </c>
    </row>
    <row r="422" spans="1:8">
      <c r="A422" s="95"/>
      <c r="B422" s="115"/>
      <c r="C422" s="102"/>
      <c r="D422" s="103" t="s">
        <v>322</v>
      </c>
      <c r="E422" s="103" t="s">
        <v>323</v>
      </c>
      <c r="F422" s="104" t="s">
        <v>324</v>
      </c>
      <c r="G422" s="109" t="s">
        <v>325</v>
      </c>
    </row>
    <row r="423" spans="1:8">
      <c r="A423" s="95"/>
      <c r="B423" s="826"/>
      <c r="C423" s="827"/>
      <c r="D423" s="96"/>
      <c r="E423" s="96"/>
      <c r="F423" s="96"/>
      <c r="G423" s="116"/>
    </row>
    <row r="424" spans="1:8" ht="13.5" thickBot="1">
      <c r="A424" s="95"/>
      <c r="B424" s="828" t="s">
        <v>841</v>
      </c>
      <c r="C424" s="829"/>
      <c r="D424" s="77"/>
      <c r="E424" s="82"/>
      <c r="F424" s="86"/>
      <c r="G424" s="112"/>
    </row>
    <row r="425" spans="1:8" ht="14.25" thickTop="1" thickBot="1">
      <c r="A425" s="95"/>
      <c r="B425" s="808"/>
      <c r="C425" s="808"/>
      <c r="D425" s="808"/>
      <c r="E425" s="809"/>
      <c r="F425" s="120" t="s">
        <v>856</v>
      </c>
      <c r="G425" s="118">
        <f>SUM(G420:G424)</f>
        <v>0</v>
      </c>
    </row>
    <row r="426" spans="1:8" ht="14.25" thickTop="1" thickBot="1">
      <c r="A426" s="95"/>
      <c r="B426" s="810"/>
      <c r="C426" s="810"/>
      <c r="D426" s="810"/>
      <c r="E426" s="810"/>
      <c r="F426" s="810"/>
      <c r="G426" s="834"/>
    </row>
    <row r="427" spans="1:8" ht="13.5" thickTop="1">
      <c r="A427" s="95"/>
      <c r="B427" s="811" t="s">
        <v>326</v>
      </c>
      <c r="C427" s="812"/>
      <c r="D427" s="812"/>
      <c r="E427" s="812"/>
      <c r="F427" s="813"/>
      <c r="G427" s="121">
        <f>+G391+G407+G418</f>
        <v>103648</v>
      </c>
    </row>
    <row r="428" spans="1:8">
      <c r="A428" s="95"/>
      <c r="B428" s="814" t="s">
        <v>861</v>
      </c>
      <c r="C428" s="815"/>
      <c r="D428" s="815"/>
      <c r="E428" s="816"/>
      <c r="F428" s="128">
        <f>'MANO DE OBRA'!D69</f>
        <v>0</v>
      </c>
      <c r="G428" s="122">
        <f>ROUND(G427*F428,0)</f>
        <v>0</v>
      </c>
    </row>
    <row r="429" spans="1:8" ht="13.5" thickBot="1">
      <c r="A429" s="95"/>
      <c r="B429" s="805" t="s">
        <v>1049</v>
      </c>
      <c r="C429" s="806"/>
      <c r="D429" s="806"/>
      <c r="E429" s="806"/>
      <c r="F429" s="807"/>
      <c r="G429" s="118">
        <f>ROUND(G427+G428,-2)</f>
        <v>103600</v>
      </c>
      <c r="H429" s="505" t="s">
        <v>1670</v>
      </c>
    </row>
    <row r="430" spans="1:8" ht="13.5" thickTop="1">
      <c r="A430" s="95"/>
      <c r="B430" s="90" t="s">
        <v>303</v>
      </c>
      <c r="C430" s="843"/>
      <c r="D430" s="843"/>
      <c r="E430" s="843"/>
      <c r="F430" s="92" t="s">
        <v>781</v>
      </c>
      <c r="G430" s="93" t="s">
        <v>831</v>
      </c>
    </row>
    <row r="431" spans="1:8">
      <c r="A431" s="95"/>
      <c r="B431" s="91" t="s">
        <v>834</v>
      </c>
      <c r="C431" s="844" t="s">
        <v>368</v>
      </c>
      <c r="D431" s="844"/>
      <c r="E431" s="844"/>
      <c r="F431" s="15" t="s">
        <v>833</v>
      </c>
      <c r="G431" s="165" t="str">
        <f>'MANO DE OBRA'!D61</f>
        <v>Agosto de 2010</v>
      </c>
    </row>
    <row r="432" spans="1:8" ht="13.5" thickBot="1">
      <c r="A432" s="127"/>
      <c r="B432" s="94" t="s">
        <v>835</v>
      </c>
      <c r="C432" s="845" t="s">
        <v>608</v>
      </c>
      <c r="D432" s="845"/>
      <c r="E432" s="845"/>
      <c r="F432" s="845"/>
      <c r="G432" s="846"/>
    </row>
    <row r="433" spans="1:7" ht="14.25" thickTop="1" thickBot="1">
      <c r="A433" s="95"/>
      <c r="B433" s="847"/>
      <c r="C433" s="847"/>
      <c r="D433" s="847"/>
      <c r="E433" s="847"/>
      <c r="F433" s="847"/>
      <c r="G433" s="847"/>
    </row>
    <row r="434" spans="1:7" ht="13.5" thickTop="1">
      <c r="A434" s="95"/>
      <c r="B434" s="811" t="s">
        <v>304</v>
      </c>
      <c r="C434" s="812"/>
      <c r="D434" s="812"/>
      <c r="E434" s="812"/>
      <c r="F434" s="812"/>
      <c r="G434" s="825"/>
    </row>
    <row r="435" spans="1:7">
      <c r="A435" s="95"/>
      <c r="B435" s="105"/>
      <c r="C435" s="97"/>
      <c r="D435" s="98" t="s">
        <v>301</v>
      </c>
      <c r="E435" s="98" t="s">
        <v>1072</v>
      </c>
      <c r="F435" s="99" t="s">
        <v>839</v>
      </c>
      <c r="G435" s="107" t="s">
        <v>840</v>
      </c>
    </row>
    <row r="436" spans="1:7">
      <c r="A436" s="95"/>
      <c r="B436" s="821" t="s">
        <v>838</v>
      </c>
      <c r="C436" s="822"/>
      <c r="D436" s="100" t="s">
        <v>308</v>
      </c>
      <c r="E436" s="100" t="s">
        <v>305</v>
      </c>
      <c r="F436" s="101" t="s">
        <v>306</v>
      </c>
      <c r="G436" s="108" t="s">
        <v>310</v>
      </c>
    </row>
    <row r="437" spans="1:7">
      <c r="A437" s="95"/>
      <c r="B437" s="115"/>
      <c r="C437" s="102"/>
      <c r="D437" s="103"/>
      <c r="E437" s="103" t="s">
        <v>309</v>
      </c>
      <c r="F437" s="104" t="s">
        <v>307</v>
      </c>
      <c r="G437" s="109"/>
    </row>
    <row r="438" spans="1:7">
      <c r="A438" s="127"/>
      <c r="B438" s="823" t="str">
        <f>'MAQUINARIA Y EQUIPOS'!C28</f>
        <v>HERRAMIENTAS MENORES</v>
      </c>
      <c r="C438" s="824"/>
      <c r="D438" s="87">
        <v>1</v>
      </c>
      <c r="E438" s="82">
        <f>ROUND(G471*0.05,0)</f>
        <v>885</v>
      </c>
      <c r="F438" s="81">
        <v>1</v>
      </c>
      <c r="G438" s="110">
        <f>ROUND(D438*E438/F438,0)</f>
        <v>885</v>
      </c>
    </row>
    <row r="439" spans="1:7">
      <c r="A439" s="95"/>
      <c r="B439" s="835" t="str">
        <f>'MAQUINARIA Y EQUIPOS'!C53</f>
        <v>VIBRADOR A GASOLINA</v>
      </c>
      <c r="C439" s="836"/>
      <c r="D439" s="37">
        <v>1</v>
      </c>
      <c r="E439" s="82">
        <f>'MAQUINARIA Y EQUIPOS'!D53</f>
        <v>51040</v>
      </c>
      <c r="F439" s="83">
        <v>25</v>
      </c>
      <c r="G439" s="111">
        <f>ROUND(D439*E439/F439,0)</f>
        <v>2042</v>
      </c>
    </row>
    <row r="440" spans="1:7">
      <c r="A440" s="95"/>
      <c r="B440" s="835" t="str">
        <f>'MAQUINARIA Y EQUIPOS'!C9</f>
        <v>ANDAMIO TUBULAR 1.50 m</v>
      </c>
      <c r="C440" s="836"/>
      <c r="D440" s="37">
        <v>3</v>
      </c>
      <c r="E440" s="82">
        <f>'MAQUINARIA Y EQUIPOS'!D9</f>
        <v>754</v>
      </c>
      <c r="F440" s="83">
        <f>+F466</f>
        <v>6</v>
      </c>
      <c r="G440" s="111">
        <f>ROUND(D440*E440/F440,0)</f>
        <v>377</v>
      </c>
    </row>
    <row r="441" spans="1:7">
      <c r="A441" s="95"/>
      <c r="B441" s="835" t="str">
        <f>'MAQUINARIA Y EQUIPOS'!C47</f>
        <v>TABLONES 3m</v>
      </c>
      <c r="C441" s="836"/>
      <c r="D441" s="37">
        <v>2</v>
      </c>
      <c r="E441" s="82">
        <f>'MAQUINARIA Y EQUIPOS'!D47</f>
        <v>348</v>
      </c>
      <c r="F441" s="83">
        <f>+F466</f>
        <v>6</v>
      </c>
      <c r="G441" s="111">
        <f>ROUND(D441*E441/F441,0)</f>
        <v>116</v>
      </c>
    </row>
    <row r="442" spans="1:7">
      <c r="A442" s="95"/>
      <c r="B442" s="835" t="str">
        <f>'MAQUINARIA Y EQUIPOS'!C37</f>
        <v>PARAL TELESCOPICO 3 MTS</v>
      </c>
      <c r="C442" s="836"/>
      <c r="D442" s="37">
        <v>4</v>
      </c>
      <c r="E442" s="82">
        <f>'MAQUINARIA Y EQUIPOS'!D37</f>
        <v>290</v>
      </c>
      <c r="F442" s="83">
        <f>+F467</f>
        <v>6</v>
      </c>
      <c r="G442" s="111">
        <f>ROUND(D442*E442/F442,0)</f>
        <v>193</v>
      </c>
    </row>
    <row r="443" spans="1:7" ht="13.5" thickBot="1">
      <c r="A443" s="95"/>
      <c r="B443" s="839" t="s">
        <v>841</v>
      </c>
      <c r="C443" s="840"/>
      <c r="D443" s="77"/>
      <c r="E443" s="106"/>
      <c r="F443" s="86"/>
      <c r="G443" s="112"/>
    </row>
    <row r="444" spans="1:7" ht="14.25" thickTop="1" thickBot="1">
      <c r="A444" s="95"/>
      <c r="B444" s="808"/>
      <c r="C444" s="808"/>
      <c r="D444" s="808"/>
      <c r="E444" s="809"/>
      <c r="F444" s="119" t="s">
        <v>856</v>
      </c>
      <c r="G444" s="118">
        <f>SUM(G438:G443)</f>
        <v>3613</v>
      </c>
    </row>
    <row r="445" spans="1:7" ht="14.25" thickTop="1" thickBot="1">
      <c r="A445" s="95"/>
      <c r="B445" s="830"/>
      <c r="C445" s="830"/>
      <c r="D445" s="830"/>
      <c r="E445" s="830"/>
      <c r="F445" s="830"/>
      <c r="G445" s="830"/>
    </row>
    <row r="446" spans="1:7" ht="13.5" thickTop="1">
      <c r="A446" s="95"/>
      <c r="B446" s="811" t="s">
        <v>311</v>
      </c>
      <c r="C446" s="812"/>
      <c r="D446" s="812"/>
      <c r="E446" s="812"/>
      <c r="F446" s="812"/>
      <c r="G446" s="825"/>
    </row>
    <row r="447" spans="1:7">
      <c r="A447" s="95"/>
      <c r="B447" s="817" t="s">
        <v>838</v>
      </c>
      <c r="C447" s="818"/>
      <c r="D447" s="98" t="s">
        <v>842</v>
      </c>
      <c r="E447" s="98" t="s">
        <v>853</v>
      </c>
      <c r="F447" s="99" t="s">
        <v>1047</v>
      </c>
      <c r="G447" s="107" t="s">
        <v>840</v>
      </c>
    </row>
    <row r="448" spans="1:7">
      <c r="A448" s="95"/>
      <c r="B448" s="115"/>
      <c r="C448" s="102"/>
      <c r="D448" s="100"/>
      <c r="E448" s="100" t="s">
        <v>312</v>
      </c>
      <c r="F448" s="101" t="s">
        <v>313</v>
      </c>
      <c r="G448" s="108" t="s">
        <v>314</v>
      </c>
    </row>
    <row r="449" spans="1:8" ht="14.25">
      <c r="A449" s="125"/>
      <c r="B449" s="841" t="str">
        <f>MATERIALES2!C35</f>
        <v>CONCRETO 1:2:3-3000 psi(MATERIALES)</v>
      </c>
      <c r="C449" s="842"/>
      <c r="D449" s="87" t="s">
        <v>1066</v>
      </c>
      <c r="E449" s="140">
        <f>ROUND(0.2*0.36,3)</f>
        <v>7.1999999999999995E-2</v>
      </c>
      <c r="F449" s="80">
        <f>MATERIALES2!E35</f>
        <v>367600</v>
      </c>
      <c r="G449" s="110">
        <f t="shared" ref="G449:G456" si="8">ROUND(E449*F449,0)</f>
        <v>26467</v>
      </c>
    </row>
    <row r="450" spans="1:8">
      <c r="A450" s="123"/>
      <c r="B450" s="854" t="str">
        <f>MATERIALES2!C163</f>
        <v>TABLON 2x12x10</v>
      </c>
      <c r="C450" s="855"/>
      <c r="D450" s="37" t="s">
        <v>865</v>
      </c>
      <c r="E450" s="83">
        <f>ROUND(2*1/3/4,2)</f>
        <v>0.17</v>
      </c>
      <c r="F450" s="82">
        <f>MATERIALES2!E163</f>
        <v>20000</v>
      </c>
      <c r="G450" s="111">
        <f t="shared" si="8"/>
        <v>3400</v>
      </c>
    </row>
    <row r="451" spans="1:8">
      <c r="A451" s="123"/>
      <c r="B451" s="854" t="str">
        <f>MATERIALES2!C167</f>
        <v>TABLON 2X8X15</v>
      </c>
      <c r="C451" s="855"/>
      <c r="D451" s="37" t="s">
        <v>865</v>
      </c>
      <c r="E451" s="83">
        <f>ROUND(4*1/3/4,2)</f>
        <v>0.33</v>
      </c>
      <c r="F451" s="82">
        <f>MATERIALES2!E167</f>
        <v>13400</v>
      </c>
      <c r="G451" s="111">
        <f>ROUND(E451*F451,0)</f>
        <v>4422</v>
      </c>
    </row>
    <row r="452" spans="1:8">
      <c r="A452" s="95"/>
      <c r="B452" s="854" t="str">
        <f>MATERIALES2!C151</f>
        <v>ABARCO DE 2X2X4,50</v>
      </c>
      <c r="C452" s="855"/>
      <c r="D452" s="37" t="s">
        <v>865</v>
      </c>
      <c r="E452" s="83">
        <f>ROUND((0.46*2+0.31*2)*3/4.5/4,2)</f>
        <v>0.26</v>
      </c>
      <c r="F452" s="82">
        <f>MATERIALES2!E151</f>
        <v>5000</v>
      </c>
      <c r="G452" s="111">
        <f t="shared" si="8"/>
        <v>1300</v>
      </c>
    </row>
    <row r="453" spans="1:8">
      <c r="A453" s="95"/>
      <c r="B453" s="854" t="str">
        <f>MATERIALES2!C919</f>
        <v>PUNTILLAS DE 3"</v>
      </c>
      <c r="C453" s="855"/>
      <c r="D453" s="37" t="s">
        <v>922</v>
      </c>
      <c r="E453" s="83">
        <v>0.5</v>
      </c>
      <c r="F453" s="82">
        <f>MATERIALES2!E919</f>
        <v>1500</v>
      </c>
      <c r="G453" s="111">
        <f t="shared" si="8"/>
        <v>750</v>
      </c>
    </row>
    <row r="454" spans="1:8">
      <c r="A454" s="95"/>
      <c r="B454" s="854" t="str">
        <f>MATERIALES2!C62</f>
        <v>HIERRO CHIPA 3/8"</v>
      </c>
      <c r="C454" s="855"/>
      <c r="D454" s="37" t="s">
        <v>925</v>
      </c>
      <c r="E454" s="146">
        <f>ROUND(12*1.1*0.61,2)</f>
        <v>8.0500000000000007</v>
      </c>
      <c r="F454" s="82">
        <f>MATERIALES2!E62</f>
        <v>2100</v>
      </c>
      <c r="G454" s="111">
        <f t="shared" si="8"/>
        <v>16905</v>
      </c>
    </row>
    <row r="455" spans="1:8">
      <c r="A455" s="95"/>
      <c r="B455" s="854" t="str">
        <f>MATERIALES2!C71</f>
        <v>VARILLA CORRUGADA 5/8" x 6.0 M</v>
      </c>
      <c r="C455" s="855"/>
      <c r="D455" s="37" t="s">
        <v>865</v>
      </c>
      <c r="E455" s="146">
        <v>0.93</v>
      </c>
      <c r="F455" s="82">
        <f>MATERIALES2!E71</f>
        <v>17700</v>
      </c>
      <c r="G455" s="111">
        <f t="shared" si="8"/>
        <v>16461</v>
      </c>
    </row>
    <row r="456" spans="1:8">
      <c r="A456" s="95"/>
      <c r="B456" s="854" t="str">
        <f>MATERIALES2!C65</f>
        <v>ALAMBRE NEGRO</v>
      </c>
      <c r="C456" s="855"/>
      <c r="D456" s="37" t="s">
        <v>925</v>
      </c>
      <c r="E456" s="160">
        <v>0.23</v>
      </c>
      <c r="F456" s="82">
        <f>MATERIALES2!E65</f>
        <v>2100</v>
      </c>
      <c r="G456" s="111">
        <f t="shared" si="8"/>
        <v>483</v>
      </c>
      <c r="H456" s="505" t="s">
        <v>1670</v>
      </c>
    </row>
    <row r="457" spans="1:8" ht="13.5" thickBot="1">
      <c r="A457" s="95"/>
      <c r="B457" s="839" t="s">
        <v>841</v>
      </c>
      <c r="C457" s="840"/>
      <c r="D457" s="84" t="s">
        <v>841</v>
      </c>
      <c r="E457" s="84"/>
      <c r="F457" s="85"/>
      <c r="G457" s="112"/>
    </row>
    <row r="458" spans="1:8" ht="13.5" thickTop="1">
      <c r="A458" s="95"/>
      <c r="B458" s="808"/>
      <c r="C458" s="809"/>
      <c r="D458" s="801" t="s">
        <v>856</v>
      </c>
      <c r="E458" s="802"/>
      <c r="F458" s="9"/>
      <c r="G458" s="113">
        <f>SUM(G449:G457)</f>
        <v>70188</v>
      </c>
    </row>
    <row r="459" spans="1:8">
      <c r="A459" s="95"/>
      <c r="B459" s="819"/>
      <c r="C459" s="820"/>
      <c r="D459" s="801" t="s">
        <v>857</v>
      </c>
      <c r="E459" s="802"/>
      <c r="F459" s="79">
        <f>'MANO DE OBRA'!D60</f>
        <v>0.05</v>
      </c>
      <c r="G459" s="113">
        <f>ROUND(G458*F459,0)</f>
        <v>3509</v>
      </c>
    </row>
    <row r="460" spans="1:8" ht="13.5" thickBot="1">
      <c r="A460" s="95"/>
      <c r="B460" s="819"/>
      <c r="C460" s="820"/>
      <c r="D460" s="803" t="s">
        <v>320</v>
      </c>
      <c r="E460" s="804"/>
      <c r="F460" s="114"/>
      <c r="G460" s="118">
        <f>+G458+G459</f>
        <v>73697</v>
      </c>
    </row>
    <row r="461" spans="1:8" ht="14.25" thickTop="1" thickBot="1">
      <c r="A461" s="95"/>
      <c r="B461" s="830"/>
      <c r="C461" s="830"/>
      <c r="D461" s="830"/>
      <c r="E461" s="830"/>
      <c r="F461" s="830"/>
      <c r="G461" s="830"/>
    </row>
    <row r="462" spans="1:8" ht="13.5" thickTop="1">
      <c r="A462" s="95"/>
      <c r="B462" s="811" t="s">
        <v>858</v>
      </c>
      <c r="C462" s="812"/>
      <c r="D462" s="812"/>
      <c r="E462" s="812"/>
      <c r="F462" s="812"/>
      <c r="G462" s="825"/>
    </row>
    <row r="463" spans="1:8">
      <c r="A463" s="95"/>
      <c r="B463" s="817"/>
      <c r="C463" s="818"/>
      <c r="D463" s="98" t="s">
        <v>301</v>
      </c>
      <c r="E463" s="98" t="s">
        <v>859</v>
      </c>
      <c r="F463" s="99" t="s">
        <v>839</v>
      </c>
      <c r="G463" s="107" t="s">
        <v>840</v>
      </c>
    </row>
    <row r="464" spans="1:8">
      <c r="A464" s="95"/>
      <c r="B464" s="821" t="s">
        <v>838</v>
      </c>
      <c r="C464" s="822"/>
      <c r="D464" s="100" t="s">
        <v>316</v>
      </c>
      <c r="E464" s="100" t="s">
        <v>315</v>
      </c>
      <c r="F464" s="101" t="s">
        <v>306</v>
      </c>
      <c r="G464" s="108" t="s">
        <v>319</v>
      </c>
    </row>
    <row r="465" spans="1:7">
      <c r="A465" s="95"/>
      <c r="B465" s="115"/>
      <c r="C465" s="102"/>
      <c r="D465" s="103"/>
      <c r="E465" s="103" t="s">
        <v>317</v>
      </c>
      <c r="F465" s="104" t="s">
        <v>318</v>
      </c>
      <c r="G465" s="109"/>
    </row>
    <row r="466" spans="1:7">
      <c r="A466" s="95"/>
      <c r="B466" s="823" t="str">
        <f>'MANO DE OBRA'!B10</f>
        <v>AYUDANTE CUAD. TIPO AA</v>
      </c>
      <c r="C466" s="824"/>
      <c r="D466" s="87">
        <v>1</v>
      </c>
      <c r="E466" s="80">
        <f>'MANO DE OBRA'!E10</f>
        <v>34680</v>
      </c>
      <c r="F466" s="81">
        <v>6</v>
      </c>
      <c r="G466" s="110">
        <f>ROUND(D466*E466/F466,0)</f>
        <v>5780</v>
      </c>
    </row>
    <row r="467" spans="1:7">
      <c r="A467" s="95"/>
      <c r="B467" s="835" t="str">
        <f>'MANO DE OBRA'!B15</f>
        <v xml:space="preserve">OFICIAL CUAD. TIPO AA </v>
      </c>
      <c r="C467" s="836"/>
      <c r="D467" s="37">
        <v>1</v>
      </c>
      <c r="E467" s="82">
        <f>'MANO DE OBRA'!E15</f>
        <v>71474</v>
      </c>
      <c r="F467" s="83">
        <v>6</v>
      </c>
      <c r="G467" s="111">
        <f>ROUND(D467*E467/F467,0)</f>
        <v>11912</v>
      </c>
    </row>
    <row r="468" spans="1:7">
      <c r="A468" s="95"/>
      <c r="B468" s="835"/>
      <c r="C468" s="836"/>
      <c r="D468" s="89"/>
      <c r="E468" s="82"/>
      <c r="F468" s="83"/>
      <c r="G468" s="111"/>
    </row>
    <row r="469" spans="1:7">
      <c r="A469" s="95"/>
      <c r="B469" s="835" t="s">
        <v>841</v>
      </c>
      <c r="C469" s="836"/>
      <c r="D469" s="37"/>
      <c r="E469" s="82"/>
      <c r="F469" s="83"/>
      <c r="G469" s="111"/>
    </row>
    <row r="470" spans="1:7" ht="13.5" thickBot="1">
      <c r="A470" s="95"/>
      <c r="B470" s="828" t="s">
        <v>841</v>
      </c>
      <c r="C470" s="829"/>
      <c r="D470" s="77"/>
      <c r="E470" s="82"/>
      <c r="F470" s="86"/>
      <c r="G470" s="112"/>
    </row>
    <row r="471" spans="1:7" ht="14.25" thickTop="1" thickBot="1">
      <c r="A471" s="95"/>
      <c r="B471" s="808"/>
      <c r="C471" s="808"/>
      <c r="D471" s="808"/>
      <c r="E471" s="809"/>
      <c r="F471" s="120" t="s">
        <v>856</v>
      </c>
      <c r="G471" s="118">
        <f>SUM(G466:G470)</f>
        <v>17692</v>
      </c>
    </row>
    <row r="472" spans="1:7" ht="14.25" thickTop="1" thickBot="1">
      <c r="A472" s="95"/>
      <c r="B472" s="810"/>
      <c r="C472" s="810"/>
      <c r="D472" s="810"/>
      <c r="E472" s="810"/>
      <c r="F472" s="810"/>
      <c r="G472" s="810"/>
    </row>
    <row r="473" spans="1:7" ht="13.5" thickTop="1">
      <c r="A473" s="95"/>
      <c r="B473" s="811" t="s">
        <v>321</v>
      </c>
      <c r="C473" s="812"/>
      <c r="D473" s="812"/>
      <c r="E473" s="812"/>
      <c r="F473" s="812"/>
      <c r="G473" s="825"/>
    </row>
    <row r="474" spans="1:7">
      <c r="A474" s="95"/>
      <c r="B474" s="817" t="s">
        <v>838</v>
      </c>
      <c r="C474" s="818"/>
      <c r="D474" s="98" t="s">
        <v>301</v>
      </c>
      <c r="E474" s="98" t="s">
        <v>297</v>
      </c>
      <c r="F474" s="99" t="s">
        <v>839</v>
      </c>
      <c r="G474" s="107" t="s">
        <v>840</v>
      </c>
    </row>
    <row r="475" spans="1:7">
      <c r="A475" s="95"/>
      <c r="B475" s="115"/>
      <c r="C475" s="102"/>
      <c r="D475" s="103" t="s">
        <v>322</v>
      </c>
      <c r="E475" s="103" t="s">
        <v>323</v>
      </c>
      <c r="F475" s="104" t="s">
        <v>324</v>
      </c>
      <c r="G475" s="109" t="s">
        <v>325</v>
      </c>
    </row>
    <row r="476" spans="1:7">
      <c r="A476" s="95"/>
      <c r="B476" s="826"/>
      <c r="C476" s="827"/>
      <c r="D476" s="96"/>
      <c r="E476" s="96"/>
      <c r="F476" s="96"/>
      <c r="G476" s="116"/>
    </row>
    <row r="477" spans="1:7" ht="13.5" thickBot="1">
      <c r="A477" s="95"/>
      <c r="B477" s="828" t="s">
        <v>841</v>
      </c>
      <c r="C477" s="829"/>
      <c r="D477" s="77"/>
      <c r="E477" s="82"/>
      <c r="F477" s="86"/>
      <c r="G477" s="112"/>
    </row>
    <row r="478" spans="1:7" ht="14.25" thickTop="1" thickBot="1">
      <c r="A478" s="95"/>
      <c r="B478" s="808"/>
      <c r="C478" s="808"/>
      <c r="D478" s="808"/>
      <c r="E478" s="809"/>
      <c r="F478" s="120" t="s">
        <v>856</v>
      </c>
      <c r="G478" s="118">
        <f>SUM(G473:G477)</f>
        <v>0</v>
      </c>
    </row>
    <row r="479" spans="1:7" ht="14.25" thickTop="1" thickBot="1">
      <c r="A479" s="95"/>
      <c r="B479" s="810"/>
      <c r="C479" s="810"/>
      <c r="D479" s="810"/>
      <c r="E479" s="810"/>
      <c r="F479" s="810"/>
      <c r="G479" s="834"/>
    </row>
    <row r="480" spans="1:7" ht="13.5" thickTop="1">
      <c r="A480" s="95"/>
      <c r="B480" s="811" t="s">
        <v>326</v>
      </c>
      <c r="C480" s="812"/>
      <c r="D480" s="812"/>
      <c r="E480" s="812"/>
      <c r="F480" s="813"/>
      <c r="G480" s="121">
        <f>+G444+G460+G471</f>
        <v>95002</v>
      </c>
    </row>
    <row r="481" spans="1:8">
      <c r="A481" s="95"/>
      <c r="B481" s="814" t="s">
        <v>861</v>
      </c>
      <c r="C481" s="815"/>
      <c r="D481" s="815"/>
      <c r="E481" s="816"/>
      <c r="F481" s="128">
        <f>'MANO DE OBRA'!D122</f>
        <v>0</v>
      </c>
      <c r="G481" s="122">
        <f>ROUND(G480*F481,0)</f>
        <v>0</v>
      </c>
    </row>
    <row r="482" spans="1:8" ht="13.5" thickBot="1">
      <c r="A482" s="95"/>
      <c r="B482" s="805" t="s">
        <v>1049</v>
      </c>
      <c r="C482" s="806"/>
      <c r="D482" s="806"/>
      <c r="E482" s="806"/>
      <c r="F482" s="807"/>
      <c r="G482" s="118">
        <f>ROUND(G480+G481,-2)</f>
        <v>95000</v>
      </c>
      <c r="H482" s="505" t="s">
        <v>1670</v>
      </c>
    </row>
    <row r="483" spans="1:8" ht="13.5" thickTop="1">
      <c r="A483" s="95"/>
      <c r="B483" s="90" t="s">
        <v>303</v>
      </c>
      <c r="C483" s="843"/>
      <c r="D483" s="843"/>
      <c r="E483" s="843"/>
      <c r="F483" s="92" t="s">
        <v>781</v>
      </c>
      <c r="G483" s="93" t="s">
        <v>831</v>
      </c>
    </row>
    <row r="484" spans="1:8">
      <c r="A484" s="95"/>
      <c r="B484" s="91" t="s">
        <v>834</v>
      </c>
      <c r="C484" s="844" t="s">
        <v>368</v>
      </c>
      <c r="D484" s="844"/>
      <c r="E484" s="844"/>
      <c r="F484" s="15" t="s">
        <v>833</v>
      </c>
      <c r="G484" s="165" t="str">
        <f>'MANO DE OBRA'!D61</f>
        <v>Agosto de 2010</v>
      </c>
    </row>
    <row r="485" spans="1:8" ht="13.5" thickBot="1">
      <c r="A485" s="127"/>
      <c r="B485" s="94" t="s">
        <v>835</v>
      </c>
      <c r="C485" s="845" t="s">
        <v>434</v>
      </c>
      <c r="D485" s="845"/>
      <c r="E485" s="845"/>
      <c r="F485" s="845"/>
      <c r="G485" s="846"/>
    </row>
    <row r="486" spans="1:8" ht="14.25" thickTop="1" thickBot="1">
      <c r="A486" s="95"/>
      <c r="B486" s="847"/>
      <c r="C486" s="847"/>
      <c r="D486" s="847"/>
      <c r="E486" s="847"/>
      <c r="F486" s="847"/>
      <c r="G486" s="847"/>
    </row>
    <row r="487" spans="1:8" ht="13.5" thickTop="1">
      <c r="A487" s="95"/>
      <c r="B487" s="811" t="s">
        <v>304</v>
      </c>
      <c r="C487" s="812"/>
      <c r="D487" s="812"/>
      <c r="E487" s="812"/>
      <c r="F487" s="812"/>
      <c r="G487" s="825"/>
    </row>
    <row r="488" spans="1:8">
      <c r="A488" s="95"/>
      <c r="B488" s="105"/>
      <c r="C488" s="97"/>
      <c r="D488" s="98" t="s">
        <v>301</v>
      </c>
      <c r="E488" s="98" t="s">
        <v>1072</v>
      </c>
      <c r="F488" s="99" t="s">
        <v>839</v>
      </c>
      <c r="G488" s="107" t="s">
        <v>840</v>
      </c>
    </row>
    <row r="489" spans="1:8">
      <c r="A489" s="95"/>
      <c r="B489" s="821" t="s">
        <v>838</v>
      </c>
      <c r="C489" s="822"/>
      <c r="D489" s="100" t="s">
        <v>308</v>
      </c>
      <c r="E489" s="100" t="s">
        <v>305</v>
      </c>
      <c r="F489" s="101" t="s">
        <v>306</v>
      </c>
      <c r="G489" s="108" t="s">
        <v>310</v>
      </c>
    </row>
    <row r="490" spans="1:8">
      <c r="A490" s="95"/>
      <c r="B490" s="115"/>
      <c r="C490" s="102"/>
      <c r="D490" s="103"/>
      <c r="E490" s="103" t="s">
        <v>309</v>
      </c>
      <c r="F490" s="104" t="s">
        <v>307</v>
      </c>
      <c r="G490" s="109"/>
    </row>
    <row r="491" spans="1:8">
      <c r="A491" s="127"/>
      <c r="B491" s="823" t="str">
        <f>'MAQUINARIA Y EQUIPOS'!C28</f>
        <v>HERRAMIENTAS MENORES</v>
      </c>
      <c r="C491" s="824"/>
      <c r="D491" s="87">
        <v>1</v>
      </c>
      <c r="E491" s="82">
        <f>ROUND(G524*0.05,0)</f>
        <v>1062</v>
      </c>
      <c r="F491" s="81">
        <v>1</v>
      </c>
      <c r="G491" s="110">
        <f>ROUND(D491*E491/F491,0)</f>
        <v>1062</v>
      </c>
    </row>
    <row r="492" spans="1:8">
      <c r="A492" s="95"/>
      <c r="B492" s="835" t="str">
        <f>'MAQUINARIA Y EQUIPOS'!C53</f>
        <v>VIBRADOR A GASOLINA</v>
      </c>
      <c r="C492" s="836"/>
      <c r="D492" s="37">
        <v>1</v>
      </c>
      <c r="E492" s="82">
        <f>'MAQUINARIA Y EQUIPOS'!D53</f>
        <v>51040</v>
      </c>
      <c r="F492" s="83">
        <v>25</v>
      </c>
      <c r="G492" s="111">
        <f>ROUND(D492*E492/F492,0)</f>
        <v>2042</v>
      </c>
    </row>
    <row r="493" spans="1:8">
      <c r="A493" s="95"/>
      <c r="B493" s="835" t="str">
        <f>'MAQUINARIA Y EQUIPOS'!C9</f>
        <v>ANDAMIO TUBULAR 1.50 m</v>
      </c>
      <c r="C493" s="836"/>
      <c r="D493" s="37">
        <v>3</v>
      </c>
      <c r="E493" s="82">
        <f>'MAQUINARIA Y EQUIPOS'!D9</f>
        <v>754</v>
      </c>
      <c r="F493" s="83">
        <f>+F519</f>
        <v>5</v>
      </c>
      <c r="G493" s="111">
        <f>ROUND(D493*E493/F493,0)</f>
        <v>452</v>
      </c>
    </row>
    <row r="494" spans="1:8">
      <c r="A494" s="95"/>
      <c r="B494" s="835" t="str">
        <f>'MAQUINARIA Y EQUIPOS'!C47</f>
        <v>TABLONES 3m</v>
      </c>
      <c r="C494" s="836"/>
      <c r="D494" s="37">
        <v>2</v>
      </c>
      <c r="E494" s="82">
        <f>'MAQUINARIA Y EQUIPOS'!D47</f>
        <v>348</v>
      </c>
      <c r="F494" s="83">
        <f>+F519</f>
        <v>5</v>
      </c>
      <c r="G494" s="111">
        <f>ROUND(D494*E494/F494,0)</f>
        <v>139</v>
      </c>
    </row>
    <row r="495" spans="1:8">
      <c r="A495" s="95"/>
      <c r="B495" s="835" t="str">
        <f>'MAQUINARIA Y EQUIPOS'!C37</f>
        <v>PARAL TELESCOPICO 3 MTS</v>
      </c>
      <c r="C495" s="836"/>
      <c r="D495" s="37">
        <v>3</v>
      </c>
      <c r="E495" s="82">
        <f>'MAQUINARIA Y EQUIPOS'!D37</f>
        <v>290</v>
      </c>
      <c r="F495" s="83">
        <f>+F520</f>
        <v>5</v>
      </c>
      <c r="G495" s="111">
        <f>ROUND(D495*E495/F495,0)</f>
        <v>174</v>
      </c>
    </row>
    <row r="496" spans="1:8" ht="13.5" thickBot="1">
      <c r="A496" s="95"/>
      <c r="B496" s="839" t="s">
        <v>841</v>
      </c>
      <c r="C496" s="840"/>
      <c r="D496" s="77"/>
      <c r="E496" s="106"/>
      <c r="F496" s="86"/>
      <c r="G496" s="112"/>
    </row>
    <row r="497" spans="1:8" ht="14.25" thickTop="1" thickBot="1">
      <c r="A497" s="95"/>
      <c r="B497" s="808"/>
      <c r="C497" s="808"/>
      <c r="D497" s="808"/>
      <c r="E497" s="809"/>
      <c r="F497" s="119" t="s">
        <v>856</v>
      </c>
      <c r="G497" s="118">
        <f>SUM(G491:G496)</f>
        <v>3869</v>
      </c>
    </row>
    <row r="498" spans="1:8" ht="14.25" thickTop="1" thickBot="1">
      <c r="A498" s="95"/>
      <c r="B498" s="830"/>
      <c r="C498" s="830"/>
      <c r="D498" s="830"/>
      <c r="E498" s="830"/>
      <c r="F498" s="830"/>
      <c r="G498" s="830"/>
    </row>
    <row r="499" spans="1:8" ht="13.5" thickTop="1">
      <c r="A499" s="95"/>
      <c r="B499" s="811" t="s">
        <v>311</v>
      </c>
      <c r="C499" s="812"/>
      <c r="D499" s="812"/>
      <c r="E499" s="812"/>
      <c r="F499" s="812"/>
      <c r="G499" s="825"/>
    </row>
    <row r="500" spans="1:8">
      <c r="A500" s="95"/>
      <c r="B500" s="817" t="s">
        <v>838</v>
      </c>
      <c r="C500" s="818"/>
      <c r="D500" s="98" t="s">
        <v>842</v>
      </c>
      <c r="E500" s="98" t="s">
        <v>853</v>
      </c>
      <c r="F500" s="99" t="s">
        <v>1047</v>
      </c>
      <c r="G500" s="107" t="s">
        <v>840</v>
      </c>
    </row>
    <row r="501" spans="1:8">
      <c r="A501" s="95"/>
      <c r="B501" s="115"/>
      <c r="C501" s="102"/>
      <c r="D501" s="100"/>
      <c r="E501" s="100" t="s">
        <v>312</v>
      </c>
      <c r="F501" s="101" t="s">
        <v>313</v>
      </c>
      <c r="G501" s="108" t="s">
        <v>314</v>
      </c>
    </row>
    <row r="502" spans="1:8" ht="14.25">
      <c r="A502" s="125"/>
      <c r="B502" s="841" t="str">
        <f>MATERIALES2!C35</f>
        <v>CONCRETO 1:2:3-3000 psi(MATERIALES)</v>
      </c>
      <c r="C502" s="842"/>
      <c r="D502" s="87" t="s">
        <v>1066</v>
      </c>
      <c r="E502" s="140">
        <v>0.13500000000000001</v>
      </c>
      <c r="F502" s="80">
        <f>MATERIALES2!E35</f>
        <v>367600</v>
      </c>
      <c r="G502" s="110">
        <f t="shared" ref="G502:G508" si="9">ROUND(E502*F502,0)</f>
        <v>49626</v>
      </c>
    </row>
    <row r="503" spans="1:8">
      <c r="A503" s="123"/>
      <c r="B503" s="854" t="str">
        <f>MATERIALES2!C163</f>
        <v>TABLON 2x12x10</v>
      </c>
      <c r="C503" s="855"/>
      <c r="D503" s="37" t="s">
        <v>865</v>
      </c>
      <c r="E503" s="83">
        <f>ROUND(2*1/3/4,2)</f>
        <v>0.17</v>
      </c>
      <c r="F503" s="82">
        <f>MATERIALES2!E163</f>
        <v>20000</v>
      </c>
      <c r="G503" s="111">
        <f t="shared" si="9"/>
        <v>3400</v>
      </c>
    </row>
    <row r="504" spans="1:8">
      <c r="A504" s="95"/>
      <c r="B504" s="854" t="str">
        <f>MATERIALES2!C151</f>
        <v>ABARCO DE 2X2X4,50</v>
      </c>
      <c r="C504" s="855"/>
      <c r="D504" s="37" t="s">
        <v>865</v>
      </c>
      <c r="E504" s="83">
        <f>ROUND((0.6*2+0.4*2)*3/4.5/4,2)</f>
        <v>0.33</v>
      </c>
      <c r="F504" s="82">
        <f>MATERIALES2!E151</f>
        <v>5000</v>
      </c>
      <c r="G504" s="111">
        <f t="shared" si="9"/>
        <v>1650</v>
      </c>
    </row>
    <row r="505" spans="1:8">
      <c r="A505" s="95"/>
      <c r="B505" s="854" t="str">
        <f>MATERIALES2!C919</f>
        <v>PUNTILLAS DE 3"</v>
      </c>
      <c r="C505" s="855"/>
      <c r="D505" s="37" t="s">
        <v>922</v>
      </c>
      <c r="E505" s="83">
        <v>1</v>
      </c>
      <c r="F505" s="82">
        <f>MATERIALES2!E919</f>
        <v>1500</v>
      </c>
      <c r="G505" s="111">
        <f t="shared" si="9"/>
        <v>1500</v>
      </c>
    </row>
    <row r="506" spans="1:8">
      <c r="A506" s="95"/>
      <c r="B506" s="854" t="str">
        <f>MATERIALES2!C62</f>
        <v>HIERRO CHIPA 3/8"</v>
      </c>
      <c r="C506" s="855"/>
      <c r="D506" s="37" t="s">
        <v>925</v>
      </c>
      <c r="E506" s="146">
        <f>ROUND(12*1.5*0.61,2)</f>
        <v>10.98</v>
      </c>
      <c r="F506" s="82">
        <f>MATERIALES2!E62</f>
        <v>2100</v>
      </c>
      <c r="G506" s="111">
        <f t="shared" si="9"/>
        <v>23058</v>
      </c>
    </row>
    <row r="507" spans="1:8">
      <c r="A507" s="95"/>
      <c r="B507" s="854" t="str">
        <f>MATERIALES2!C71</f>
        <v>VARILLA CORRUGADA 5/8" x 6.0 M</v>
      </c>
      <c r="C507" s="855"/>
      <c r="D507" s="37" t="s">
        <v>865</v>
      </c>
      <c r="E507" s="146">
        <v>0.93</v>
      </c>
      <c r="F507" s="82">
        <f>MATERIALES2!E71</f>
        <v>17700</v>
      </c>
      <c r="G507" s="111">
        <f t="shared" si="9"/>
        <v>16461</v>
      </c>
    </row>
    <row r="508" spans="1:8">
      <c r="A508" s="95"/>
      <c r="B508" s="854" t="str">
        <f>MATERIALES2!C65</f>
        <v>ALAMBRE NEGRO</v>
      </c>
      <c r="C508" s="855"/>
      <c r="D508" s="37" t="s">
        <v>925</v>
      </c>
      <c r="E508" s="138">
        <v>0.5</v>
      </c>
      <c r="F508" s="82">
        <f>MATERIALES2!E65</f>
        <v>2100</v>
      </c>
      <c r="G508" s="111">
        <f t="shared" si="9"/>
        <v>1050</v>
      </c>
    </row>
    <row r="509" spans="1:8">
      <c r="A509" s="95"/>
      <c r="B509" s="854" t="str">
        <f>MATERIALES2!C74</f>
        <v>VARILLA CORRUGADA DE 1" x 6.0 M</v>
      </c>
      <c r="C509" s="855"/>
      <c r="D509" s="37" t="s">
        <v>865</v>
      </c>
      <c r="E509" s="146">
        <v>0.93</v>
      </c>
      <c r="F509" s="82">
        <f>MATERIALES2!E74</f>
        <v>47800</v>
      </c>
      <c r="G509" s="111">
        <f>ROUND(E509*F509,0)</f>
        <v>44454</v>
      </c>
      <c r="H509" s="505" t="s">
        <v>1670</v>
      </c>
    </row>
    <row r="510" spans="1:8" ht="13.5" thickBot="1">
      <c r="A510" s="95"/>
      <c r="B510" s="828" t="str">
        <f>MATERIALES2!C162</f>
        <v>TABLON 2X10X10</v>
      </c>
      <c r="C510" s="829"/>
      <c r="D510" s="37" t="s">
        <v>865</v>
      </c>
      <c r="E510" s="83">
        <f>ROUND(4*1/3/4,2)</f>
        <v>0.33</v>
      </c>
      <c r="F510" s="82">
        <f>MATERIALES2!E162</f>
        <v>16700</v>
      </c>
      <c r="G510" s="111">
        <f>ROUND(E510*F510,0)</f>
        <v>5511</v>
      </c>
    </row>
    <row r="511" spans="1:8" ht="13.5" thickTop="1">
      <c r="A511" s="95"/>
      <c r="B511" s="808"/>
      <c r="C511" s="809"/>
      <c r="D511" s="801" t="s">
        <v>856</v>
      </c>
      <c r="E511" s="802"/>
      <c r="F511" s="9"/>
      <c r="G511" s="113">
        <f>SUM(G502:G510)</f>
        <v>146710</v>
      </c>
    </row>
    <row r="512" spans="1:8">
      <c r="A512" s="95"/>
      <c r="B512" s="819"/>
      <c r="C512" s="820"/>
      <c r="D512" s="801" t="s">
        <v>857</v>
      </c>
      <c r="E512" s="802"/>
      <c r="F512" s="79">
        <f>'MANO DE OBRA'!D60</f>
        <v>0.05</v>
      </c>
      <c r="G512" s="113">
        <f>ROUND(G511*F512,0)</f>
        <v>7336</v>
      </c>
    </row>
    <row r="513" spans="1:7" ht="13.5" thickBot="1">
      <c r="A513" s="95"/>
      <c r="B513" s="819"/>
      <c r="C513" s="820"/>
      <c r="D513" s="803" t="s">
        <v>320</v>
      </c>
      <c r="E513" s="804"/>
      <c r="F513" s="114"/>
      <c r="G513" s="118">
        <f>+G511+G512</f>
        <v>154046</v>
      </c>
    </row>
    <row r="514" spans="1:7" ht="14.25" thickTop="1" thickBot="1">
      <c r="A514" s="95"/>
      <c r="B514" s="830"/>
      <c r="C514" s="830"/>
      <c r="D514" s="830"/>
      <c r="E514" s="830"/>
      <c r="F514" s="830"/>
      <c r="G514" s="830"/>
    </row>
    <row r="515" spans="1:7" ht="13.5" thickTop="1">
      <c r="A515" s="95"/>
      <c r="B515" s="811" t="s">
        <v>858</v>
      </c>
      <c r="C515" s="812"/>
      <c r="D515" s="812"/>
      <c r="E515" s="812"/>
      <c r="F515" s="812"/>
      <c r="G515" s="825"/>
    </row>
    <row r="516" spans="1:7">
      <c r="A516" s="95"/>
      <c r="B516" s="817"/>
      <c r="C516" s="818"/>
      <c r="D516" s="98" t="s">
        <v>301</v>
      </c>
      <c r="E516" s="98" t="s">
        <v>859</v>
      </c>
      <c r="F516" s="99" t="s">
        <v>839</v>
      </c>
      <c r="G516" s="107" t="s">
        <v>840</v>
      </c>
    </row>
    <row r="517" spans="1:7">
      <c r="A517" s="95"/>
      <c r="B517" s="821" t="s">
        <v>838</v>
      </c>
      <c r="C517" s="822"/>
      <c r="D517" s="100" t="s">
        <v>316</v>
      </c>
      <c r="E517" s="100" t="s">
        <v>315</v>
      </c>
      <c r="F517" s="101" t="s">
        <v>306</v>
      </c>
      <c r="G517" s="108" t="s">
        <v>319</v>
      </c>
    </row>
    <row r="518" spans="1:7">
      <c r="A518" s="95"/>
      <c r="B518" s="115"/>
      <c r="C518" s="102"/>
      <c r="D518" s="103"/>
      <c r="E518" s="103" t="s">
        <v>317</v>
      </c>
      <c r="F518" s="104" t="s">
        <v>318</v>
      </c>
      <c r="G518" s="109"/>
    </row>
    <row r="519" spans="1:7">
      <c r="A519" s="95"/>
      <c r="B519" s="823" t="str">
        <f>'MANO DE OBRA'!B10</f>
        <v>AYUDANTE CUAD. TIPO AA</v>
      </c>
      <c r="C519" s="824"/>
      <c r="D519" s="87">
        <v>1</v>
      </c>
      <c r="E519" s="80">
        <f>'MANO DE OBRA'!E10</f>
        <v>34680</v>
      </c>
      <c r="F519" s="81">
        <v>5</v>
      </c>
      <c r="G519" s="110">
        <f>ROUND(D519*E519/F519,0)</f>
        <v>6936</v>
      </c>
    </row>
    <row r="520" spans="1:7">
      <c r="A520" s="95"/>
      <c r="B520" s="835" t="str">
        <f>'MANO DE OBRA'!B15</f>
        <v xml:space="preserve">OFICIAL CUAD. TIPO AA </v>
      </c>
      <c r="C520" s="836"/>
      <c r="D520" s="37">
        <v>1</v>
      </c>
      <c r="E520" s="82">
        <f>'MANO DE OBRA'!E15</f>
        <v>71474</v>
      </c>
      <c r="F520" s="83">
        <v>5</v>
      </c>
      <c r="G520" s="111">
        <f>ROUND(D520*E520/F520,0)</f>
        <v>14295</v>
      </c>
    </row>
    <row r="521" spans="1:7">
      <c r="A521" s="95"/>
      <c r="B521" s="835"/>
      <c r="C521" s="836"/>
      <c r="D521" s="89"/>
      <c r="E521" s="82"/>
      <c r="F521" s="83"/>
      <c r="G521" s="111"/>
    </row>
    <row r="522" spans="1:7">
      <c r="A522" s="95"/>
      <c r="B522" s="835" t="s">
        <v>841</v>
      </c>
      <c r="C522" s="836"/>
      <c r="D522" s="37"/>
      <c r="E522" s="82"/>
      <c r="F522" s="83"/>
      <c r="G522" s="111"/>
    </row>
    <row r="523" spans="1:7" ht="13.5" thickBot="1">
      <c r="A523" s="95"/>
      <c r="B523" s="828" t="s">
        <v>841</v>
      </c>
      <c r="C523" s="829"/>
      <c r="D523" s="77"/>
      <c r="E523" s="82"/>
      <c r="F523" s="86"/>
      <c r="G523" s="112"/>
    </row>
    <row r="524" spans="1:7" ht="14.25" thickTop="1" thickBot="1">
      <c r="A524" s="95"/>
      <c r="B524" s="808"/>
      <c r="C524" s="808"/>
      <c r="D524" s="808"/>
      <c r="E524" s="809"/>
      <c r="F524" s="120" t="s">
        <v>856</v>
      </c>
      <c r="G524" s="118">
        <f>SUM(G519:G523)</f>
        <v>21231</v>
      </c>
    </row>
    <row r="525" spans="1:7" ht="14.25" thickTop="1" thickBot="1">
      <c r="A525" s="95"/>
      <c r="B525" s="810"/>
      <c r="C525" s="810"/>
      <c r="D525" s="810"/>
      <c r="E525" s="810"/>
      <c r="F525" s="810"/>
      <c r="G525" s="810"/>
    </row>
    <row r="526" spans="1:7" ht="13.5" thickTop="1">
      <c r="A526" s="95"/>
      <c r="B526" s="811" t="s">
        <v>321</v>
      </c>
      <c r="C526" s="812"/>
      <c r="D526" s="812"/>
      <c r="E526" s="812"/>
      <c r="F526" s="812"/>
      <c r="G526" s="825"/>
    </row>
    <row r="527" spans="1:7">
      <c r="A527" s="95"/>
      <c r="B527" s="817" t="s">
        <v>838</v>
      </c>
      <c r="C527" s="818"/>
      <c r="D527" s="98" t="s">
        <v>301</v>
      </c>
      <c r="E527" s="98" t="s">
        <v>297</v>
      </c>
      <c r="F527" s="99" t="s">
        <v>839</v>
      </c>
      <c r="G527" s="107" t="s">
        <v>840</v>
      </c>
    </row>
    <row r="528" spans="1:7">
      <c r="A528" s="95"/>
      <c r="B528" s="115"/>
      <c r="C528" s="102"/>
      <c r="D528" s="103" t="s">
        <v>322</v>
      </c>
      <c r="E528" s="103" t="s">
        <v>323</v>
      </c>
      <c r="F528" s="104" t="s">
        <v>324</v>
      </c>
      <c r="G528" s="109" t="s">
        <v>325</v>
      </c>
    </row>
    <row r="529" spans="1:8">
      <c r="A529" s="95"/>
      <c r="B529" s="826"/>
      <c r="C529" s="827"/>
      <c r="D529" s="96"/>
      <c r="E529" s="96"/>
      <c r="F529" s="96"/>
      <c r="G529" s="116"/>
    </row>
    <row r="530" spans="1:8" ht="13.5" thickBot="1">
      <c r="A530" s="95"/>
      <c r="B530" s="828" t="s">
        <v>841</v>
      </c>
      <c r="C530" s="829"/>
      <c r="D530" s="77"/>
      <c r="E530" s="82"/>
      <c r="F530" s="86"/>
      <c r="G530" s="112"/>
    </row>
    <row r="531" spans="1:8" ht="14.25" thickTop="1" thickBot="1">
      <c r="A531" s="95"/>
      <c r="B531" s="808"/>
      <c r="C531" s="808"/>
      <c r="D531" s="808"/>
      <c r="E531" s="809"/>
      <c r="F531" s="120" t="s">
        <v>856</v>
      </c>
      <c r="G531" s="118">
        <f>SUM(G526:G530)</f>
        <v>0</v>
      </c>
    </row>
    <row r="532" spans="1:8" ht="14.25" thickTop="1" thickBot="1">
      <c r="A532" s="95"/>
      <c r="B532" s="810"/>
      <c r="C532" s="810"/>
      <c r="D532" s="810"/>
      <c r="E532" s="810"/>
      <c r="F532" s="810"/>
      <c r="G532" s="834"/>
    </row>
    <row r="533" spans="1:8" ht="13.5" thickTop="1">
      <c r="A533" s="95"/>
      <c r="B533" s="811" t="s">
        <v>326</v>
      </c>
      <c r="C533" s="812"/>
      <c r="D533" s="812"/>
      <c r="E533" s="812"/>
      <c r="F533" s="813"/>
      <c r="G533" s="121">
        <f>+G497+G513+G524</f>
        <v>179146</v>
      </c>
    </row>
    <row r="534" spans="1:8">
      <c r="A534" s="95"/>
      <c r="B534" s="814" t="s">
        <v>861</v>
      </c>
      <c r="C534" s="815"/>
      <c r="D534" s="815"/>
      <c r="E534" s="816"/>
      <c r="F534" s="128">
        <f>'MANO DE OBRA'!D122</f>
        <v>0</v>
      </c>
      <c r="G534" s="122">
        <f>ROUND(G533*F534,0)</f>
        <v>0</v>
      </c>
    </row>
    <row r="535" spans="1:8" ht="13.5" thickBot="1">
      <c r="A535" s="95"/>
      <c r="B535" s="805" t="s">
        <v>1049</v>
      </c>
      <c r="C535" s="806"/>
      <c r="D535" s="806"/>
      <c r="E535" s="806"/>
      <c r="F535" s="807"/>
      <c r="G535" s="118">
        <f>ROUND(G533+G534,-2)</f>
        <v>179100</v>
      </c>
      <c r="H535" s="505" t="s">
        <v>1670</v>
      </c>
    </row>
    <row r="536" spans="1:8" ht="13.5" thickTop="1">
      <c r="A536" s="95"/>
      <c r="B536" s="90" t="s">
        <v>303</v>
      </c>
      <c r="C536" s="843"/>
      <c r="D536" s="843"/>
      <c r="E536" s="843"/>
      <c r="F536" s="92" t="s">
        <v>781</v>
      </c>
      <c r="G536" s="93" t="s">
        <v>831</v>
      </c>
    </row>
    <row r="537" spans="1:8">
      <c r="A537" s="95"/>
      <c r="B537" s="91" t="s">
        <v>834</v>
      </c>
      <c r="C537" s="844" t="s">
        <v>368</v>
      </c>
      <c r="D537" s="844"/>
      <c r="E537" s="844"/>
      <c r="F537" s="15" t="s">
        <v>833</v>
      </c>
      <c r="G537" s="165" t="str">
        <f>'MANO DE OBRA'!D61</f>
        <v>Agosto de 2010</v>
      </c>
    </row>
    <row r="538" spans="1:8" ht="13.5" thickBot="1">
      <c r="A538" s="127"/>
      <c r="B538" s="94" t="s">
        <v>835</v>
      </c>
      <c r="C538" s="845" t="s">
        <v>440</v>
      </c>
      <c r="D538" s="845"/>
      <c r="E538" s="845"/>
      <c r="F538" s="845"/>
      <c r="G538" s="846"/>
    </row>
    <row r="539" spans="1:8" ht="14.25" thickTop="1" thickBot="1">
      <c r="A539" s="95"/>
      <c r="B539" s="847"/>
      <c r="C539" s="847"/>
      <c r="D539" s="847"/>
      <c r="E539" s="847"/>
      <c r="F539" s="847"/>
      <c r="G539" s="847"/>
    </row>
    <row r="540" spans="1:8" ht="13.5" thickTop="1">
      <c r="A540" s="95"/>
      <c r="B540" s="811" t="s">
        <v>304</v>
      </c>
      <c r="C540" s="812"/>
      <c r="D540" s="812"/>
      <c r="E540" s="812"/>
      <c r="F540" s="812"/>
      <c r="G540" s="825"/>
    </row>
    <row r="541" spans="1:8">
      <c r="A541" s="95"/>
      <c r="B541" s="105"/>
      <c r="C541" s="97"/>
      <c r="D541" s="98" t="s">
        <v>301</v>
      </c>
      <c r="E541" s="98" t="s">
        <v>1072</v>
      </c>
      <c r="F541" s="99" t="s">
        <v>839</v>
      </c>
      <c r="G541" s="107" t="s">
        <v>840</v>
      </c>
    </row>
    <row r="542" spans="1:8">
      <c r="A542" s="95"/>
      <c r="B542" s="821" t="s">
        <v>838</v>
      </c>
      <c r="C542" s="822"/>
      <c r="D542" s="100" t="s">
        <v>308</v>
      </c>
      <c r="E542" s="100" t="s">
        <v>305</v>
      </c>
      <c r="F542" s="101" t="s">
        <v>306</v>
      </c>
      <c r="G542" s="108" t="s">
        <v>310</v>
      </c>
    </row>
    <row r="543" spans="1:8">
      <c r="A543" s="95"/>
      <c r="B543" s="115"/>
      <c r="C543" s="102"/>
      <c r="D543" s="103"/>
      <c r="E543" s="103" t="s">
        <v>309</v>
      </c>
      <c r="F543" s="104" t="s">
        <v>307</v>
      </c>
      <c r="G543" s="109"/>
    </row>
    <row r="544" spans="1:8">
      <c r="A544" s="127"/>
      <c r="B544" s="823" t="str">
        <f>'MAQUINARIA Y EQUIPOS'!C28</f>
        <v>HERRAMIENTAS MENORES</v>
      </c>
      <c r="C544" s="824"/>
      <c r="D544" s="87">
        <v>1</v>
      </c>
      <c r="E544" s="82">
        <f>ROUND(G577*0.05,0)</f>
        <v>1062</v>
      </c>
      <c r="F544" s="81">
        <v>1</v>
      </c>
      <c r="G544" s="110">
        <f>ROUND(D544*E544/F544,0)</f>
        <v>1062</v>
      </c>
    </row>
    <row r="545" spans="1:7">
      <c r="A545" s="95"/>
      <c r="B545" s="835" t="str">
        <f>'MAQUINARIA Y EQUIPOS'!C53</f>
        <v>VIBRADOR A GASOLINA</v>
      </c>
      <c r="C545" s="836"/>
      <c r="D545" s="37">
        <v>1</v>
      </c>
      <c r="E545" s="82">
        <f>'MAQUINARIA Y EQUIPOS'!D53</f>
        <v>51040</v>
      </c>
      <c r="F545" s="83">
        <v>25</v>
      </c>
      <c r="G545" s="111">
        <f>ROUND(D545*E545/F545,0)</f>
        <v>2042</v>
      </c>
    </row>
    <row r="546" spans="1:7">
      <c r="A546" s="95"/>
      <c r="B546" s="835" t="str">
        <f>'MAQUINARIA Y EQUIPOS'!C9</f>
        <v>ANDAMIO TUBULAR 1.50 m</v>
      </c>
      <c r="C546" s="836"/>
      <c r="D546" s="37">
        <v>3</v>
      </c>
      <c r="E546" s="82">
        <f>'MAQUINARIA Y EQUIPOS'!D9</f>
        <v>754</v>
      </c>
      <c r="F546" s="83">
        <f>+F572</f>
        <v>5</v>
      </c>
      <c r="G546" s="111">
        <f>ROUND(D546*E546/F546,0)</f>
        <v>452</v>
      </c>
    </row>
    <row r="547" spans="1:7">
      <c r="A547" s="95"/>
      <c r="B547" s="835" t="str">
        <f>'MAQUINARIA Y EQUIPOS'!C47</f>
        <v>TABLONES 3m</v>
      </c>
      <c r="C547" s="836"/>
      <c r="D547" s="37">
        <v>2</v>
      </c>
      <c r="E547" s="82">
        <f>'MAQUINARIA Y EQUIPOS'!D47</f>
        <v>348</v>
      </c>
      <c r="F547" s="83">
        <f>+F572</f>
        <v>5</v>
      </c>
      <c r="G547" s="111">
        <f>ROUND(D547*E547/F547,0)</f>
        <v>139</v>
      </c>
    </row>
    <row r="548" spans="1:7">
      <c r="A548" s="95"/>
      <c r="B548" s="835" t="str">
        <f>'MAQUINARIA Y EQUIPOS'!C37</f>
        <v>PARAL TELESCOPICO 3 MTS</v>
      </c>
      <c r="C548" s="836"/>
      <c r="D548" s="37">
        <v>3</v>
      </c>
      <c r="E548" s="82">
        <f>'MAQUINARIA Y EQUIPOS'!D37</f>
        <v>290</v>
      </c>
      <c r="F548" s="83">
        <f>+F573</f>
        <v>5</v>
      </c>
      <c r="G548" s="111">
        <f>ROUND(D548*E548/F548,0)</f>
        <v>174</v>
      </c>
    </row>
    <row r="549" spans="1:7" ht="13.5" thickBot="1">
      <c r="A549" s="95"/>
      <c r="B549" s="839" t="s">
        <v>841</v>
      </c>
      <c r="C549" s="840"/>
      <c r="D549" s="77"/>
      <c r="E549" s="106"/>
      <c r="F549" s="86"/>
      <c r="G549" s="112"/>
    </row>
    <row r="550" spans="1:7" ht="14.25" thickTop="1" thickBot="1">
      <c r="A550" s="95"/>
      <c r="B550" s="808"/>
      <c r="C550" s="808"/>
      <c r="D550" s="808"/>
      <c r="E550" s="809"/>
      <c r="F550" s="119" t="s">
        <v>856</v>
      </c>
      <c r="G550" s="118">
        <f>SUM(G544:G549)</f>
        <v>3869</v>
      </c>
    </row>
    <row r="551" spans="1:7" ht="14.25" thickTop="1" thickBot="1">
      <c r="A551" s="95"/>
      <c r="B551" s="830"/>
      <c r="C551" s="830"/>
      <c r="D551" s="830"/>
      <c r="E551" s="830"/>
      <c r="F551" s="830"/>
      <c r="G551" s="830"/>
    </row>
    <row r="552" spans="1:7" ht="13.5" thickTop="1">
      <c r="A552" s="95"/>
      <c r="B552" s="811" t="s">
        <v>311</v>
      </c>
      <c r="C552" s="812"/>
      <c r="D552" s="812"/>
      <c r="E552" s="812"/>
      <c r="F552" s="812"/>
      <c r="G552" s="825"/>
    </row>
    <row r="553" spans="1:7">
      <c r="A553" s="95"/>
      <c r="B553" s="817" t="s">
        <v>838</v>
      </c>
      <c r="C553" s="818"/>
      <c r="D553" s="98" t="s">
        <v>842</v>
      </c>
      <c r="E553" s="98" t="s">
        <v>853</v>
      </c>
      <c r="F553" s="99" t="s">
        <v>1047</v>
      </c>
      <c r="G553" s="107" t="s">
        <v>840</v>
      </c>
    </row>
    <row r="554" spans="1:7">
      <c r="A554" s="95"/>
      <c r="B554" s="115"/>
      <c r="C554" s="102"/>
      <c r="D554" s="100"/>
      <c r="E554" s="100" t="s">
        <v>312</v>
      </c>
      <c r="F554" s="101" t="s">
        <v>313</v>
      </c>
      <c r="G554" s="108" t="s">
        <v>314</v>
      </c>
    </row>
    <row r="555" spans="1:7" ht="14.25">
      <c r="A555" s="125"/>
      <c r="B555" s="841" t="str">
        <f>MATERIALES2!C35</f>
        <v>CONCRETO 1:2:3-3000 psi(MATERIALES)</v>
      </c>
      <c r="C555" s="842"/>
      <c r="D555" s="87" t="s">
        <v>1066</v>
      </c>
      <c r="E555" s="140">
        <v>0.13500000000000001</v>
      </c>
      <c r="F555" s="80">
        <f>MATERIALES2!E35</f>
        <v>367600</v>
      </c>
      <c r="G555" s="110">
        <f t="shared" ref="G555:G563" si="10">ROUND(E555*F555,0)</f>
        <v>49626</v>
      </c>
    </row>
    <row r="556" spans="1:7">
      <c r="A556" s="123"/>
      <c r="B556" s="854" t="str">
        <f>MATERIALES2!C163</f>
        <v>TABLON 2x12x10</v>
      </c>
      <c r="C556" s="855"/>
      <c r="D556" s="37" t="s">
        <v>865</v>
      </c>
      <c r="E556" s="83">
        <f>ROUND(2*1/3/4,2)</f>
        <v>0.17</v>
      </c>
      <c r="F556" s="82">
        <f>MATERIALES2!E163</f>
        <v>20000</v>
      </c>
      <c r="G556" s="111">
        <f t="shared" si="10"/>
        <v>3400</v>
      </c>
    </row>
    <row r="557" spans="1:7">
      <c r="A557" s="95"/>
      <c r="B557" s="854" t="str">
        <f>MATERIALES2!C151</f>
        <v>ABARCO DE 2X2X4,50</v>
      </c>
      <c r="C557" s="855"/>
      <c r="D557" s="37" t="s">
        <v>865</v>
      </c>
      <c r="E557" s="83">
        <f>ROUND((0.6*2+0.4*2)*3/4.5/4,2)</f>
        <v>0.33</v>
      </c>
      <c r="F557" s="82">
        <f>MATERIALES2!E151</f>
        <v>5000</v>
      </c>
      <c r="G557" s="111">
        <f t="shared" si="10"/>
        <v>1650</v>
      </c>
    </row>
    <row r="558" spans="1:7">
      <c r="A558" s="95"/>
      <c r="B558" s="854" t="str">
        <f>MATERIALES2!C919</f>
        <v>PUNTILLAS DE 3"</v>
      </c>
      <c r="C558" s="855"/>
      <c r="D558" s="37" t="s">
        <v>922</v>
      </c>
      <c r="E558" s="83">
        <v>1</v>
      </c>
      <c r="F558" s="82">
        <f>MATERIALES2!E919</f>
        <v>1500</v>
      </c>
      <c r="G558" s="111">
        <f t="shared" si="10"/>
        <v>1500</v>
      </c>
    </row>
    <row r="559" spans="1:7">
      <c r="A559" s="95"/>
      <c r="B559" s="854" t="str">
        <f>MATERIALES2!C62</f>
        <v>HIERRO CHIPA 3/8"</v>
      </c>
      <c r="C559" s="855"/>
      <c r="D559" s="37" t="s">
        <v>925</v>
      </c>
      <c r="E559" s="146">
        <f>ROUND(12*1.5*0.61,2)</f>
        <v>10.98</v>
      </c>
      <c r="F559" s="82">
        <f>MATERIALES2!E62</f>
        <v>2100</v>
      </c>
      <c r="G559" s="111">
        <f t="shared" si="10"/>
        <v>23058</v>
      </c>
    </row>
    <row r="560" spans="1:7">
      <c r="A560" s="95"/>
      <c r="B560" s="854" t="str">
        <f>MATERIALES2!C71</f>
        <v>VARILLA CORRUGADA 5/8" x 6.0 M</v>
      </c>
      <c r="C560" s="855"/>
      <c r="D560" s="37" t="s">
        <v>865</v>
      </c>
      <c r="E560" s="146">
        <v>0.93</v>
      </c>
      <c r="F560" s="82">
        <f>MATERIALES2!E71</f>
        <v>17700</v>
      </c>
      <c r="G560" s="111">
        <f t="shared" si="10"/>
        <v>16461</v>
      </c>
    </row>
    <row r="561" spans="1:8">
      <c r="A561" s="95"/>
      <c r="B561" s="854" t="str">
        <f>MATERIALES2!C65</f>
        <v>ALAMBRE NEGRO</v>
      </c>
      <c r="C561" s="855"/>
      <c r="D561" s="37" t="s">
        <v>925</v>
      </c>
      <c r="E561" s="138">
        <v>0.5</v>
      </c>
      <c r="F561" s="82">
        <f>MATERIALES2!E65</f>
        <v>2100</v>
      </c>
      <c r="G561" s="111">
        <f t="shared" si="10"/>
        <v>1050</v>
      </c>
    </row>
    <row r="562" spans="1:8">
      <c r="A562" s="95"/>
      <c r="B562" s="854" t="str">
        <f>MATERIALES2!C70</f>
        <v>VARILLA CORRUGADA ½" x 6.0 M</v>
      </c>
      <c r="C562" s="855"/>
      <c r="D562" s="37" t="s">
        <v>865</v>
      </c>
      <c r="E562" s="146">
        <v>0.93</v>
      </c>
      <c r="F562" s="82">
        <f>MATERIALES2!E70</f>
        <v>9300</v>
      </c>
      <c r="G562" s="111">
        <f t="shared" si="10"/>
        <v>8649</v>
      </c>
      <c r="H562" s="505" t="s">
        <v>1670</v>
      </c>
    </row>
    <row r="563" spans="1:8" ht="13.5" thickBot="1">
      <c r="A563" s="95"/>
      <c r="B563" s="828" t="str">
        <f>MATERIALES2!C162</f>
        <v>TABLON 2X10X10</v>
      </c>
      <c r="C563" s="829"/>
      <c r="D563" s="37" t="s">
        <v>865</v>
      </c>
      <c r="E563" s="83">
        <f>ROUND(4*1/3/4,2)</f>
        <v>0.33</v>
      </c>
      <c r="F563" s="82">
        <f>MATERIALES2!E162</f>
        <v>16700</v>
      </c>
      <c r="G563" s="111">
        <f t="shared" si="10"/>
        <v>5511</v>
      </c>
    </row>
    <row r="564" spans="1:8" ht="13.5" thickTop="1">
      <c r="A564" s="95"/>
      <c r="B564" s="808"/>
      <c r="C564" s="809"/>
      <c r="D564" s="801" t="s">
        <v>856</v>
      </c>
      <c r="E564" s="802"/>
      <c r="F564" s="9"/>
      <c r="G564" s="113">
        <f>SUM(G555:G563)</f>
        <v>110905</v>
      </c>
    </row>
    <row r="565" spans="1:8">
      <c r="A565" s="95"/>
      <c r="B565" s="819"/>
      <c r="C565" s="820"/>
      <c r="D565" s="801" t="s">
        <v>857</v>
      </c>
      <c r="E565" s="802"/>
      <c r="F565" s="79">
        <f>'MANO DE OBRA'!D60</f>
        <v>0.05</v>
      </c>
      <c r="G565" s="113">
        <f>ROUND(G564*F565,0)</f>
        <v>5545</v>
      </c>
    </row>
    <row r="566" spans="1:8" ht="13.5" thickBot="1">
      <c r="A566" s="95"/>
      <c r="B566" s="819"/>
      <c r="C566" s="820"/>
      <c r="D566" s="803" t="s">
        <v>320</v>
      </c>
      <c r="E566" s="804"/>
      <c r="F566" s="114"/>
      <c r="G566" s="118">
        <f>+G564+G565</f>
        <v>116450</v>
      </c>
    </row>
    <row r="567" spans="1:8" ht="14.25" thickTop="1" thickBot="1">
      <c r="A567" s="95"/>
      <c r="B567" s="830"/>
      <c r="C567" s="830"/>
      <c r="D567" s="830"/>
      <c r="E567" s="830"/>
      <c r="F567" s="830"/>
      <c r="G567" s="830"/>
    </row>
    <row r="568" spans="1:8" ht="13.5" thickTop="1">
      <c r="A568" s="95"/>
      <c r="B568" s="811" t="s">
        <v>858</v>
      </c>
      <c r="C568" s="812"/>
      <c r="D568" s="812"/>
      <c r="E568" s="812"/>
      <c r="F568" s="812"/>
      <c r="G568" s="825"/>
    </row>
    <row r="569" spans="1:8">
      <c r="A569" s="95"/>
      <c r="B569" s="817"/>
      <c r="C569" s="818"/>
      <c r="D569" s="98" t="s">
        <v>301</v>
      </c>
      <c r="E569" s="98" t="s">
        <v>859</v>
      </c>
      <c r="F569" s="99" t="s">
        <v>839</v>
      </c>
      <c r="G569" s="107" t="s">
        <v>840</v>
      </c>
    </row>
    <row r="570" spans="1:8">
      <c r="A570" s="95"/>
      <c r="B570" s="821" t="s">
        <v>838</v>
      </c>
      <c r="C570" s="822"/>
      <c r="D570" s="100" t="s">
        <v>316</v>
      </c>
      <c r="E570" s="100" t="s">
        <v>315</v>
      </c>
      <c r="F570" s="101" t="s">
        <v>306</v>
      </c>
      <c r="G570" s="108" t="s">
        <v>319</v>
      </c>
    </row>
    <row r="571" spans="1:8">
      <c r="A571" s="95"/>
      <c r="B571" s="115"/>
      <c r="C571" s="102"/>
      <c r="D571" s="103"/>
      <c r="E571" s="103" t="s">
        <v>317</v>
      </c>
      <c r="F571" s="104" t="s">
        <v>318</v>
      </c>
      <c r="G571" s="109"/>
    </row>
    <row r="572" spans="1:8">
      <c r="A572" s="95"/>
      <c r="B572" s="823" t="str">
        <f>'MANO DE OBRA'!B10</f>
        <v>AYUDANTE CUAD. TIPO AA</v>
      </c>
      <c r="C572" s="824"/>
      <c r="D572" s="87">
        <v>1</v>
      </c>
      <c r="E572" s="80">
        <f>'MANO DE OBRA'!E10</f>
        <v>34680</v>
      </c>
      <c r="F572" s="81">
        <v>5</v>
      </c>
      <c r="G572" s="110">
        <f>ROUND(D572*E572/F572,0)</f>
        <v>6936</v>
      </c>
    </row>
    <row r="573" spans="1:8">
      <c r="A573" s="95"/>
      <c r="B573" s="835" t="str">
        <f>'MANO DE OBRA'!B15</f>
        <v xml:space="preserve">OFICIAL CUAD. TIPO AA </v>
      </c>
      <c r="C573" s="836"/>
      <c r="D573" s="37">
        <v>1</v>
      </c>
      <c r="E573" s="82">
        <f>'MANO DE OBRA'!E15</f>
        <v>71474</v>
      </c>
      <c r="F573" s="83">
        <v>5</v>
      </c>
      <c r="G573" s="111">
        <f>ROUND(D573*E573/F573,0)</f>
        <v>14295</v>
      </c>
    </row>
    <row r="574" spans="1:8">
      <c r="A574" s="95"/>
      <c r="B574" s="835"/>
      <c r="C574" s="836"/>
      <c r="D574" s="89"/>
      <c r="E574" s="82"/>
      <c r="F574" s="83"/>
      <c r="G574" s="111"/>
    </row>
    <row r="575" spans="1:8">
      <c r="A575" s="95"/>
      <c r="B575" s="835" t="s">
        <v>841</v>
      </c>
      <c r="C575" s="836"/>
      <c r="D575" s="37"/>
      <c r="E575" s="82"/>
      <c r="F575" s="83"/>
      <c r="G575" s="111"/>
    </row>
    <row r="576" spans="1:8" ht="13.5" thickBot="1">
      <c r="A576" s="95"/>
      <c r="B576" s="828" t="s">
        <v>841</v>
      </c>
      <c r="C576" s="829"/>
      <c r="D576" s="77"/>
      <c r="E576" s="82"/>
      <c r="F576" s="86"/>
      <c r="G576" s="112"/>
    </row>
    <row r="577" spans="1:8" ht="14.25" thickTop="1" thickBot="1">
      <c r="A577" s="95"/>
      <c r="B577" s="808"/>
      <c r="C577" s="808"/>
      <c r="D577" s="808"/>
      <c r="E577" s="809"/>
      <c r="F577" s="120" t="s">
        <v>856</v>
      </c>
      <c r="G577" s="118">
        <f>SUM(G572:G576)</f>
        <v>21231</v>
      </c>
    </row>
    <row r="578" spans="1:8" ht="14.25" thickTop="1" thickBot="1">
      <c r="A578" s="95"/>
      <c r="B578" s="810"/>
      <c r="C578" s="810"/>
      <c r="D578" s="810"/>
      <c r="E578" s="810"/>
      <c r="F578" s="810"/>
      <c r="G578" s="810"/>
    </row>
    <row r="579" spans="1:8" ht="13.5" thickTop="1">
      <c r="A579" s="95"/>
      <c r="B579" s="811" t="s">
        <v>321</v>
      </c>
      <c r="C579" s="812"/>
      <c r="D579" s="812"/>
      <c r="E579" s="812"/>
      <c r="F579" s="812"/>
      <c r="G579" s="825"/>
    </row>
    <row r="580" spans="1:8">
      <c r="A580" s="95"/>
      <c r="B580" s="817" t="s">
        <v>838</v>
      </c>
      <c r="C580" s="818"/>
      <c r="D580" s="98" t="s">
        <v>301</v>
      </c>
      <c r="E580" s="98" t="s">
        <v>297</v>
      </c>
      <c r="F580" s="99" t="s">
        <v>839</v>
      </c>
      <c r="G580" s="107" t="s">
        <v>840</v>
      </c>
    </row>
    <row r="581" spans="1:8">
      <c r="A581" s="95"/>
      <c r="B581" s="115"/>
      <c r="C581" s="102"/>
      <c r="D581" s="103" t="s">
        <v>322</v>
      </c>
      <c r="E581" s="103" t="s">
        <v>323</v>
      </c>
      <c r="F581" s="104" t="s">
        <v>324</v>
      </c>
      <c r="G581" s="109" t="s">
        <v>325</v>
      </c>
    </row>
    <row r="582" spans="1:8">
      <c r="A582" s="95"/>
      <c r="B582" s="826"/>
      <c r="C582" s="827"/>
      <c r="D582" s="96"/>
      <c r="E582" s="96"/>
      <c r="F582" s="96"/>
      <c r="G582" s="116"/>
    </row>
    <row r="583" spans="1:8" ht="13.5" thickBot="1">
      <c r="A583" s="95"/>
      <c r="B583" s="828" t="s">
        <v>841</v>
      </c>
      <c r="C583" s="829"/>
      <c r="D583" s="77"/>
      <c r="E583" s="82"/>
      <c r="F583" s="86"/>
      <c r="G583" s="112"/>
    </row>
    <row r="584" spans="1:8" ht="14.25" thickTop="1" thickBot="1">
      <c r="A584" s="95"/>
      <c r="B584" s="808"/>
      <c r="C584" s="808"/>
      <c r="D584" s="808"/>
      <c r="E584" s="809"/>
      <c r="F584" s="120" t="s">
        <v>856</v>
      </c>
      <c r="G584" s="118">
        <f>SUM(G579:G583)</f>
        <v>0</v>
      </c>
    </row>
    <row r="585" spans="1:8" ht="14.25" thickTop="1" thickBot="1">
      <c r="A585" s="95"/>
      <c r="B585" s="810"/>
      <c r="C585" s="810"/>
      <c r="D585" s="810"/>
      <c r="E585" s="810"/>
      <c r="F585" s="810"/>
      <c r="G585" s="834"/>
    </row>
    <row r="586" spans="1:8" ht="13.5" thickTop="1">
      <c r="A586" s="95"/>
      <c r="B586" s="811" t="s">
        <v>326</v>
      </c>
      <c r="C586" s="812"/>
      <c r="D586" s="812"/>
      <c r="E586" s="812"/>
      <c r="F586" s="813"/>
      <c r="G586" s="121">
        <f>+G550+G566+G577</f>
        <v>141550</v>
      </c>
    </row>
    <row r="587" spans="1:8">
      <c r="A587" s="95"/>
      <c r="B587" s="814" t="s">
        <v>861</v>
      </c>
      <c r="C587" s="815"/>
      <c r="D587" s="815"/>
      <c r="E587" s="816"/>
      <c r="F587" s="128">
        <f>'MANO DE OBRA'!D175</f>
        <v>0</v>
      </c>
      <c r="G587" s="122">
        <f>ROUND(G586*F587,0)</f>
        <v>0</v>
      </c>
    </row>
    <row r="588" spans="1:8" ht="13.5" thickBot="1">
      <c r="A588" s="95"/>
      <c r="B588" s="805" t="s">
        <v>1049</v>
      </c>
      <c r="C588" s="806"/>
      <c r="D588" s="806"/>
      <c r="E588" s="806"/>
      <c r="F588" s="807"/>
      <c r="G588" s="118">
        <f>ROUND(G586+G587,-2)</f>
        <v>141600</v>
      </c>
      <c r="H588" s="505" t="s">
        <v>1670</v>
      </c>
    </row>
    <row r="589" spans="1:8" ht="13.5" thickTop="1">
      <c r="A589" s="95"/>
      <c r="B589" s="90" t="s">
        <v>303</v>
      </c>
      <c r="C589" s="843"/>
      <c r="D589" s="843"/>
      <c r="E589" s="843"/>
      <c r="F589" s="92" t="s">
        <v>781</v>
      </c>
      <c r="G589" s="93" t="s">
        <v>831</v>
      </c>
    </row>
    <row r="590" spans="1:8">
      <c r="A590" s="95"/>
      <c r="B590" s="91" t="s">
        <v>834</v>
      </c>
      <c r="C590" s="844" t="s">
        <v>368</v>
      </c>
      <c r="D590" s="844"/>
      <c r="E590" s="844"/>
      <c r="F590" s="15" t="s">
        <v>833</v>
      </c>
      <c r="G590" s="165" t="str">
        <f>'MANO DE OBRA'!D61</f>
        <v>Agosto de 2010</v>
      </c>
    </row>
    <row r="591" spans="1:8" ht="13.5" thickBot="1">
      <c r="A591" s="127"/>
      <c r="B591" s="94" t="s">
        <v>835</v>
      </c>
      <c r="C591" s="845" t="s">
        <v>154</v>
      </c>
      <c r="D591" s="845"/>
      <c r="E591" s="845"/>
      <c r="F591" s="845"/>
      <c r="G591" s="846"/>
    </row>
    <row r="592" spans="1:8" ht="14.25" thickTop="1" thickBot="1">
      <c r="A592" s="95"/>
      <c r="B592" s="847"/>
      <c r="C592" s="847"/>
      <c r="D592" s="847"/>
      <c r="E592" s="847"/>
      <c r="F592" s="847"/>
      <c r="G592" s="847"/>
    </row>
    <row r="593" spans="1:7" ht="13.5" thickTop="1">
      <c r="A593" s="95"/>
      <c r="B593" s="811" t="s">
        <v>304</v>
      </c>
      <c r="C593" s="812"/>
      <c r="D593" s="812"/>
      <c r="E593" s="812"/>
      <c r="F593" s="812"/>
      <c r="G593" s="825"/>
    </row>
    <row r="594" spans="1:7">
      <c r="A594" s="95"/>
      <c r="B594" s="105"/>
      <c r="C594" s="97"/>
      <c r="D594" s="98" t="s">
        <v>301</v>
      </c>
      <c r="E594" s="98" t="s">
        <v>1072</v>
      </c>
      <c r="F594" s="99" t="s">
        <v>839</v>
      </c>
      <c r="G594" s="107" t="s">
        <v>840</v>
      </c>
    </row>
    <row r="595" spans="1:7">
      <c r="A595" s="95"/>
      <c r="B595" s="821" t="s">
        <v>838</v>
      </c>
      <c r="C595" s="822"/>
      <c r="D595" s="100" t="s">
        <v>308</v>
      </c>
      <c r="E595" s="100" t="s">
        <v>305</v>
      </c>
      <c r="F595" s="101" t="s">
        <v>306</v>
      </c>
      <c r="G595" s="108" t="s">
        <v>310</v>
      </c>
    </row>
    <row r="596" spans="1:7">
      <c r="A596" s="95"/>
      <c r="B596" s="115"/>
      <c r="C596" s="102"/>
      <c r="D596" s="103"/>
      <c r="E596" s="103" t="s">
        <v>309</v>
      </c>
      <c r="F596" s="104" t="s">
        <v>307</v>
      </c>
      <c r="G596" s="109"/>
    </row>
    <row r="597" spans="1:7">
      <c r="A597" s="127"/>
      <c r="B597" s="823" t="str">
        <f>'MAQUINARIA Y EQUIPOS'!C28</f>
        <v>HERRAMIENTAS MENORES</v>
      </c>
      <c r="C597" s="824"/>
      <c r="D597" s="87">
        <v>1</v>
      </c>
      <c r="E597" s="82">
        <f>ROUND(G630*0.05,0)</f>
        <v>1062</v>
      </c>
      <c r="F597" s="81">
        <v>1</v>
      </c>
      <c r="G597" s="110">
        <f t="shared" ref="G597:G602" si="11">ROUND(D597*E597/F597,0)</f>
        <v>1062</v>
      </c>
    </row>
    <row r="598" spans="1:7">
      <c r="A598" s="95"/>
      <c r="B598" s="835" t="str">
        <f>'MAQUINARIA Y EQUIPOS'!C53</f>
        <v>VIBRADOR A GASOLINA</v>
      </c>
      <c r="C598" s="836"/>
      <c r="D598" s="37">
        <v>1</v>
      </c>
      <c r="E598" s="82">
        <f>'MAQUINARIA Y EQUIPOS'!D53</f>
        <v>51040</v>
      </c>
      <c r="F598" s="83">
        <v>25</v>
      </c>
      <c r="G598" s="111">
        <f t="shared" si="11"/>
        <v>2042</v>
      </c>
    </row>
    <row r="599" spans="1:7">
      <c r="A599" s="95"/>
      <c r="B599" s="835" t="str">
        <f>'MAQUINARIA Y EQUIPOS'!C9</f>
        <v>ANDAMIO TUBULAR 1.50 m</v>
      </c>
      <c r="C599" s="836"/>
      <c r="D599" s="37">
        <v>3</v>
      </c>
      <c r="E599" s="82">
        <f>'MAQUINARIA Y EQUIPOS'!D9</f>
        <v>754</v>
      </c>
      <c r="F599" s="83">
        <f>+F625</f>
        <v>5</v>
      </c>
      <c r="G599" s="111">
        <f t="shared" si="11"/>
        <v>452</v>
      </c>
    </row>
    <row r="600" spans="1:7">
      <c r="A600" s="95"/>
      <c r="B600" s="835" t="str">
        <f>'MAQUINARIA Y EQUIPOS'!C47</f>
        <v>TABLONES 3m</v>
      </c>
      <c r="C600" s="836"/>
      <c r="D600" s="37">
        <v>2</v>
      </c>
      <c r="E600" s="82">
        <f>'MAQUINARIA Y EQUIPOS'!D47</f>
        <v>348</v>
      </c>
      <c r="F600" s="83">
        <f>+F625</f>
        <v>5</v>
      </c>
      <c r="G600" s="111">
        <f t="shared" si="11"/>
        <v>139</v>
      </c>
    </row>
    <row r="601" spans="1:7">
      <c r="A601" s="95"/>
      <c r="B601" s="835" t="str">
        <f>'MAQUINARIA Y EQUIPOS'!C38</f>
        <v>PARAL TELESCOPICO 4 MTS</v>
      </c>
      <c r="C601" s="836"/>
      <c r="D601" s="37">
        <v>3</v>
      </c>
      <c r="E601" s="82">
        <f>'MAQUINARIA Y EQUIPOS'!D38</f>
        <v>290</v>
      </c>
      <c r="F601" s="83">
        <f>+F626</f>
        <v>5</v>
      </c>
      <c r="G601" s="111">
        <f t="shared" si="11"/>
        <v>174</v>
      </c>
    </row>
    <row r="602" spans="1:7" ht="13.5" thickBot="1">
      <c r="A602" s="95"/>
      <c r="B602" s="828" t="str">
        <f>'MAQUINARIA Y EQUIPOS'!C13</f>
        <v>CERCHA METALICA 3.0 MTS</v>
      </c>
      <c r="C602" s="829"/>
      <c r="D602" s="77">
        <v>0.33</v>
      </c>
      <c r="E602" s="82">
        <f>'MAQUINARIA Y EQUIPOS'!D13</f>
        <v>220</v>
      </c>
      <c r="F602" s="83">
        <f>+F626</f>
        <v>5</v>
      </c>
      <c r="G602" s="111">
        <f t="shared" si="11"/>
        <v>15</v>
      </c>
    </row>
    <row r="603" spans="1:7" ht="14.25" thickTop="1" thickBot="1">
      <c r="A603" s="95"/>
      <c r="B603" s="843"/>
      <c r="C603" s="843"/>
      <c r="D603" s="843"/>
      <c r="E603" s="963"/>
      <c r="F603" s="119" t="s">
        <v>856</v>
      </c>
      <c r="G603" s="118">
        <f>SUM(G597:G602)</f>
        <v>3884</v>
      </c>
    </row>
    <row r="604" spans="1:7" ht="14.25" thickTop="1" thickBot="1">
      <c r="A604" s="95"/>
      <c r="B604" s="830"/>
      <c r="C604" s="830"/>
      <c r="D604" s="830"/>
      <c r="E604" s="830"/>
      <c r="F604" s="830"/>
      <c r="G604" s="830"/>
    </row>
    <row r="605" spans="1:7" ht="13.5" thickTop="1">
      <c r="A605" s="95"/>
      <c r="B605" s="811" t="s">
        <v>311</v>
      </c>
      <c r="C605" s="812"/>
      <c r="D605" s="812"/>
      <c r="E605" s="812"/>
      <c r="F605" s="812"/>
      <c r="G605" s="825"/>
    </row>
    <row r="606" spans="1:7">
      <c r="A606" s="95"/>
      <c r="B606" s="817" t="s">
        <v>838</v>
      </c>
      <c r="C606" s="818"/>
      <c r="D606" s="98" t="s">
        <v>842</v>
      </c>
      <c r="E606" s="98" t="s">
        <v>853</v>
      </c>
      <c r="F606" s="99" t="s">
        <v>1047</v>
      </c>
      <c r="G606" s="107" t="s">
        <v>840</v>
      </c>
    </row>
    <row r="607" spans="1:7">
      <c r="A607" s="95"/>
      <c r="B607" s="115"/>
      <c r="C607" s="102"/>
      <c r="D607" s="100"/>
      <c r="E607" s="100" t="s">
        <v>312</v>
      </c>
      <c r="F607" s="101" t="s">
        <v>313</v>
      </c>
      <c r="G607" s="108" t="s">
        <v>314</v>
      </c>
    </row>
    <row r="608" spans="1:7" ht="14.25">
      <c r="A608" s="125"/>
      <c r="B608" s="841" t="str">
        <f>MATERIALES2!C35</f>
        <v>CONCRETO 1:2:3-3000 psi(MATERIALES)</v>
      </c>
      <c r="C608" s="842"/>
      <c r="D608" s="87" t="s">
        <v>1066</v>
      </c>
      <c r="E608" s="140">
        <v>0.13500000000000001</v>
      </c>
      <c r="F608" s="80">
        <f>MATERIALES2!E35</f>
        <v>367600</v>
      </c>
      <c r="G608" s="110">
        <f t="shared" ref="G608:G615" si="12">ROUND(E608*F608,0)</f>
        <v>49626</v>
      </c>
    </row>
    <row r="609" spans="1:8">
      <c r="A609" s="123"/>
      <c r="B609" s="854" t="str">
        <f>MATERIALES2!C163</f>
        <v>TABLON 2x12x10</v>
      </c>
      <c r="C609" s="855"/>
      <c r="D609" s="37" t="s">
        <v>865</v>
      </c>
      <c r="E609" s="83">
        <f>ROUND(1*1/3/4,2)</f>
        <v>0.08</v>
      </c>
      <c r="F609" s="82">
        <f>MATERIALES2!E163</f>
        <v>20000</v>
      </c>
      <c r="G609" s="111">
        <f t="shared" si="12"/>
        <v>1600</v>
      </c>
    </row>
    <row r="610" spans="1:8">
      <c r="A610" s="95"/>
      <c r="B610" s="854" t="str">
        <f>MATERIALES2!C151</f>
        <v>ABARCO DE 2X2X4,50</v>
      </c>
      <c r="C610" s="855"/>
      <c r="D610" s="37" t="s">
        <v>865</v>
      </c>
      <c r="E610" s="83">
        <f>ROUND((0.5*2+0.5*1)*3/4.5/4,2)</f>
        <v>0.25</v>
      </c>
      <c r="F610" s="82">
        <f>MATERIALES2!E151</f>
        <v>5000</v>
      </c>
      <c r="G610" s="111">
        <f t="shared" si="12"/>
        <v>1250</v>
      </c>
    </row>
    <row r="611" spans="1:8">
      <c r="A611" s="95"/>
      <c r="B611" s="854" t="str">
        <f>MATERIALES2!C919</f>
        <v>PUNTILLAS DE 3"</v>
      </c>
      <c r="C611" s="855"/>
      <c r="D611" s="37" t="s">
        <v>922</v>
      </c>
      <c r="E611" s="83">
        <v>1</v>
      </c>
      <c r="F611" s="82">
        <f>MATERIALES2!E919</f>
        <v>1500</v>
      </c>
      <c r="G611" s="111">
        <f t="shared" si="12"/>
        <v>1500</v>
      </c>
    </row>
    <row r="612" spans="1:8">
      <c r="A612" s="95"/>
      <c r="B612" s="854" t="str">
        <f>MATERIALES2!C62</f>
        <v>HIERRO CHIPA 3/8"</v>
      </c>
      <c r="C612" s="855"/>
      <c r="D612" s="37" t="s">
        <v>925</v>
      </c>
      <c r="E612" s="146">
        <f>ROUND(12*1.5*0.61,2)</f>
        <v>10.98</v>
      </c>
      <c r="F612" s="82">
        <f>MATERIALES2!E62</f>
        <v>2100</v>
      </c>
      <c r="G612" s="111">
        <f t="shared" si="12"/>
        <v>23058</v>
      </c>
    </row>
    <row r="613" spans="1:8">
      <c r="A613" s="95"/>
      <c r="B613" s="854" t="str">
        <f>MATERIALES2!C71</f>
        <v>VARILLA CORRUGADA 5/8" x 6.0 M</v>
      </c>
      <c r="C613" s="855"/>
      <c r="D613" s="37" t="s">
        <v>865</v>
      </c>
      <c r="E613" s="146">
        <f>ROUND(4*1.2/6,2)</f>
        <v>0.8</v>
      </c>
      <c r="F613" s="82">
        <f>MATERIALES2!E71</f>
        <v>17700</v>
      </c>
      <c r="G613" s="111">
        <f t="shared" si="12"/>
        <v>14160</v>
      </c>
    </row>
    <row r="614" spans="1:8">
      <c r="A614" s="95"/>
      <c r="B614" s="854" t="str">
        <f>MATERIALES2!C65</f>
        <v>ALAMBRE NEGRO</v>
      </c>
      <c r="C614" s="855"/>
      <c r="D614" s="37" t="s">
        <v>925</v>
      </c>
      <c r="E614" s="138">
        <v>0.27</v>
      </c>
      <c r="F614" s="82">
        <f>MATERIALES2!E65</f>
        <v>2100</v>
      </c>
      <c r="G614" s="111">
        <f t="shared" si="12"/>
        <v>567</v>
      </c>
      <c r="H614" s="505" t="s">
        <v>1670</v>
      </c>
    </row>
    <row r="615" spans="1:8">
      <c r="A615" s="95"/>
      <c r="B615" s="854" t="str">
        <f>MATERIALES2!C162</f>
        <v>TABLON 2X10X10</v>
      </c>
      <c r="C615" s="855"/>
      <c r="D615" s="37" t="s">
        <v>865</v>
      </c>
      <c r="E615" s="83">
        <f>ROUND(4*1/3/4,2)</f>
        <v>0.33</v>
      </c>
      <c r="F615" s="82">
        <f>MATERIALES2!E162</f>
        <v>16700</v>
      </c>
      <c r="G615" s="111">
        <f t="shared" si="12"/>
        <v>5511</v>
      </c>
    </row>
    <row r="616" spans="1:8" ht="13.5" thickBot="1">
      <c r="A616" s="95"/>
      <c r="B616" s="828"/>
      <c r="C616" s="829"/>
      <c r="D616" s="37"/>
      <c r="E616" s="83"/>
      <c r="F616" s="82"/>
      <c r="G616" s="111"/>
    </row>
    <row r="617" spans="1:8" ht="13.5" thickTop="1">
      <c r="A617" s="95"/>
      <c r="B617" s="808"/>
      <c r="C617" s="809"/>
      <c r="D617" s="801" t="s">
        <v>856</v>
      </c>
      <c r="E617" s="802"/>
      <c r="F617" s="9"/>
      <c r="G617" s="113">
        <f>SUM(G608:G616)</f>
        <v>97272</v>
      </c>
    </row>
    <row r="618" spans="1:8">
      <c r="A618" s="95"/>
      <c r="B618" s="819"/>
      <c r="C618" s="820"/>
      <c r="D618" s="801" t="s">
        <v>857</v>
      </c>
      <c r="E618" s="802"/>
      <c r="F618" s="79">
        <f>'MANO DE OBRA'!D60</f>
        <v>0.05</v>
      </c>
      <c r="G618" s="113">
        <f>ROUND(G617*F618,0)</f>
        <v>4864</v>
      </c>
    </row>
    <row r="619" spans="1:8" ht="13.5" thickBot="1">
      <c r="A619" s="95"/>
      <c r="B619" s="819"/>
      <c r="C619" s="820"/>
      <c r="D619" s="803" t="s">
        <v>320</v>
      </c>
      <c r="E619" s="804"/>
      <c r="F619" s="114"/>
      <c r="G619" s="118">
        <f>+G617+G618</f>
        <v>102136</v>
      </c>
    </row>
    <row r="620" spans="1:8" ht="14.25" thickTop="1" thickBot="1">
      <c r="A620" s="95"/>
      <c r="B620" s="830"/>
      <c r="C620" s="830"/>
      <c r="D620" s="830"/>
      <c r="E620" s="830"/>
      <c r="F620" s="830"/>
      <c r="G620" s="830"/>
    </row>
    <row r="621" spans="1:8" ht="13.5" thickTop="1">
      <c r="A621" s="95"/>
      <c r="B621" s="811" t="s">
        <v>858</v>
      </c>
      <c r="C621" s="812"/>
      <c r="D621" s="812"/>
      <c r="E621" s="812"/>
      <c r="F621" s="812"/>
      <c r="G621" s="825"/>
    </row>
    <row r="622" spans="1:8">
      <c r="A622" s="95"/>
      <c r="B622" s="817"/>
      <c r="C622" s="818"/>
      <c r="D622" s="98" t="s">
        <v>301</v>
      </c>
      <c r="E622" s="98" t="s">
        <v>859</v>
      </c>
      <c r="F622" s="99" t="s">
        <v>839</v>
      </c>
      <c r="G622" s="107" t="s">
        <v>840</v>
      </c>
    </row>
    <row r="623" spans="1:8">
      <c r="A623" s="95"/>
      <c r="B623" s="821" t="s">
        <v>838</v>
      </c>
      <c r="C623" s="822"/>
      <c r="D623" s="100" t="s">
        <v>316</v>
      </c>
      <c r="E623" s="100" t="s">
        <v>315</v>
      </c>
      <c r="F623" s="101" t="s">
        <v>306</v>
      </c>
      <c r="G623" s="108" t="s">
        <v>319</v>
      </c>
    </row>
    <row r="624" spans="1:8">
      <c r="A624" s="95"/>
      <c r="B624" s="115"/>
      <c r="C624" s="102"/>
      <c r="D624" s="103"/>
      <c r="E624" s="103" t="s">
        <v>317</v>
      </c>
      <c r="F624" s="104" t="s">
        <v>318</v>
      </c>
      <c r="G624" s="109"/>
    </row>
    <row r="625" spans="1:7">
      <c r="A625" s="95"/>
      <c r="B625" s="823" t="str">
        <f>'MANO DE OBRA'!B10</f>
        <v>AYUDANTE CUAD. TIPO AA</v>
      </c>
      <c r="C625" s="824"/>
      <c r="D625" s="87">
        <v>1</v>
      </c>
      <c r="E625" s="80">
        <f>'MANO DE OBRA'!E10</f>
        <v>34680</v>
      </c>
      <c r="F625" s="81">
        <v>5</v>
      </c>
      <c r="G625" s="110">
        <f>ROUND(D625*E625/F625,0)</f>
        <v>6936</v>
      </c>
    </row>
    <row r="626" spans="1:7">
      <c r="A626" s="95"/>
      <c r="B626" s="835" t="str">
        <f>'MANO DE OBRA'!B15</f>
        <v xml:space="preserve">OFICIAL CUAD. TIPO AA </v>
      </c>
      <c r="C626" s="836"/>
      <c r="D626" s="37">
        <v>1</v>
      </c>
      <c r="E626" s="82">
        <f>'MANO DE OBRA'!E15</f>
        <v>71474</v>
      </c>
      <c r="F626" s="83">
        <v>5</v>
      </c>
      <c r="G626" s="111">
        <f>ROUND(D626*E626/F626,0)</f>
        <v>14295</v>
      </c>
    </row>
    <row r="627" spans="1:7">
      <c r="A627" s="95"/>
      <c r="B627" s="835"/>
      <c r="C627" s="836"/>
      <c r="D627" s="89"/>
      <c r="E627" s="82"/>
      <c r="F627" s="83"/>
      <c r="G627" s="111"/>
    </row>
    <row r="628" spans="1:7">
      <c r="A628" s="95"/>
      <c r="B628" s="835" t="s">
        <v>841</v>
      </c>
      <c r="C628" s="836"/>
      <c r="D628" s="37"/>
      <c r="E628" s="82"/>
      <c r="F628" s="83"/>
      <c r="G628" s="111"/>
    </row>
    <row r="629" spans="1:7" ht="13.5" thickBot="1">
      <c r="A629" s="95"/>
      <c r="B629" s="828" t="s">
        <v>841</v>
      </c>
      <c r="C629" s="829"/>
      <c r="D629" s="77"/>
      <c r="E629" s="82"/>
      <c r="F629" s="86"/>
      <c r="G629" s="112"/>
    </row>
    <row r="630" spans="1:7" ht="14.25" thickTop="1" thickBot="1">
      <c r="A630" s="95"/>
      <c r="B630" s="808"/>
      <c r="C630" s="808"/>
      <c r="D630" s="808"/>
      <c r="E630" s="809"/>
      <c r="F630" s="120" t="s">
        <v>856</v>
      </c>
      <c r="G630" s="118">
        <f>SUM(G625:G629)</f>
        <v>21231</v>
      </c>
    </row>
    <row r="631" spans="1:7" ht="14.25" thickTop="1" thickBot="1">
      <c r="A631" s="95"/>
      <c r="B631" s="810"/>
      <c r="C631" s="810"/>
      <c r="D631" s="810"/>
      <c r="E631" s="810"/>
      <c r="F631" s="810"/>
      <c r="G631" s="810"/>
    </row>
    <row r="632" spans="1:7" ht="13.5" thickTop="1">
      <c r="A632" s="95"/>
      <c r="B632" s="811" t="s">
        <v>321</v>
      </c>
      <c r="C632" s="812"/>
      <c r="D632" s="812"/>
      <c r="E632" s="812"/>
      <c r="F632" s="812"/>
      <c r="G632" s="825"/>
    </row>
    <row r="633" spans="1:7">
      <c r="A633" s="95"/>
      <c r="B633" s="817" t="s">
        <v>838</v>
      </c>
      <c r="C633" s="818"/>
      <c r="D633" s="98" t="s">
        <v>301</v>
      </c>
      <c r="E633" s="98" t="s">
        <v>297</v>
      </c>
      <c r="F633" s="99" t="s">
        <v>839</v>
      </c>
      <c r="G633" s="107" t="s">
        <v>840</v>
      </c>
    </row>
    <row r="634" spans="1:7">
      <c r="A634" s="95"/>
      <c r="B634" s="115"/>
      <c r="C634" s="102"/>
      <c r="D634" s="103" t="s">
        <v>322</v>
      </c>
      <c r="E634" s="103" t="s">
        <v>323</v>
      </c>
      <c r="F634" s="104" t="s">
        <v>324</v>
      </c>
      <c r="G634" s="109" t="s">
        <v>325</v>
      </c>
    </row>
    <row r="635" spans="1:7">
      <c r="A635" s="95"/>
      <c r="B635" s="826"/>
      <c r="C635" s="827"/>
      <c r="D635" s="96"/>
      <c r="E635" s="96"/>
      <c r="F635" s="96"/>
      <c r="G635" s="116"/>
    </row>
    <row r="636" spans="1:7" ht="13.5" thickBot="1">
      <c r="A636" s="95"/>
      <c r="B636" s="828" t="s">
        <v>841</v>
      </c>
      <c r="C636" s="829"/>
      <c r="D636" s="77"/>
      <c r="E636" s="82"/>
      <c r="F636" s="86"/>
      <c r="G636" s="112"/>
    </row>
    <row r="637" spans="1:7" ht="14.25" thickTop="1" thickBot="1">
      <c r="A637" s="95"/>
      <c r="B637" s="808"/>
      <c r="C637" s="808"/>
      <c r="D637" s="808"/>
      <c r="E637" s="809"/>
      <c r="F637" s="120" t="s">
        <v>856</v>
      </c>
      <c r="G637" s="118">
        <f>SUM(G632:G636)</f>
        <v>0</v>
      </c>
    </row>
    <row r="638" spans="1:7" ht="14.25" thickTop="1" thickBot="1">
      <c r="A638" s="95"/>
      <c r="B638" s="810"/>
      <c r="C638" s="810"/>
      <c r="D638" s="810"/>
      <c r="E638" s="810"/>
      <c r="F638" s="810"/>
      <c r="G638" s="834"/>
    </row>
    <row r="639" spans="1:7" ht="13.5" thickTop="1">
      <c r="A639" s="95"/>
      <c r="B639" s="811" t="s">
        <v>326</v>
      </c>
      <c r="C639" s="812"/>
      <c r="D639" s="812"/>
      <c r="E639" s="812"/>
      <c r="F639" s="813"/>
      <c r="G639" s="121">
        <f>+G603+G619+G630</f>
        <v>127251</v>
      </c>
    </row>
    <row r="640" spans="1:7">
      <c r="A640" s="95"/>
      <c r="B640" s="814" t="s">
        <v>861</v>
      </c>
      <c r="C640" s="815"/>
      <c r="D640" s="815"/>
      <c r="E640" s="816"/>
      <c r="F640" s="128">
        <f>'MANO DE OBRA'!D228</f>
        <v>0</v>
      </c>
      <c r="G640" s="122">
        <f>ROUND(G639*F640,0)</f>
        <v>0</v>
      </c>
    </row>
    <row r="641" spans="1:8" ht="13.5" thickBot="1">
      <c r="A641" s="95"/>
      <c r="B641" s="805" t="s">
        <v>1049</v>
      </c>
      <c r="C641" s="806"/>
      <c r="D641" s="806"/>
      <c r="E641" s="806"/>
      <c r="F641" s="807"/>
      <c r="G641" s="118">
        <f>ROUND(G639+G640,-2)</f>
        <v>127300</v>
      </c>
      <c r="H641" s="505" t="s">
        <v>1670</v>
      </c>
    </row>
    <row r="642" spans="1:8" ht="13.5" thickTop="1">
      <c r="A642" s="95"/>
      <c r="B642" s="90" t="s">
        <v>303</v>
      </c>
      <c r="C642" s="843"/>
      <c r="D642" s="843"/>
      <c r="E642" s="843"/>
      <c r="F642" s="92" t="s">
        <v>781</v>
      </c>
      <c r="G642" s="93" t="s">
        <v>831</v>
      </c>
    </row>
    <row r="643" spans="1:8">
      <c r="A643" s="95"/>
      <c r="B643" s="91" t="s">
        <v>834</v>
      </c>
      <c r="C643" s="844" t="s">
        <v>368</v>
      </c>
      <c r="D643" s="844"/>
      <c r="E643" s="844"/>
      <c r="F643" s="15" t="s">
        <v>833</v>
      </c>
      <c r="G643" s="165" t="str">
        <f>'MANO DE OBRA'!D61</f>
        <v>Agosto de 2010</v>
      </c>
    </row>
    <row r="644" spans="1:8" ht="13.5" thickBot="1">
      <c r="A644" s="127"/>
      <c r="B644" s="94" t="s">
        <v>835</v>
      </c>
      <c r="C644" s="845" t="s">
        <v>607</v>
      </c>
      <c r="D644" s="845"/>
      <c r="E644" s="845"/>
      <c r="F644" s="845"/>
      <c r="G644" s="846"/>
    </row>
    <row r="645" spans="1:8" ht="14.25" thickTop="1" thickBot="1">
      <c r="A645" s="95"/>
      <c r="B645" s="847"/>
      <c r="C645" s="847"/>
      <c r="D645" s="847"/>
      <c r="E645" s="847"/>
      <c r="F645" s="847"/>
      <c r="G645" s="847"/>
    </row>
    <row r="646" spans="1:8" ht="13.5" thickTop="1">
      <c r="A646" s="95"/>
      <c r="B646" s="811" t="s">
        <v>304</v>
      </c>
      <c r="C646" s="812"/>
      <c r="D646" s="812"/>
      <c r="E646" s="812"/>
      <c r="F646" s="812"/>
      <c r="G646" s="825"/>
    </row>
    <row r="647" spans="1:8">
      <c r="A647" s="95"/>
      <c r="B647" s="105"/>
      <c r="C647" s="97"/>
      <c r="D647" s="98" t="s">
        <v>301</v>
      </c>
      <c r="E647" s="98" t="s">
        <v>1072</v>
      </c>
      <c r="F647" s="99" t="s">
        <v>839</v>
      </c>
      <c r="G647" s="107" t="s">
        <v>840</v>
      </c>
    </row>
    <row r="648" spans="1:8">
      <c r="A648" s="95"/>
      <c r="B648" s="821" t="s">
        <v>838</v>
      </c>
      <c r="C648" s="822"/>
      <c r="D648" s="100" t="s">
        <v>308</v>
      </c>
      <c r="E648" s="100" t="s">
        <v>305</v>
      </c>
      <c r="F648" s="101" t="s">
        <v>306</v>
      </c>
      <c r="G648" s="108" t="s">
        <v>310</v>
      </c>
    </row>
    <row r="649" spans="1:8">
      <c r="A649" s="95"/>
      <c r="B649" s="115"/>
      <c r="C649" s="102"/>
      <c r="D649" s="103"/>
      <c r="E649" s="103" t="s">
        <v>309</v>
      </c>
      <c r="F649" s="104" t="s">
        <v>307</v>
      </c>
      <c r="G649" s="109"/>
    </row>
    <row r="650" spans="1:8">
      <c r="A650" s="127"/>
      <c r="B650" s="823" t="str">
        <f>'MAQUINARIA Y EQUIPOS'!C28</f>
        <v>HERRAMIENTAS MENORES</v>
      </c>
      <c r="C650" s="824"/>
      <c r="D650" s="87">
        <v>1</v>
      </c>
      <c r="E650" s="82">
        <f>ROUND(G683*0.05,0)</f>
        <v>885</v>
      </c>
      <c r="F650" s="81">
        <v>1</v>
      </c>
      <c r="G650" s="110">
        <f t="shared" ref="G650:G655" si="13">ROUND(D650*E650/F650,0)</f>
        <v>885</v>
      </c>
    </row>
    <row r="651" spans="1:8">
      <c r="A651" s="95"/>
      <c r="B651" s="835" t="str">
        <f>'MAQUINARIA Y EQUIPOS'!C53</f>
        <v>VIBRADOR A GASOLINA</v>
      </c>
      <c r="C651" s="836"/>
      <c r="D651" s="37">
        <v>1</v>
      </c>
      <c r="E651" s="82">
        <f>'MAQUINARIA Y EQUIPOS'!D53</f>
        <v>51040</v>
      </c>
      <c r="F651" s="83">
        <v>25</v>
      </c>
      <c r="G651" s="111">
        <f t="shared" si="13"/>
        <v>2042</v>
      </c>
    </row>
    <row r="652" spans="1:8">
      <c r="A652" s="95"/>
      <c r="B652" s="835" t="str">
        <f>'MAQUINARIA Y EQUIPOS'!C9</f>
        <v>ANDAMIO TUBULAR 1.50 m</v>
      </c>
      <c r="C652" s="836"/>
      <c r="D652" s="37">
        <v>3</v>
      </c>
      <c r="E652" s="82">
        <f>'MAQUINARIA Y EQUIPOS'!D9</f>
        <v>754</v>
      </c>
      <c r="F652" s="83">
        <f>+F678</f>
        <v>6</v>
      </c>
      <c r="G652" s="111">
        <f t="shared" si="13"/>
        <v>377</v>
      </c>
    </row>
    <row r="653" spans="1:8">
      <c r="A653" s="95"/>
      <c r="B653" s="835" t="str">
        <f>'MAQUINARIA Y EQUIPOS'!C47</f>
        <v>TABLONES 3m</v>
      </c>
      <c r="C653" s="836"/>
      <c r="D653" s="37">
        <v>2</v>
      </c>
      <c r="E653" s="82">
        <f>'MAQUINARIA Y EQUIPOS'!D47</f>
        <v>348</v>
      </c>
      <c r="F653" s="83">
        <f>+F678</f>
        <v>6</v>
      </c>
      <c r="G653" s="111">
        <f t="shared" si="13"/>
        <v>116</v>
      </c>
    </row>
    <row r="654" spans="1:8">
      <c r="A654" s="95"/>
      <c r="B654" s="835" t="str">
        <f>'MAQUINARIA Y EQUIPOS'!C38</f>
        <v>PARAL TELESCOPICO 4 MTS</v>
      </c>
      <c r="C654" s="836"/>
      <c r="D654" s="37">
        <v>3</v>
      </c>
      <c r="E654" s="82">
        <f>'MAQUINARIA Y EQUIPOS'!D38</f>
        <v>290</v>
      </c>
      <c r="F654" s="83">
        <f>+F679</f>
        <v>6</v>
      </c>
      <c r="G654" s="111">
        <f t="shared" si="13"/>
        <v>145</v>
      </c>
    </row>
    <row r="655" spans="1:8" ht="13.5" thickBot="1">
      <c r="A655" s="95"/>
      <c r="B655" s="828" t="str">
        <f>'MAQUINARIA Y EQUIPOS'!C13</f>
        <v>CERCHA METALICA 3.0 MTS</v>
      </c>
      <c r="C655" s="829"/>
      <c r="D655" s="77">
        <v>0.33</v>
      </c>
      <c r="E655" s="82">
        <f>'MAQUINARIA Y EQUIPOS'!D13</f>
        <v>220</v>
      </c>
      <c r="F655" s="83">
        <f>+F679</f>
        <v>6</v>
      </c>
      <c r="G655" s="111">
        <f t="shared" si="13"/>
        <v>12</v>
      </c>
    </row>
    <row r="656" spans="1:8" ht="14.25" thickTop="1" thickBot="1">
      <c r="A656" s="95"/>
      <c r="B656" s="843"/>
      <c r="C656" s="843"/>
      <c r="D656" s="843"/>
      <c r="E656" s="963"/>
      <c r="F656" s="119" t="s">
        <v>856</v>
      </c>
      <c r="G656" s="118">
        <f>SUM(G650:G655)</f>
        <v>3577</v>
      </c>
    </row>
    <row r="657" spans="1:8" ht="14.25" thickTop="1" thickBot="1">
      <c r="A657" s="95"/>
      <c r="B657" s="830"/>
      <c r="C657" s="830"/>
      <c r="D657" s="830"/>
      <c r="E657" s="830"/>
      <c r="F657" s="830"/>
      <c r="G657" s="830"/>
    </row>
    <row r="658" spans="1:8" ht="13.5" thickTop="1">
      <c r="A658" s="95"/>
      <c r="B658" s="811" t="s">
        <v>311</v>
      </c>
      <c r="C658" s="812"/>
      <c r="D658" s="812"/>
      <c r="E658" s="812"/>
      <c r="F658" s="812"/>
      <c r="G658" s="825"/>
    </row>
    <row r="659" spans="1:8">
      <c r="A659" s="95"/>
      <c r="B659" s="817" t="s">
        <v>838</v>
      </c>
      <c r="C659" s="818"/>
      <c r="D659" s="98" t="s">
        <v>842</v>
      </c>
      <c r="E659" s="98" t="s">
        <v>853</v>
      </c>
      <c r="F659" s="99" t="s">
        <v>1047</v>
      </c>
      <c r="G659" s="107" t="s">
        <v>840</v>
      </c>
    </row>
    <row r="660" spans="1:8">
      <c r="A660" s="95"/>
      <c r="B660" s="115"/>
      <c r="C660" s="102"/>
      <c r="D660" s="100"/>
      <c r="E660" s="100" t="s">
        <v>312</v>
      </c>
      <c r="F660" s="101" t="s">
        <v>313</v>
      </c>
      <c r="G660" s="108" t="s">
        <v>314</v>
      </c>
    </row>
    <row r="661" spans="1:8" ht="14.25">
      <c r="A661" s="125"/>
      <c r="B661" s="841" t="str">
        <f>MATERIALES2!C35</f>
        <v>CONCRETO 1:2:3-3000 psi(MATERIALES)</v>
      </c>
      <c r="C661" s="842"/>
      <c r="D661" s="87" t="s">
        <v>1066</v>
      </c>
      <c r="E661" s="140">
        <f>ROUND(0.2*0.36,3)</f>
        <v>7.1999999999999995E-2</v>
      </c>
      <c r="F661" s="80">
        <f>MATERIALES2!E35</f>
        <v>367600</v>
      </c>
      <c r="G661" s="110">
        <f t="shared" ref="G661:G668" si="14">ROUND(E661*F661,0)</f>
        <v>26467</v>
      </c>
    </row>
    <row r="662" spans="1:8">
      <c r="A662" s="123"/>
      <c r="B662" s="854" t="str">
        <f>MATERIALES2!C162</f>
        <v>TABLON 2X10X10</v>
      </c>
      <c r="C662" s="855"/>
      <c r="D662" s="37" t="s">
        <v>865</v>
      </c>
      <c r="E662" s="83">
        <f>ROUND(1*1/3/4,2)</f>
        <v>0.08</v>
      </c>
      <c r="F662" s="82">
        <f>MATERIALES2!E162</f>
        <v>16700</v>
      </c>
      <c r="G662" s="111">
        <f t="shared" si="14"/>
        <v>1336</v>
      </c>
    </row>
    <row r="663" spans="1:8">
      <c r="A663" s="95"/>
      <c r="B663" s="854" t="str">
        <f>MATERIALES2!C151</f>
        <v>ABARCO DE 2X2X4,50</v>
      </c>
      <c r="C663" s="855"/>
      <c r="D663" s="37" t="s">
        <v>865</v>
      </c>
      <c r="E663" s="83">
        <f>ROUND((0.5*2+0.4*1)*3/4.5/4,2)</f>
        <v>0.23</v>
      </c>
      <c r="F663" s="82">
        <f>MATERIALES2!E151</f>
        <v>5000</v>
      </c>
      <c r="G663" s="111">
        <f t="shared" si="14"/>
        <v>1150</v>
      </c>
    </row>
    <row r="664" spans="1:8">
      <c r="A664" s="95"/>
      <c r="B664" s="854" t="str">
        <f>MATERIALES2!C919</f>
        <v>PUNTILLAS DE 3"</v>
      </c>
      <c r="C664" s="855"/>
      <c r="D664" s="37" t="s">
        <v>922</v>
      </c>
      <c r="E664" s="83">
        <v>1</v>
      </c>
      <c r="F664" s="82">
        <f>MATERIALES2!E919</f>
        <v>1500</v>
      </c>
      <c r="G664" s="111">
        <f t="shared" si="14"/>
        <v>1500</v>
      </c>
    </row>
    <row r="665" spans="1:8">
      <c r="A665" s="95"/>
      <c r="B665" s="854" t="str">
        <f>MATERIALES2!C62</f>
        <v>HIERRO CHIPA 3/8"</v>
      </c>
      <c r="C665" s="855"/>
      <c r="D665" s="37" t="s">
        <v>925</v>
      </c>
      <c r="E665" s="146">
        <f>ROUND(12*1.1*0.61,2)</f>
        <v>8.0500000000000007</v>
      </c>
      <c r="F665" s="82">
        <f>MATERIALES2!E62</f>
        <v>2100</v>
      </c>
      <c r="G665" s="111">
        <f t="shared" si="14"/>
        <v>16905</v>
      </c>
    </row>
    <row r="666" spans="1:8">
      <c r="A666" s="95"/>
      <c r="B666" s="854" t="str">
        <f>MATERIALES2!C71</f>
        <v>VARILLA CORRUGADA 5/8" x 6.0 M</v>
      </c>
      <c r="C666" s="855"/>
      <c r="D666" s="37" t="s">
        <v>865</v>
      </c>
      <c r="E666" s="146">
        <f>ROUND(4*1.2/6,2)</f>
        <v>0.8</v>
      </c>
      <c r="F666" s="82">
        <f>MATERIALES2!E71</f>
        <v>17700</v>
      </c>
      <c r="G666" s="111">
        <f t="shared" si="14"/>
        <v>14160</v>
      </c>
    </row>
    <row r="667" spans="1:8">
      <c r="A667" s="95"/>
      <c r="B667" s="854" t="str">
        <f>MATERIALES2!C65</f>
        <v>ALAMBRE NEGRO</v>
      </c>
      <c r="C667" s="855"/>
      <c r="D667" s="37" t="s">
        <v>925</v>
      </c>
      <c r="E667" s="138">
        <v>0.27</v>
      </c>
      <c r="F667" s="82">
        <f>MATERIALES2!E65</f>
        <v>2100</v>
      </c>
      <c r="G667" s="111">
        <f t="shared" si="14"/>
        <v>567</v>
      </c>
      <c r="H667" s="505" t="s">
        <v>1670</v>
      </c>
    </row>
    <row r="668" spans="1:8">
      <c r="A668" s="95"/>
      <c r="B668" s="854" t="str">
        <f>MATERIALES2!C161</f>
        <v>TABLON 2X8X10</v>
      </c>
      <c r="C668" s="855"/>
      <c r="D668" s="37" t="s">
        <v>865</v>
      </c>
      <c r="E668" s="83">
        <f>ROUND(4*1/3/4,2)</f>
        <v>0.33</v>
      </c>
      <c r="F668" s="82">
        <f>MATERIALES2!E161</f>
        <v>13400</v>
      </c>
      <c r="G668" s="111">
        <f t="shared" si="14"/>
        <v>4422</v>
      </c>
    </row>
    <row r="669" spans="1:8" ht="13.5" thickBot="1">
      <c r="A669" s="95"/>
      <c r="B669" s="828"/>
      <c r="C669" s="829"/>
      <c r="D669" s="37"/>
      <c r="E669" s="83"/>
      <c r="F669" s="82"/>
      <c r="G669" s="111"/>
    </row>
    <row r="670" spans="1:8" ht="13.5" thickTop="1">
      <c r="A670" s="95"/>
      <c r="B670" s="808"/>
      <c r="C670" s="809"/>
      <c r="D670" s="801" t="s">
        <v>856</v>
      </c>
      <c r="E670" s="802"/>
      <c r="F670" s="9"/>
      <c r="G670" s="113">
        <f>SUM(G661:G669)</f>
        <v>66507</v>
      </c>
    </row>
    <row r="671" spans="1:8">
      <c r="A671" s="95"/>
      <c r="B671" s="819"/>
      <c r="C671" s="820"/>
      <c r="D671" s="801" t="s">
        <v>857</v>
      </c>
      <c r="E671" s="802"/>
      <c r="F671" s="79">
        <f>'MANO DE OBRA'!D60</f>
        <v>0.05</v>
      </c>
      <c r="G671" s="113">
        <f>ROUND(G670*F671,0)</f>
        <v>3325</v>
      </c>
    </row>
    <row r="672" spans="1:8" ht="13.5" thickBot="1">
      <c r="A672" s="95"/>
      <c r="B672" s="819"/>
      <c r="C672" s="820"/>
      <c r="D672" s="803" t="s">
        <v>320</v>
      </c>
      <c r="E672" s="804"/>
      <c r="F672" s="114"/>
      <c r="G672" s="118">
        <f>+G670+G671</f>
        <v>69832</v>
      </c>
    </row>
    <row r="673" spans="1:7" ht="14.25" thickTop="1" thickBot="1">
      <c r="A673" s="95"/>
      <c r="B673" s="830"/>
      <c r="C673" s="830"/>
      <c r="D673" s="830"/>
      <c r="E673" s="830"/>
      <c r="F673" s="830"/>
      <c r="G673" s="830"/>
    </row>
    <row r="674" spans="1:7" ht="13.5" thickTop="1">
      <c r="A674" s="95"/>
      <c r="B674" s="811" t="s">
        <v>858</v>
      </c>
      <c r="C674" s="812"/>
      <c r="D674" s="812"/>
      <c r="E674" s="812"/>
      <c r="F674" s="812"/>
      <c r="G674" s="825"/>
    </row>
    <row r="675" spans="1:7">
      <c r="A675" s="95"/>
      <c r="B675" s="817"/>
      <c r="C675" s="818"/>
      <c r="D675" s="98" t="s">
        <v>301</v>
      </c>
      <c r="E675" s="98" t="s">
        <v>859</v>
      </c>
      <c r="F675" s="99" t="s">
        <v>839</v>
      </c>
      <c r="G675" s="107" t="s">
        <v>840</v>
      </c>
    </row>
    <row r="676" spans="1:7">
      <c r="A676" s="95"/>
      <c r="B676" s="821" t="s">
        <v>838</v>
      </c>
      <c r="C676" s="822"/>
      <c r="D676" s="100" t="s">
        <v>316</v>
      </c>
      <c r="E676" s="100" t="s">
        <v>315</v>
      </c>
      <c r="F676" s="101" t="s">
        <v>306</v>
      </c>
      <c r="G676" s="108" t="s">
        <v>319</v>
      </c>
    </row>
    <row r="677" spans="1:7">
      <c r="A677" s="95"/>
      <c r="B677" s="115"/>
      <c r="C677" s="102"/>
      <c r="D677" s="103"/>
      <c r="E677" s="103" t="s">
        <v>317</v>
      </c>
      <c r="F677" s="104" t="s">
        <v>318</v>
      </c>
      <c r="G677" s="109"/>
    </row>
    <row r="678" spans="1:7">
      <c r="A678" s="95"/>
      <c r="B678" s="823" t="str">
        <f>'MANO DE OBRA'!B10</f>
        <v>AYUDANTE CUAD. TIPO AA</v>
      </c>
      <c r="C678" s="824"/>
      <c r="D678" s="87">
        <v>1</v>
      </c>
      <c r="E678" s="80">
        <f>'MANO DE OBRA'!E10</f>
        <v>34680</v>
      </c>
      <c r="F678" s="81">
        <v>6</v>
      </c>
      <c r="G678" s="110">
        <f>ROUND(D678*E678/F678,0)</f>
        <v>5780</v>
      </c>
    </row>
    <row r="679" spans="1:7">
      <c r="A679" s="95"/>
      <c r="B679" s="835" t="str">
        <f>'MANO DE OBRA'!B15</f>
        <v xml:space="preserve">OFICIAL CUAD. TIPO AA </v>
      </c>
      <c r="C679" s="836"/>
      <c r="D679" s="37">
        <v>1</v>
      </c>
      <c r="E679" s="82">
        <f>'MANO DE OBRA'!E15</f>
        <v>71474</v>
      </c>
      <c r="F679" s="83">
        <v>6</v>
      </c>
      <c r="G679" s="111">
        <f>ROUND(D679*E679/F679,0)</f>
        <v>11912</v>
      </c>
    </row>
    <row r="680" spans="1:7">
      <c r="A680" s="95"/>
      <c r="B680" s="835"/>
      <c r="C680" s="836"/>
      <c r="D680" s="89"/>
      <c r="E680" s="82"/>
      <c r="F680" s="83"/>
      <c r="G680" s="111"/>
    </row>
    <row r="681" spans="1:7">
      <c r="A681" s="95"/>
      <c r="B681" s="835" t="s">
        <v>841</v>
      </c>
      <c r="C681" s="836"/>
      <c r="D681" s="37"/>
      <c r="E681" s="82"/>
      <c r="F681" s="83"/>
      <c r="G681" s="111"/>
    </row>
    <row r="682" spans="1:7" ht="13.5" thickBot="1">
      <c r="A682" s="95"/>
      <c r="B682" s="828" t="s">
        <v>841</v>
      </c>
      <c r="C682" s="829"/>
      <c r="D682" s="77"/>
      <c r="E682" s="82"/>
      <c r="F682" s="86"/>
      <c r="G682" s="112"/>
    </row>
    <row r="683" spans="1:7" ht="14.25" thickTop="1" thickBot="1">
      <c r="A683" s="95"/>
      <c r="B683" s="808"/>
      <c r="C683" s="808"/>
      <c r="D683" s="808"/>
      <c r="E683" s="809"/>
      <c r="F683" s="120" t="s">
        <v>856</v>
      </c>
      <c r="G683" s="118">
        <f>SUM(G678:G682)</f>
        <v>17692</v>
      </c>
    </row>
    <row r="684" spans="1:7" ht="14.25" thickTop="1" thickBot="1">
      <c r="A684" s="95"/>
      <c r="B684" s="810"/>
      <c r="C684" s="810"/>
      <c r="D684" s="810"/>
      <c r="E684" s="810"/>
      <c r="F684" s="810"/>
      <c r="G684" s="810"/>
    </row>
    <row r="685" spans="1:7" ht="13.5" thickTop="1">
      <c r="A685" s="95"/>
      <c r="B685" s="811" t="s">
        <v>321</v>
      </c>
      <c r="C685" s="812"/>
      <c r="D685" s="812"/>
      <c r="E685" s="812"/>
      <c r="F685" s="812"/>
      <c r="G685" s="825"/>
    </row>
    <row r="686" spans="1:7">
      <c r="A686" s="95"/>
      <c r="B686" s="817" t="s">
        <v>838</v>
      </c>
      <c r="C686" s="818"/>
      <c r="D686" s="98" t="s">
        <v>301</v>
      </c>
      <c r="E686" s="98" t="s">
        <v>297</v>
      </c>
      <c r="F686" s="99" t="s">
        <v>839</v>
      </c>
      <c r="G686" s="107" t="s">
        <v>840</v>
      </c>
    </row>
    <row r="687" spans="1:7">
      <c r="A687" s="95"/>
      <c r="B687" s="115"/>
      <c r="C687" s="102"/>
      <c r="D687" s="103" t="s">
        <v>322</v>
      </c>
      <c r="E687" s="103" t="s">
        <v>323</v>
      </c>
      <c r="F687" s="104" t="s">
        <v>324</v>
      </c>
      <c r="G687" s="109" t="s">
        <v>325</v>
      </c>
    </row>
    <row r="688" spans="1:7">
      <c r="A688" s="95"/>
      <c r="B688" s="826"/>
      <c r="C688" s="827"/>
      <c r="D688" s="96"/>
      <c r="E688" s="96"/>
      <c r="F688" s="96"/>
      <c r="G688" s="116"/>
    </row>
    <row r="689" spans="1:8" ht="13.5" thickBot="1">
      <c r="A689" s="95"/>
      <c r="B689" s="828" t="s">
        <v>841</v>
      </c>
      <c r="C689" s="829"/>
      <c r="D689" s="77"/>
      <c r="E689" s="82"/>
      <c r="F689" s="86"/>
      <c r="G689" s="112"/>
    </row>
    <row r="690" spans="1:8" ht="14.25" thickTop="1" thickBot="1">
      <c r="A690" s="95"/>
      <c r="B690" s="808"/>
      <c r="C690" s="808"/>
      <c r="D690" s="808"/>
      <c r="E690" s="809"/>
      <c r="F690" s="120" t="s">
        <v>856</v>
      </c>
      <c r="G690" s="118">
        <f>SUM(G685:G689)</f>
        <v>0</v>
      </c>
    </row>
    <row r="691" spans="1:8" ht="14.25" thickTop="1" thickBot="1">
      <c r="A691" s="95"/>
      <c r="B691" s="810"/>
      <c r="C691" s="810"/>
      <c r="D691" s="810"/>
      <c r="E691" s="810"/>
      <c r="F691" s="810"/>
      <c r="G691" s="834"/>
    </row>
    <row r="692" spans="1:8" ht="13.5" thickTop="1">
      <c r="A692" s="95"/>
      <c r="B692" s="811" t="s">
        <v>326</v>
      </c>
      <c r="C692" s="812"/>
      <c r="D692" s="812"/>
      <c r="E692" s="812"/>
      <c r="F692" s="813"/>
      <c r="G692" s="121">
        <f>+G656+G672+G683</f>
        <v>91101</v>
      </c>
    </row>
    <row r="693" spans="1:8">
      <c r="A693" s="95"/>
      <c r="B693" s="814" t="s">
        <v>861</v>
      </c>
      <c r="C693" s="815"/>
      <c r="D693" s="815"/>
      <c r="E693" s="816"/>
      <c r="F693" s="128">
        <f>'MANO DE OBRA'!D281</f>
        <v>0</v>
      </c>
      <c r="G693" s="122">
        <f>ROUND(G692*F693,0)</f>
        <v>0</v>
      </c>
    </row>
    <row r="694" spans="1:8" s="346" customFormat="1" ht="13.5" thickBot="1">
      <c r="A694" s="408"/>
      <c r="B694" s="882" t="s">
        <v>1049</v>
      </c>
      <c r="C694" s="883"/>
      <c r="D694" s="883"/>
      <c r="E694" s="883"/>
      <c r="F694" s="884"/>
      <c r="G694" s="409">
        <f>ROUND(G692+G693,-2)</f>
        <v>91100</v>
      </c>
      <c r="H694" s="505" t="s">
        <v>1670</v>
      </c>
    </row>
    <row r="695" spans="1:8" s="346" customFormat="1" ht="13.5" thickTop="1">
      <c r="A695" s="408"/>
      <c r="B695" s="410" t="s">
        <v>303</v>
      </c>
      <c r="C695" s="962"/>
      <c r="D695" s="962"/>
      <c r="E695" s="962"/>
      <c r="F695" s="411" t="s">
        <v>781</v>
      </c>
      <c r="G695" s="412" t="s">
        <v>831</v>
      </c>
    </row>
    <row r="696" spans="1:8">
      <c r="A696" s="95"/>
      <c r="B696" s="91" t="s">
        <v>834</v>
      </c>
      <c r="C696" s="844" t="s">
        <v>368</v>
      </c>
      <c r="D696" s="844"/>
      <c r="E696" s="844"/>
      <c r="F696" s="15" t="s">
        <v>833</v>
      </c>
      <c r="G696" s="165" t="str">
        <f>'MANO DE OBRA'!D61</f>
        <v>Agosto de 2010</v>
      </c>
    </row>
    <row r="697" spans="1:8" ht="13.5" thickBot="1">
      <c r="A697" s="127"/>
      <c r="B697" s="94" t="s">
        <v>835</v>
      </c>
      <c r="C697" s="845" t="s">
        <v>166</v>
      </c>
      <c r="D697" s="845"/>
      <c r="E697" s="845"/>
      <c r="F697" s="845"/>
      <c r="G697" s="846"/>
    </row>
    <row r="698" spans="1:8" ht="14.25" thickTop="1" thickBot="1">
      <c r="A698" s="95"/>
      <c r="B698" s="847"/>
      <c r="C698" s="847"/>
      <c r="D698" s="847"/>
      <c r="E698" s="847"/>
      <c r="F698" s="847"/>
      <c r="G698" s="847"/>
    </row>
    <row r="699" spans="1:8" ht="13.5" thickTop="1">
      <c r="A699" s="95"/>
      <c r="B699" s="811" t="s">
        <v>304</v>
      </c>
      <c r="C699" s="812"/>
      <c r="D699" s="812"/>
      <c r="E699" s="812"/>
      <c r="F699" s="812"/>
      <c r="G699" s="825"/>
    </row>
    <row r="700" spans="1:8">
      <c r="A700" s="95"/>
      <c r="B700" s="105"/>
      <c r="C700" s="97"/>
      <c r="D700" s="98" t="s">
        <v>301</v>
      </c>
      <c r="E700" s="98" t="s">
        <v>1072</v>
      </c>
      <c r="F700" s="99" t="s">
        <v>839</v>
      </c>
      <c r="G700" s="107" t="s">
        <v>840</v>
      </c>
    </row>
    <row r="701" spans="1:8">
      <c r="A701" s="95"/>
      <c r="B701" s="821" t="s">
        <v>838</v>
      </c>
      <c r="C701" s="822"/>
      <c r="D701" s="100" t="s">
        <v>308</v>
      </c>
      <c r="E701" s="100" t="s">
        <v>305</v>
      </c>
      <c r="F701" s="101" t="s">
        <v>306</v>
      </c>
      <c r="G701" s="108" t="s">
        <v>310</v>
      </c>
    </row>
    <row r="702" spans="1:8">
      <c r="A702" s="95"/>
      <c r="B702" s="115"/>
      <c r="C702" s="102"/>
      <c r="D702" s="103"/>
      <c r="E702" s="103" t="s">
        <v>309</v>
      </c>
      <c r="F702" s="104" t="s">
        <v>307</v>
      </c>
      <c r="G702" s="109"/>
    </row>
    <row r="703" spans="1:8">
      <c r="A703" s="127"/>
      <c r="B703" s="823" t="str">
        <f>'MAQUINARIA Y EQUIPOS'!C28</f>
        <v>HERRAMIENTAS MENORES</v>
      </c>
      <c r="C703" s="824"/>
      <c r="D703" s="87">
        <v>1</v>
      </c>
      <c r="E703" s="82">
        <f>ROUND(G736*0.05,0)</f>
        <v>332</v>
      </c>
      <c r="F703" s="81">
        <v>1</v>
      </c>
      <c r="G703" s="110">
        <f t="shared" ref="G703:G708" si="15">ROUND(D703*E703/F703,0)</f>
        <v>332</v>
      </c>
    </row>
    <row r="704" spans="1:8">
      <c r="A704" s="95"/>
      <c r="B704" s="835" t="str">
        <f>'MAQUINARIA Y EQUIPOS'!C53</f>
        <v>VIBRADOR A GASOLINA</v>
      </c>
      <c r="C704" s="836"/>
      <c r="D704" s="37">
        <v>1</v>
      </c>
      <c r="E704" s="82">
        <f>'MAQUINARIA Y EQUIPOS'!D53</f>
        <v>51040</v>
      </c>
      <c r="F704" s="83">
        <v>25</v>
      </c>
      <c r="G704" s="111">
        <f t="shared" si="15"/>
        <v>2042</v>
      </c>
    </row>
    <row r="705" spans="1:8">
      <c r="A705" s="95"/>
      <c r="B705" s="835" t="str">
        <f>'MAQUINARIA Y EQUIPOS'!C9</f>
        <v>ANDAMIO TUBULAR 1.50 m</v>
      </c>
      <c r="C705" s="836"/>
      <c r="D705" s="37">
        <v>3</v>
      </c>
      <c r="E705" s="82">
        <f>'MAQUINARIA Y EQUIPOS'!D9</f>
        <v>754</v>
      </c>
      <c r="F705" s="83">
        <v>14.33</v>
      </c>
      <c r="G705" s="111">
        <f t="shared" si="15"/>
        <v>158</v>
      </c>
    </row>
    <row r="706" spans="1:8">
      <c r="A706" s="95"/>
      <c r="B706" s="835" t="str">
        <f>'MAQUINARIA Y EQUIPOS'!C13</f>
        <v>CERCHA METALICA 3.0 MTS</v>
      </c>
      <c r="C706" s="836"/>
      <c r="D706" s="37">
        <v>2</v>
      </c>
      <c r="E706" s="82">
        <f>'MAQUINARIA Y EQUIPOS'!D13</f>
        <v>220</v>
      </c>
      <c r="F706" s="83">
        <v>14.33</v>
      </c>
      <c r="G706" s="111">
        <f t="shared" si="15"/>
        <v>31</v>
      </c>
    </row>
    <row r="707" spans="1:8">
      <c r="A707" s="95"/>
      <c r="B707" s="835" t="str">
        <f>'MAQUINARIA Y EQUIPOS'!C21</f>
        <v>ELEVADOR</v>
      </c>
      <c r="C707" s="836"/>
      <c r="D707" s="37">
        <v>1</v>
      </c>
      <c r="E707" s="82">
        <f>'MAQUINARIA Y EQUIPOS'!D21</f>
        <v>40600</v>
      </c>
      <c r="F707" s="83">
        <v>25</v>
      </c>
      <c r="G707" s="111">
        <f t="shared" si="15"/>
        <v>1624</v>
      </c>
    </row>
    <row r="708" spans="1:8" ht="13.5" thickBot="1">
      <c r="A708" s="95"/>
      <c r="B708" s="835" t="str">
        <f>'MAQUINARIA Y EQUIPOS'!C37</f>
        <v>PARAL TELESCOPICO 3 MTS</v>
      </c>
      <c r="C708" s="836"/>
      <c r="D708" s="77">
        <v>6</v>
      </c>
      <c r="E708" s="82">
        <f>'MAQUINARIA Y EQUIPOS'!D37</f>
        <v>290</v>
      </c>
      <c r="F708" s="86">
        <v>14.33</v>
      </c>
      <c r="G708" s="111">
        <f t="shared" si="15"/>
        <v>121</v>
      </c>
    </row>
    <row r="709" spans="1:8" ht="14.25" thickTop="1" thickBot="1">
      <c r="A709" s="95"/>
      <c r="B709" s="808"/>
      <c r="C709" s="808"/>
      <c r="D709" s="808"/>
      <c r="E709" s="809"/>
      <c r="F709" s="119" t="s">
        <v>856</v>
      </c>
      <c r="G709" s="118">
        <f>SUM(G703:G708)</f>
        <v>4308</v>
      </c>
    </row>
    <row r="710" spans="1:8" ht="14.25" thickTop="1" thickBot="1">
      <c r="A710" s="95"/>
      <c r="B710" s="830"/>
      <c r="C710" s="830"/>
      <c r="D710" s="830"/>
      <c r="E710" s="830"/>
      <c r="F710" s="830"/>
      <c r="G710" s="830"/>
    </row>
    <row r="711" spans="1:8" ht="13.5" thickTop="1">
      <c r="A711" s="95"/>
      <c r="B711" s="811" t="s">
        <v>311</v>
      </c>
      <c r="C711" s="812"/>
      <c r="D711" s="812"/>
      <c r="E711" s="812"/>
      <c r="F711" s="812"/>
      <c r="G711" s="825"/>
    </row>
    <row r="712" spans="1:8">
      <c r="A712" s="95"/>
      <c r="B712" s="817" t="s">
        <v>838</v>
      </c>
      <c r="C712" s="818"/>
      <c r="D712" s="98" t="s">
        <v>842</v>
      </c>
      <c r="E712" s="98" t="s">
        <v>853</v>
      </c>
      <c r="F712" s="99" t="s">
        <v>1047</v>
      </c>
      <c r="G712" s="107" t="s">
        <v>840</v>
      </c>
    </row>
    <row r="713" spans="1:8">
      <c r="A713" s="95"/>
      <c r="B713" s="115"/>
      <c r="C713" s="102"/>
      <c r="D713" s="100"/>
      <c r="E713" s="100" t="s">
        <v>312</v>
      </c>
      <c r="F713" s="101" t="s">
        <v>313</v>
      </c>
      <c r="G713" s="108" t="s">
        <v>314</v>
      </c>
    </row>
    <row r="714" spans="1:8" ht="14.25">
      <c r="A714" s="125"/>
      <c r="B714" s="841" t="str">
        <f>MATERIALES2!C35</f>
        <v>CONCRETO 1:2:3-3000 psi(MATERIALES)</v>
      </c>
      <c r="C714" s="842"/>
      <c r="D714" s="87" t="s">
        <v>1066</v>
      </c>
      <c r="E714" s="81">
        <v>0.03</v>
      </c>
      <c r="F714" s="80">
        <f>MATERIALES2!E35</f>
        <v>367600</v>
      </c>
      <c r="G714" s="110">
        <f t="shared" ref="G714:G720" si="16">ROUND(E714*F714,0)</f>
        <v>11028</v>
      </c>
    </row>
    <row r="715" spans="1:8">
      <c r="A715" s="123"/>
      <c r="B715" s="854" t="str">
        <f>MATERIALES2!C163</f>
        <v>TABLON 2x12x10</v>
      </c>
      <c r="C715" s="855"/>
      <c r="D715" s="37" t="s">
        <v>865</v>
      </c>
      <c r="E715" s="83">
        <f>ROUND(16.67*3/3/4.5*0.03,2)</f>
        <v>0.11</v>
      </c>
      <c r="F715" s="82">
        <f>MATERIALES2!E163</f>
        <v>20000</v>
      </c>
      <c r="G715" s="111">
        <f t="shared" si="16"/>
        <v>2200</v>
      </c>
    </row>
    <row r="716" spans="1:8">
      <c r="A716" s="95"/>
      <c r="B716" s="854" t="str">
        <f>MATERIALES2!C918</f>
        <v>PUNTILLAS DE 2"</v>
      </c>
      <c r="C716" s="855"/>
      <c r="D716" s="37" t="s">
        <v>922</v>
      </c>
      <c r="E716" s="83">
        <f>3.8*0.03</f>
        <v>0.11399999999999999</v>
      </c>
      <c r="F716" s="82">
        <f>MATERIALES2!E918</f>
        <v>1500</v>
      </c>
      <c r="G716" s="111">
        <f t="shared" si="16"/>
        <v>171</v>
      </c>
    </row>
    <row r="717" spans="1:8">
      <c r="A717" s="95"/>
      <c r="B717" s="854" t="str">
        <f>MATERIALES2!C151</f>
        <v>ABARCO DE 2X2X4,50</v>
      </c>
      <c r="C717" s="855"/>
      <c r="D717" s="37" t="s">
        <v>865</v>
      </c>
      <c r="E717" s="83">
        <f>ROUND(16.67/3/4.5*0.03,2)</f>
        <v>0.04</v>
      </c>
      <c r="F717" s="82">
        <f>MATERIALES2!E151</f>
        <v>5000</v>
      </c>
      <c r="G717" s="111">
        <f t="shared" si="16"/>
        <v>200</v>
      </c>
    </row>
    <row r="718" spans="1:8">
      <c r="A718" s="95"/>
      <c r="B718" s="854" t="str">
        <f>MATERIALES2!C62</f>
        <v>HIERRO CHIPA 3/8"</v>
      </c>
      <c r="C718" s="855"/>
      <c r="D718" s="37" t="s">
        <v>925</v>
      </c>
      <c r="E718" s="83">
        <f>ROUND(12*0.75*0.3,2)</f>
        <v>2.7</v>
      </c>
      <c r="F718" s="82">
        <f>MATERIALES2!E62</f>
        <v>2100</v>
      </c>
      <c r="G718" s="111">
        <f t="shared" si="16"/>
        <v>5670</v>
      </c>
    </row>
    <row r="719" spans="1:8">
      <c r="A719" s="95"/>
      <c r="B719" s="854" t="str">
        <f>MATERIALES2!C70</f>
        <v>VARILLA CORRUGADA ½" x 6.0 M</v>
      </c>
      <c r="C719" s="855"/>
      <c r="D719" s="37" t="s">
        <v>865</v>
      </c>
      <c r="E719" s="83">
        <v>0.83</v>
      </c>
      <c r="F719" s="82">
        <f>MATERIALES2!E70</f>
        <v>9300</v>
      </c>
      <c r="G719" s="111">
        <f t="shared" si="16"/>
        <v>7719</v>
      </c>
    </row>
    <row r="720" spans="1:8">
      <c r="A720" s="95"/>
      <c r="B720" s="854" t="str">
        <f>MATERIALES2!C65</f>
        <v>ALAMBRE NEGRO</v>
      </c>
      <c r="C720" s="855"/>
      <c r="D720" s="37" t="s">
        <v>925</v>
      </c>
      <c r="E720" s="83">
        <v>0.23</v>
      </c>
      <c r="F720" s="82">
        <f>MATERIALES2!E65</f>
        <v>2100</v>
      </c>
      <c r="G720" s="111">
        <f t="shared" si="16"/>
        <v>483</v>
      </c>
      <c r="H720" s="505" t="s">
        <v>1670</v>
      </c>
    </row>
    <row r="721" spans="1:7">
      <c r="A721" s="95"/>
      <c r="B721" s="938" t="s">
        <v>841</v>
      </c>
      <c r="C721" s="939"/>
      <c r="D721" s="53" t="s">
        <v>841</v>
      </c>
      <c r="E721" s="53"/>
      <c r="F721" s="82"/>
      <c r="G721" s="111"/>
    </row>
    <row r="722" spans="1:7" ht="13.5" thickBot="1">
      <c r="A722" s="95"/>
      <c r="B722" s="839" t="s">
        <v>841</v>
      </c>
      <c r="C722" s="840"/>
      <c r="D722" s="84" t="s">
        <v>841</v>
      </c>
      <c r="E722" s="84"/>
      <c r="F722" s="85"/>
      <c r="G722" s="112"/>
    </row>
    <row r="723" spans="1:7" ht="13.5" thickTop="1">
      <c r="A723" s="95"/>
      <c r="B723" s="808"/>
      <c r="C723" s="809"/>
      <c r="D723" s="801" t="s">
        <v>856</v>
      </c>
      <c r="E723" s="802"/>
      <c r="F723" s="9"/>
      <c r="G723" s="113">
        <f>SUM(G714:G722)</f>
        <v>27471</v>
      </c>
    </row>
    <row r="724" spans="1:7">
      <c r="A724" s="95"/>
      <c r="B724" s="819"/>
      <c r="C724" s="820"/>
      <c r="D724" s="801" t="s">
        <v>857</v>
      </c>
      <c r="E724" s="802"/>
      <c r="F724" s="79">
        <f>'MANO DE OBRA'!D60</f>
        <v>0.05</v>
      </c>
      <c r="G724" s="113">
        <f>ROUND(G723*F724,0)</f>
        <v>1374</v>
      </c>
    </row>
    <row r="725" spans="1:7" ht="13.5" thickBot="1">
      <c r="A725" s="95"/>
      <c r="B725" s="819"/>
      <c r="C725" s="820"/>
      <c r="D725" s="803" t="s">
        <v>320</v>
      </c>
      <c r="E725" s="804"/>
      <c r="F725" s="114"/>
      <c r="G725" s="118">
        <f>+G723+G724</f>
        <v>28845</v>
      </c>
    </row>
    <row r="726" spans="1:7" ht="14.25" thickTop="1" thickBot="1">
      <c r="A726" s="95"/>
      <c r="B726" s="830"/>
      <c r="C726" s="830"/>
      <c r="D726" s="830"/>
      <c r="E726" s="830"/>
      <c r="F726" s="830"/>
      <c r="G726" s="830"/>
    </row>
    <row r="727" spans="1:7" ht="13.5" thickTop="1">
      <c r="A727" s="95"/>
      <c r="B727" s="811" t="s">
        <v>858</v>
      </c>
      <c r="C727" s="812"/>
      <c r="D727" s="812"/>
      <c r="E727" s="812"/>
      <c r="F727" s="812"/>
      <c r="G727" s="825"/>
    </row>
    <row r="728" spans="1:7">
      <c r="A728" s="95"/>
      <c r="B728" s="817"/>
      <c r="C728" s="818"/>
      <c r="D728" s="98" t="s">
        <v>301</v>
      </c>
      <c r="E728" s="98" t="s">
        <v>859</v>
      </c>
      <c r="F728" s="99" t="s">
        <v>839</v>
      </c>
      <c r="G728" s="107" t="s">
        <v>840</v>
      </c>
    </row>
    <row r="729" spans="1:7">
      <c r="A729" s="95"/>
      <c r="B729" s="821" t="s">
        <v>838</v>
      </c>
      <c r="C729" s="822"/>
      <c r="D729" s="100" t="s">
        <v>316</v>
      </c>
      <c r="E729" s="100" t="s">
        <v>315</v>
      </c>
      <c r="F729" s="101" t="s">
        <v>306</v>
      </c>
      <c r="G729" s="108" t="s">
        <v>319</v>
      </c>
    </row>
    <row r="730" spans="1:7">
      <c r="A730" s="95"/>
      <c r="B730" s="115"/>
      <c r="C730" s="102"/>
      <c r="D730" s="103"/>
      <c r="E730" s="103" t="s">
        <v>317</v>
      </c>
      <c r="F730" s="104" t="s">
        <v>318</v>
      </c>
      <c r="G730" s="109"/>
    </row>
    <row r="731" spans="1:7">
      <c r="A731" s="95"/>
      <c r="B731" s="823" t="str">
        <f>'MANO DE OBRA'!B10</f>
        <v>AYUDANTE CUAD. TIPO AA</v>
      </c>
      <c r="C731" s="824"/>
      <c r="D731" s="87">
        <v>1</v>
      </c>
      <c r="E731" s="80">
        <f>'MANO DE OBRA'!E10</f>
        <v>34680</v>
      </c>
      <c r="F731" s="81">
        <v>16</v>
      </c>
      <c r="G731" s="110">
        <f>ROUND(D731*E731/F731,0)</f>
        <v>2168</v>
      </c>
    </row>
    <row r="732" spans="1:7">
      <c r="A732" s="95"/>
      <c r="B732" s="835" t="str">
        <f>'MANO DE OBRA'!B15</f>
        <v xml:space="preserve">OFICIAL CUAD. TIPO AA </v>
      </c>
      <c r="C732" s="836"/>
      <c r="D732" s="37">
        <v>1</v>
      </c>
      <c r="E732" s="82">
        <f>'MANO DE OBRA'!E15</f>
        <v>71474</v>
      </c>
      <c r="F732" s="83">
        <v>16</v>
      </c>
      <c r="G732" s="111">
        <f>ROUND(D732*E732/F732,0)</f>
        <v>4467</v>
      </c>
    </row>
    <row r="733" spans="1:7">
      <c r="A733" s="95"/>
      <c r="B733" s="835"/>
      <c r="C733" s="836"/>
      <c r="D733" s="89"/>
      <c r="E733" s="82"/>
      <c r="F733" s="83"/>
      <c r="G733" s="111"/>
    </row>
    <row r="734" spans="1:7">
      <c r="A734" s="95"/>
      <c r="B734" s="835" t="s">
        <v>841</v>
      </c>
      <c r="C734" s="836"/>
      <c r="D734" s="37"/>
      <c r="E734" s="82"/>
      <c r="F734" s="83"/>
      <c r="G734" s="111"/>
    </row>
    <row r="735" spans="1:7" ht="13.5" thickBot="1">
      <c r="A735" s="95"/>
      <c r="B735" s="828" t="s">
        <v>841</v>
      </c>
      <c r="C735" s="829"/>
      <c r="D735" s="77"/>
      <c r="E735" s="82"/>
      <c r="F735" s="86"/>
      <c r="G735" s="112"/>
    </row>
    <row r="736" spans="1:7" ht="14.25" thickTop="1" thickBot="1">
      <c r="A736" s="95"/>
      <c r="B736" s="808"/>
      <c r="C736" s="808"/>
      <c r="D736" s="808"/>
      <c r="E736" s="809"/>
      <c r="F736" s="120" t="s">
        <v>856</v>
      </c>
      <c r="G736" s="118">
        <f>SUM(G731:G735)</f>
        <v>6635</v>
      </c>
    </row>
    <row r="737" spans="1:8" ht="14.25" thickTop="1" thickBot="1">
      <c r="A737" s="95"/>
      <c r="B737" s="810"/>
      <c r="C737" s="810"/>
      <c r="D737" s="810"/>
      <c r="E737" s="810"/>
      <c r="F737" s="810"/>
      <c r="G737" s="810"/>
    </row>
    <row r="738" spans="1:8" ht="13.5" thickTop="1">
      <c r="A738" s="95"/>
      <c r="B738" s="811" t="s">
        <v>321</v>
      </c>
      <c r="C738" s="812"/>
      <c r="D738" s="812"/>
      <c r="E738" s="812"/>
      <c r="F738" s="812"/>
      <c r="G738" s="825"/>
    </row>
    <row r="739" spans="1:8">
      <c r="A739" s="95"/>
      <c r="B739" s="817" t="s">
        <v>838</v>
      </c>
      <c r="C739" s="818"/>
      <c r="D739" s="98" t="s">
        <v>301</v>
      </c>
      <c r="E739" s="98" t="s">
        <v>297</v>
      </c>
      <c r="F739" s="99" t="s">
        <v>839</v>
      </c>
      <c r="G739" s="107" t="s">
        <v>840</v>
      </c>
    </row>
    <row r="740" spans="1:8">
      <c r="A740" s="95"/>
      <c r="B740" s="115"/>
      <c r="C740" s="102"/>
      <c r="D740" s="103" t="s">
        <v>322</v>
      </c>
      <c r="E740" s="103" t="s">
        <v>323</v>
      </c>
      <c r="F740" s="104" t="s">
        <v>324</v>
      </c>
      <c r="G740" s="109" t="s">
        <v>325</v>
      </c>
    </row>
    <row r="741" spans="1:8">
      <c r="A741" s="95"/>
      <c r="B741" s="826"/>
      <c r="C741" s="827"/>
      <c r="D741" s="96"/>
      <c r="E741" s="96"/>
      <c r="F741" s="96"/>
      <c r="G741" s="116"/>
    </row>
    <row r="742" spans="1:8" ht="13.5" thickBot="1">
      <c r="A742" s="95"/>
      <c r="B742" s="828" t="s">
        <v>841</v>
      </c>
      <c r="C742" s="829"/>
      <c r="D742" s="77"/>
      <c r="E742" s="82"/>
      <c r="F742" s="86"/>
      <c r="G742" s="112"/>
    </row>
    <row r="743" spans="1:8" ht="14.25" thickTop="1" thickBot="1">
      <c r="A743" s="95"/>
      <c r="B743" s="808"/>
      <c r="C743" s="808"/>
      <c r="D743" s="808"/>
      <c r="E743" s="809"/>
      <c r="F743" s="120" t="s">
        <v>856</v>
      </c>
      <c r="G743" s="118">
        <f>SUM(G738:G742)</f>
        <v>0</v>
      </c>
    </row>
    <row r="744" spans="1:8" ht="14.25" thickTop="1" thickBot="1">
      <c r="A744" s="95"/>
      <c r="B744" s="810"/>
      <c r="C744" s="810"/>
      <c r="D744" s="810"/>
      <c r="E744" s="810"/>
      <c r="F744" s="810"/>
      <c r="G744" s="834"/>
    </row>
    <row r="745" spans="1:8" ht="13.5" thickTop="1">
      <c r="A745" s="95"/>
      <c r="B745" s="811" t="s">
        <v>326</v>
      </c>
      <c r="C745" s="812"/>
      <c r="D745" s="812"/>
      <c r="E745" s="812"/>
      <c r="F745" s="813"/>
      <c r="G745" s="121">
        <f>+G709+G725+G736</f>
        <v>39788</v>
      </c>
    </row>
    <row r="746" spans="1:8">
      <c r="A746" s="95"/>
      <c r="B746" s="814" t="s">
        <v>861</v>
      </c>
      <c r="C746" s="815"/>
      <c r="D746" s="815"/>
      <c r="E746" s="816"/>
      <c r="F746" s="128">
        <f>'MANO DE OBRA'!D59</f>
        <v>0</v>
      </c>
      <c r="G746" s="122">
        <f>ROUND(G745*F746,0)</f>
        <v>0</v>
      </c>
    </row>
    <row r="747" spans="1:8" ht="13.5" thickBot="1">
      <c r="A747" s="95"/>
      <c r="B747" s="805" t="s">
        <v>1049</v>
      </c>
      <c r="C747" s="806"/>
      <c r="D747" s="806"/>
      <c r="E747" s="806"/>
      <c r="F747" s="807"/>
      <c r="G747" s="118">
        <f>ROUND(G745+G746,-2)</f>
        <v>39800</v>
      </c>
      <c r="H747" s="505" t="s">
        <v>1670</v>
      </c>
    </row>
    <row r="748" spans="1:8" ht="13.5" thickTop="1">
      <c r="A748" s="95"/>
      <c r="B748" s="90" t="s">
        <v>303</v>
      </c>
      <c r="C748" s="843"/>
      <c r="D748" s="843"/>
      <c r="E748" s="843"/>
      <c r="F748" s="92" t="s">
        <v>781</v>
      </c>
      <c r="G748" s="93" t="s">
        <v>831</v>
      </c>
    </row>
    <row r="749" spans="1:8">
      <c r="A749" s="95"/>
      <c r="B749" s="91" t="s">
        <v>834</v>
      </c>
      <c r="C749" s="844" t="s">
        <v>368</v>
      </c>
      <c r="D749" s="844"/>
      <c r="E749" s="844"/>
      <c r="F749" s="15" t="s">
        <v>833</v>
      </c>
      <c r="G749" s="165" t="str">
        <f>'MANO DE OBRA'!D61</f>
        <v>Agosto de 2010</v>
      </c>
    </row>
    <row r="750" spans="1:8" ht="15" customHeight="1" thickBot="1">
      <c r="A750" s="127"/>
      <c r="B750" s="94" t="s">
        <v>835</v>
      </c>
      <c r="C750" s="845" t="s">
        <v>587</v>
      </c>
      <c r="D750" s="845"/>
      <c r="E750" s="845"/>
      <c r="F750" s="845"/>
      <c r="G750" s="846"/>
    </row>
    <row r="751" spans="1:8" ht="14.25" thickTop="1" thickBot="1">
      <c r="A751" s="95"/>
      <c r="B751" s="847"/>
      <c r="C751" s="847"/>
      <c r="D751" s="847"/>
      <c r="E751" s="847"/>
      <c r="F751" s="847"/>
      <c r="G751" s="847"/>
    </row>
    <row r="752" spans="1:8" ht="13.5" thickTop="1">
      <c r="A752" s="95"/>
      <c r="B752" s="811" t="s">
        <v>304</v>
      </c>
      <c r="C752" s="812"/>
      <c r="D752" s="812"/>
      <c r="E752" s="812"/>
      <c r="F752" s="812"/>
      <c r="G752" s="825"/>
    </row>
    <row r="753" spans="1:7">
      <c r="A753" s="95"/>
      <c r="B753" s="105"/>
      <c r="C753" s="97"/>
      <c r="D753" s="98" t="s">
        <v>301</v>
      </c>
      <c r="E753" s="98" t="s">
        <v>1072</v>
      </c>
      <c r="F753" s="99" t="s">
        <v>839</v>
      </c>
      <c r="G753" s="107" t="s">
        <v>840</v>
      </c>
    </row>
    <row r="754" spans="1:7">
      <c r="A754" s="95"/>
      <c r="B754" s="821" t="s">
        <v>838</v>
      </c>
      <c r="C754" s="822"/>
      <c r="D754" s="100" t="s">
        <v>308</v>
      </c>
      <c r="E754" s="100" t="s">
        <v>305</v>
      </c>
      <c r="F754" s="101" t="s">
        <v>306</v>
      </c>
      <c r="G754" s="108" t="s">
        <v>310</v>
      </c>
    </row>
    <row r="755" spans="1:7">
      <c r="A755" s="95"/>
      <c r="B755" s="115"/>
      <c r="C755" s="102"/>
      <c r="D755" s="103"/>
      <c r="E755" s="103" t="s">
        <v>309</v>
      </c>
      <c r="F755" s="104" t="s">
        <v>307</v>
      </c>
      <c r="G755" s="109"/>
    </row>
    <row r="756" spans="1:7">
      <c r="A756" s="127"/>
      <c r="B756" s="823" t="str">
        <f>'MAQUINARIA Y EQUIPOS'!C28</f>
        <v>HERRAMIENTAS MENORES</v>
      </c>
      <c r="C756" s="824"/>
      <c r="D756" s="87">
        <v>1</v>
      </c>
      <c r="E756" s="82">
        <f>ROUND(G789*0.05,0)</f>
        <v>332</v>
      </c>
      <c r="F756" s="81">
        <v>1</v>
      </c>
      <c r="G756" s="110">
        <f t="shared" ref="G756:G761" si="17">ROUND(D756*E756/F756,0)</f>
        <v>332</v>
      </c>
    </row>
    <row r="757" spans="1:7">
      <c r="A757" s="95"/>
      <c r="B757" s="835" t="str">
        <f>'MAQUINARIA Y EQUIPOS'!C53</f>
        <v>VIBRADOR A GASOLINA</v>
      </c>
      <c r="C757" s="836"/>
      <c r="D757" s="37">
        <v>1</v>
      </c>
      <c r="E757" s="82">
        <f>'MAQUINARIA Y EQUIPOS'!D53</f>
        <v>51040</v>
      </c>
      <c r="F757" s="83">
        <v>25</v>
      </c>
      <c r="G757" s="111">
        <f t="shared" si="17"/>
        <v>2042</v>
      </c>
    </row>
    <row r="758" spans="1:7">
      <c r="A758" s="95"/>
      <c r="B758" s="835" t="str">
        <f>'MAQUINARIA Y EQUIPOS'!C9</f>
        <v>ANDAMIO TUBULAR 1.50 m</v>
      </c>
      <c r="C758" s="836"/>
      <c r="D758" s="37">
        <v>3</v>
      </c>
      <c r="E758" s="82">
        <f>'MAQUINARIA Y EQUIPOS'!D9</f>
        <v>754</v>
      </c>
      <c r="F758" s="83">
        <v>14.33</v>
      </c>
      <c r="G758" s="111">
        <f t="shared" si="17"/>
        <v>158</v>
      </c>
    </row>
    <row r="759" spans="1:7">
      <c r="A759" s="95"/>
      <c r="B759" s="835" t="str">
        <f>'MAQUINARIA Y EQUIPOS'!C13</f>
        <v>CERCHA METALICA 3.0 MTS</v>
      </c>
      <c r="C759" s="836"/>
      <c r="D759" s="37">
        <v>2</v>
      </c>
      <c r="E759" s="82">
        <f>'MAQUINARIA Y EQUIPOS'!D13</f>
        <v>220</v>
      </c>
      <c r="F759" s="83">
        <v>14.33</v>
      </c>
      <c r="G759" s="111">
        <f t="shared" si="17"/>
        <v>31</v>
      </c>
    </row>
    <row r="760" spans="1:7">
      <c r="A760" s="95"/>
      <c r="B760" s="835" t="str">
        <f>'MAQUINARIA Y EQUIPOS'!C21</f>
        <v>ELEVADOR</v>
      </c>
      <c r="C760" s="836"/>
      <c r="D760" s="37">
        <v>1</v>
      </c>
      <c r="E760" s="82">
        <f>'MAQUINARIA Y EQUIPOS'!D21</f>
        <v>40600</v>
      </c>
      <c r="F760" s="83">
        <v>25</v>
      </c>
      <c r="G760" s="111">
        <f t="shared" si="17"/>
        <v>1624</v>
      </c>
    </row>
    <row r="761" spans="1:7" ht="13.5" thickBot="1">
      <c r="A761" s="95"/>
      <c r="B761" s="835" t="str">
        <f>'MAQUINARIA Y EQUIPOS'!C37</f>
        <v>PARAL TELESCOPICO 3 MTS</v>
      </c>
      <c r="C761" s="836"/>
      <c r="D761" s="77">
        <v>6</v>
      </c>
      <c r="E761" s="82">
        <f>'MAQUINARIA Y EQUIPOS'!D37</f>
        <v>290</v>
      </c>
      <c r="F761" s="86">
        <v>14.33</v>
      </c>
      <c r="G761" s="111">
        <f t="shared" si="17"/>
        <v>121</v>
      </c>
    </row>
    <row r="762" spans="1:7" ht="14.25" thickTop="1" thickBot="1">
      <c r="A762" s="95"/>
      <c r="B762" s="808"/>
      <c r="C762" s="808"/>
      <c r="D762" s="808"/>
      <c r="E762" s="809"/>
      <c r="F762" s="119" t="s">
        <v>856</v>
      </c>
      <c r="G762" s="118">
        <f>SUM(G756:G761)</f>
        <v>4308</v>
      </c>
    </row>
    <row r="763" spans="1:7" ht="14.25" thickTop="1" thickBot="1">
      <c r="A763" s="95"/>
      <c r="B763" s="830"/>
      <c r="C763" s="830"/>
      <c r="D763" s="830"/>
      <c r="E763" s="830"/>
      <c r="F763" s="830"/>
      <c r="G763" s="830"/>
    </row>
    <row r="764" spans="1:7" ht="13.5" thickTop="1">
      <c r="A764" s="95"/>
      <c r="B764" s="811" t="s">
        <v>311</v>
      </c>
      <c r="C764" s="812"/>
      <c r="D764" s="812"/>
      <c r="E764" s="812"/>
      <c r="F764" s="812"/>
      <c r="G764" s="825"/>
    </row>
    <row r="765" spans="1:7">
      <c r="A765" s="95"/>
      <c r="B765" s="817" t="s">
        <v>838</v>
      </c>
      <c r="C765" s="818"/>
      <c r="D765" s="98" t="s">
        <v>842</v>
      </c>
      <c r="E765" s="98" t="s">
        <v>853</v>
      </c>
      <c r="F765" s="99" t="s">
        <v>1047</v>
      </c>
      <c r="G765" s="107" t="s">
        <v>840</v>
      </c>
    </row>
    <row r="766" spans="1:7">
      <c r="A766" s="95"/>
      <c r="B766" s="115"/>
      <c r="C766" s="102"/>
      <c r="D766" s="100"/>
      <c r="E766" s="100" t="s">
        <v>312</v>
      </c>
      <c r="F766" s="101" t="s">
        <v>313</v>
      </c>
      <c r="G766" s="108" t="s">
        <v>314</v>
      </c>
    </row>
    <row r="767" spans="1:7" ht="14.25">
      <c r="A767" s="125"/>
      <c r="B767" s="841" t="str">
        <f>MATERIALES2!C35</f>
        <v>CONCRETO 1:2:3-3000 psi(MATERIALES)</v>
      </c>
      <c r="C767" s="842"/>
      <c r="D767" s="87" t="s">
        <v>1066</v>
      </c>
      <c r="E767" s="140">
        <v>1.6E-2</v>
      </c>
      <c r="F767" s="80">
        <f>MATERIALES2!E35</f>
        <v>367600</v>
      </c>
      <c r="G767" s="110">
        <f t="shared" ref="G767:G773" si="18">ROUND(E767*F767,0)</f>
        <v>5882</v>
      </c>
    </row>
    <row r="768" spans="1:7">
      <c r="A768" s="123"/>
      <c r="B768" s="854" t="str">
        <f>MATERIALES2!C163</f>
        <v>TABLON 2x12x10</v>
      </c>
      <c r="C768" s="855"/>
      <c r="D768" s="37" t="s">
        <v>865</v>
      </c>
      <c r="E768" s="83">
        <f>ROUND(16.67*3/3/4.5*0.03,2)</f>
        <v>0.11</v>
      </c>
      <c r="F768" s="82">
        <f>MATERIALES2!E163</f>
        <v>20000</v>
      </c>
      <c r="G768" s="111">
        <f t="shared" si="18"/>
        <v>2200</v>
      </c>
    </row>
    <row r="769" spans="1:8">
      <c r="A769" s="95"/>
      <c r="B769" s="854" t="str">
        <f>MATERIALES2!C919</f>
        <v>PUNTILLAS DE 3"</v>
      </c>
      <c r="C769" s="855"/>
      <c r="D769" s="37" t="s">
        <v>922</v>
      </c>
      <c r="E769" s="83">
        <f>3.8*0.03</f>
        <v>0.11399999999999999</v>
      </c>
      <c r="F769" s="82">
        <f>MATERIALES2!E919</f>
        <v>1500</v>
      </c>
      <c r="G769" s="111">
        <f t="shared" si="18"/>
        <v>171</v>
      </c>
    </row>
    <row r="770" spans="1:8">
      <c r="A770" s="95"/>
      <c r="B770" s="854" t="str">
        <f>MATERIALES2!C151</f>
        <v>ABARCO DE 2X2X4,50</v>
      </c>
      <c r="C770" s="855"/>
      <c r="D770" s="37" t="s">
        <v>865</v>
      </c>
      <c r="E770" s="83">
        <f>ROUND(16.67/3/4.5*0.03,2)</f>
        <v>0.04</v>
      </c>
      <c r="F770" s="82">
        <f>MATERIALES2!E151</f>
        <v>5000</v>
      </c>
      <c r="G770" s="111">
        <f t="shared" si="18"/>
        <v>200</v>
      </c>
    </row>
    <row r="771" spans="1:8">
      <c r="A771" s="95"/>
      <c r="B771" s="854" t="str">
        <f>MATERIALES2!C61</f>
        <v>HIERRO CHIPA ¼"</v>
      </c>
      <c r="C771" s="855"/>
      <c r="D771" s="37" t="s">
        <v>925</v>
      </c>
      <c r="E771" s="83">
        <f>ROUND(12*0.25*0.3,2)</f>
        <v>0.9</v>
      </c>
      <c r="F771" s="82">
        <f>MATERIALES2!E61</f>
        <v>2100</v>
      </c>
      <c r="G771" s="111">
        <f t="shared" si="18"/>
        <v>1890</v>
      </c>
    </row>
    <row r="772" spans="1:8">
      <c r="A772" s="95"/>
      <c r="B772" s="854" t="str">
        <f>MATERIALES2!C84</f>
        <v>VARILLA DE 3/8" X 6.0 M</v>
      </c>
      <c r="C772" s="855"/>
      <c r="D772" s="37" t="s">
        <v>865</v>
      </c>
      <c r="E772" s="83">
        <v>0.33</v>
      </c>
      <c r="F772" s="82">
        <f>MATERIALES2!E84</f>
        <v>10246</v>
      </c>
      <c r="G772" s="111">
        <f t="shared" si="18"/>
        <v>3381</v>
      </c>
    </row>
    <row r="773" spans="1:8">
      <c r="A773" s="95"/>
      <c r="B773" s="854" t="str">
        <f>MATERIALES2!C65</f>
        <v>ALAMBRE NEGRO</v>
      </c>
      <c r="C773" s="855"/>
      <c r="D773" s="37" t="s">
        <v>925</v>
      </c>
      <c r="E773" s="83">
        <v>0.15</v>
      </c>
      <c r="F773" s="82">
        <f>MATERIALES2!E65</f>
        <v>2100</v>
      </c>
      <c r="G773" s="111">
        <f t="shared" si="18"/>
        <v>315</v>
      </c>
      <c r="H773" s="505" t="s">
        <v>1670</v>
      </c>
    </row>
    <row r="774" spans="1:8">
      <c r="A774" s="95"/>
      <c r="B774" s="938" t="s">
        <v>841</v>
      </c>
      <c r="C774" s="939"/>
      <c r="D774" s="53" t="s">
        <v>841</v>
      </c>
      <c r="E774" s="53"/>
      <c r="F774" s="82"/>
      <c r="G774" s="111"/>
    </row>
    <row r="775" spans="1:8" ht="13.5" thickBot="1">
      <c r="A775" s="95"/>
      <c r="B775" s="839" t="s">
        <v>841</v>
      </c>
      <c r="C775" s="840"/>
      <c r="D775" s="84" t="s">
        <v>841</v>
      </c>
      <c r="E775" s="84"/>
      <c r="F775" s="85"/>
      <c r="G775" s="112"/>
    </row>
    <row r="776" spans="1:8" ht="13.5" thickTop="1">
      <c r="A776" s="95"/>
      <c r="B776" s="808"/>
      <c r="C776" s="809"/>
      <c r="D776" s="801" t="s">
        <v>856</v>
      </c>
      <c r="E776" s="802"/>
      <c r="F776" s="9"/>
      <c r="G776" s="113">
        <f>SUM(G767:G775)</f>
        <v>14039</v>
      </c>
    </row>
    <row r="777" spans="1:8">
      <c r="A777" s="95"/>
      <c r="B777" s="819"/>
      <c r="C777" s="820"/>
      <c r="D777" s="801" t="s">
        <v>857</v>
      </c>
      <c r="E777" s="802"/>
      <c r="F777" s="79">
        <f>'MANO DE OBRA'!D60</f>
        <v>0.05</v>
      </c>
      <c r="G777" s="113">
        <f>ROUND(G776*F777,0)</f>
        <v>702</v>
      </c>
    </row>
    <row r="778" spans="1:8" ht="13.5" thickBot="1">
      <c r="A778" s="95"/>
      <c r="B778" s="819"/>
      <c r="C778" s="820"/>
      <c r="D778" s="803" t="s">
        <v>320</v>
      </c>
      <c r="E778" s="804"/>
      <c r="F778" s="114"/>
      <c r="G778" s="118">
        <f>+G776+G777</f>
        <v>14741</v>
      </c>
    </row>
    <row r="779" spans="1:8" ht="14.25" thickTop="1" thickBot="1">
      <c r="A779" s="95"/>
      <c r="B779" s="830"/>
      <c r="C779" s="830"/>
      <c r="D779" s="830"/>
      <c r="E779" s="830"/>
      <c r="F779" s="830"/>
      <c r="G779" s="830"/>
    </row>
    <row r="780" spans="1:8" ht="13.5" thickTop="1">
      <c r="A780" s="95"/>
      <c r="B780" s="811" t="s">
        <v>858</v>
      </c>
      <c r="C780" s="812"/>
      <c r="D780" s="812"/>
      <c r="E780" s="812"/>
      <c r="F780" s="812"/>
      <c r="G780" s="825"/>
    </row>
    <row r="781" spans="1:8">
      <c r="A781" s="95"/>
      <c r="B781" s="817"/>
      <c r="C781" s="818"/>
      <c r="D781" s="98" t="s">
        <v>301</v>
      </c>
      <c r="E781" s="98" t="s">
        <v>859</v>
      </c>
      <c r="F781" s="99" t="s">
        <v>839</v>
      </c>
      <c r="G781" s="107" t="s">
        <v>840</v>
      </c>
    </row>
    <row r="782" spans="1:8">
      <c r="A782" s="95"/>
      <c r="B782" s="821" t="s">
        <v>838</v>
      </c>
      <c r="C782" s="822"/>
      <c r="D782" s="100" t="s">
        <v>316</v>
      </c>
      <c r="E782" s="100" t="s">
        <v>315</v>
      </c>
      <c r="F782" s="101" t="s">
        <v>306</v>
      </c>
      <c r="G782" s="108" t="s">
        <v>319</v>
      </c>
    </row>
    <row r="783" spans="1:8">
      <c r="A783" s="95"/>
      <c r="B783" s="115"/>
      <c r="C783" s="102"/>
      <c r="D783" s="103"/>
      <c r="E783" s="103" t="s">
        <v>317</v>
      </c>
      <c r="F783" s="104" t="s">
        <v>318</v>
      </c>
      <c r="G783" s="109"/>
    </row>
    <row r="784" spans="1:8">
      <c r="A784" s="95"/>
      <c r="B784" s="823" t="str">
        <f>'MANO DE OBRA'!B10</f>
        <v>AYUDANTE CUAD. TIPO AA</v>
      </c>
      <c r="C784" s="824"/>
      <c r="D784" s="87">
        <v>1</v>
      </c>
      <c r="E784" s="80">
        <f>'MANO DE OBRA'!E10</f>
        <v>34680</v>
      </c>
      <c r="F784" s="81">
        <v>16</v>
      </c>
      <c r="G784" s="110">
        <f>ROUND(D784*E784/F784,0)</f>
        <v>2168</v>
      </c>
    </row>
    <row r="785" spans="1:8">
      <c r="A785" s="95"/>
      <c r="B785" s="835" t="str">
        <f>'MANO DE OBRA'!B15</f>
        <v xml:space="preserve">OFICIAL CUAD. TIPO AA </v>
      </c>
      <c r="C785" s="836"/>
      <c r="D785" s="37">
        <v>1</v>
      </c>
      <c r="E785" s="82">
        <f>'MANO DE OBRA'!E15</f>
        <v>71474</v>
      </c>
      <c r="F785" s="83">
        <v>16</v>
      </c>
      <c r="G785" s="111">
        <f>ROUND(D785*E785/F785,0)</f>
        <v>4467</v>
      </c>
    </row>
    <row r="786" spans="1:8">
      <c r="A786" s="95"/>
      <c r="B786" s="835"/>
      <c r="C786" s="836"/>
      <c r="D786" s="89"/>
      <c r="E786" s="82"/>
      <c r="F786" s="83"/>
      <c r="G786" s="111"/>
    </row>
    <row r="787" spans="1:8">
      <c r="A787" s="95"/>
      <c r="B787" s="835" t="s">
        <v>841</v>
      </c>
      <c r="C787" s="836"/>
      <c r="D787" s="37"/>
      <c r="E787" s="82"/>
      <c r="F787" s="83"/>
      <c r="G787" s="111"/>
    </row>
    <row r="788" spans="1:8" ht="13.5" thickBot="1">
      <c r="A788" s="95"/>
      <c r="B788" s="828" t="s">
        <v>841</v>
      </c>
      <c r="C788" s="829"/>
      <c r="D788" s="77"/>
      <c r="E788" s="82"/>
      <c r="F788" s="86"/>
      <c r="G788" s="112"/>
    </row>
    <row r="789" spans="1:8" ht="14.25" thickTop="1" thickBot="1">
      <c r="A789" s="95"/>
      <c r="B789" s="808"/>
      <c r="C789" s="808"/>
      <c r="D789" s="808"/>
      <c r="E789" s="809"/>
      <c r="F789" s="120" t="s">
        <v>856</v>
      </c>
      <c r="G789" s="118">
        <f>SUM(G784:G788)</f>
        <v>6635</v>
      </c>
    </row>
    <row r="790" spans="1:8" ht="14.25" thickTop="1" thickBot="1">
      <c r="A790" s="95"/>
      <c r="B790" s="810"/>
      <c r="C790" s="810"/>
      <c r="D790" s="810"/>
      <c r="E790" s="810"/>
      <c r="F790" s="810"/>
      <c r="G790" s="810"/>
    </row>
    <row r="791" spans="1:8" ht="13.5" thickTop="1">
      <c r="A791" s="95"/>
      <c r="B791" s="811" t="s">
        <v>321</v>
      </c>
      <c r="C791" s="812"/>
      <c r="D791" s="812"/>
      <c r="E791" s="812"/>
      <c r="F791" s="812"/>
      <c r="G791" s="825"/>
    </row>
    <row r="792" spans="1:8">
      <c r="A792" s="95"/>
      <c r="B792" s="817" t="s">
        <v>838</v>
      </c>
      <c r="C792" s="818"/>
      <c r="D792" s="98" t="s">
        <v>301</v>
      </c>
      <c r="E792" s="98" t="s">
        <v>297</v>
      </c>
      <c r="F792" s="99" t="s">
        <v>839</v>
      </c>
      <c r="G792" s="107" t="s">
        <v>840</v>
      </c>
    </row>
    <row r="793" spans="1:8">
      <c r="A793" s="95"/>
      <c r="B793" s="115"/>
      <c r="C793" s="102"/>
      <c r="D793" s="103" t="s">
        <v>322</v>
      </c>
      <c r="E793" s="103" t="s">
        <v>323</v>
      </c>
      <c r="F793" s="104" t="s">
        <v>324</v>
      </c>
      <c r="G793" s="109" t="s">
        <v>325</v>
      </c>
    </row>
    <row r="794" spans="1:8">
      <c r="A794" s="95"/>
      <c r="B794" s="826"/>
      <c r="C794" s="827"/>
      <c r="D794" s="96"/>
      <c r="E794" s="96"/>
      <c r="F794" s="96"/>
      <c r="G794" s="116"/>
    </row>
    <row r="795" spans="1:8" ht="13.5" thickBot="1">
      <c r="A795" s="95"/>
      <c r="B795" s="828" t="s">
        <v>841</v>
      </c>
      <c r="C795" s="829"/>
      <c r="D795" s="77"/>
      <c r="E795" s="82"/>
      <c r="F795" s="86"/>
      <c r="G795" s="112"/>
    </row>
    <row r="796" spans="1:8" ht="14.25" thickTop="1" thickBot="1">
      <c r="A796" s="95"/>
      <c r="B796" s="808"/>
      <c r="C796" s="808"/>
      <c r="D796" s="808"/>
      <c r="E796" s="809"/>
      <c r="F796" s="120" t="s">
        <v>856</v>
      </c>
      <c r="G796" s="118">
        <f>SUM(G791:G795)</f>
        <v>0</v>
      </c>
    </row>
    <row r="797" spans="1:8" ht="14.25" thickTop="1" thickBot="1">
      <c r="A797" s="95"/>
      <c r="B797" s="810"/>
      <c r="C797" s="810"/>
      <c r="D797" s="810"/>
      <c r="E797" s="810"/>
      <c r="F797" s="810"/>
      <c r="G797" s="834"/>
    </row>
    <row r="798" spans="1:8" ht="13.5" thickTop="1">
      <c r="A798" s="95"/>
      <c r="B798" s="811" t="s">
        <v>326</v>
      </c>
      <c r="C798" s="812"/>
      <c r="D798" s="812"/>
      <c r="E798" s="812"/>
      <c r="F798" s="813"/>
      <c r="G798" s="121">
        <f>+G762+G778+G789</f>
        <v>25684</v>
      </c>
    </row>
    <row r="799" spans="1:8">
      <c r="A799" s="95"/>
      <c r="B799" s="814" t="s">
        <v>861</v>
      </c>
      <c r="C799" s="815"/>
      <c r="D799" s="815"/>
      <c r="E799" s="816"/>
      <c r="F799" s="128">
        <f>'MANO DE OBRA'!D112</f>
        <v>0</v>
      </c>
      <c r="G799" s="122">
        <f>ROUND(G798*F799,0)</f>
        <v>0</v>
      </c>
    </row>
    <row r="800" spans="1:8" ht="13.5" thickBot="1">
      <c r="A800" s="95"/>
      <c r="B800" s="805" t="s">
        <v>1049</v>
      </c>
      <c r="C800" s="806"/>
      <c r="D800" s="806"/>
      <c r="E800" s="806"/>
      <c r="F800" s="807"/>
      <c r="G800" s="118">
        <f>ROUND(G798+G799,-2)</f>
        <v>25700</v>
      </c>
      <c r="H800" s="505" t="s">
        <v>1670</v>
      </c>
    </row>
    <row r="801" spans="1:7" ht="13.5" thickTop="1">
      <c r="A801" s="95"/>
      <c r="B801" s="90" t="s">
        <v>303</v>
      </c>
      <c r="C801" s="843"/>
      <c r="D801" s="843"/>
      <c r="E801" s="843"/>
      <c r="F801" s="92" t="s">
        <v>781</v>
      </c>
      <c r="G801" s="93" t="s">
        <v>831</v>
      </c>
    </row>
    <row r="802" spans="1:7">
      <c r="A802" s="95"/>
      <c r="B802" s="91" t="s">
        <v>834</v>
      </c>
      <c r="C802" s="844" t="s">
        <v>368</v>
      </c>
      <c r="D802" s="844"/>
      <c r="E802" s="844"/>
      <c r="F802" s="15" t="s">
        <v>833</v>
      </c>
      <c r="G802" s="165" t="str">
        <f>'MANO DE OBRA'!D61</f>
        <v>Agosto de 2010</v>
      </c>
    </row>
    <row r="803" spans="1:7" ht="13.5" thickBot="1">
      <c r="A803" s="127"/>
      <c r="B803" s="94" t="s">
        <v>835</v>
      </c>
      <c r="C803" s="845" t="s">
        <v>681</v>
      </c>
      <c r="D803" s="845"/>
      <c r="E803" s="845"/>
      <c r="F803" s="845"/>
      <c r="G803" s="846"/>
    </row>
    <row r="804" spans="1:7" ht="14.25" thickTop="1" thickBot="1">
      <c r="A804" s="95"/>
      <c r="B804" s="847"/>
      <c r="C804" s="847"/>
      <c r="D804" s="847"/>
      <c r="E804" s="847"/>
      <c r="F804" s="847"/>
      <c r="G804" s="847"/>
    </row>
    <row r="805" spans="1:7" ht="13.5" thickTop="1">
      <c r="A805" s="95"/>
      <c r="B805" s="811" t="s">
        <v>304</v>
      </c>
      <c r="C805" s="812"/>
      <c r="D805" s="812"/>
      <c r="E805" s="812"/>
      <c r="F805" s="812"/>
      <c r="G805" s="825"/>
    </row>
    <row r="806" spans="1:7">
      <c r="A806" s="95"/>
      <c r="B806" s="105"/>
      <c r="C806" s="97"/>
      <c r="D806" s="98" t="s">
        <v>301</v>
      </c>
      <c r="E806" s="98" t="s">
        <v>1072</v>
      </c>
      <c r="F806" s="99" t="s">
        <v>839</v>
      </c>
      <c r="G806" s="107" t="s">
        <v>840</v>
      </c>
    </row>
    <row r="807" spans="1:7">
      <c r="A807" s="95"/>
      <c r="B807" s="821" t="s">
        <v>838</v>
      </c>
      <c r="C807" s="822"/>
      <c r="D807" s="100" t="s">
        <v>308</v>
      </c>
      <c r="E807" s="100" t="s">
        <v>305</v>
      </c>
      <c r="F807" s="101" t="s">
        <v>306</v>
      </c>
      <c r="G807" s="108" t="s">
        <v>310</v>
      </c>
    </row>
    <row r="808" spans="1:7">
      <c r="A808" s="95"/>
      <c r="B808" s="115"/>
      <c r="C808" s="102"/>
      <c r="D808" s="103"/>
      <c r="E808" s="103" t="s">
        <v>309</v>
      </c>
      <c r="F808" s="104" t="s">
        <v>307</v>
      </c>
      <c r="G808" s="109"/>
    </row>
    <row r="809" spans="1:7">
      <c r="A809" s="127"/>
      <c r="B809" s="823" t="str">
        <f>'MAQUINARIA Y EQUIPOS'!C28</f>
        <v>HERRAMIENTAS MENORES</v>
      </c>
      <c r="C809" s="824"/>
      <c r="D809" s="87">
        <v>1</v>
      </c>
      <c r="E809" s="82">
        <f>ROUND(G842*0.05,0)</f>
        <v>442</v>
      </c>
      <c r="F809" s="81">
        <v>1</v>
      </c>
      <c r="G809" s="110">
        <f t="shared" ref="G809:G814" si="19">ROUND(D809*E809/F809,0)</f>
        <v>442</v>
      </c>
    </row>
    <row r="810" spans="1:7">
      <c r="A810" s="95"/>
      <c r="B810" s="835" t="str">
        <f>'MAQUINARIA Y EQUIPOS'!C53</f>
        <v>VIBRADOR A GASOLINA</v>
      </c>
      <c r="C810" s="836"/>
      <c r="D810" s="37">
        <v>1</v>
      </c>
      <c r="E810" s="82">
        <f>'MAQUINARIA Y EQUIPOS'!D53</f>
        <v>51040</v>
      </c>
      <c r="F810" s="83">
        <v>25</v>
      </c>
      <c r="G810" s="111">
        <f t="shared" si="19"/>
        <v>2042</v>
      </c>
    </row>
    <row r="811" spans="1:7">
      <c r="A811" s="95"/>
      <c r="B811" s="835" t="str">
        <f>'MAQUINARIA Y EQUIPOS'!C9</f>
        <v>ANDAMIO TUBULAR 1.50 m</v>
      </c>
      <c r="C811" s="836"/>
      <c r="D811" s="37">
        <v>3</v>
      </c>
      <c r="E811" s="82">
        <f>'MAQUINARIA Y EQUIPOS'!D9</f>
        <v>754</v>
      </c>
      <c r="F811" s="83">
        <v>12</v>
      </c>
      <c r="G811" s="111">
        <f t="shared" si="19"/>
        <v>189</v>
      </c>
    </row>
    <row r="812" spans="1:7">
      <c r="A812" s="95"/>
      <c r="B812" s="835" t="str">
        <f>'MAQUINARIA Y EQUIPOS'!C13</f>
        <v>CERCHA METALICA 3.0 MTS</v>
      </c>
      <c r="C812" s="836"/>
      <c r="D812" s="37">
        <v>2</v>
      </c>
      <c r="E812" s="82">
        <f>'MAQUINARIA Y EQUIPOS'!D13</f>
        <v>220</v>
      </c>
      <c r="F812" s="83">
        <v>12</v>
      </c>
      <c r="G812" s="111">
        <f t="shared" si="19"/>
        <v>37</v>
      </c>
    </row>
    <row r="813" spans="1:7">
      <c r="A813" s="95"/>
      <c r="B813" s="835" t="str">
        <f>'MAQUINARIA Y EQUIPOS'!C21</f>
        <v>ELEVADOR</v>
      </c>
      <c r="C813" s="836"/>
      <c r="D813" s="37">
        <v>1</v>
      </c>
      <c r="E813" s="82">
        <f>'MAQUINARIA Y EQUIPOS'!D21</f>
        <v>40600</v>
      </c>
      <c r="F813" s="83">
        <v>25</v>
      </c>
      <c r="G813" s="111">
        <f t="shared" si="19"/>
        <v>1624</v>
      </c>
    </row>
    <row r="814" spans="1:7" ht="13.5" thickBot="1">
      <c r="A814" s="95"/>
      <c r="B814" s="835" t="str">
        <f>'MAQUINARIA Y EQUIPOS'!C37</f>
        <v>PARAL TELESCOPICO 3 MTS</v>
      </c>
      <c r="C814" s="836"/>
      <c r="D814" s="77">
        <v>3</v>
      </c>
      <c r="E814" s="82">
        <f>'MAQUINARIA Y EQUIPOS'!D37</f>
        <v>290</v>
      </c>
      <c r="F814" s="86">
        <v>12</v>
      </c>
      <c r="G814" s="111">
        <f t="shared" si="19"/>
        <v>73</v>
      </c>
    </row>
    <row r="815" spans="1:7" ht="14.25" thickTop="1" thickBot="1">
      <c r="A815" s="95"/>
      <c r="B815" s="808"/>
      <c r="C815" s="808"/>
      <c r="D815" s="808"/>
      <c r="E815" s="809"/>
      <c r="F815" s="119" t="s">
        <v>856</v>
      </c>
      <c r="G815" s="118">
        <f>SUM(G809:G814)</f>
        <v>4407</v>
      </c>
    </row>
    <row r="816" spans="1:7" ht="14.25" thickTop="1" thickBot="1">
      <c r="A816" s="95"/>
      <c r="B816" s="830"/>
      <c r="C816" s="830"/>
      <c r="D816" s="830"/>
      <c r="E816" s="830"/>
      <c r="F816" s="830"/>
      <c r="G816" s="830"/>
    </row>
    <row r="817" spans="1:8" ht="13.5" thickTop="1">
      <c r="A817" s="95"/>
      <c r="B817" s="811" t="s">
        <v>311</v>
      </c>
      <c r="C817" s="812"/>
      <c r="D817" s="812"/>
      <c r="E817" s="812"/>
      <c r="F817" s="812"/>
      <c r="G817" s="825"/>
    </row>
    <row r="818" spans="1:8">
      <c r="A818" s="95"/>
      <c r="B818" s="817" t="s">
        <v>838</v>
      </c>
      <c r="C818" s="818"/>
      <c r="D818" s="98" t="s">
        <v>842</v>
      </c>
      <c r="E818" s="98" t="s">
        <v>853</v>
      </c>
      <c r="F818" s="99" t="s">
        <v>1047</v>
      </c>
      <c r="G818" s="107" t="s">
        <v>840</v>
      </c>
    </row>
    <row r="819" spans="1:8">
      <c r="A819" s="95"/>
      <c r="B819" s="115"/>
      <c r="C819" s="102"/>
      <c r="D819" s="100"/>
      <c r="E819" s="100" t="s">
        <v>312</v>
      </c>
      <c r="F819" s="101" t="s">
        <v>313</v>
      </c>
      <c r="G819" s="108" t="s">
        <v>314</v>
      </c>
    </row>
    <row r="820" spans="1:8" ht="14.25">
      <c r="A820" s="125"/>
      <c r="B820" s="841" t="str">
        <f>MATERIALES2!C35</f>
        <v>CONCRETO 1:2:3-3000 psi(MATERIALES)</v>
      </c>
      <c r="C820" s="842"/>
      <c r="D820" s="87" t="s">
        <v>1066</v>
      </c>
      <c r="E820" s="140">
        <v>3.5999999999999997E-2</v>
      </c>
      <c r="F820" s="80">
        <f>MATERIALES2!E35</f>
        <v>367600</v>
      </c>
      <c r="G820" s="110">
        <f t="shared" ref="G820:G826" si="20">ROUND(E820*F820,0)</f>
        <v>13234</v>
      </c>
    </row>
    <row r="821" spans="1:8">
      <c r="A821" s="123"/>
      <c r="B821" s="854" t="str">
        <f>MATERIALES2!C163</f>
        <v>TABLON 2x12x10</v>
      </c>
      <c r="C821" s="855"/>
      <c r="D821" s="37" t="s">
        <v>865</v>
      </c>
      <c r="E821" s="83">
        <f>ROUND(16.67*3/3/4.5*0.03,2)</f>
        <v>0.11</v>
      </c>
      <c r="F821" s="82">
        <f>MATERIALES2!E163</f>
        <v>20000</v>
      </c>
      <c r="G821" s="111">
        <f t="shared" si="20"/>
        <v>2200</v>
      </c>
    </row>
    <row r="822" spans="1:8">
      <c r="A822" s="95"/>
      <c r="B822" s="854" t="str">
        <f>MATERIALES2!C151</f>
        <v>ABARCO DE 2X2X4,50</v>
      </c>
      <c r="C822" s="855"/>
      <c r="D822" s="37" t="s">
        <v>865</v>
      </c>
      <c r="E822" s="83">
        <f>ROUND(16.67/3/4.5*0.03,2)</f>
        <v>0.04</v>
      </c>
      <c r="F822" s="82">
        <f>MATERIALES2!E151</f>
        <v>5000</v>
      </c>
      <c r="G822" s="111">
        <f t="shared" si="20"/>
        <v>200</v>
      </c>
    </row>
    <row r="823" spans="1:8">
      <c r="A823" s="95"/>
      <c r="B823" s="854" t="str">
        <f>MATERIALES2!C918</f>
        <v>PUNTILLAS DE 2"</v>
      </c>
      <c r="C823" s="855"/>
      <c r="D823" s="37" t="s">
        <v>922</v>
      </c>
      <c r="E823" s="83">
        <f>3.8*0.03</f>
        <v>0.11399999999999999</v>
      </c>
      <c r="F823" s="82">
        <f>MATERIALES2!E918</f>
        <v>1500</v>
      </c>
      <c r="G823" s="111">
        <f t="shared" si="20"/>
        <v>171</v>
      </c>
    </row>
    <row r="824" spans="1:8">
      <c r="A824" s="95"/>
      <c r="B824" s="854" t="str">
        <f>MATERIALES2!C65</f>
        <v>ALAMBRE NEGRO</v>
      </c>
      <c r="C824" s="855"/>
      <c r="D824" s="37" t="s">
        <v>925</v>
      </c>
      <c r="E824" s="83">
        <v>0.23</v>
      </c>
      <c r="F824" s="82">
        <f>MATERIALES2!E65</f>
        <v>2100</v>
      </c>
      <c r="G824" s="111">
        <f t="shared" si="20"/>
        <v>483</v>
      </c>
    </row>
    <row r="825" spans="1:8">
      <c r="A825" s="95"/>
      <c r="B825" s="854" t="str">
        <f>MATERIALES2!C61</f>
        <v>HIERRO CHIPA ¼"</v>
      </c>
      <c r="C825" s="855"/>
      <c r="D825" s="37" t="s">
        <v>925</v>
      </c>
      <c r="E825" s="83">
        <f>ROUND(12*0.8*0.3,2)</f>
        <v>2.88</v>
      </c>
      <c r="F825" s="82">
        <f>MATERIALES2!E61</f>
        <v>2100</v>
      </c>
      <c r="G825" s="111">
        <f t="shared" si="20"/>
        <v>6048</v>
      </c>
    </row>
    <row r="826" spans="1:8">
      <c r="A826" s="95"/>
      <c r="B826" s="854" t="str">
        <f>MATERIALES2!C70</f>
        <v>VARILLA CORRUGADA ½" x 6.0 M</v>
      </c>
      <c r="C826" s="855"/>
      <c r="D826" s="37" t="s">
        <v>865</v>
      </c>
      <c r="E826" s="83">
        <f>ROUND(4*1.4/6,2)</f>
        <v>0.93</v>
      </c>
      <c r="F826" s="82">
        <f>MATERIALES2!E70</f>
        <v>9300</v>
      </c>
      <c r="G826" s="111">
        <f t="shared" si="20"/>
        <v>8649</v>
      </c>
    </row>
    <row r="827" spans="1:8">
      <c r="A827" s="95"/>
      <c r="B827" s="938" t="s">
        <v>841</v>
      </c>
      <c r="C827" s="939"/>
      <c r="D827" s="53" t="s">
        <v>841</v>
      </c>
      <c r="E827" s="53"/>
      <c r="F827" s="82"/>
      <c r="G827" s="111"/>
      <c r="H827" s="505" t="s">
        <v>1670</v>
      </c>
    </row>
    <row r="828" spans="1:8" ht="13.5" thickBot="1">
      <c r="A828" s="95"/>
      <c r="B828" s="942" t="s">
        <v>841</v>
      </c>
      <c r="C828" s="943"/>
      <c r="D828" s="84" t="s">
        <v>841</v>
      </c>
      <c r="E828" s="84"/>
      <c r="F828" s="85"/>
      <c r="G828" s="112"/>
    </row>
    <row r="829" spans="1:8" ht="13.5" thickTop="1">
      <c r="A829" s="95"/>
      <c r="B829" s="808"/>
      <c r="C829" s="809"/>
      <c r="D829" s="801" t="s">
        <v>856</v>
      </c>
      <c r="E829" s="802"/>
      <c r="F829" s="9"/>
      <c r="G829" s="113">
        <f>SUM(G820:G828)</f>
        <v>30985</v>
      </c>
    </row>
    <row r="830" spans="1:8">
      <c r="A830" s="95"/>
      <c r="B830" s="819"/>
      <c r="C830" s="820"/>
      <c r="D830" s="801" t="s">
        <v>857</v>
      </c>
      <c r="E830" s="802"/>
      <c r="F830" s="79">
        <f>'MANO DE OBRA'!D60</f>
        <v>0.05</v>
      </c>
      <c r="G830" s="113">
        <f>ROUND(G829*F830,0)</f>
        <v>1549</v>
      </c>
    </row>
    <row r="831" spans="1:8" ht="13.5" thickBot="1">
      <c r="A831" s="95"/>
      <c r="B831" s="819"/>
      <c r="C831" s="820"/>
      <c r="D831" s="803" t="s">
        <v>320</v>
      </c>
      <c r="E831" s="804"/>
      <c r="F831" s="114"/>
      <c r="G831" s="118">
        <f>+G829+G830</f>
        <v>32534</v>
      </c>
    </row>
    <row r="832" spans="1:8" ht="14.25" thickTop="1" thickBot="1">
      <c r="A832" s="95"/>
      <c r="B832" s="830"/>
      <c r="C832" s="830"/>
      <c r="D832" s="830"/>
      <c r="E832" s="830"/>
      <c r="F832" s="830"/>
      <c r="G832" s="830"/>
    </row>
    <row r="833" spans="1:7" ht="13.5" thickTop="1">
      <c r="A833" s="95"/>
      <c r="B833" s="811" t="s">
        <v>858</v>
      </c>
      <c r="C833" s="812"/>
      <c r="D833" s="812"/>
      <c r="E833" s="812"/>
      <c r="F833" s="812"/>
      <c r="G833" s="825"/>
    </row>
    <row r="834" spans="1:7">
      <c r="A834" s="95"/>
      <c r="B834" s="817"/>
      <c r="C834" s="818"/>
      <c r="D834" s="98" t="s">
        <v>301</v>
      </c>
      <c r="E834" s="98" t="s">
        <v>859</v>
      </c>
      <c r="F834" s="99" t="s">
        <v>839</v>
      </c>
      <c r="G834" s="107" t="s">
        <v>840</v>
      </c>
    </row>
    <row r="835" spans="1:7">
      <c r="A835" s="95"/>
      <c r="B835" s="821" t="s">
        <v>838</v>
      </c>
      <c r="C835" s="822"/>
      <c r="D835" s="100" t="s">
        <v>316</v>
      </c>
      <c r="E835" s="100" t="s">
        <v>315</v>
      </c>
      <c r="F835" s="101" t="s">
        <v>306</v>
      </c>
      <c r="G835" s="108" t="s">
        <v>319</v>
      </c>
    </row>
    <row r="836" spans="1:7">
      <c r="A836" s="95"/>
      <c r="B836" s="115"/>
      <c r="C836" s="102"/>
      <c r="D836" s="103"/>
      <c r="E836" s="103" t="s">
        <v>317</v>
      </c>
      <c r="F836" s="104" t="s">
        <v>318</v>
      </c>
      <c r="G836" s="109"/>
    </row>
    <row r="837" spans="1:7">
      <c r="A837" s="95"/>
      <c r="B837" s="823" t="str">
        <f>'MANO DE OBRA'!B10</f>
        <v>AYUDANTE CUAD. TIPO AA</v>
      </c>
      <c r="C837" s="824"/>
      <c r="D837" s="87">
        <v>1</v>
      </c>
      <c r="E837" s="80">
        <f>'MANO DE OBRA'!E10</f>
        <v>34680</v>
      </c>
      <c r="F837" s="81">
        <v>12</v>
      </c>
      <c r="G837" s="110">
        <f>ROUND(D837*E837/F837,0)</f>
        <v>2890</v>
      </c>
    </row>
    <row r="838" spans="1:7">
      <c r="A838" s="95"/>
      <c r="B838" s="835" t="str">
        <f>'MANO DE OBRA'!B15</f>
        <v xml:space="preserve">OFICIAL CUAD. TIPO AA </v>
      </c>
      <c r="C838" s="836"/>
      <c r="D838" s="37">
        <v>1</v>
      </c>
      <c r="E838" s="82">
        <f>'MANO DE OBRA'!E15</f>
        <v>71474</v>
      </c>
      <c r="F838" s="83">
        <v>12</v>
      </c>
      <c r="G838" s="111">
        <f>ROUND(D838*E838/F838,0)</f>
        <v>5956</v>
      </c>
    </row>
    <row r="839" spans="1:7">
      <c r="A839" s="95"/>
      <c r="B839" s="835"/>
      <c r="C839" s="836"/>
      <c r="D839" s="89"/>
      <c r="E839" s="82"/>
      <c r="F839" s="83"/>
      <c r="G839" s="111"/>
    </row>
    <row r="840" spans="1:7">
      <c r="A840" s="95"/>
      <c r="B840" s="835" t="s">
        <v>841</v>
      </c>
      <c r="C840" s="836"/>
      <c r="D840" s="37"/>
      <c r="E840" s="82"/>
      <c r="F840" s="83"/>
      <c r="G840" s="111"/>
    </row>
    <row r="841" spans="1:7" ht="13.5" thickBot="1">
      <c r="A841" s="95"/>
      <c r="B841" s="828" t="s">
        <v>841</v>
      </c>
      <c r="C841" s="829"/>
      <c r="D841" s="77"/>
      <c r="E841" s="82"/>
      <c r="F841" s="86"/>
      <c r="G841" s="112"/>
    </row>
    <row r="842" spans="1:7" ht="14.25" thickTop="1" thickBot="1">
      <c r="A842" s="95"/>
      <c r="B842" s="808"/>
      <c r="C842" s="808"/>
      <c r="D842" s="808"/>
      <c r="E842" s="809"/>
      <c r="F842" s="120" t="s">
        <v>856</v>
      </c>
      <c r="G842" s="118">
        <f>SUM(G837:G841)</f>
        <v>8846</v>
      </c>
    </row>
    <row r="843" spans="1:7" ht="14.25" thickTop="1" thickBot="1">
      <c r="A843" s="95"/>
      <c r="B843" s="810"/>
      <c r="C843" s="810"/>
      <c r="D843" s="810"/>
      <c r="E843" s="810"/>
      <c r="F843" s="810"/>
      <c r="G843" s="810"/>
    </row>
    <row r="844" spans="1:7" ht="13.5" thickTop="1">
      <c r="A844" s="95"/>
      <c r="B844" s="811" t="s">
        <v>321</v>
      </c>
      <c r="C844" s="812"/>
      <c r="D844" s="812"/>
      <c r="E844" s="812"/>
      <c r="F844" s="812"/>
      <c r="G844" s="825"/>
    </row>
    <row r="845" spans="1:7">
      <c r="A845" s="95"/>
      <c r="B845" s="817" t="s">
        <v>838</v>
      </c>
      <c r="C845" s="818"/>
      <c r="D845" s="98" t="s">
        <v>301</v>
      </c>
      <c r="E845" s="98" t="s">
        <v>297</v>
      </c>
      <c r="F845" s="99" t="s">
        <v>839</v>
      </c>
      <c r="G845" s="107" t="s">
        <v>840</v>
      </c>
    </row>
    <row r="846" spans="1:7">
      <c r="A846" s="95"/>
      <c r="B846" s="115"/>
      <c r="C846" s="102"/>
      <c r="D846" s="103" t="s">
        <v>322</v>
      </c>
      <c r="E846" s="103" t="s">
        <v>323</v>
      </c>
      <c r="F846" s="104" t="s">
        <v>324</v>
      </c>
      <c r="G846" s="109" t="s">
        <v>325</v>
      </c>
    </row>
    <row r="847" spans="1:7">
      <c r="A847" s="95"/>
      <c r="B847" s="826"/>
      <c r="C847" s="827"/>
      <c r="D847" s="96"/>
      <c r="E847" s="96"/>
      <c r="F847" s="96"/>
      <c r="G847" s="116"/>
    </row>
    <row r="848" spans="1:7" ht="13.5" thickBot="1">
      <c r="A848" s="95"/>
      <c r="B848" s="828" t="s">
        <v>841</v>
      </c>
      <c r="C848" s="829"/>
      <c r="D848" s="77"/>
      <c r="E848" s="82"/>
      <c r="F848" s="86"/>
      <c r="G848" s="112"/>
    </row>
    <row r="849" spans="1:8" ht="14.25" thickTop="1" thickBot="1">
      <c r="A849" s="95"/>
      <c r="B849" s="808"/>
      <c r="C849" s="808"/>
      <c r="D849" s="808"/>
      <c r="E849" s="809"/>
      <c r="F849" s="120" t="s">
        <v>856</v>
      </c>
      <c r="G849" s="118">
        <f>SUM(G844:G848)</f>
        <v>0</v>
      </c>
    </row>
    <row r="850" spans="1:8" ht="14.25" thickTop="1" thickBot="1">
      <c r="A850" s="95"/>
      <c r="B850" s="810"/>
      <c r="C850" s="810"/>
      <c r="D850" s="810"/>
      <c r="E850" s="810"/>
      <c r="F850" s="810"/>
      <c r="G850" s="834"/>
    </row>
    <row r="851" spans="1:8" ht="13.5" thickTop="1">
      <c r="A851" s="95"/>
      <c r="B851" s="811" t="s">
        <v>326</v>
      </c>
      <c r="C851" s="812"/>
      <c r="D851" s="812"/>
      <c r="E851" s="812"/>
      <c r="F851" s="813"/>
      <c r="G851" s="121">
        <f>+G815+G831+G842</f>
        <v>45787</v>
      </c>
    </row>
    <row r="852" spans="1:8">
      <c r="A852" s="95"/>
      <c r="B852" s="814" t="s">
        <v>861</v>
      </c>
      <c r="C852" s="815"/>
      <c r="D852" s="815"/>
      <c r="E852" s="816"/>
      <c r="F852" s="128">
        <f>'MANO DE OBRA'!D59</f>
        <v>0</v>
      </c>
      <c r="G852" s="122">
        <f>ROUND(G851*F852,0)</f>
        <v>0</v>
      </c>
    </row>
    <row r="853" spans="1:8" ht="13.5" thickBot="1">
      <c r="A853" s="95"/>
      <c r="B853" s="805" t="s">
        <v>1049</v>
      </c>
      <c r="C853" s="806"/>
      <c r="D853" s="806"/>
      <c r="E853" s="806"/>
      <c r="F853" s="807"/>
      <c r="G853" s="118">
        <f>ROUND(G851+G852,-2)</f>
        <v>45800</v>
      </c>
      <c r="H853" s="505" t="s">
        <v>1670</v>
      </c>
    </row>
    <row r="854" spans="1:8" ht="13.5" thickTop="1">
      <c r="A854" s="95"/>
      <c r="B854" s="90" t="s">
        <v>303</v>
      </c>
      <c r="C854" s="843"/>
      <c r="D854" s="843"/>
      <c r="E854" s="843"/>
      <c r="F854" s="92" t="s">
        <v>781</v>
      </c>
      <c r="G854" s="93" t="s">
        <v>831</v>
      </c>
    </row>
    <row r="855" spans="1:8">
      <c r="A855" s="95"/>
      <c r="B855" s="91" t="s">
        <v>834</v>
      </c>
      <c r="C855" s="844" t="s">
        <v>368</v>
      </c>
      <c r="D855" s="844"/>
      <c r="E855" s="844"/>
      <c r="F855" s="15" t="s">
        <v>833</v>
      </c>
      <c r="G855" s="165" t="str">
        <f>'MANO DE OBRA'!D61</f>
        <v>Agosto de 2010</v>
      </c>
    </row>
    <row r="856" spans="1:8" ht="13.5" thickBot="1">
      <c r="A856" s="127"/>
      <c r="B856" s="94" t="s">
        <v>835</v>
      </c>
      <c r="C856" s="845" t="s">
        <v>155</v>
      </c>
      <c r="D856" s="845"/>
      <c r="E856" s="845"/>
      <c r="F856" s="845"/>
      <c r="G856" s="846"/>
    </row>
    <row r="857" spans="1:8" ht="14.25" thickTop="1" thickBot="1">
      <c r="A857" s="95"/>
      <c r="B857" s="847"/>
      <c r="C857" s="847"/>
      <c r="D857" s="847"/>
      <c r="E857" s="847"/>
      <c r="F857" s="847"/>
      <c r="G857" s="847"/>
    </row>
    <row r="858" spans="1:8" ht="13.5" thickTop="1">
      <c r="A858" s="95"/>
      <c r="B858" s="811" t="s">
        <v>304</v>
      </c>
      <c r="C858" s="812"/>
      <c r="D858" s="812"/>
      <c r="E858" s="812"/>
      <c r="F858" s="812"/>
      <c r="G858" s="825"/>
    </row>
    <row r="859" spans="1:8">
      <c r="A859" s="95"/>
      <c r="B859" s="105"/>
      <c r="C859" s="97"/>
      <c r="D859" s="98" t="s">
        <v>301</v>
      </c>
      <c r="E859" s="98" t="s">
        <v>1072</v>
      </c>
      <c r="F859" s="99" t="s">
        <v>839</v>
      </c>
      <c r="G859" s="107" t="s">
        <v>840</v>
      </c>
    </row>
    <row r="860" spans="1:8">
      <c r="A860" s="95"/>
      <c r="B860" s="821" t="s">
        <v>838</v>
      </c>
      <c r="C860" s="822"/>
      <c r="D860" s="100" t="s">
        <v>308</v>
      </c>
      <c r="E860" s="100" t="s">
        <v>305</v>
      </c>
      <c r="F860" s="101" t="s">
        <v>306</v>
      </c>
      <c r="G860" s="108" t="s">
        <v>310</v>
      </c>
    </row>
    <row r="861" spans="1:8">
      <c r="A861" s="95"/>
      <c r="B861" s="115"/>
      <c r="C861" s="102"/>
      <c r="D861" s="103"/>
      <c r="E861" s="103" t="s">
        <v>309</v>
      </c>
      <c r="F861" s="104" t="s">
        <v>307</v>
      </c>
      <c r="G861" s="109"/>
    </row>
    <row r="862" spans="1:8">
      <c r="A862" s="127"/>
      <c r="B862" s="823" t="str">
        <f>'MAQUINARIA Y EQUIPOS'!C28</f>
        <v>HERRAMIENTAS MENORES</v>
      </c>
      <c r="C862" s="824"/>
      <c r="D862" s="87">
        <v>1</v>
      </c>
      <c r="E862" s="82">
        <f>ROUND(G895*0.05,0)</f>
        <v>442</v>
      </c>
      <c r="F862" s="81">
        <v>1</v>
      </c>
      <c r="G862" s="110">
        <f t="shared" ref="G862:G867" si="21">ROUND(D862*E862/F862,0)</f>
        <v>442</v>
      </c>
    </row>
    <row r="863" spans="1:8">
      <c r="A863" s="95"/>
      <c r="B863" s="835" t="str">
        <f>'MAQUINARIA Y EQUIPOS'!C53</f>
        <v>VIBRADOR A GASOLINA</v>
      </c>
      <c r="C863" s="836"/>
      <c r="D863" s="37">
        <v>1</v>
      </c>
      <c r="E863" s="82">
        <f>'MAQUINARIA Y EQUIPOS'!D53</f>
        <v>51040</v>
      </c>
      <c r="F863" s="83">
        <v>25</v>
      </c>
      <c r="G863" s="111">
        <f t="shared" si="21"/>
        <v>2042</v>
      </c>
    </row>
    <row r="864" spans="1:8">
      <c r="A864" s="95"/>
      <c r="B864" s="835" t="str">
        <f>'MAQUINARIA Y EQUIPOS'!C9</f>
        <v>ANDAMIO TUBULAR 1.50 m</v>
      </c>
      <c r="C864" s="836"/>
      <c r="D864" s="37">
        <v>3</v>
      </c>
      <c r="E864" s="82">
        <f>'MAQUINARIA Y EQUIPOS'!D9</f>
        <v>754</v>
      </c>
      <c r="F864" s="83">
        <v>12</v>
      </c>
      <c r="G864" s="111">
        <f t="shared" si="21"/>
        <v>189</v>
      </c>
    </row>
    <row r="865" spans="1:8">
      <c r="A865" s="95"/>
      <c r="B865" s="835" t="str">
        <f>'MAQUINARIA Y EQUIPOS'!C13</f>
        <v>CERCHA METALICA 3.0 MTS</v>
      </c>
      <c r="C865" s="836"/>
      <c r="D865" s="37">
        <v>2</v>
      </c>
      <c r="E865" s="82">
        <f>'MAQUINARIA Y EQUIPOS'!D13</f>
        <v>220</v>
      </c>
      <c r="F865" s="83">
        <v>12</v>
      </c>
      <c r="G865" s="111">
        <f t="shared" si="21"/>
        <v>37</v>
      </c>
    </row>
    <row r="866" spans="1:8">
      <c r="A866" s="95"/>
      <c r="B866" s="835" t="str">
        <f>'MAQUINARIA Y EQUIPOS'!C21</f>
        <v>ELEVADOR</v>
      </c>
      <c r="C866" s="836"/>
      <c r="D866" s="37">
        <v>1</v>
      </c>
      <c r="E866" s="82">
        <f>'MAQUINARIA Y EQUIPOS'!D21</f>
        <v>40600</v>
      </c>
      <c r="F866" s="83">
        <v>25</v>
      </c>
      <c r="G866" s="111">
        <f t="shared" si="21"/>
        <v>1624</v>
      </c>
    </row>
    <row r="867" spans="1:8" ht="13.5" thickBot="1">
      <c r="A867" s="95"/>
      <c r="B867" s="835" t="str">
        <f>'MAQUINARIA Y EQUIPOS'!C37</f>
        <v>PARAL TELESCOPICO 3 MTS</v>
      </c>
      <c r="C867" s="836"/>
      <c r="D867" s="77">
        <v>3</v>
      </c>
      <c r="E867" s="82">
        <f>'MAQUINARIA Y EQUIPOS'!D37</f>
        <v>290</v>
      </c>
      <c r="F867" s="86">
        <v>12</v>
      </c>
      <c r="G867" s="111">
        <f t="shared" si="21"/>
        <v>73</v>
      </c>
    </row>
    <row r="868" spans="1:8" ht="14.25" thickTop="1" thickBot="1">
      <c r="A868" s="95"/>
      <c r="B868" s="808"/>
      <c r="C868" s="808"/>
      <c r="D868" s="808"/>
      <c r="E868" s="809"/>
      <c r="F868" s="119" t="s">
        <v>856</v>
      </c>
      <c r="G868" s="118">
        <f>SUM(G862:G867)</f>
        <v>4407</v>
      </c>
    </row>
    <row r="869" spans="1:8" ht="14.25" thickTop="1" thickBot="1">
      <c r="A869" s="95"/>
      <c r="B869" s="830"/>
      <c r="C869" s="830"/>
      <c r="D869" s="830"/>
      <c r="E869" s="830"/>
      <c r="F869" s="830"/>
      <c r="G869" s="830"/>
    </row>
    <row r="870" spans="1:8" ht="13.5" thickTop="1">
      <c r="A870" s="95"/>
      <c r="B870" s="811" t="s">
        <v>311</v>
      </c>
      <c r="C870" s="812"/>
      <c r="D870" s="812"/>
      <c r="E870" s="812"/>
      <c r="F870" s="812"/>
      <c r="G870" s="825"/>
    </row>
    <row r="871" spans="1:8">
      <c r="A871" s="95"/>
      <c r="B871" s="817" t="s">
        <v>838</v>
      </c>
      <c r="C871" s="818"/>
      <c r="D871" s="98" t="s">
        <v>842</v>
      </c>
      <c r="E871" s="98" t="s">
        <v>853</v>
      </c>
      <c r="F871" s="99" t="s">
        <v>1047</v>
      </c>
      <c r="G871" s="107" t="s">
        <v>840</v>
      </c>
    </row>
    <row r="872" spans="1:8">
      <c r="A872" s="95"/>
      <c r="B872" s="115"/>
      <c r="C872" s="102"/>
      <c r="D872" s="100"/>
      <c r="E872" s="100" t="s">
        <v>312</v>
      </c>
      <c r="F872" s="101" t="s">
        <v>313</v>
      </c>
      <c r="G872" s="108" t="s">
        <v>314</v>
      </c>
    </row>
    <row r="873" spans="1:8" ht="14.25">
      <c r="A873" s="125"/>
      <c r="B873" s="841" t="str">
        <f>MATERIALES2!C35</f>
        <v>CONCRETO 1:2:3-3000 psi(MATERIALES)</v>
      </c>
      <c r="C873" s="842"/>
      <c r="D873" s="87" t="s">
        <v>1066</v>
      </c>
      <c r="E873" s="140">
        <v>4.4999999999999998E-2</v>
      </c>
      <c r="F873" s="80">
        <f>MATERIALES2!E35</f>
        <v>367600</v>
      </c>
      <c r="G873" s="110">
        <f t="shared" ref="G873:G879" si="22">ROUND(E873*F873,0)</f>
        <v>16542</v>
      </c>
    </row>
    <row r="874" spans="1:8">
      <c r="A874" s="123"/>
      <c r="B874" s="854" t="str">
        <f>MATERIALES2!C163</f>
        <v>TABLON 2x12x10</v>
      </c>
      <c r="C874" s="855"/>
      <c r="D874" s="37" t="s">
        <v>865</v>
      </c>
      <c r="E874" s="83">
        <f>ROUND(16.67*3/3/4.5*0.03,2)</f>
        <v>0.11</v>
      </c>
      <c r="F874" s="82">
        <f>MATERIALES2!E163</f>
        <v>20000</v>
      </c>
      <c r="G874" s="111">
        <f t="shared" si="22"/>
        <v>2200</v>
      </c>
    </row>
    <row r="875" spans="1:8">
      <c r="A875" s="95"/>
      <c r="B875" s="854" t="str">
        <f>MATERIALES2!C151</f>
        <v>ABARCO DE 2X2X4,50</v>
      </c>
      <c r="C875" s="855"/>
      <c r="D875" s="37" t="s">
        <v>865</v>
      </c>
      <c r="E875" s="83">
        <f>ROUND(16.67/3/4.5*0.03,2)</f>
        <v>0.04</v>
      </c>
      <c r="F875" s="82">
        <f>MATERIALES2!E151</f>
        <v>5000</v>
      </c>
      <c r="G875" s="111">
        <f t="shared" si="22"/>
        <v>200</v>
      </c>
    </row>
    <row r="876" spans="1:8">
      <c r="A876" s="95"/>
      <c r="B876" s="854" t="str">
        <f>MATERIALES2!C919</f>
        <v>PUNTILLAS DE 3"</v>
      </c>
      <c r="C876" s="855"/>
      <c r="D876" s="37" t="s">
        <v>922</v>
      </c>
      <c r="E876" s="83">
        <f>3.8*0.03</f>
        <v>0.11399999999999999</v>
      </c>
      <c r="F876" s="82">
        <f>MATERIALES2!E919</f>
        <v>1500</v>
      </c>
      <c r="G876" s="111">
        <f t="shared" si="22"/>
        <v>171</v>
      </c>
    </row>
    <row r="877" spans="1:8">
      <c r="A877" s="95"/>
      <c r="B877" s="854" t="str">
        <f>MATERIALES2!C65</f>
        <v>ALAMBRE NEGRO</v>
      </c>
      <c r="C877" s="855"/>
      <c r="D877" s="37" t="s">
        <v>925</v>
      </c>
      <c r="E877" s="83">
        <v>0.23</v>
      </c>
      <c r="F877" s="82">
        <f>MATERIALES2!E65</f>
        <v>2100</v>
      </c>
      <c r="G877" s="111">
        <f t="shared" si="22"/>
        <v>483</v>
      </c>
    </row>
    <row r="878" spans="1:8">
      <c r="A878" s="95"/>
      <c r="B878" s="854" t="str">
        <f>MATERIALES2!C62</f>
        <v>HIERRO CHIPA 3/8"</v>
      </c>
      <c r="C878" s="855"/>
      <c r="D878" s="37" t="s">
        <v>925</v>
      </c>
      <c r="E878" s="83">
        <f>ROUND(12*0.8*0.3,2)</f>
        <v>2.88</v>
      </c>
      <c r="F878" s="82">
        <f>MATERIALES2!E62</f>
        <v>2100</v>
      </c>
      <c r="G878" s="111">
        <f t="shared" si="22"/>
        <v>6048</v>
      </c>
    </row>
    <row r="879" spans="1:8">
      <c r="A879" s="95"/>
      <c r="B879" s="854" t="str">
        <f>MATERIALES2!C70</f>
        <v>VARILLA CORRUGADA ½" x 6.0 M</v>
      </c>
      <c r="C879" s="855"/>
      <c r="D879" s="37" t="s">
        <v>865</v>
      </c>
      <c r="E879" s="83">
        <f>ROUND(4*1.4/6,2)</f>
        <v>0.93</v>
      </c>
      <c r="F879" s="82">
        <f>MATERIALES2!E70</f>
        <v>9300</v>
      </c>
      <c r="G879" s="111">
        <f t="shared" si="22"/>
        <v>8649</v>
      </c>
    </row>
    <row r="880" spans="1:8">
      <c r="A880" s="95"/>
      <c r="B880" s="938" t="s">
        <v>841</v>
      </c>
      <c r="C880" s="939"/>
      <c r="D880" s="53" t="s">
        <v>841</v>
      </c>
      <c r="E880" s="53"/>
      <c r="F880" s="82"/>
      <c r="G880" s="111"/>
      <c r="H880" s="505" t="s">
        <v>1670</v>
      </c>
    </row>
    <row r="881" spans="1:7" ht="13.5" thickBot="1">
      <c r="A881" s="95"/>
      <c r="B881" s="942" t="s">
        <v>841</v>
      </c>
      <c r="C881" s="943"/>
      <c r="D881" s="84" t="s">
        <v>841</v>
      </c>
      <c r="E881" s="84"/>
      <c r="F881" s="85"/>
      <c r="G881" s="112"/>
    </row>
    <row r="882" spans="1:7" ht="13.5" thickTop="1">
      <c r="A882" s="95"/>
      <c r="B882" s="808"/>
      <c r="C882" s="809"/>
      <c r="D882" s="801" t="s">
        <v>856</v>
      </c>
      <c r="E882" s="802"/>
      <c r="F882" s="9"/>
      <c r="G882" s="113">
        <f>SUM(G873:G881)</f>
        <v>34293</v>
      </c>
    </row>
    <row r="883" spans="1:7">
      <c r="A883" s="95"/>
      <c r="B883" s="819"/>
      <c r="C883" s="820"/>
      <c r="D883" s="801" t="s">
        <v>857</v>
      </c>
      <c r="E883" s="802"/>
      <c r="F883" s="79">
        <f>'MANO DE OBRA'!D60</f>
        <v>0.05</v>
      </c>
      <c r="G883" s="113">
        <f>ROUND(G882*F883,0)</f>
        <v>1715</v>
      </c>
    </row>
    <row r="884" spans="1:7" ht="13.5" thickBot="1">
      <c r="A884" s="95"/>
      <c r="B884" s="819"/>
      <c r="C884" s="820"/>
      <c r="D884" s="803" t="s">
        <v>320</v>
      </c>
      <c r="E884" s="804"/>
      <c r="F884" s="114"/>
      <c r="G884" s="118">
        <f>+G882+G883</f>
        <v>36008</v>
      </c>
    </row>
    <row r="885" spans="1:7" ht="14.25" thickTop="1" thickBot="1">
      <c r="A885" s="95"/>
      <c r="B885" s="830"/>
      <c r="C885" s="830"/>
      <c r="D885" s="830"/>
      <c r="E885" s="830"/>
      <c r="F885" s="830"/>
      <c r="G885" s="830"/>
    </row>
    <row r="886" spans="1:7" ht="13.5" thickTop="1">
      <c r="A886" s="95"/>
      <c r="B886" s="811" t="s">
        <v>858</v>
      </c>
      <c r="C886" s="812"/>
      <c r="D886" s="812"/>
      <c r="E886" s="812"/>
      <c r="F886" s="812"/>
      <c r="G886" s="825"/>
    </row>
    <row r="887" spans="1:7">
      <c r="A887" s="95"/>
      <c r="B887" s="817"/>
      <c r="C887" s="818"/>
      <c r="D887" s="98" t="s">
        <v>301</v>
      </c>
      <c r="E887" s="98" t="s">
        <v>859</v>
      </c>
      <c r="F887" s="99" t="s">
        <v>839</v>
      </c>
      <c r="G887" s="107" t="s">
        <v>840</v>
      </c>
    </row>
    <row r="888" spans="1:7">
      <c r="A888" s="95"/>
      <c r="B888" s="821" t="s">
        <v>838</v>
      </c>
      <c r="C888" s="822"/>
      <c r="D888" s="100" t="s">
        <v>316</v>
      </c>
      <c r="E888" s="100" t="s">
        <v>315</v>
      </c>
      <c r="F888" s="101" t="s">
        <v>306</v>
      </c>
      <c r="G888" s="108" t="s">
        <v>319</v>
      </c>
    </row>
    <row r="889" spans="1:7">
      <c r="A889" s="95"/>
      <c r="B889" s="115"/>
      <c r="C889" s="102"/>
      <c r="D889" s="103"/>
      <c r="E889" s="103" t="s">
        <v>317</v>
      </c>
      <c r="F889" s="104" t="s">
        <v>318</v>
      </c>
      <c r="G889" s="109"/>
    </row>
    <row r="890" spans="1:7">
      <c r="A890" s="95"/>
      <c r="B890" s="823" t="str">
        <f>'MANO DE OBRA'!B10</f>
        <v>AYUDANTE CUAD. TIPO AA</v>
      </c>
      <c r="C890" s="824"/>
      <c r="D890" s="87">
        <v>1</v>
      </c>
      <c r="E890" s="80">
        <f>'MANO DE OBRA'!E10</f>
        <v>34680</v>
      </c>
      <c r="F890" s="81">
        <v>12</v>
      </c>
      <c r="G890" s="110">
        <f>ROUND(D890*E890/F890,0)</f>
        <v>2890</v>
      </c>
    </row>
    <row r="891" spans="1:7">
      <c r="A891" s="95"/>
      <c r="B891" s="835" t="str">
        <f>'MANO DE OBRA'!B15</f>
        <v xml:space="preserve">OFICIAL CUAD. TIPO AA </v>
      </c>
      <c r="C891" s="836"/>
      <c r="D891" s="37">
        <v>1</v>
      </c>
      <c r="E891" s="82">
        <f>'MANO DE OBRA'!E15</f>
        <v>71474</v>
      </c>
      <c r="F891" s="83">
        <v>12</v>
      </c>
      <c r="G891" s="111">
        <f>ROUND(D891*E891/F891,0)</f>
        <v>5956</v>
      </c>
    </row>
    <row r="892" spans="1:7">
      <c r="A892" s="95"/>
      <c r="B892" s="835"/>
      <c r="C892" s="836"/>
      <c r="D892" s="89"/>
      <c r="E892" s="82"/>
      <c r="F892" s="83"/>
      <c r="G892" s="111"/>
    </row>
    <row r="893" spans="1:7">
      <c r="A893" s="95"/>
      <c r="B893" s="835" t="s">
        <v>841</v>
      </c>
      <c r="C893" s="836"/>
      <c r="D893" s="37"/>
      <c r="E893" s="82"/>
      <c r="F893" s="83"/>
      <c r="G893" s="111"/>
    </row>
    <row r="894" spans="1:7" ht="13.5" thickBot="1">
      <c r="A894" s="95"/>
      <c r="B894" s="828" t="s">
        <v>841</v>
      </c>
      <c r="C894" s="829"/>
      <c r="D894" s="77"/>
      <c r="E894" s="82"/>
      <c r="F894" s="86"/>
      <c r="G894" s="112"/>
    </row>
    <row r="895" spans="1:7" ht="14.25" thickTop="1" thickBot="1">
      <c r="A895" s="95"/>
      <c r="B895" s="808"/>
      <c r="C895" s="808"/>
      <c r="D895" s="808"/>
      <c r="E895" s="809"/>
      <c r="F895" s="120" t="s">
        <v>856</v>
      </c>
      <c r="G895" s="118">
        <f>SUM(G890:G894)</f>
        <v>8846</v>
      </c>
    </row>
    <row r="896" spans="1:7" ht="14.25" thickTop="1" thickBot="1">
      <c r="A896" s="95"/>
      <c r="B896" s="810"/>
      <c r="C896" s="810"/>
      <c r="D896" s="810"/>
      <c r="E896" s="810"/>
      <c r="F896" s="810"/>
      <c r="G896" s="810"/>
    </row>
    <row r="897" spans="1:8" ht="13.5" thickTop="1">
      <c r="A897" s="95"/>
      <c r="B897" s="811" t="s">
        <v>321</v>
      </c>
      <c r="C897" s="812"/>
      <c r="D897" s="812"/>
      <c r="E897" s="812"/>
      <c r="F897" s="812"/>
      <c r="G897" s="825"/>
    </row>
    <row r="898" spans="1:8">
      <c r="A898" s="95"/>
      <c r="B898" s="817" t="s">
        <v>838</v>
      </c>
      <c r="C898" s="818"/>
      <c r="D898" s="98" t="s">
        <v>301</v>
      </c>
      <c r="E898" s="98" t="s">
        <v>297</v>
      </c>
      <c r="F898" s="99" t="s">
        <v>839</v>
      </c>
      <c r="G898" s="107" t="s">
        <v>840</v>
      </c>
    </row>
    <row r="899" spans="1:8">
      <c r="A899" s="95"/>
      <c r="B899" s="115"/>
      <c r="C899" s="102"/>
      <c r="D899" s="103" t="s">
        <v>322</v>
      </c>
      <c r="E899" s="103" t="s">
        <v>323</v>
      </c>
      <c r="F899" s="104" t="s">
        <v>324</v>
      </c>
      <c r="G899" s="109" t="s">
        <v>325</v>
      </c>
    </row>
    <row r="900" spans="1:8">
      <c r="A900" s="95"/>
      <c r="B900" s="826"/>
      <c r="C900" s="827"/>
      <c r="D900" s="96"/>
      <c r="E900" s="96"/>
      <c r="F900" s="96"/>
      <c r="G900" s="116"/>
    </row>
    <row r="901" spans="1:8" ht="13.5" thickBot="1">
      <c r="A901" s="95"/>
      <c r="B901" s="828" t="s">
        <v>841</v>
      </c>
      <c r="C901" s="829"/>
      <c r="D901" s="77"/>
      <c r="E901" s="82"/>
      <c r="F901" s="86"/>
      <c r="G901" s="112"/>
    </row>
    <row r="902" spans="1:8" ht="14.25" thickTop="1" thickBot="1">
      <c r="A902" s="95"/>
      <c r="B902" s="808"/>
      <c r="C902" s="808"/>
      <c r="D902" s="808"/>
      <c r="E902" s="809"/>
      <c r="F902" s="120" t="s">
        <v>856</v>
      </c>
      <c r="G902" s="118">
        <f>SUM(G897:G901)</f>
        <v>0</v>
      </c>
    </row>
    <row r="903" spans="1:8" ht="14.25" thickTop="1" thickBot="1">
      <c r="A903" s="95"/>
      <c r="B903" s="810"/>
      <c r="C903" s="810"/>
      <c r="D903" s="810"/>
      <c r="E903" s="810"/>
      <c r="F903" s="810"/>
      <c r="G903" s="834"/>
    </row>
    <row r="904" spans="1:8" ht="13.5" thickTop="1">
      <c r="A904" s="95"/>
      <c r="B904" s="811" t="s">
        <v>326</v>
      </c>
      <c r="C904" s="812"/>
      <c r="D904" s="812"/>
      <c r="E904" s="812"/>
      <c r="F904" s="813"/>
      <c r="G904" s="121">
        <f>+G868+G884+G895</f>
        <v>49261</v>
      </c>
    </row>
    <row r="905" spans="1:8">
      <c r="A905" s="95"/>
      <c r="B905" s="814" t="s">
        <v>861</v>
      </c>
      <c r="C905" s="815"/>
      <c r="D905" s="815"/>
      <c r="E905" s="816"/>
      <c r="F905" s="128">
        <f>'MANO DE OBRA'!D112</f>
        <v>0</v>
      </c>
      <c r="G905" s="122">
        <f>ROUND(G904*F905,0)</f>
        <v>0</v>
      </c>
    </row>
    <row r="906" spans="1:8" ht="13.5" thickBot="1">
      <c r="A906" s="95"/>
      <c r="B906" s="805" t="s">
        <v>1049</v>
      </c>
      <c r="C906" s="806"/>
      <c r="D906" s="806"/>
      <c r="E906" s="806"/>
      <c r="F906" s="807"/>
      <c r="G906" s="118">
        <f>ROUND(G904+G905,-2)</f>
        <v>49300</v>
      </c>
      <c r="H906" s="505" t="s">
        <v>1670</v>
      </c>
    </row>
    <row r="907" spans="1:8" ht="13.5" thickTop="1">
      <c r="A907" s="95"/>
      <c r="B907" s="90" t="s">
        <v>303</v>
      </c>
      <c r="C907" s="843"/>
      <c r="D907" s="843"/>
      <c r="E907" s="843"/>
      <c r="F907" s="92" t="s">
        <v>781</v>
      </c>
      <c r="G907" s="93" t="s">
        <v>831</v>
      </c>
    </row>
    <row r="908" spans="1:8">
      <c r="A908" s="95"/>
      <c r="B908" s="91" t="s">
        <v>834</v>
      </c>
      <c r="C908" s="844" t="s">
        <v>368</v>
      </c>
      <c r="D908" s="844"/>
      <c r="E908" s="844"/>
      <c r="F908" s="15" t="s">
        <v>833</v>
      </c>
      <c r="G908" s="165" t="str">
        <f>'MANO DE OBRA'!D61</f>
        <v>Agosto de 2010</v>
      </c>
    </row>
    <row r="909" spans="1:8" ht="13.5" thickBot="1">
      <c r="A909" s="127"/>
      <c r="B909" s="94" t="s">
        <v>835</v>
      </c>
      <c r="C909" s="845" t="s">
        <v>170</v>
      </c>
      <c r="D909" s="845"/>
      <c r="E909" s="845"/>
      <c r="F909" s="845"/>
      <c r="G909" s="846"/>
    </row>
    <row r="910" spans="1:8" ht="14.25" thickTop="1" thickBot="1">
      <c r="A910" s="95"/>
      <c r="B910" s="847"/>
      <c r="C910" s="847"/>
      <c r="D910" s="847"/>
      <c r="E910" s="847"/>
      <c r="F910" s="847"/>
      <c r="G910" s="847"/>
    </row>
    <row r="911" spans="1:8" ht="13.5" thickTop="1">
      <c r="A911" s="95"/>
      <c r="B911" s="811" t="s">
        <v>304</v>
      </c>
      <c r="C911" s="812"/>
      <c r="D911" s="812"/>
      <c r="E911" s="812"/>
      <c r="F911" s="812"/>
      <c r="G911" s="825"/>
    </row>
    <row r="912" spans="1:8">
      <c r="A912" s="95"/>
      <c r="B912" s="105"/>
      <c r="C912" s="97"/>
      <c r="D912" s="98" t="s">
        <v>301</v>
      </c>
      <c r="E912" s="98" t="s">
        <v>1072</v>
      </c>
      <c r="F912" s="99" t="s">
        <v>839</v>
      </c>
      <c r="G912" s="107" t="s">
        <v>840</v>
      </c>
    </row>
    <row r="913" spans="1:7">
      <c r="A913" s="95"/>
      <c r="B913" s="821" t="s">
        <v>838</v>
      </c>
      <c r="C913" s="822"/>
      <c r="D913" s="100" t="s">
        <v>308</v>
      </c>
      <c r="E913" s="100" t="s">
        <v>305</v>
      </c>
      <c r="F913" s="101" t="s">
        <v>306</v>
      </c>
      <c r="G913" s="108" t="s">
        <v>310</v>
      </c>
    </row>
    <row r="914" spans="1:7">
      <c r="A914" s="95"/>
      <c r="B914" s="115"/>
      <c r="C914" s="102"/>
      <c r="D914" s="103"/>
      <c r="E914" s="103" t="s">
        <v>309</v>
      </c>
      <c r="F914" s="104" t="s">
        <v>307</v>
      </c>
      <c r="G914" s="109"/>
    </row>
    <row r="915" spans="1:7">
      <c r="A915" s="127"/>
      <c r="B915" s="823" t="str">
        <f>'MAQUINARIA Y EQUIPOS'!C28</f>
        <v>HERRAMIENTAS MENORES</v>
      </c>
      <c r="C915" s="824"/>
      <c r="D915" s="87">
        <v>1</v>
      </c>
      <c r="E915" s="82">
        <f>ROUND(G948*0.05,0)</f>
        <v>332</v>
      </c>
      <c r="F915" s="81">
        <v>1</v>
      </c>
      <c r="G915" s="110">
        <f>ROUND(D915*E915/F915,0)</f>
        <v>332</v>
      </c>
    </row>
    <row r="916" spans="1:7">
      <c r="A916" s="95"/>
      <c r="B916" s="835" t="str">
        <f>'MAQUINARIA Y EQUIPOS'!C53</f>
        <v>VIBRADOR A GASOLINA</v>
      </c>
      <c r="C916" s="836"/>
      <c r="D916" s="37">
        <v>1</v>
      </c>
      <c r="E916" s="82">
        <f>'MAQUINARIA Y EQUIPOS'!D53</f>
        <v>51040</v>
      </c>
      <c r="F916" s="83">
        <v>20</v>
      </c>
      <c r="G916" s="111">
        <f>ROUND(D916*E916/F916,0)</f>
        <v>2552</v>
      </c>
    </row>
    <row r="917" spans="1:7">
      <c r="A917" s="95"/>
      <c r="B917" s="835"/>
      <c r="C917" s="836"/>
      <c r="D917" s="37"/>
      <c r="E917" s="82"/>
      <c r="F917" s="83"/>
      <c r="G917" s="111"/>
    </row>
    <row r="918" spans="1:7">
      <c r="A918" s="95"/>
      <c r="B918" s="835"/>
      <c r="C918" s="836"/>
      <c r="D918" s="37"/>
      <c r="E918" s="82"/>
      <c r="F918" s="83"/>
      <c r="G918" s="111"/>
    </row>
    <row r="919" spans="1:7">
      <c r="A919" s="95"/>
      <c r="B919" s="835"/>
      <c r="C919" s="836"/>
      <c r="D919" s="37"/>
      <c r="E919" s="82"/>
      <c r="F919" s="83"/>
      <c r="G919" s="111"/>
    </row>
    <row r="920" spans="1:7" ht="13.5" thickBot="1">
      <c r="A920" s="95"/>
      <c r="B920" s="835"/>
      <c r="C920" s="836"/>
      <c r="D920" s="77"/>
      <c r="E920" s="82"/>
      <c r="F920" s="86"/>
      <c r="G920" s="111"/>
    </row>
    <row r="921" spans="1:7" ht="14.25" thickTop="1" thickBot="1">
      <c r="A921" s="95"/>
      <c r="B921" s="808"/>
      <c r="C921" s="808"/>
      <c r="D921" s="808"/>
      <c r="E921" s="809"/>
      <c r="F921" s="119" t="s">
        <v>856</v>
      </c>
      <c r="G921" s="118">
        <f>SUM(G915:G920)</f>
        <v>2884</v>
      </c>
    </row>
    <row r="922" spans="1:7" ht="14.25" thickTop="1" thickBot="1">
      <c r="A922" s="95"/>
      <c r="B922" s="830"/>
      <c r="C922" s="830"/>
      <c r="D922" s="830"/>
      <c r="E922" s="830"/>
      <c r="F922" s="830"/>
      <c r="G922" s="830"/>
    </row>
    <row r="923" spans="1:7" ht="13.5" thickTop="1">
      <c r="A923" s="95"/>
      <c r="B923" s="811" t="s">
        <v>311</v>
      </c>
      <c r="C923" s="812"/>
      <c r="D923" s="812"/>
      <c r="E923" s="812"/>
      <c r="F923" s="812"/>
      <c r="G923" s="825"/>
    </row>
    <row r="924" spans="1:7">
      <c r="A924" s="95"/>
      <c r="B924" s="817" t="s">
        <v>838</v>
      </c>
      <c r="C924" s="818"/>
      <c r="D924" s="98" t="s">
        <v>842</v>
      </c>
      <c r="E924" s="98" t="s">
        <v>853</v>
      </c>
      <c r="F924" s="99" t="s">
        <v>1047</v>
      </c>
      <c r="G924" s="107" t="s">
        <v>840</v>
      </c>
    </row>
    <row r="925" spans="1:7">
      <c r="A925" s="95"/>
      <c r="B925" s="115"/>
      <c r="C925" s="102"/>
      <c r="D925" s="100"/>
      <c r="E925" s="100" t="s">
        <v>312</v>
      </c>
      <c r="F925" s="101" t="s">
        <v>313</v>
      </c>
      <c r="G925" s="108" t="s">
        <v>314</v>
      </c>
    </row>
    <row r="926" spans="1:7" ht="14.25">
      <c r="A926" s="125"/>
      <c r="B926" s="841" t="str">
        <f>MATERIALES2!C35</f>
        <v>CONCRETO 1:2:3-3000 psi(MATERIALES)</v>
      </c>
      <c r="C926" s="842"/>
      <c r="D926" s="87" t="s">
        <v>1066</v>
      </c>
      <c r="E926" s="140">
        <v>2.4E-2</v>
      </c>
      <c r="F926" s="80">
        <f>MATERIALES2!E35</f>
        <v>367600</v>
      </c>
      <c r="G926" s="110">
        <f t="shared" ref="G926:G932" si="23">ROUND(E926*F926,0)</f>
        <v>8822</v>
      </c>
    </row>
    <row r="927" spans="1:7">
      <c r="A927" s="123"/>
      <c r="B927" s="854" t="str">
        <f>MATERIALES2!C163</f>
        <v>TABLON 2x12x10</v>
      </c>
      <c r="C927" s="855"/>
      <c r="D927" s="37" t="s">
        <v>865</v>
      </c>
      <c r="E927" s="141">
        <f>ROUND(16.67*3/3/4.5*0.03,2)</f>
        <v>0.11</v>
      </c>
      <c r="F927" s="82">
        <f>MATERIALES2!E163</f>
        <v>20000</v>
      </c>
      <c r="G927" s="111">
        <f t="shared" si="23"/>
        <v>2200</v>
      </c>
    </row>
    <row r="928" spans="1:7">
      <c r="A928" s="95"/>
      <c r="B928" s="854" t="str">
        <f>MATERIALES2!C151</f>
        <v>ABARCO DE 2X2X4,50</v>
      </c>
      <c r="C928" s="855"/>
      <c r="D928" s="37" t="s">
        <v>865</v>
      </c>
      <c r="E928" s="141">
        <f>3.8*0.03</f>
        <v>0.11399999999999999</v>
      </c>
      <c r="F928" s="82">
        <f>MATERIALES2!E151</f>
        <v>5000</v>
      </c>
      <c r="G928" s="111">
        <f t="shared" si="23"/>
        <v>570</v>
      </c>
    </row>
    <row r="929" spans="1:8">
      <c r="A929" s="95"/>
      <c r="B929" s="854" t="str">
        <f>MATERIALES2!C918</f>
        <v>PUNTILLAS DE 2"</v>
      </c>
      <c r="C929" s="855"/>
      <c r="D929" s="37" t="s">
        <v>922</v>
      </c>
      <c r="E929" s="141">
        <f>ROUND(16.67/3/4.5*0.03,2)</f>
        <v>0.04</v>
      </c>
      <c r="F929" s="82">
        <f>MATERIALES2!E918</f>
        <v>1500</v>
      </c>
      <c r="G929" s="111">
        <f t="shared" si="23"/>
        <v>60</v>
      </c>
    </row>
    <row r="930" spans="1:8">
      <c r="A930" s="95"/>
      <c r="B930" s="854" t="str">
        <f>MATERIALES2!C65</f>
        <v>ALAMBRE NEGRO</v>
      </c>
      <c r="C930" s="855"/>
      <c r="D930" s="37" t="s">
        <v>925</v>
      </c>
      <c r="E930" s="141">
        <f>ROUND(12*0.75*0.3,2)</f>
        <v>2.7</v>
      </c>
      <c r="F930" s="82">
        <f>MATERIALES2!E65</f>
        <v>2100</v>
      </c>
      <c r="G930" s="111">
        <f t="shared" si="23"/>
        <v>5670</v>
      </c>
    </row>
    <row r="931" spans="1:8">
      <c r="A931" s="95"/>
      <c r="B931" s="854" t="str">
        <f>MATERIALES2!C62</f>
        <v>HIERRO CHIPA 3/8"</v>
      </c>
      <c r="C931" s="855"/>
      <c r="D931" s="37" t="s">
        <v>925</v>
      </c>
      <c r="E931" s="141">
        <f>ROUND(4*1.4/6,2)</f>
        <v>0.93</v>
      </c>
      <c r="F931" s="82">
        <f>MATERIALES2!E62</f>
        <v>2100</v>
      </c>
      <c r="G931" s="111">
        <f t="shared" si="23"/>
        <v>1953</v>
      </c>
    </row>
    <row r="932" spans="1:8">
      <c r="A932" s="95"/>
      <c r="B932" s="854" t="str">
        <f>MATERIALES2!C70</f>
        <v>VARILLA CORRUGADA ½" x 6.0 M</v>
      </c>
      <c r="C932" s="855"/>
      <c r="D932" s="37" t="s">
        <v>865</v>
      </c>
      <c r="E932" s="141">
        <v>0.66</v>
      </c>
      <c r="F932" s="82">
        <f>MATERIALES2!E70</f>
        <v>9300</v>
      </c>
      <c r="G932" s="111">
        <f t="shared" si="23"/>
        <v>6138</v>
      </c>
    </row>
    <row r="933" spans="1:8">
      <c r="A933" s="95"/>
      <c r="B933" s="938" t="s">
        <v>841</v>
      </c>
      <c r="C933" s="939"/>
      <c r="D933" s="53" t="s">
        <v>841</v>
      </c>
      <c r="E933" s="53"/>
      <c r="F933" s="82"/>
      <c r="G933" s="111"/>
      <c r="H933" s="505" t="s">
        <v>1670</v>
      </c>
    </row>
    <row r="934" spans="1:8" ht="13.5" thickBot="1">
      <c r="A934" s="95"/>
      <c r="B934" s="942" t="s">
        <v>841</v>
      </c>
      <c r="C934" s="943"/>
      <c r="D934" s="84" t="s">
        <v>841</v>
      </c>
      <c r="E934" s="84"/>
      <c r="F934" s="85"/>
      <c r="G934" s="112"/>
    </row>
    <row r="935" spans="1:8" ht="13.5" thickTop="1">
      <c r="A935" s="95"/>
      <c r="B935" s="808"/>
      <c r="C935" s="809"/>
      <c r="D935" s="801" t="s">
        <v>856</v>
      </c>
      <c r="E935" s="802"/>
      <c r="F935" s="9"/>
      <c r="G935" s="113">
        <f>SUM(G926:G934)</f>
        <v>25413</v>
      </c>
    </row>
    <row r="936" spans="1:8">
      <c r="A936" s="95"/>
      <c r="B936" s="819"/>
      <c r="C936" s="820"/>
      <c r="D936" s="801" t="s">
        <v>857</v>
      </c>
      <c r="E936" s="802"/>
      <c r="F936" s="79">
        <f>'MANO DE OBRA'!D60</f>
        <v>0.05</v>
      </c>
      <c r="G936" s="113">
        <f>ROUND(G935*F936,0)</f>
        <v>1271</v>
      </c>
    </row>
    <row r="937" spans="1:8" ht="13.5" thickBot="1">
      <c r="A937" s="95"/>
      <c r="B937" s="819"/>
      <c r="C937" s="820"/>
      <c r="D937" s="803" t="s">
        <v>320</v>
      </c>
      <c r="E937" s="804"/>
      <c r="F937" s="114"/>
      <c r="G937" s="118">
        <f>+G935+G936</f>
        <v>26684</v>
      </c>
    </row>
    <row r="938" spans="1:8" ht="14.25" thickTop="1" thickBot="1">
      <c r="A938" s="95"/>
      <c r="B938" s="830"/>
      <c r="C938" s="830"/>
      <c r="D938" s="830"/>
      <c r="E938" s="830"/>
      <c r="F938" s="830"/>
      <c r="G938" s="830"/>
    </row>
    <row r="939" spans="1:8" ht="13.5" thickTop="1">
      <c r="A939" s="95"/>
      <c r="B939" s="811" t="s">
        <v>858</v>
      </c>
      <c r="C939" s="812"/>
      <c r="D939" s="812"/>
      <c r="E939" s="812"/>
      <c r="F939" s="812"/>
      <c r="G939" s="825"/>
    </row>
    <row r="940" spans="1:8">
      <c r="A940" s="95"/>
      <c r="B940" s="817"/>
      <c r="C940" s="818"/>
      <c r="D940" s="98" t="s">
        <v>301</v>
      </c>
      <c r="E940" s="98" t="s">
        <v>859</v>
      </c>
      <c r="F940" s="99" t="s">
        <v>839</v>
      </c>
      <c r="G940" s="107" t="s">
        <v>840</v>
      </c>
    </row>
    <row r="941" spans="1:8">
      <c r="A941" s="95"/>
      <c r="B941" s="821" t="s">
        <v>838</v>
      </c>
      <c r="C941" s="822"/>
      <c r="D941" s="100" t="s">
        <v>316</v>
      </c>
      <c r="E941" s="100" t="s">
        <v>315</v>
      </c>
      <c r="F941" s="101" t="s">
        <v>306</v>
      </c>
      <c r="G941" s="108" t="s">
        <v>319</v>
      </c>
    </row>
    <row r="942" spans="1:8">
      <c r="A942" s="95"/>
      <c r="B942" s="115"/>
      <c r="C942" s="102"/>
      <c r="D942" s="103"/>
      <c r="E942" s="103" t="s">
        <v>317</v>
      </c>
      <c r="F942" s="104" t="s">
        <v>318</v>
      </c>
      <c r="G942" s="109"/>
    </row>
    <row r="943" spans="1:8">
      <c r="A943" s="95"/>
      <c r="B943" s="823" t="str">
        <f>'MANO DE OBRA'!B10</f>
        <v>AYUDANTE CUAD. TIPO AA</v>
      </c>
      <c r="C943" s="824"/>
      <c r="D943" s="87">
        <v>1</v>
      </c>
      <c r="E943" s="80">
        <f>'MANO DE OBRA'!E10</f>
        <v>34680</v>
      </c>
      <c r="F943" s="81">
        <v>16</v>
      </c>
      <c r="G943" s="110">
        <f>ROUND(D943*E943/F943,0)</f>
        <v>2168</v>
      </c>
    </row>
    <row r="944" spans="1:8">
      <c r="A944" s="95"/>
      <c r="B944" s="835" t="str">
        <f>'MANO DE OBRA'!B15</f>
        <v xml:space="preserve">OFICIAL CUAD. TIPO AA </v>
      </c>
      <c r="C944" s="836"/>
      <c r="D944" s="37">
        <v>1</v>
      </c>
      <c r="E944" s="82">
        <f>'MANO DE OBRA'!E15</f>
        <v>71474</v>
      </c>
      <c r="F944" s="83">
        <v>16</v>
      </c>
      <c r="G944" s="111">
        <f>ROUND(D944*E944/F944,0)</f>
        <v>4467</v>
      </c>
    </row>
    <row r="945" spans="1:8">
      <c r="A945" s="95"/>
      <c r="B945" s="835"/>
      <c r="C945" s="836"/>
      <c r="D945" s="89"/>
      <c r="E945" s="82"/>
      <c r="F945" s="83"/>
      <c r="G945" s="111"/>
    </row>
    <row r="946" spans="1:8">
      <c r="A946" s="95"/>
      <c r="B946" s="835" t="s">
        <v>841</v>
      </c>
      <c r="C946" s="836"/>
      <c r="D946" s="37"/>
      <c r="E946" s="82"/>
      <c r="F946" s="83"/>
      <c r="G946" s="111"/>
    </row>
    <row r="947" spans="1:8" ht="13.5" thickBot="1">
      <c r="A947" s="95"/>
      <c r="B947" s="828" t="s">
        <v>841</v>
      </c>
      <c r="C947" s="829"/>
      <c r="D947" s="77"/>
      <c r="E947" s="82"/>
      <c r="F947" s="86"/>
      <c r="G947" s="112"/>
    </row>
    <row r="948" spans="1:8" ht="14.25" thickTop="1" thickBot="1">
      <c r="A948" s="95"/>
      <c r="B948" s="808"/>
      <c r="C948" s="808"/>
      <c r="D948" s="808"/>
      <c r="E948" s="809"/>
      <c r="F948" s="120" t="s">
        <v>856</v>
      </c>
      <c r="G948" s="118">
        <f>SUM(G943:G947)</f>
        <v>6635</v>
      </c>
    </row>
    <row r="949" spans="1:8" ht="14.25" thickTop="1" thickBot="1">
      <c r="A949" s="95"/>
      <c r="B949" s="810"/>
      <c r="C949" s="810"/>
      <c r="D949" s="810"/>
      <c r="E949" s="810"/>
      <c r="F949" s="810"/>
      <c r="G949" s="810"/>
    </row>
    <row r="950" spans="1:8" ht="13.5" thickTop="1">
      <c r="A950" s="95"/>
      <c r="B950" s="811" t="s">
        <v>321</v>
      </c>
      <c r="C950" s="812"/>
      <c r="D950" s="812"/>
      <c r="E950" s="812"/>
      <c r="F950" s="812"/>
      <c r="G950" s="825"/>
    </row>
    <row r="951" spans="1:8">
      <c r="A951" s="95"/>
      <c r="B951" s="817" t="s">
        <v>838</v>
      </c>
      <c r="C951" s="818"/>
      <c r="D951" s="98" t="s">
        <v>301</v>
      </c>
      <c r="E951" s="98" t="s">
        <v>297</v>
      </c>
      <c r="F951" s="99" t="s">
        <v>839</v>
      </c>
      <c r="G951" s="107" t="s">
        <v>840</v>
      </c>
    </row>
    <row r="952" spans="1:8">
      <c r="A952" s="95"/>
      <c r="B952" s="115"/>
      <c r="C952" s="102"/>
      <c r="D952" s="103" t="s">
        <v>322</v>
      </c>
      <c r="E952" s="103" t="s">
        <v>323</v>
      </c>
      <c r="F952" s="104" t="s">
        <v>324</v>
      </c>
      <c r="G952" s="109" t="s">
        <v>325</v>
      </c>
    </row>
    <row r="953" spans="1:8">
      <c r="A953" s="95"/>
      <c r="B953" s="826"/>
      <c r="C953" s="827"/>
      <c r="D953" s="96"/>
      <c r="E953" s="96"/>
      <c r="F953" s="96"/>
      <c r="G953" s="116"/>
    </row>
    <row r="954" spans="1:8" ht="13.5" thickBot="1">
      <c r="A954" s="95"/>
      <c r="B954" s="828" t="s">
        <v>841</v>
      </c>
      <c r="C954" s="829"/>
      <c r="D954" s="77"/>
      <c r="E954" s="82"/>
      <c r="F954" s="86"/>
      <c r="G954" s="112"/>
    </row>
    <row r="955" spans="1:8" ht="14.25" thickTop="1" thickBot="1">
      <c r="A955" s="95"/>
      <c r="B955" s="808"/>
      <c r="C955" s="808"/>
      <c r="D955" s="808"/>
      <c r="E955" s="809"/>
      <c r="F955" s="120" t="s">
        <v>856</v>
      </c>
      <c r="G955" s="118">
        <f>SUM(G950:G954)</f>
        <v>0</v>
      </c>
    </row>
    <row r="956" spans="1:8" ht="14.25" thickTop="1" thickBot="1">
      <c r="A956" s="95"/>
      <c r="B956" s="810"/>
      <c r="C956" s="810"/>
      <c r="D956" s="810"/>
      <c r="E956" s="810"/>
      <c r="F956" s="810"/>
      <c r="G956" s="834"/>
    </row>
    <row r="957" spans="1:8" ht="13.5" thickTop="1">
      <c r="A957" s="95"/>
      <c r="B957" s="811" t="s">
        <v>326</v>
      </c>
      <c r="C957" s="812"/>
      <c r="D957" s="812"/>
      <c r="E957" s="812"/>
      <c r="F957" s="813"/>
      <c r="G957" s="121">
        <f>+G921+G937+G948</f>
        <v>36203</v>
      </c>
    </row>
    <row r="958" spans="1:8">
      <c r="A958" s="95"/>
      <c r="B958" s="814" t="s">
        <v>861</v>
      </c>
      <c r="C958" s="815"/>
      <c r="D958" s="815"/>
      <c r="E958" s="816"/>
      <c r="F958" s="128">
        <f>'MANO DE OBRA'!D59</f>
        <v>0</v>
      </c>
      <c r="G958" s="122">
        <f>ROUND(G957*F958,0)</f>
        <v>0</v>
      </c>
    </row>
    <row r="959" spans="1:8" ht="13.5" thickBot="1">
      <c r="A959" s="95"/>
      <c r="B959" s="805" t="s">
        <v>1049</v>
      </c>
      <c r="C959" s="806"/>
      <c r="D959" s="806"/>
      <c r="E959" s="806"/>
      <c r="F959" s="807"/>
      <c r="G959" s="118">
        <f>ROUND(G957+G958,-2)</f>
        <v>36200</v>
      </c>
      <c r="H959" s="505" t="s">
        <v>1670</v>
      </c>
    </row>
    <row r="960" spans="1:8" ht="13.5" thickTop="1">
      <c r="A960" s="95"/>
      <c r="B960" s="90" t="s">
        <v>303</v>
      </c>
      <c r="C960" s="843"/>
      <c r="D960" s="843"/>
      <c r="E960" s="843"/>
      <c r="F960" s="92" t="s">
        <v>781</v>
      </c>
      <c r="G960" s="93" t="s">
        <v>831</v>
      </c>
    </row>
    <row r="961" spans="1:7">
      <c r="A961" s="95"/>
      <c r="B961" s="91" t="s">
        <v>834</v>
      </c>
      <c r="C961" s="844" t="s">
        <v>368</v>
      </c>
      <c r="D961" s="844"/>
      <c r="E961" s="844"/>
      <c r="F961" s="15" t="s">
        <v>833</v>
      </c>
      <c r="G961" s="165" t="str">
        <f>'MANO DE OBRA'!D61</f>
        <v>Agosto de 2010</v>
      </c>
    </row>
    <row r="962" spans="1:7" ht="13.5" thickBot="1">
      <c r="A962" s="127"/>
      <c r="B962" s="94" t="s">
        <v>835</v>
      </c>
      <c r="C962" s="845" t="s">
        <v>760</v>
      </c>
      <c r="D962" s="845"/>
      <c r="E962" s="845"/>
      <c r="F962" s="845"/>
      <c r="G962" s="846"/>
    </row>
    <row r="963" spans="1:7" ht="14.25" thickTop="1" thickBot="1">
      <c r="A963" s="95"/>
      <c r="B963" s="847"/>
      <c r="C963" s="847"/>
      <c r="D963" s="847"/>
      <c r="E963" s="847"/>
      <c r="F963" s="847"/>
      <c r="G963" s="847"/>
    </row>
    <row r="964" spans="1:7" ht="13.5" thickTop="1">
      <c r="A964" s="95"/>
      <c r="B964" s="811" t="s">
        <v>304</v>
      </c>
      <c r="C964" s="812"/>
      <c r="D964" s="812"/>
      <c r="E964" s="812"/>
      <c r="F964" s="812"/>
      <c r="G964" s="825"/>
    </row>
    <row r="965" spans="1:7">
      <c r="A965" s="95"/>
      <c r="B965" s="105"/>
      <c r="C965" s="97"/>
      <c r="D965" s="98" t="s">
        <v>301</v>
      </c>
      <c r="E965" s="98" t="s">
        <v>1072</v>
      </c>
      <c r="F965" s="99" t="s">
        <v>839</v>
      </c>
      <c r="G965" s="107" t="s">
        <v>840</v>
      </c>
    </row>
    <row r="966" spans="1:7">
      <c r="A966" s="95"/>
      <c r="B966" s="821" t="s">
        <v>838</v>
      </c>
      <c r="C966" s="822"/>
      <c r="D966" s="100" t="s">
        <v>308</v>
      </c>
      <c r="E966" s="100" t="s">
        <v>305</v>
      </c>
      <c r="F966" s="101" t="s">
        <v>306</v>
      </c>
      <c r="G966" s="108" t="s">
        <v>310</v>
      </c>
    </row>
    <row r="967" spans="1:7">
      <c r="A967" s="95"/>
      <c r="B967" s="115"/>
      <c r="C967" s="102"/>
      <c r="D967" s="103"/>
      <c r="E967" s="103" t="s">
        <v>309</v>
      </c>
      <c r="F967" s="104" t="s">
        <v>307</v>
      </c>
      <c r="G967" s="109"/>
    </row>
    <row r="968" spans="1:7">
      <c r="A968" s="127"/>
      <c r="B968" s="823" t="str">
        <f>'MAQUINARIA Y EQUIPOS'!C28</f>
        <v>HERRAMIENTAS MENORES</v>
      </c>
      <c r="C968" s="824"/>
      <c r="D968" s="87">
        <v>1</v>
      </c>
      <c r="E968" s="82">
        <f>ROUND(G1001*0.05,0)</f>
        <v>379</v>
      </c>
      <c r="F968" s="81">
        <v>1</v>
      </c>
      <c r="G968" s="110">
        <f>ROUND(D968*E968/F968,0)</f>
        <v>379</v>
      </c>
    </row>
    <row r="969" spans="1:7">
      <c r="A969" s="95"/>
      <c r="B969" s="835" t="str">
        <f>'MAQUINARIA Y EQUIPOS'!C53</f>
        <v>VIBRADOR A GASOLINA</v>
      </c>
      <c r="C969" s="836"/>
      <c r="D969" s="37">
        <v>1</v>
      </c>
      <c r="E969" s="82">
        <f>'MAQUINARIA Y EQUIPOS'!D53</f>
        <v>51040</v>
      </c>
      <c r="F969" s="83">
        <v>25</v>
      </c>
      <c r="G969" s="111">
        <f>ROUND(D969*E969/F969,0)</f>
        <v>2042</v>
      </c>
    </row>
    <row r="970" spans="1:7">
      <c r="A970" s="95"/>
      <c r="B970" s="835"/>
      <c r="C970" s="836"/>
      <c r="D970" s="37"/>
      <c r="E970" s="82"/>
      <c r="F970" s="83"/>
      <c r="G970" s="111"/>
    </row>
    <row r="971" spans="1:7">
      <c r="A971" s="95"/>
      <c r="B971" s="835"/>
      <c r="C971" s="836"/>
      <c r="D971" s="37"/>
      <c r="E971" s="82"/>
      <c r="F971" s="83"/>
      <c r="G971" s="111"/>
    </row>
    <row r="972" spans="1:7">
      <c r="A972" s="95"/>
      <c r="B972" s="835"/>
      <c r="C972" s="836"/>
      <c r="D972" s="37"/>
      <c r="E972" s="82"/>
      <c r="F972" s="83"/>
      <c r="G972" s="111"/>
    </row>
    <row r="973" spans="1:7" ht="13.5" thickBot="1">
      <c r="A973" s="95"/>
      <c r="B973" s="835"/>
      <c r="C973" s="836"/>
      <c r="D973" s="77"/>
      <c r="E973" s="82"/>
      <c r="F973" s="86"/>
      <c r="G973" s="111"/>
    </row>
    <row r="974" spans="1:7" ht="14.25" thickTop="1" thickBot="1">
      <c r="A974" s="95"/>
      <c r="B974" s="808"/>
      <c r="C974" s="808"/>
      <c r="D974" s="808"/>
      <c r="E974" s="809"/>
      <c r="F974" s="119" t="s">
        <v>856</v>
      </c>
      <c r="G974" s="118">
        <f>SUM(G968:G973)</f>
        <v>2421</v>
      </c>
    </row>
    <row r="975" spans="1:7" ht="14.25" thickTop="1" thickBot="1">
      <c r="A975" s="95"/>
      <c r="B975" s="830"/>
      <c r="C975" s="830"/>
      <c r="D975" s="830"/>
      <c r="E975" s="830"/>
      <c r="F975" s="830"/>
      <c r="G975" s="830"/>
    </row>
    <row r="976" spans="1:7" ht="13.5" thickTop="1">
      <c r="A976" s="95"/>
      <c r="B976" s="811" t="s">
        <v>311</v>
      </c>
      <c r="C976" s="812"/>
      <c r="D976" s="812"/>
      <c r="E976" s="812"/>
      <c r="F976" s="812"/>
      <c r="G976" s="825"/>
    </row>
    <row r="977" spans="1:8">
      <c r="A977" s="95"/>
      <c r="B977" s="817" t="s">
        <v>838</v>
      </c>
      <c r="C977" s="818"/>
      <c r="D977" s="98" t="s">
        <v>842</v>
      </c>
      <c r="E977" s="98" t="s">
        <v>853</v>
      </c>
      <c r="F977" s="99" t="s">
        <v>1047</v>
      </c>
      <c r="G977" s="107" t="s">
        <v>840</v>
      </c>
    </row>
    <row r="978" spans="1:8">
      <c r="A978" s="95"/>
      <c r="B978" s="115"/>
      <c r="C978" s="102"/>
      <c r="D978" s="100"/>
      <c r="E978" s="100" t="s">
        <v>312</v>
      </c>
      <c r="F978" s="101" t="s">
        <v>313</v>
      </c>
      <c r="G978" s="108" t="s">
        <v>314</v>
      </c>
    </row>
    <row r="979" spans="1:8" ht="14.25">
      <c r="A979" s="125"/>
      <c r="B979" s="841" t="str">
        <f>MATERIALES2!C35</f>
        <v>CONCRETO 1:2:3-3000 psi(MATERIALES)</v>
      </c>
      <c r="C979" s="842"/>
      <c r="D979" s="87" t="s">
        <v>1066</v>
      </c>
      <c r="E979" s="140">
        <v>3.5999999999999997E-2</v>
      </c>
      <c r="F979" s="80">
        <f>MATERIALES2!E35</f>
        <v>367600</v>
      </c>
      <c r="G979" s="110">
        <f t="shared" ref="G979:G985" si="24">ROUND(E979*F979,0)</f>
        <v>13234</v>
      </c>
    </row>
    <row r="980" spans="1:8">
      <c r="A980" s="123"/>
      <c r="B980" s="854" t="str">
        <f>MATERIALES2!C163</f>
        <v>TABLON 2x12x10</v>
      </c>
      <c r="C980" s="855"/>
      <c r="D980" s="37" t="s">
        <v>865</v>
      </c>
      <c r="E980" s="83">
        <f>ROUND(16.67*3/3/4.5*0.03,2)</f>
        <v>0.11</v>
      </c>
      <c r="F980" s="82">
        <f>MATERIALES2!E163</f>
        <v>20000</v>
      </c>
      <c r="G980" s="111">
        <f t="shared" si="24"/>
        <v>2200</v>
      </c>
    </row>
    <row r="981" spans="1:8">
      <c r="A981" s="95"/>
      <c r="B981" s="854" t="str">
        <f>MATERIALES2!C151</f>
        <v>ABARCO DE 2X2X4,50</v>
      </c>
      <c r="C981" s="855"/>
      <c r="D981" s="37" t="s">
        <v>865</v>
      </c>
      <c r="E981" s="83">
        <f>ROUND(16.67/3/4.5*0.03,2)</f>
        <v>0.04</v>
      </c>
      <c r="F981" s="82">
        <f>MATERIALES2!E151</f>
        <v>5000</v>
      </c>
      <c r="G981" s="111">
        <f t="shared" si="24"/>
        <v>200</v>
      </c>
    </row>
    <row r="982" spans="1:8">
      <c r="A982" s="95"/>
      <c r="B982" s="854" t="str">
        <f>MATERIALES2!C918</f>
        <v>PUNTILLAS DE 2"</v>
      </c>
      <c r="C982" s="855"/>
      <c r="D982" s="37" t="s">
        <v>922</v>
      </c>
      <c r="E982" s="83">
        <f>3.8*0.03</f>
        <v>0.11399999999999999</v>
      </c>
      <c r="F982" s="82">
        <f>MATERIALES2!E918</f>
        <v>1500</v>
      </c>
      <c r="G982" s="111">
        <f t="shared" si="24"/>
        <v>171</v>
      </c>
    </row>
    <row r="983" spans="1:8">
      <c r="A983" s="95"/>
      <c r="B983" s="854" t="str">
        <f>MATERIALES2!C65</f>
        <v>ALAMBRE NEGRO</v>
      </c>
      <c r="C983" s="855"/>
      <c r="D983" s="37" t="s">
        <v>925</v>
      </c>
      <c r="E983" s="83">
        <v>0.23</v>
      </c>
      <c r="F983" s="82">
        <f>MATERIALES2!E65</f>
        <v>2100</v>
      </c>
      <c r="G983" s="111">
        <f t="shared" si="24"/>
        <v>483</v>
      </c>
    </row>
    <row r="984" spans="1:8">
      <c r="A984" s="95"/>
      <c r="B984" s="854" t="str">
        <f>MATERIALES2!C61</f>
        <v>HIERRO CHIPA ¼"</v>
      </c>
      <c r="C984" s="855"/>
      <c r="D984" s="37" t="s">
        <v>925</v>
      </c>
      <c r="E984" s="83">
        <f>ROUND(12*0.8*0.3,2)</f>
        <v>2.88</v>
      </c>
      <c r="F984" s="82">
        <f>MATERIALES2!E61</f>
        <v>2100</v>
      </c>
      <c r="G984" s="111">
        <f t="shared" si="24"/>
        <v>6048</v>
      </c>
    </row>
    <row r="985" spans="1:8">
      <c r="A985" s="95"/>
      <c r="B985" s="854" t="str">
        <f>MATERIALES2!C70</f>
        <v>VARILLA CORRUGADA ½" x 6.0 M</v>
      </c>
      <c r="C985" s="855"/>
      <c r="D985" s="37" t="s">
        <v>865</v>
      </c>
      <c r="E985" s="83">
        <f>ROUND(4*1.4/6,2)</f>
        <v>0.93</v>
      </c>
      <c r="F985" s="82">
        <f>MATERIALES2!E70</f>
        <v>9300</v>
      </c>
      <c r="G985" s="111">
        <f t="shared" si="24"/>
        <v>8649</v>
      </c>
      <c r="H985" s="505" t="s">
        <v>1670</v>
      </c>
    </row>
    <row r="986" spans="1:8">
      <c r="A986" s="95"/>
      <c r="B986" s="938" t="s">
        <v>841</v>
      </c>
      <c r="C986" s="939"/>
      <c r="D986" s="53" t="s">
        <v>841</v>
      </c>
      <c r="E986" s="53"/>
      <c r="F986" s="82"/>
      <c r="G986" s="111"/>
    </row>
    <row r="987" spans="1:8" ht="13.5" thickBot="1">
      <c r="A987" s="95"/>
      <c r="B987" s="942" t="s">
        <v>841</v>
      </c>
      <c r="C987" s="943"/>
      <c r="D987" s="84" t="s">
        <v>841</v>
      </c>
      <c r="E987" s="84"/>
      <c r="F987" s="85"/>
      <c r="G987" s="112"/>
    </row>
    <row r="988" spans="1:8" ht="13.5" thickTop="1">
      <c r="A988" s="95"/>
      <c r="B988" s="808"/>
      <c r="C988" s="809"/>
      <c r="D988" s="801" t="s">
        <v>856</v>
      </c>
      <c r="E988" s="802"/>
      <c r="F988" s="9"/>
      <c r="G988" s="113">
        <f>SUM(G979:G987)</f>
        <v>30985</v>
      </c>
    </row>
    <row r="989" spans="1:8">
      <c r="A989" s="95"/>
      <c r="B989" s="819"/>
      <c r="C989" s="820"/>
      <c r="D989" s="801" t="s">
        <v>857</v>
      </c>
      <c r="E989" s="802"/>
      <c r="F989" s="79">
        <f>'MANO DE OBRA'!D60</f>
        <v>0.05</v>
      </c>
      <c r="G989" s="113">
        <f>ROUND(G988*F989,0)</f>
        <v>1549</v>
      </c>
    </row>
    <row r="990" spans="1:8" ht="13.5" thickBot="1">
      <c r="A990" s="95"/>
      <c r="B990" s="819"/>
      <c r="C990" s="820"/>
      <c r="D990" s="803" t="s">
        <v>320</v>
      </c>
      <c r="E990" s="804"/>
      <c r="F990" s="114"/>
      <c r="G990" s="118">
        <f>+G988+G989</f>
        <v>32534</v>
      </c>
    </row>
    <row r="991" spans="1:8" ht="14.25" thickTop="1" thickBot="1">
      <c r="A991" s="95"/>
      <c r="B991" s="830"/>
      <c r="C991" s="830"/>
      <c r="D991" s="830"/>
      <c r="E991" s="830"/>
      <c r="F991" s="830"/>
      <c r="G991" s="830"/>
    </row>
    <row r="992" spans="1:8" ht="13.5" thickTop="1">
      <c r="A992" s="95"/>
      <c r="B992" s="811" t="s">
        <v>858</v>
      </c>
      <c r="C992" s="812"/>
      <c r="D992" s="812"/>
      <c r="E992" s="812"/>
      <c r="F992" s="812"/>
      <c r="G992" s="825"/>
    </row>
    <row r="993" spans="1:7">
      <c r="A993" s="95"/>
      <c r="B993" s="817"/>
      <c r="C993" s="818"/>
      <c r="D993" s="98" t="s">
        <v>301</v>
      </c>
      <c r="E993" s="98" t="s">
        <v>859</v>
      </c>
      <c r="F993" s="99" t="s">
        <v>839</v>
      </c>
      <c r="G993" s="107" t="s">
        <v>840</v>
      </c>
    </row>
    <row r="994" spans="1:7">
      <c r="A994" s="95"/>
      <c r="B994" s="821" t="s">
        <v>838</v>
      </c>
      <c r="C994" s="822"/>
      <c r="D994" s="100" t="s">
        <v>316</v>
      </c>
      <c r="E994" s="100" t="s">
        <v>315</v>
      </c>
      <c r="F994" s="101" t="s">
        <v>306</v>
      </c>
      <c r="G994" s="108" t="s">
        <v>319</v>
      </c>
    </row>
    <row r="995" spans="1:7">
      <c r="A995" s="95"/>
      <c r="B995" s="115"/>
      <c r="C995" s="102"/>
      <c r="D995" s="103"/>
      <c r="E995" s="103" t="s">
        <v>317</v>
      </c>
      <c r="F995" s="104" t="s">
        <v>318</v>
      </c>
      <c r="G995" s="109"/>
    </row>
    <row r="996" spans="1:7">
      <c r="A996" s="95"/>
      <c r="B996" s="823" t="str">
        <f>'MANO DE OBRA'!B10</f>
        <v>AYUDANTE CUAD. TIPO AA</v>
      </c>
      <c r="C996" s="824"/>
      <c r="D996" s="87">
        <v>1</v>
      </c>
      <c r="E996" s="80">
        <f>'MANO DE OBRA'!E10</f>
        <v>34680</v>
      </c>
      <c r="F996" s="81">
        <v>14</v>
      </c>
      <c r="G996" s="110">
        <f>ROUND(D996*E996/F996,0)</f>
        <v>2477</v>
      </c>
    </row>
    <row r="997" spans="1:7">
      <c r="A997" s="95"/>
      <c r="B997" s="835" t="str">
        <f>'MANO DE OBRA'!B15</f>
        <v xml:space="preserve">OFICIAL CUAD. TIPO AA </v>
      </c>
      <c r="C997" s="836"/>
      <c r="D997" s="37">
        <v>1</v>
      </c>
      <c r="E997" s="82">
        <f>'MANO DE OBRA'!E15</f>
        <v>71474</v>
      </c>
      <c r="F997" s="83">
        <v>14</v>
      </c>
      <c r="G997" s="111">
        <f>ROUND(D997*E997/F997,0)</f>
        <v>5105</v>
      </c>
    </row>
    <row r="998" spans="1:7">
      <c r="A998" s="95"/>
      <c r="B998" s="835"/>
      <c r="C998" s="836"/>
      <c r="D998" s="89"/>
      <c r="E998" s="82"/>
      <c r="F998" s="83"/>
      <c r="G998" s="111"/>
    </row>
    <row r="999" spans="1:7">
      <c r="A999" s="95"/>
      <c r="B999" s="835" t="s">
        <v>841</v>
      </c>
      <c r="C999" s="836"/>
      <c r="D999" s="37"/>
      <c r="E999" s="82"/>
      <c r="F999" s="83"/>
      <c r="G999" s="111"/>
    </row>
    <row r="1000" spans="1:7" ht="13.5" thickBot="1">
      <c r="A1000" s="95"/>
      <c r="B1000" s="828" t="s">
        <v>841</v>
      </c>
      <c r="C1000" s="829"/>
      <c r="D1000" s="77"/>
      <c r="E1000" s="82"/>
      <c r="F1000" s="86"/>
      <c r="G1000" s="112"/>
    </row>
    <row r="1001" spans="1:7" ht="14.25" thickTop="1" thickBot="1">
      <c r="A1001" s="95"/>
      <c r="B1001" s="808"/>
      <c r="C1001" s="808"/>
      <c r="D1001" s="808"/>
      <c r="E1001" s="809"/>
      <c r="F1001" s="120" t="s">
        <v>856</v>
      </c>
      <c r="G1001" s="118">
        <f>SUM(G996:G1000)</f>
        <v>7582</v>
      </c>
    </row>
    <row r="1002" spans="1:7" ht="14.25" thickTop="1" thickBot="1">
      <c r="A1002" s="95"/>
      <c r="B1002" s="810"/>
      <c r="C1002" s="810"/>
      <c r="D1002" s="810"/>
      <c r="E1002" s="810"/>
      <c r="F1002" s="810"/>
      <c r="G1002" s="810"/>
    </row>
    <row r="1003" spans="1:7" ht="13.5" thickTop="1">
      <c r="A1003" s="95"/>
      <c r="B1003" s="811" t="s">
        <v>321</v>
      </c>
      <c r="C1003" s="812"/>
      <c r="D1003" s="812"/>
      <c r="E1003" s="812"/>
      <c r="F1003" s="812"/>
      <c r="G1003" s="825"/>
    </row>
    <row r="1004" spans="1:7">
      <c r="A1004" s="95"/>
      <c r="B1004" s="817" t="s">
        <v>838</v>
      </c>
      <c r="C1004" s="818"/>
      <c r="D1004" s="98" t="s">
        <v>301</v>
      </c>
      <c r="E1004" s="98" t="s">
        <v>297</v>
      </c>
      <c r="F1004" s="99" t="s">
        <v>839</v>
      </c>
      <c r="G1004" s="107" t="s">
        <v>840</v>
      </c>
    </row>
    <row r="1005" spans="1:7">
      <c r="A1005" s="95"/>
      <c r="B1005" s="115"/>
      <c r="C1005" s="102"/>
      <c r="D1005" s="103" t="s">
        <v>322</v>
      </c>
      <c r="E1005" s="103" t="s">
        <v>323</v>
      </c>
      <c r="F1005" s="104" t="s">
        <v>324</v>
      </c>
      <c r="G1005" s="109" t="s">
        <v>325</v>
      </c>
    </row>
    <row r="1006" spans="1:7">
      <c r="A1006" s="95"/>
      <c r="B1006" s="826"/>
      <c r="C1006" s="827"/>
      <c r="D1006" s="96"/>
      <c r="E1006" s="96"/>
      <c r="F1006" s="96"/>
      <c r="G1006" s="116"/>
    </row>
    <row r="1007" spans="1:7" ht="13.5" thickBot="1">
      <c r="A1007" s="95"/>
      <c r="B1007" s="828" t="s">
        <v>841</v>
      </c>
      <c r="C1007" s="829"/>
      <c r="D1007" s="77"/>
      <c r="E1007" s="82"/>
      <c r="F1007" s="86"/>
      <c r="G1007" s="112"/>
    </row>
    <row r="1008" spans="1:7" ht="14.25" thickTop="1" thickBot="1">
      <c r="A1008" s="95"/>
      <c r="B1008" s="808"/>
      <c r="C1008" s="808"/>
      <c r="D1008" s="808"/>
      <c r="E1008" s="809"/>
      <c r="F1008" s="120" t="s">
        <v>856</v>
      </c>
      <c r="G1008" s="118">
        <f>SUM(G1003:G1007)</f>
        <v>0</v>
      </c>
    </row>
    <row r="1009" spans="1:8" ht="14.25" thickTop="1" thickBot="1">
      <c r="A1009" s="95"/>
      <c r="B1009" s="810"/>
      <c r="C1009" s="810"/>
      <c r="D1009" s="810"/>
      <c r="E1009" s="810"/>
      <c r="F1009" s="810"/>
      <c r="G1009" s="834"/>
    </row>
    <row r="1010" spans="1:8" ht="13.5" thickTop="1">
      <c r="A1010" s="95"/>
      <c r="B1010" s="811" t="s">
        <v>326</v>
      </c>
      <c r="C1010" s="812"/>
      <c r="D1010" s="812"/>
      <c r="E1010" s="812"/>
      <c r="F1010" s="813"/>
      <c r="G1010" s="121">
        <f>+G974+G990+G1001</f>
        <v>42537</v>
      </c>
    </row>
    <row r="1011" spans="1:8">
      <c r="A1011" s="95"/>
      <c r="B1011" s="814" t="s">
        <v>861</v>
      </c>
      <c r="C1011" s="815"/>
      <c r="D1011" s="815"/>
      <c r="E1011" s="816"/>
      <c r="F1011" s="128">
        <f>'MANO DE OBRA'!D59</f>
        <v>0</v>
      </c>
      <c r="G1011" s="122">
        <f>ROUND(G1010*F1011,0)</f>
        <v>0</v>
      </c>
    </row>
    <row r="1012" spans="1:8" ht="13.5" thickBot="1">
      <c r="A1012" s="95"/>
      <c r="B1012" s="805" t="s">
        <v>1049</v>
      </c>
      <c r="C1012" s="806"/>
      <c r="D1012" s="806"/>
      <c r="E1012" s="806"/>
      <c r="F1012" s="807"/>
      <c r="G1012" s="118">
        <f>ROUND(G1010+G1011,-2)</f>
        <v>42500</v>
      </c>
      <c r="H1012" s="505" t="s">
        <v>1670</v>
      </c>
    </row>
    <row r="1013" spans="1:8" ht="13.5" thickTop="1">
      <c r="A1013" s="95"/>
      <c r="B1013" s="90" t="s">
        <v>303</v>
      </c>
      <c r="C1013" s="843"/>
      <c r="D1013" s="843"/>
      <c r="E1013" s="843"/>
      <c r="F1013" s="92" t="s">
        <v>781</v>
      </c>
      <c r="G1013" s="93" t="s">
        <v>831</v>
      </c>
    </row>
    <row r="1014" spans="1:8">
      <c r="A1014" s="95"/>
      <c r="B1014" s="91" t="s">
        <v>834</v>
      </c>
      <c r="C1014" s="844" t="s">
        <v>368</v>
      </c>
      <c r="D1014" s="844"/>
      <c r="E1014" s="844"/>
      <c r="F1014" s="15" t="s">
        <v>833</v>
      </c>
      <c r="G1014" s="165" t="str">
        <f>'MANO DE OBRA'!$D$61</f>
        <v>Agosto de 2010</v>
      </c>
    </row>
    <row r="1015" spans="1:8" ht="13.5" thickBot="1">
      <c r="A1015" s="127"/>
      <c r="B1015" s="94" t="s">
        <v>835</v>
      </c>
      <c r="C1015" s="845" t="s">
        <v>830</v>
      </c>
      <c r="D1015" s="845"/>
      <c r="E1015" s="845"/>
      <c r="F1015" s="845"/>
      <c r="G1015" s="846"/>
    </row>
    <row r="1016" spans="1:8" ht="14.25" thickTop="1" thickBot="1">
      <c r="A1016" s="95"/>
      <c r="B1016" s="847"/>
      <c r="C1016" s="847"/>
      <c r="D1016" s="847"/>
      <c r="E1016" s="847"/>
      <c r="F1016" s="847"/>
      <c r="G1016" s="847"/>
    </row>
    <row r="1017" spans="1:8" ht="13.5" thickTop="1">
      <c r="A1017" s="95"/>
      <c r="B1017" s="811" t="s">
        <v>304</v>
      </c>
      <c r="C1017" s="812"/>
      <c r="D1017" s="812"/>
      <c r="E1017" s="812"/>
      <c r="F1017" s="812"/>
      <c r="G1017" s="825"/>
    </row>
    <row r="1018" spans="1:8">
      <c r="A1018" s="95"/>
      <c r="B1018" s="105"/>
      <c r="C1018" s="97"/>
      <c r="D1018" s="98" t="s">
        <v>301</v>
      </c>
      <c r="E1018" s="98" t="s">
        <v>1072</v>
      </c>
      <c r="F1018" s="99" t="s">
        <v>839</v>
      </c>
      <c r="G1018" s="107" t="s">
        <v>840</v>
      </c>
    </row>
    <row r="1019" spans="1:8">
      <c r="A1019" s="95"/>
      <c r="B1019" s="821" t="s">
        <v>838</v>
      </c>
      <c r="C1019" s="822"/>
      <c r="D1019" s="100" t="s">
        <v>308</v>
      </c>
      <c r="E1019" s="100" t="s">
        <v>305</v>
      </c>
      <c r="F1019" s="101" t="s">
        <v>306</v>
      </c>
      <c r="G1019" s="108" t="s">
        <v>310</v>
      </c>
    </row>
    <row r="1020" spans="1:8">
      <c r="A1020" s="95"/>
      <c r="B1020" s="115"/>
      <c r="C1020" s="102"/>
      <c r="D1020" s="103"/>
      <c r="E1020" s="103" t="s">
        <v>309</v>
      </c>
      <c r="F1020" s="104" t="s">
        <v>307</v>
      </c>
      <c r="G1020" s="109"/>
    </row>
    <row r="1021" spans="1:8">
      <c r="A1021" s="127"/>
      <c r="B1021" s="823" t="str">
        <f>'MAQUINARIA Y EQUIPOS'!$C$28</f>
        <v>HERRAMIENTAS MENORES</v>
      </c>
      <c r="C1021" s="824"/>
      <c r="D1021" s="87">
        <v>1</v>
      </c>
      <c r="E1021" s="82">
        <f>ROUND(G1054*0.05,0)</f>
        <v>1062</v>
      </c>
      <c r="F1021" s="81">
        <v>1</v>
      </c>
      <c r="G1021" s="110">
        <f>ROUND(D1021*E1021/F1021,0)</f>
        <v>1062</v>
      </c>
    </row>
    <row r="1022" spans="1:8">
      <c r="A1022" s="95"/>
      <c r="B1022" s="835" t="str">
        <f>'MAQUINARIA Y EQUIPOS'!$C$53</f>
        <v>VIBRADOR A GASOLINA</v>
      </c>
      <c r="C1022" s="836"/>
      <c r="D1022" s="37">
        <v>1</v>
      </c>
      <c r="E1022" s="82">
        <f>'MAQUINARIA Y EQUIPOS'!$D$53</f>
        <v>51040</v>
      </c>
      <c r="F1022" s="83">
        <v>25</v>
      </c>
      <c r="G1022" s="111">
        <f>ROUND(D1022*E1022/F1022,0)</f>
        <v>2042</v>
      </c>
    </row>
    <row r="1023" spans="1:8">
      <c r="A1023" s="95"/>
      <c r="B1023" s="835"/>
      <c r="C1023" s="836"/>
      <c r="D1023" s="37"/>
      <c r="E1023" s="82"/>
      <c r="F1023" s="83"/>
      <c r="G1023" s="111"/>
    </row>
    <row r="1024" spans="1:8">
      <c r="A1024" s="95"/>
      <c r="B1024" s="835"/>
      <c r="C1024" s="836"/>
      <c r="D1024" s="37"/>
      <c r="E1024" s="82"/>
      <c r="F1024" s="83"/>
      <c r="G1024" s="111"/>
    </row>
    <row r="1025" spans="1:8">
      <c r="A1025" s="95"/>
      <c r="B1025" s="835"/>
      <c r="C1025" s="836"/>
      <c r="D1025" s="37"/>
      <c r="E1025" s="82"/>
      <c r="F1025" s="83"/>
      <c r="G1025" s="111"/>
    </row>
    <row r="1026" spans="1:8" ht="13.5" thickBot="1">
      <c r="A1026" s="95"/>
      <c r="B1026" s="835"/>
      <c r="C1026" s="836"/>
      <c r="D1026" s="77"/>
      <c r="E1026" s="82"/>
      <c r="F1026" s="86"/>
      <c r="G1026" s="111"/>
    </row>
    <row r="1027" spans="1:8" ht="14.25" thickTop="1" thickBot="1">
      <c r="A1027" s="95"/>
      <c r="B1027" s="808"/>
      <c r="C1027" s="808"/>
      <c r="D1027" s="808"/>
      <c r="E1027" s="809"/>
      <c r="F1027" s="119" t="s">
        <v>856</v>
      </c>
      <c r="G1027" s="118">
        <f>SUM(G1021:G1026)</f>
        <v>3104</v>
      </c>
    </row>
    <row r="1028" spans="1:8" ht="14.25" thickTop="1" thickBot="1">
      <c r="A1028" s="95"/>
      <c r="B1028" s="830"/>
      <c r="C1028" s="830"/>
      <c r="D1028" s="830"/>
      <c r="E1028" s="830"/>
      <c r="F1028" s="830"/>
      <c r="G1028" s="830"/>
    </row>
    <row r="1029" spans="1:8" ht="13.5" thickTop="1">
      <c r="A1029" s="95"/>
      <c r="B1029" s="811" t="s">
        <v>311</v>
      </c>
      <c r="C1029" s="812"/>
      <c r="D1029" s="812"/>
      <c r="E1029" s="812"/>
      <c r="F1029" s="812"/>
      <c r="G1029" s="825"/>
    </row>
    <row r="1030" spans="1:8">
      <c r="A1030" s="95"/>
      <c r="B1030" s="817" t="s">
        <v>838</v>
      </c>
      <c r="C1030" s="818"/>
      <c r="D1030" s="98" t="s">
        <v>842</v>
      </c>
      <c r="E1030" s="98" t="s">
        <v>853</v>
      </c>
      <c r="F1030" s="99" t="s">
        <v>1047</v>
      </c>
      <c r="G1030" s="107" t="s">
        <v>840</v>
      </c>
    </row>
    <row r="1031" spans="1:8">
      <c r="A1031" s="95"/>
      <c r="B1031" s="115"/>
      <c r="C1031" s="102"/>
      <c r="D1031" s="100"/>
      <c r="E1031" s="100" t="s">
        <v>312</v>
      </c>
      <c r="F1031" s="101" t="s">
        <v>313</v>
      </c>
      <c r="G1031" s="108" t="s">
        <v>314</v>
      </c>
    </row>
    <row r="1032" spans="1:8" ht="14.25">
      <c r="A1032" s="125"/>
      <c r="B1032" s="841" t="str">
        <f>MATERIALES2!$C$35</f>
        <v>CONCRETO 1:2:3-3000 psi(MATERIALES)</v>
      </c>
      <c r="C1032" s="842"/>
      <c r="D1032" s="87" t="s">
        <v>1066</v>
      </c>
      <c r="E1032" s="140">
        <v>0.05</v>
      </c>
      <c r="F1032" s="80">
        <f>MATERIALES2!$E$35</f>
        <v>367600</v>
      </c>
      <c r="G1032" s="110">
        <f t="shared" ref="G1032:G1038" si="25">ROUND(E1032*F1032,0)</f>
        <v>18380</v>
      </c>
    </row>
    <row r="1033" spans="1:8">
      <c r="A1033" s="123"/>
      <c r="B1033" s="854" t="str">
        <f>MATERIALES2!$C$163</f>
        <v>TABLON 2x12x10</v>
      </c>
      <c r="C1033" s="855"/>
      <c r="D1033" s="37" t="s">
        <v>865</v>
      </c>
      <c r="E1033" s="83">
        <f>ROUND(16.67*3/2/4.5*0.03,2)</f>
        <v>0.17</v>
      </c>
      <c r="F1033" s="82">
        <f>MATERIALES2!$E$163</f>
        <v>20000</v>
      </c>
      <c r="G1033" s="111">
        <f t="shared" si="25"/>
        <v>3400</v>
      </c>
    </row>
    <row r="1034" spans="1:8">
      <c r="A1034" s="95"/>
      <c r="B1034" s="854" t="str">
        <f>MATERIALES2!$C$151</f>
        <v>ABARCO DE 2X2X4,50</v>
      </c>
      <c r="C1034" s="855"/>
      <c r="D1034" s="37" t="s">
        <v>865</v>
      </c>
      <c r="E1034" s="83">
        <f>ROUND(16.67/2/4.5*0.03,2)</f>
        <v>0.06</v>
      </c>
      <c r="F1034" s="82">
        <f>MATERIALES2!$E$151</f>
        <v>5000</v>
      </c>
      <c r="G1034" s="111">
        <f t="shared" si="25"/>
        <v>300</v>
      </c>
    </row>
    <row r="1035" spans="1:8">
      <c r="A1035" s="95"/>
      <c r="B1035" s="854" t="str">
        <f>MATERIALES2!$C$919</f>
        <v>PUNTILLAS DE 3"</v>
      </c>
      <c r="C1035" s="855"/>
      <c r="D1035" s="37" t="s">
        <v>922</v>
      </c>
      <c r="E1035" s="83">
        <f>3.8*0.04</f>
        <v>0.152</v>
      </c>
      <c r="F1035" s="82">
        <f>MATERIALES2!$E$919</f>
        <v>1500</v>
      </c>
      <c r="G1035" s="111">
        <f t="shared" si="25"/>
        <v>228</v>
      </c>
    </row>
    <row r="1036" spans="1:8">
      <c r="A1036" s="95"/>
      <c r="B1036" s="854" t="str">
        <f>MATERIALES2!$C$65</f>
        <v>ALAMBRE NEGRO</v>
      </c>
      <c r="C1036" s="855"/>
      <c r="D1036" s="37" t="s">
        <v>925</v>
      </c>
      <c r="E1036" s="83">
        <v>0.23</v>
      </c>
      <c r="F1036" s="82">
        <f>MATERIALES2!$E$65</f>
        <v>2100</v>
      </c>
      <c r="G1036" s="111">
        <f t="shared" si="25"/>
        <v>483</v>
      </c>
    </row>
    <row r="1037" spans="1:8">
      <c r="A1037" s="95"/>
      <c r="B1037" s="854" t="str">
        <f>MATERIALES2!$C$61</f>
        <v>HIERRO CHIPA ¼"</v>
      </c>
      <c r="C1037" s="855"/>
      <c r="D1037" s="37" t="s">
        <v>925</v>
      </c>
      <c r="E1037" s="83">
        <f>ROUND(12*0.85*0.3,2)</f>
        <v>3.06</v>
      </c>
      <c r="F1037" s="82">
        <f>MATERIALES2!$E$61</f>
        <v>2100</v>
      </c>
      <c r="G1037" s="111">
        <f t="shared" si="25"/>
        <v>6426</v>
      </c>
    </row>
    <row r="1038" spans="1:8">
      <c r="A1038" s="95"/>
      <c r="B1038" s="854" t="str">
        <f>MATERIALES2!$C$70</f>
        <v>VARILLA CORRUGADA ½" x 6.0 M</v>
      </c>
      <c r="C1038" s="855"/>
      <c r="D1038" s="37" t="s">
        <v>865</v>
      </c>
      <c r="E1038" s="83">
        <f>ROUND(4*1.4/6,2)</f>
        <v>0.93</v>
      </c>
      <c r="F1038" s="82">
        <f>MATERIALES2!$E$70</f>
        <v>9300</v>
      </c>
      <c r="G1038" s="111">
        <f t="shared" si="25"/>
        <v>8649</v>
      </c>
    </row>
    <row r="1039" spans="1:8">
      <c r="A1039" s="95"/>
      <c r="B1039" s="938" t="s">
        <v>841</v>
      </c>
      <c r="C1039" s="939"/>
      <c r="D1039" s="53" t="s">
        <v>841</v>
      </c>
      <c r="E1039" s="53"/>
      <c r="F1039" s="82"/>
      <c r="G1039" s="111"/>
      <c r="H1039" s="505" t="s">
        <v>1670</v>
      </c>
    </row>
    <row r="1040" spans="1:8" ht="13.5" thickBot="1">
      <c r="A1040" s="95"/>
      <c r="B1040" s="942" t="s">
        <v>841</v>
      </c>
      <c r="C1040" s="943"/>
      <c r="D1040" s="84" t="s">
        <v>841</v>
      </c>
      <c r="E1040" s="84"/>
      <c r="F1040" s="85"/>
      <c r="G1040" s="112"/>
    </row>
    <row r="1041" spans="1:7" ht="13.5" thickTop="1">
      <c r="A1041" s="95"/>
      <c r="B1041" s="808"/>
      <c r="C1041" s="809"/>
      <c r="D1041" s="801" t="s">
        <v>856</v>
      </c>
      <c r="E1041" s="802"/>
      <c r="F1041" s="9"/>
      <c r="G1041" s="113">
        <f>SUM(G1032:G1040)</f>
        <v>37866</v>
      </c>
    </row>
    <row r="1042" spans="1:7">
      <c r="A1042" s="95"/>
      <c r="B1042" s="819"/>
      <c r="C1042" s="820"/>
      <c r="D1042" s="801" t="s">
        <v>857</v>
      </c>
      <c r="E1042" s="802"/>
      <c r="F1042" s="79">
        <f>'MANO DE OBRA'!$D$60</f>
        <v>0.05</v>
      </c>
      <c r="G1042" s="113">
        <f>ROUND(G1041*F1042,0)</f>
        <v>1893</v>
      </c>
    </row>
    <row r="1043" spans="1:7" ht="13.5" thickBot="1">
      <c r="A1043" s="95"/>
      <c r="B1043" s="819"/>
      <c r="C1043" s="820"/>
      <c r="D1043" s="803" t="s">
        <v>320</v>
      </c>
      <c r="E1043" s="804"/>
      <c r="F1043" s="114"/>
      <c r="G1043" s="118">
        <f>+G1041+G1042</f>
        <v>39759</v>
      </c>
    </row>
    <row r="1044" spans="1:7" ht="14.25" thickTop="1" thickBot="1">
      <c r="A1044" s="95"/>
      <c r="B1044" s="830"/>
      <c r="C1044" s="830"/>
      <c r="D1044" s="830"/>
      <c r="E1044" s="830"/>
      <c r="F1044" s="830"/>
      <c r="G1044" s="830"/>
    </row>
    <row r="1045" spans="1:7" ht="13.5" thickTop="1">
      <c r="A1045" s="95"/>
      <c r="B1045" s="811" t="s">
        <v>858</v>
      </c>
      <c r="C1045" s="812"/>
      <c r="D1045" s="812"/>
      <c r="E1045" s="812"/>
      <c r="F1045" s="812"/>
      <c r="G1045" s="825"/>
    </row>
    <row r="1046" spans="1:7">
      <c r="A1046" s="95"/>
      <c r="B1046" s="817"/>
      <c r="C1046" s="818"/>
      <c r="D1046" s="98" t="s">
        <v>301</v>
      </c>
      <c r="E1046" s="98" t="s">
        <v>859</v>
      </c>
      <c r="F1046" s="99" t="s">
        <v>839</v>
      </c>
      <c r="G1046" s="107" t="s">
        <v>840</v>
      </c>
    </row>
    <row r="1047" spans="1:7">
      <c r="A1047" s="95"/>
      <c r="B1047" s="821" t="s">
        <v>838</v>
      </c>
      <c r="C1047" s="822"/>
      <c r="D1047" s="100" t="s">
        <v>316</v>
      </c>
      <c r="E1047" s="100" t="s">
        <v>315</v>
      </c>
      <c r="F1047" s="101" t="s">
        <v>306</v>
      </c>
      <c r="G1047" s="108" t="s">
        <v>319</v>
      </c>
    </row>
    <row r="1048" spans="1:7">
      <c r="A1048" s="95"/>
      <c r="B1048" s="115"/>
      <c r="C1048" s="102"/>
      <c r="D1048" s="103"/>
      <c r="E1048" s="103" t="s">
        <v>317</v>
      </c>
      <c r="F1048" s="104" t="s">
        <v>318</v>
      </c>
      <c r="G1048" s="109"/>
    </row>
    <row r="1049" spans="1:7">
      <c r="A1049" s="95"/>
      <c r="B1049" s="823" t="str">
        <f>'MANO DE OBRA'!$B$10</f>
        <v>AYUDANTE CUAD. TIPO AA</v>
      </c>
      <c r="C1049" s="824"/>
      <c r="D1049" s="87">
        <v>1</v>
      </c>
      <c r="E1049" s="80">
        <f>'MANO DE OBRA'!$E$10</f>
        <v>34680</v>
      </c>
      <c r="F1049" s="81">
        <v>5</v>
      </c>
      <c r="G1049" s="110">
        <f>ROUND(D1049*E1049/F1049,0)</f>
        <v>6936</v>
      </c>
    </row>
    <row r="1050" spans="1:7">
      <c r="A1050" s="95"/>
      <c r="B1050" s="835" t="str">
        <f>'MANO DE OBRA'!$B$15</f>
        <v xml:space="preserve">OFICIAL CUAD. TIPO AA </v>
      </c>
      <c r="C1050" s="836"/>
      <c r="D1050" s="37">
        <v>1</v>
      </c>
      <c r="E1050" s="82">
        <f>'MANO DE OBRA'!$E$15</f>
        <v>71474</v>
      </c>
      <c r="F1050" s="83">
        <v>5</v>
      </c>
      <c r="G1050" s="111">
        <f>ROUND(D1050*E1050/F1050,0)</f>
        <v>14295</v>
      </c>
    </row>
    <row r="1051" spans="1:7">
      <c r="A1051" s="95"/>
      <c r="B1051" s="835"/>
      <c r="C1051" s="836"/>
      <c r="D1051" s="89"/>
      <c r="E1051" s="82"/>
      <c r="F1051" s="83"/>
      <c r="G1051" s="111"/>
    </row>
    <row r="1052" spans="1:7">
      <c r="A1052" s="95"/>
      <c r="B1052" s="835" t="s">
        <v>841</v>
      </c>
      <c r="C1052" s="836"/>
      <c r="D1052" s="37"/>
      <c r="E1052" s="82"/>
      <c r="F1052" s="83"/>
      <c r="G1052" s="111"/>
    </row>
    <row r="1053" spans="1:7" ht="13.5" thickBot="1">
      <c r="A1053" s="95"/>
      <c r="B1053" s="828" t="s">
        <v>841</v>
      </c>
      <c r="C1053" s="829"/>
      <c r="D1053" s="77"/>
      <c r="E1053" s="82"/>
      <c r="F1053" s="86"/>
      <c r="G1053" s="112"/>
    </row>
    <row r="1054" spans="1:7" ht="14.25" thickTop="1" thickBot="1">
      <c r="A1054" s="95"/>
      <c r="B1054" s="808"/>
      <c r="C1054" s="808"/>
      <c r="D1054" s="808"/>
      <c r="E1054" s="809"/>
      <c r="F1054" s="120" t="s">
        <v>856</v>
      </c>
      <c r="G1054" s="118">
        <f>SUM(G1049:G1053)</f>
        <v>21231</v>
      </c>
    </row>
    <row r="1055" spans="1:7" ht="14.25" thickTop="1" thickBot="1">
      <c r="A1055" s="95"/>
      <c r="B1055" s="810"/>
      <c r="C1055" s="810"/>
      <c r="D1055" s="810"/>
      <c r="E1055" s="810"/>
      <c r="F1055" s="810"/>
      <c r="G1055" s="810"/>
    </row>
    <row r="1056" spans="1:7" ht="13.5" thickTop="1">
      <c r="A1056" s="95"/>
      <c r="B1056" s="811" t="s">
        <v>321</v>
      </c>
      <c r="C1056" s="812"/>
      <c r="D1056" s="812"/>
      <c r="E1056" s="812"/>
      <c r="F1056" s="812"/>
      <c r="G1056" s="825"/>
    </row>
    <row r="1057" spans="1:8">
      <c r="A1057" s="95"/>
      <c r="B1057" s="817" t="s">
        <v>838</v>
      </c>
      <c r="C1057" s="818"/>
      <c r="D1057" s="98" t="s">
        <v>301</v>
      </c>
      <c r="E1057" s="98" t="s">
        <v>297</v>
      </c>
      <c r="F1057" s="99" t="s">
        <v>839</v>
      </c>
      <c r="G1057" s="107" t="s">
        <v>840</v>
      </c>
    </row>
    <row r="1058" spans="1:8">
      <c r="A1058" s="95"/>
      <c r="B1058" s="115"/>
      <c r="C1058" s="102"/>
      <c r="D1058" s="103" t="s">
        <v>322</v>
      </c>
      <c r="E1058" s="103" t="s">
        <v>323</v>
      </c>
      <c r="F1058" s="104" t="s">
        <v>324</v>
      </c>
      <c r="G1058" s="109" t="s">
        <v>325</v>
      </c>
    </row>
    <row r="1059" spans="1:8">
      <c r="A1059" s="95"/>
      <c r="B1059" s="826"/>
      <c r="C1059" s="827"/>
      <c r="D1059" s="96"/>
      <c r="E1059" s="96"/>
      <c r="F1059" s="96"/>
      <c r="G1059" s="116"/>
    </row>
    <row r="1060" spans="1:8" ht="13.5" thickBot="1">
      <c r="A1060" s="95"/>
      <c r="B1060" s="828" t="s">
        <v>841</v>
      </c>
      <c r="C1060" s="829"/>
      <c r="D1060" s="77"/>
      <c r="E1060" s="82"/>
      <c r="F1060" s="86"/>
      <c r="G1060" s="112"/>
    </row>
    <row r="1061" spans="1:8" ht="14.25" thickTop="1" thickBot="1">
      <c r="A1061" s="95"/>
      <c r="B1061" s="808"/>
      <c r="C1061" s="808"/>
      <c r="D1061" s="808"/>
      <c r="E1061" s="809"/>
      <c r="F1061" s="120" t="s">
        <v>856</v>
      </c>
      <c r="G1061" s="118">
        <f>SUM(G1056:G1060)</f>
        <v>0</v>
      </c>
    </row>
    <row r="1062" spans="1:8" ht="14.25" thickTop="1" thickBot="1">
      <c r="A1062" s="95"/>
      <c r="B1062" s="810"/>
      <c r="C1062" s="810"/>
      <c r="D1062" s="810"/>
      <c r="E1062" s="810"/>
      <c r="F1062" s="810"/>
      <c r="G1062" s="834"/>
    </row>
    <row r="1063" spans="1:8" ht="13.5" thickTop="1">
      <c r="A1063" s="95"/>
      <c r="B1063" s="811" t="s">
        <v>326</v>
      </c>
      <c r="C1063" s="812"/>
      <c r="D1063" s="812"/>
      <c r="E1063" s="812"/>
      <c r="F1063" s="813"/>
      <c r="G1063" s="121">
        <f>+G1027+G1043+G1054</f>
        <v>64094</v>
      </c>
    </row>
    <row r="1064" spans="1:8">
      <c r="A1064" s="95"/>
      <c r="B1064" s="814" t="s">
        <v>861</v>
      </c>
      <c r="C1064" s="815"/>
      <c r="D1064" s="815"/>
      <c r="E1064" s="816"/>
      <c r="F1064" s="128">
        <f>'MANO DE OBRA'!$D$112</f>
        <v>0</v>
      </c>
      <c r="G1064" s="122">
        <f>ROUND(G1063*F1064,0)</f>
        <v>0</v>
      </c>
    </row>
    <row r="1065" spans="1:8" ht="13.5" thickBot="1">
      <c r="A1065" s="95"/>
      <c r="B1065" s="805" t="s">
        <v>1049</v>
      </c>
      <c r="C1065" s="806"/>
      <c r="D1065" s="806"/>
      <c r="E1065" s="806"/>
      <c r="F1065" s="807"/>
      <c r="G1065" s="118">
        <f>ROUND(G1063+G1064,-2)</f>
        <v>64100</v>
      </c>
      <c r="H1065" s="505" t="s">
        <v>1670</v>
      </c>
    </row>
    <row r="1066" spans="1:8" ht="13.5" thickTop="1">
      <c r="A1066" s="95"/>
      <c r="B1066" s="90" t="s">
        <v>303</v>
      </c>
      <c r="C1066" s="843"/>
      <c r="D1066" s="843"/>
      <c r="E1066" s="843"/>
      <c r="F1066" s="92" t="s">
        <v>781</v>
      </c>
      <c r="G1066" s="93" t="s">
        <v>831</v>
      </c>
    </row>
    <row r="1067" spans="1:8">
      <c r="A1067" s="95"/>
      <c r="B1067" s="91" t="s">
        <v>834</v>
      </c>
      <c r="C1067" s="844" t="s">
        <v>377</v>
      </c>
      <c r="D1067" s="844"/>
      <c r="E1067" s="844"/>
      <c r="F1067" s="15" t="s">
        <v>833</v>
      </c>
      <c r="G1067" s="165" t="str">
        <f>'MANO DE OBRA'!D61</f>
        <v>Agosto de 2010</v>
      </c>
    </row>
    <row r="1068" spans="1:8" ht="13.5" thickBot="1">
      <c r="A1068" s="127"/>
      <c r="B1068" s="94" t="s">
        <v>835</v>
      </c>
      <c r="C1068" s="845" t="s">
        <v>379</v>
      </c>
      <c r="D1068" s="845"/>
      <c r="E1068" s="845"/>
      <c r="F1068" s="845"/>
      <c r="G1068" s="846"/>
    </row>
    <row r="1069" spans="1:8" ht="14.25" thickTop="1" thickBot="1">
      <c r="A1069" s="95"/>
      <c r="B1069" s="847"/>
      <c r="C1069" s="847"/>
      <c r="D1069" s="847"/>
      <c r="E1069" s="847"/>
      <c r="F1069" s="847"/>
      <c r="G1069" s="847"/>
    </row>
    <row r="1070" spans="1:8" ht="13.5" thickTop="1">
      <c r="A1070" s="95"/>
      <c r="B1070" s="811" t="s">
        <v>304</v>
      </c>
      <c r="C1070" s="812"/>
      <c r="D1070" s="812"/>
      <c r="E1070" s="812"/>
      <c r="F1070" s="812"/>
      <c r="G1070" s="825"/>
    </row>
    <row r="1071" spans="1:8">
      <c r="A1071" s="95"/>
      <c r="B1071" s="105"/>
      <c r="C1071" s="97"/>
      <c r="D1071" s="98" t="s">
        <v>301</v>
      </c>
      <c r="E1071" s="98" t="s">
        <v>1072</v>
      </c>
      <c r="F1071" s="99" t="s">
        <v>839</v>
      </c>
      <c r="G1071" s="107" t="s">
        <v>840</v>
      </c>
    </row>
    <row r="1072" spans="1:8">
      <c r="A1072" s="95"/>
      <c r="B1072" s="821" t="s">
        <v>838</v>
      </c>
      <c r="C1072" s="822"/>
      <c r="D1072" s="100" t="s">
        <v>308</v>
      </c>
      <c r="E1072" s="100" t="s">
        <v>305</v>
      </c>
      <c r="F1072" s="101" t="s">
        <v>306</v>
      </c>
      <c r="G1072" s="108" t="s">
        <v>310</v>
      </c>
    </row>
    <row r="1073" spans="1:7">
      <c r="A1073" s="95"/>
      <c r="B1073" s="115"/>
      <c r="C1073" s="102"/>
      <c r="D1073" s="103"/>
      <c r="E1073" s="103" t="s">
        <v>309</v>
      </c>
      <c r="F1073" s="104" t="s">
        <v>307</v>
      </c>
      <c r="G1073" s="109"/>
    </row>
    <row r="1074" spans="1:7">
      <c r="A1074" s="127"/>
      <c r="B1074" s="823" t="str">
        <f>'MAQUINARIA Y EQUIPOS'!C28</f>
        <v>HERRAMIENTAS MENORES</v>
      </c>
      <c r="C1074" s="824"/>
      <c r="D1074" s="87">
        <v>1</v>
      </c>
      <c r="E1074" s="82">
        <f>ROUND(G1107*0.05,0)</f>
        <v>332</v>
      </c>
      <c r="F1074" s="81">
        <v>1</v>
      </c>
      <c r="G1074" s="110">
        <f>ROUND(D1074*E1074/F1074,0)</f>
        <v>332</v>
      </c>
    </row>
    <row r="1075" spans="1:7">
      <c r="A1075" s="95"/>
      <c r="B1075" s="835" t="str">
        <f>'MAQUINARIA Y EQUIPOS'!C53</f>
        <v>VIBRADOR A GASOLINA</v>
      </c>
      <c r="C1075" s="836"/>
      <c r="D1075" s="37">
        <v>1</v>
      </c>
      <c r="E1075" s="82">
        <f>'MAQUINARIA Y EQUIPOS'!D53</f>
        <v>51040</v>
      </c>
      <c r="F1075" s="83">
        <v>50</v>
      </c>
      <c r="G1075" s="111">
        <f>ROUND(D1075*E1075/F1075,0)</f>
        <v>1021</v>
      </c>
    </row>
    <row r="1076" spans="1:7">
      <c r="A1076" s="95"/>
      <c r="B1076" s="835" t="str">
        <f>'MAQUINARIA Y EQUIPOS'!$C$9</f>
        <v>ANDAMIO TUBULAR 1.50 m</v>
      </c>
      <c r="C1076" s="836"/>
      <c r="D1076" s="238">
        <v>2</v>
      </c>
      <c r="E1076" s="82">
        <f>'MAQUINARIA Y EQUIPOS'!$D$9</f>
        <v>754</v>
      </c>
      <c r="F1076" s="83">
        <f>F1102</f>
        <v>16</v>
      </c>
      <c r="G1076" s="111">
        <f>ROUND(D1076*E1076/F1076,0)</f>
        <v>94</v>
      </c>
    </row>
    <row r="1077" spans="1:7">
      <c r="A1077" s="95"/>
      <c r="B1077" s="835" t="str">
        <f>'MAQUINARIA Y EQUIPOS'!C47</f>
        <v>TABLONES 3m</v>
      </c>
      <c r="C1077" s="836"/>
      <c r="D1077" s="37">
        <v>2</v>
      </c>
      <c r="E1077" s="82">
        <f>'MAQUINARIA Y EQUIPOS'!D47</f>
        <v>348</v>
      </c>
      <c r="F1077" s="83">
        <f>+F1102</f>
        <v>16</v>
      </c>
      <c r="G1077" s="111">
        <f>ROUND(D1077*E1077/F1077,0)</f>
        <v>44</v>
      </c>
    </row>
    <row r="1078" spans="1:7">
      <c r="A1078" s="95"/>
      <c r="B1078" s="835" t="s">
        <v>841</v>
      </c>
      <c r="C1078" s="836"/>
      <c r="D1078" s="37"/>
      <c r="E1078" s="82"/>
      <c r="F1078" s="83"/>
      <c r="G1078" s="111"/>
    </row>
    <row r="1079" spans="1:7" ht="13.5" thickBot="1">
      <c r="A1079" s="95"/>
      <c r="B1079" s="839" t="s">
        <v>841</v>
      </c>
      <c r="C1079" s="840"/>
      <c r="D1079" s="77"/>
      <c r="E1079" s="106"/>
      <c r="F1079" s="86"/>
      <c r="G1079" s="112"/>
    </row>
    <row r="1080" spans="1:7" ht="14.25" thickTop="1" thickBot="1">
      <c r="A1080" s="95"/>
      <c r="B1080" s="808"/>
      <c r="C1080" s="808"/>
      <c r="D1080" s="808"/>
      <c r="E1080" s="809"/>
      <c r="F1080" s="119" t="s">
        <v>856</v>
      </c>
      <c r="G1080" s="118">
        <f>SUM(G1074:G1079)</f>
        <v>1491</v>
      </c>
    </row>
    <row r="1081" spans="1:7" ht="14.25" thickTop="1" thickBot="1">
      <c r="A1081" s="95"/>
      <c r="B1081" s="830"/>
      <c r="C1081" s="830"/>
      <c r="D1081" s="830"/>
      <c r="E1081" s="830"/>
      <c r="F1081" s="830"/>
      <c r="G1081" s="830"/>
    </row>
    <row r="1082" spans="1:7" ht="13.5" thickTop="1">
      <c r="A1082" s="95"/>
      <c r="B1082" s="811" t="s">
        <v>311</v>
      </c>
      <c r="C1082" s="812"/>
      <c r="D1082" s="812"/>
      <c r="E1082" s="812"/>
      <c r="F1082" s="812"/>
      <c r="G1082" s="825"/>
    </row>
    <row r="1083" spans="1:7">
      <c r="A1083" s="95"/>
      <c r="B1083" s="817" t="s">
        <v>838</v>
      </c>
      <c r="C1083" s="818"/>
      <c r="D1083" s="98" t="s">
        <v>842</v>
      </c>
      <c r="E1083" s="98" t="s">
        <v>853</v>
      </c>
      <c r="F1083" s="99" t="s">
        <v>1047</v>
      </c>
      <c r="G1083" s="107" t="s">
        <v>840</v>
      </c>
    </row>
    <row r="1084" spans="1:7">
      <c r="A1084" s="95"/>
      <c r="B1084" s="115"/>
      <c r="C1084" s="102"/>
      <c r="D1084" s="100"/>
      <c r="E1084" s="100" t="s">
        <v>312</v>
      </c>
      <c r="F1084" s="101" t="s">
        <v>313</v>
      </c>
      <c r="G1084" s="108" t="s">
        <v>314</v>
      </c>
    </row>
    <row r="1085" spans="1:7" ht="14.25">
      <c r="A1085" s="125"/>
      <c r="B1085" s="841" t="str">
        <f>MATERIALES2!C35</f>
        <v>CONCRETO 1:2:3-3000 psi(MATERIALES)</v>
      </c>
      <c r="C1085" s="842"/>
      <c r="D1085" s="87" t="s">
        <v>1066</v>
      </c>
      <c r="E1085" s="144">
        <v>0.01</v>
      </c>
      <c r="F1085" s="80">
        <f>MATERIALES2!E35</f>
        <v>367600</v>
      </c>
      <c r="G1085" s="110">
        <f t="shared" ref="G1085:G1090" si="26">ROUND(E1085*F1085,0)</f>
        <v>3676</v>
      </c>
    </row>
    <row r="1086" spans="1:7">
      <c r="A1086" s="123"/>
      <c r="B1086" s="854" t="str">
        <f>MATERIALES2!C158</f>
        <v>TABLA 1X8X10</v>
      </c>
      <c r="C1086" s="855"/>
      <c r="D1086" s="37" t="s">
        <v>865</v>
      </c>
      <c r="E1086" s="83">
        <f>0.25</f>
        <v>0.25</v>
      </c>
      <c r="F1086" s="82">
        <f>MATERIALES2!E158</f>
        <v>6700</v>
      </c>
      <c r="G1086" s="111">
        <f t="shared" si="26"/>
        <v>1675</v>
      </c>
    </row>
    <row r="1087" spans="1:7">
      <c r="A1087" s="95"/>
      <c r="B1087" s="854" t="str">
        <f>MATERIALES2!C151</f>
        <v>ABARCO DE 2X2X4,50</v>
      </c>
      <c r="C1087" s="855"/>
      <c r="D1087" s="37" t="s">
        <v>865</v>
      </c>
      <c r="E1087" s="83">
        <v>0.15</v>
      </c>
      <c r="F1087" s="82">
        <f>MATERIALES2!E151</f>
        <v>5000</v>
      </c>
      <c r="G1087" s="111">
        <f t="shared" si="26"/>
        <v>750</v>
      </c>
    </row>
    <row r="1088" spans="1:7">
      <c r="A1088" s="95"/>
      <c r="B1088" s="854" t="str">
        <f>MATERIALES2!C918</f>
        <v>PUNTILLAS DE 2"</v>
      </c>
      <c r="C1088" s="855"/>
      <c r="D1088" s="37" t="s">
        <v>922</v>
      </c>
      <c r="E1088" s="83">
        <v>0.1</v>
      </c>
      <c r="F1088" s="82">
        <f>MATERIALES2!E918</f>
        <v>1500</v>
      </c>
      <c r="G1088" s="111">
        <f t="shared" si="26"/>
        <v>150</v>
      </c>
    </row>
    <row r="1089" spans="1:8">
      <c r="A1089" s="95"/>
      <c r="B1089" s="854" t="str">
        <f>MATERIALES2!C65</f>
        <v>ALAMBRE NEGRO</v>
      </c>
      <c r="C1089" s="855"/>
      <c r="D1089" s="37" t="s">
        <v>925</v>
      </c>
      <c r="E1089" s="83">
        <v>0.12</v>
      </c>
      <c r="F1089" s="82">
        <f>MATERIALES2!E65</f>
        <v>2100</v>
      </c>
      <c r="G1089" s="111">
        <f t="shared" si="26"/>
        <v>252</v>
      </c>
    </row>
    <row r="1090" spans="1:8">
      <c r="A1090" s="95"/>
      <c r="B1090" s="854" t="str">
        <f>MATERIALES2!C61</f>
        <v>HIERRO CHIPA ¼"</v>
      </c>
      <c r="C1090" s="855"/>
      <c r="D1090" s="37" t="s">
        <v>925</v>
      </c>
      <c r="E1090" s="83">
        <v>0.25</v>
      </c>
      <c r="F1090" s="82">
        <f>MATERIALES2!E82</f>
        <v>2800</v>
      </c>
      <c r="G1090" s="111">
        <f t="shared" si="26"/>
        <v>700</v>
      </c>
    </row>
    <row r="1091" spans="1:8">
      <c r="A1091" s="95"/>
      <c r="B1091" s="854" t="str">
        <f>MATERIALES2!C83</f>
        <v>HIERRO PDR 60</v>
      </c>
      <c r="C1091" s="855"/>
      <c r="D1091" s="37" t="s">
        <v>865</v>
      </c>
      <c r="E1091" s="83">
        <v>0.4</v>
      </c>
      <c r="F1091" s="82">
        <f>MATERIALES2!E83</f>
        <v>2800</v>
      </c>
      <c r="G1091" s="111">
        <f>ROUND(E1091*F1091,0)</f>
        <v>1120</v>
      </c>
      <c r="H1091" s="505" t="s">
        <v>1670</v>
      </c>
    </row>
    <row r="1092" spans="1:8">
      <c r="A1092" s="95"/>
      <c r="B1092" s="938" t="s">
        <v>841</v>
      </c>
      <c r="C1092" s="939"/>
      <c r="D1092" s="53" t="s">
        <v>841</v>
      </c>
      <c r="E1092" s="53"/>
      <c r="F1092" s="82"/>
      <c r="G1092" s="111"/>
    </row>
    <row r="1093" spans="1:8" ht="13.5" thickBot="1">
      <c r="A1093" s="95"/>
      <c r="B1093" s="942" t="s">
        <v>841</v>
      </c>
      <c r="C1093" s="943"/>
      <c r="D1093" s="84" t="s">
        <v>841</v>
      </c>
      <c r="E1093" s="84"/>
      <c r="F1093" s="85"/>
      <c r="G1093" s="112"/>
    </row>
    <row r="1094" spans="1:8" ht="13.5" thickTop="1">
      <c r="A1094" s="95"/>
      <c r="B1094" s="808"/>
      <c r="C1094" s="809"/>
      <c r="D1094" s="801" t="s">
        <v>856</v>
      </c>
      <c r="E1094" s="802"/>
      <c r="F1094" s="9"/>
      <c r="G1094" s="113">
        <f>SUM(G1085:G1093)</f>
        <v>8323</v>
      </c>
    </row>
    <row r="1095" spans="1:8">
      <c r="A1095" s="95"/>
      <c r="B1095" s="819"/>
      <c r="C1095" s="820"/>
      <c r="D1095" s="801" t="s">
        <v>857</v>
      </c>
      <c r="E1095" s="802"/>
      <c r="F1095" s="79">
        <f>'MANO DE OBRA'!D60</f>
        <v>0.05</v>
      </c>
      <c r="G1095" s="113">
        <f>ROUND(G1094*F1095,0)</f>
        <v>416</v>
      </c>
    </row>
    <row r="1096" spans="1:8" ht="13.5" thickBot="1">
      <c r="A1096" s="95"/>
      <c r="B1096" s="819"/>
      <c r="C1096" s="820"/>
      <c r="D1096" s="803" t="s">
        <v>320</v>
      </c>
      <c r="E1096" s="804"/>
      <c r="F1096" s="114"/>
      <c r="G1096" s="118">
        <f>+G1094+G1095</f>
        <v>8739</v>
      </c>
    </row>
    <row r="1097" spans="1:8" ht="14.25" thickTop="1" thickBot="1">
      <c r="A1097" s="95"/>
      <c r="B1097" s="830"/>
      <c r="C1097" s="830"/>
      <c r="D1097" s="830"/>
      <c r="E1097" s="830"/>
      <c r="F1097" s="830"/>
      <c r="G1097" s="830"/>
    </row>
    <row r="1098" spans="1:8" ht="13.5" thickTop="1">
      <c r="A1098" s="95"/>
      <c r="B1098" s="811" t="s">
        <v>858</v>
      </c>
      <c r="C1098" s="812"/>
      <c r="D1098" s="812"/>
      <c r="E1098" s="812"/>
      <c r="F1098" s="812"/>
      <c r="G1098" s="825"/>
    </row>
    <row r="1099" spans="1:8">
      <c r="A1099" s="95"/>
      <c r="B1099" s="817"/>
      <c r="C1099" s="818"/>
      <c r="D1099" s="98" t="s">
        <v>301</v>
      </c>
      <c r="E1099" s="98" t="s">
        <v>859</v>
      </c>
      <c r="F1099" s="99" t="s">
        <v>839</v>
      </c>
      <c r="G1099" s="107" t="s">
        <v>840</v>
      </c>
    </row>
    <row r="1100" spans="1:8">
      <c r="A1100" s="95"/>
      <c r="B1100" s="821" t="s">
        <v>838</v>
      </c>
      <c r="C1100" s="822"/>
      <c r="D1100" s="100" t="s">
        <v>316</v>
      </c>
      <c r="E1100" s="100" t="s">
        <v>315</v>
      </c>
      <c r="F1100" s="101" t="s">
        <v>306</v>
      </c>
      <c r="G1100" s="108" t="s">
        <v>319</v>
      </c>
    </row>
    <row r="1101" spans="1:8">
      <c r="A1101" s="95"/>
      <c r="B1101" s="115"/>
      <c r="C1101" s="102"/>
      <c r="D1101" s="103"/>
      <c r="E1101" s="103" t="s">
        <v>317</v>
      </c>
      <c r="F1101" s="104" t="s">
        <v>318</v>
      </c>
      <c r="G1101" s="109"/>
    </row>
    <row r="1102" spans="1:8">
      <c r="A1102" s="95"/>
      <c r="B1102" s="823" t="str">
        <f>'MANO DE OBRA'!B10</f>
        <v>AYUDANTE CUAD. TIPO AA</v>
      </c>
      <c r="C1102" s="824"/>
      <c r="D1102" s="87">
        <v>1</v>
      </c>
      <c r="E1102" s="80">
        <f>'MANO DE OBRA'!E10</f>
        <v>34680</v>
      </c>
      <c r="F1102" s="81">
        <v>16</v>
      </c>
      <c r="G1102" s="110">
        <f>ROUND(D1102*E1102/F1102,0)</f>
        <v>2168</v>
      </c>
    </row>
    <row r="1103" spans="1:8">
      <c r="A1103" s="95"/>
      <c r="B1103" s="835" t="str">
        <f>'MANO DE OBRA'!B15</f>
        <v xml:space="preserve">OFICIAL CUAD. TIPO AA </v>
      </c>
      <c r="C1103" s="836"/>
      <c r="D1103" s="37">
        <v>1</v>
      </c>
      <c r="E1103" s="82">
        <f>'MANO DE OBRA'!E15</f>
        <v>71474</v>
      </c>
      <c r="F1103" s="83">
        <v>16</v>
      </c>
      <c r="G1103" s="111">
        <f>ROUND(D1103*E1103/F1103,0)</f>
        <v>4467</v>
      </c>
    </row>
    <row r="1104" spans="1:8">
      <c r="A1104" s="95"/>
      <c r="B1104" s="835"/>
      <c r="C1104" s="836"/>
      <c r="D1104" s="89"/>
      <c r="E1104" s="82"/>
      <c r="F1104" s="83"/>
      <c r="G1104" s="111"/>
    </row>
    <row r="1105" spans="1:8">
      <c r="A1105" s="95"/>
      <c r="B1105" s="835" t="s">
        <v>841</v>
      </c>
      <c r="C1105" s="836"/>
      <c r="D1105" s="37"/>
      <c r="E1105" s="82"/>
      <c r="F1105" s="83"/>
      <c r="G1105" s="111"/>
    </row>
    <row r="1106" spans="1:8" ht="13.5" thickBot="1">
      <c r="A1106" s="95"/>
      <c r="B1106" s="828" t="s">
        <v>841</v>
      </c>
      <c r="C1106" s="829"/>
      <c r="D1106" s="77"/>
      <c r="E1106" s="82"/>
      <c r="F1106" s="86"/>
      <c r="G1106" s="112"/>
    </row>
    <row r="1107" spans="1:8" ht="14.25" thickTop="1" thickBot="1">
      <c r="A1107" s="95"/>
      <c r="B1107" s="808"/>
      <c r="C1107" s="808"/>
      <c r="D1107" s="808"/>
      <c r="E1107" s="809"/>
      <c r="F1107" s="120" t="s">
        <v>856</v>
      </c>
      <c r="G1107" s="118">
        <f>SUM(G1102:G1106)</f>
        <v>6635</v>
      </c>
    </row>
    <row r="1108" spans="1:8" ht="14.25" thickTop="1" thickBot="1">
      <c r="A1108" s="95"/>
      <c r="B1108" s="810"/>
      <c r="C1108" s="810"/>
      <c r="D1108" s="810"/>
      <c r="E1108" s="810"/>
      <c r="F1108" s="810"/>
      <c r="G1108" s="810"/>
    </row>
    <row r="1109" spans="1:8" ht="13.5" thickTop="1">
      <c r="A1109" s="95"/>
      <c r="B1109" s="811" t="s">
        <v>321</v>
      </c>
      <c r="C1109" s="812"/>
      <c r="D1109" s="812"/>
      <c r="E1109" s="812"/>
      <c r="F1109" s="812"/>
      <c r="G1109" s="825"/>
    </row>
    <row r="1110" spans="1:8">
      <c r="A1110" s="95"/>
      <c r="B1110" s="817" t="s">
        <v>838</v>
      </c>
      <c r="C1110" s="818"/>
      <c r="D1110" s="98" t="s">
        <v>301</v>
      </c>
      <c r="E1110" s="98" t="s">
        <v>297</v>
      </c>
      <c r="F1110" s="99" t="s">
        <v>839</v>
      </c>
      <c r="G1110" s="107" t="s">
        <v>840</v>
      </c>
    </row>
    <row r="1111" spans="1:8">
      <c r="A1111" s="95"/>
      <c r="B1111" s="115"/>
      <c r="C1111" s="102"/>
      <c r="D1111" s="103" t="s">
        <v>322</v>
      </c>
      <c r="E1111" s="103" t="s">
        <v>323</v>
      </c>
      <c r="F1111" s="104" t="s">
        <v>324</v>
      </c>
      <c r="G1111" s="109" t="s">
        <v>325</v>
      </c>
    </row>
    <row r="1112" spans="1:8">
      <c r="A1112" s="95"/>
      <c r="B1112" s="826"/>
      <c r="C1112" s="827"/>
      <c r="D1112" s="96"/>
      <c r="E1112" s="96"/>
      <c r="F1112" s="96"/>
      <c r="G1112" s="116"/>
    </row>
    <row r="1113" spans="1:8" ht="13.5" thickBot="1">
      <c r="A1113" s="95"/>
      <c r="B1113" s="828" t="s">
        <v>841</v>
      </c>
      <c r="C1113" s="829"/>
      <c r="D1113" s="77"/>
      <c r="E1113" s="82"/>
      <c r="F1113" s="86"/>
      <c r="G1113" s="112"/>
    </row>
    <row r="1114" spans="1:8" ht="14.25" thickTop="1" thickBot="1">
      <c r="A1114" s="95"/>
      <c r="B1114" s="808"/>
      <c r="C1114" s="808"/>
      <c r="D1114" s="808"/>
      <c r="E1114" s="809"/>
      <c r="F1114" s="120" t="s">
        <v>856</v>
      </c>
      <c r="G1114" s="118">
        <f>SUM(G1109:G1113)</f>
        <v>0</v>
      </c>
    </row>
    <row r="1115" spans="1:8" ht="14.25" thickTop="1" thickBot="1">
      <c r="A1115" s="95"/>
      <c r="B1115" s="810"/>
      <c r="C1115" s="810"/>
      <c r="D1115" s="810"/>
      <c r="E1115" s="810"/>
      <c r="F1115" s="810"/>
      <c r="G1115" s="834"/>
    </row>
    <row r="1116" spans="1:8" ht="13.5" thickTop="1">
      <c r="A1116" s="95"/>
      <c r="B1116" s="811" t="s">
        <v>326</v>
      </c>
      <c r="C1116" s="812"/>
      <c r="D1116" s="812"/>
      <c r="E1116" s="812"/>
      <c r="F1116" s="813"/>
      <c r="G1116" s="121">
        <f>+G1080+G1096+G1107</f>
        <v>16865</v>
      </c>
    </row>
    <row r="1117" spans="1:8">
      <c r="A1117" s="95"/>
      <c r="B1117" s="814" t="s">
        <v>861</v>
      </c>
      <c r="C1117" s="815"/>
      <c r="D1117" s="815"/>
      <c r="E1117" s="816"/>
      <c r="F1117" s="128">
        <f>'MANO DE OBRA'!D59</f>
        <v>0</v>
      </c>
      <c r="G1117" s="122">
        <f>ROUND(G1116*F1117,0)</f>
        <v>0</v>
      </c>
    </row>
    <row r="1118" spans="1:8" ht="13.5" thickBot="1">
      <c r="A1118" s="95"/>
      <c r="B1118" s="805" t="s">
        <v>1049</v>
      </c>
      <c r="C1118" s="806"/>
      <c r="D1118" s="806"/>
      <c r="E1118" s="806"/>
      <c r="F1118" s="807"/>
      <c r="G1118" s="118">
        <f>ROUND(G1116+G1117,-2)</f>
        <v>16900</v>
      </c>
      <c r="H1118" s="505" t="s">
        <v>1670</v>
      </c>
    </row>
    <row r="1119" spans="1:8" ht="13.5" thickTop="1">
      <c r="A1119" s="95"/>
      <c r="B1119" s="90" t="s">
        <v>303</v>
      </c>
      <c r="C1119" s="843"/>
      <c r="D1119" s="843"/>
      <c r="E1119" s="843"/>
      <c r="F1119" s="92" t="s">
        <v>781</v>
      </c>
      <c r="G1119" s="93" t="s">
        <v>831</v>
      </c>
    </row>
    <row r="1120" spans="1:8">
      <c r="A1120" s="95"/>
      <c r="B1120" s="91" t="s">
        <v>834</v>
      </c>
      <c r="C1120" s="844" t="s">
        <v>368</v>
      </c>
      <c r="D1120" s="844"/>
      <c r="E1120" s="844"/>
      <c r="F1120" s="15" t="s">
        <v>833</v>
      </c>
      <c r="G1120" s="165" t="str">
        <f>'MANO DE OBRA'!D61</f>
        <v>Agosto de 2010</v>
      </c>
    </row>
    <row r="1121" spans="1:7" ht="13.5" thickBot="1">
      <c r="A1121" s="127"/>
      <c r="B1121" s="94" t="s">
        <v>835</v>
      </c>
      <c r="C1121" s="845" t="s">
        <v>1507</v>
      </c>
      <c r="D1121" s="845"/>
      <c r="E1121" s="845"/>
      <c r="F1121" s="845"/>
      <c r="G1121" s="846"/>
    </row>
    <row r="1122" spans="1:7" ht="14.25" thickTop="1" thickBot="1">
      <c r="A1122" s="95"/>
      <c r="B1122" s="847"/>
      <c r="C1122" s="847"/>
      <c r="D1122" s="847"/>
      <c r="E1122" s="847"/>
      <c r="F1122" s="847"/>
      <c r="G1122" s="847"/>
    </row>
    <row r="1123" spans="1:7" ht="13.5" thickTop="1">
      <c r="A1123" s="95"/>
      <c r="B1123" s="811" t="s">
        <v>304</v>
      </c>
      <c r="C1123" s="812"/>
      <c r="D1123" s="812"/>
      <c r="E1123" s="812"/>
      <c r="F1123" s="812"/>
      <c r="G1123" s="825"/>
    </row>
    <row r="1124" spans="1:7">
      <c r="A1124" s="95"/>
      <c r="B1124" s="105"/>
      <c r="C1124" s="97"/>
      <c r="D1124" s="98" t="s">
        <v>301</v>
      </c>
      <c r="E1124" s="98" t="s">
        <v>1072</v>
      </c>
      <c r="F1124" s="99" t="s">
        <v>839</v>
      </c>
      <c r="G1124" s="107" t="s">
        <v>840</v>
      </c>
    </row>
    <row r="1125" spans="1:7">
      <c r="A1125" s="95"/>
      <c r="B1125" s="821" t="s">
        <v>838</v>
      </c>
      <c r="C1125" s="822"/>
      <c r="D1125" s="100" t="s">
        <v>308</v>
      </c>
      <c r="E1125" s="100" t="s">
        <v>305</v>
      </c>
      <c r="F1125" s="101" t="s">
        <v>306</v>
      </c>
      <c r="G1125" s="108" t="s">
        <v>310</v>
      </c>
    </row>
    <row r="1126" spans="1:7">
      <c r="A1126" s="95"/>
      <c r="B1126" s="115"/>
      <c r="C1126" s="102"/>
      <c r="D1126" s="103"/>
      <c r="E1126" s="103" t="s">
        <v>309</v>
      </c>
      <c r="F1126" s="104" t="s">
        <v>307</v>
      </c>
      <c r="G1126" s="109"/>
    </row>
    <row r="1127" spans="1:7">
      <c r="A1127" s="127"/>
      <c r="B1127" s="823" t="str">
        <f>'MAQUINARIA Y EQUIPOS'!C28</f>
        <v>HERRAMIENTAS MENORES</v>
      </c>
      <c r="C1127" s="824"/>
      <c r="D1127" s="87">
        <v>1</v>
      </c>
      <c r="E1127" s="82">
        <f>ROUND(G1160*0.05,0)</f>
        <v>663</v>
      </c>
      <c r="F1127" s="81">
        <v>1</v>
      </c>
      <c r="G1127" s="110">
        <f>ROUND(D1127*E1127/F1127,0)</f>
        <v>663</v>
      </c>
    </row>
    <row r="1128" spans="1:7">
      <c r="A1128" s="95"/>
      <c r="B1128" s="835" t="str">
        <f>'MAQUINARIA Y EQUIPOS'!C53</f>
        <v>VIBRADOR A GASOLINA</v>
      </c>
      <c r="C1128" s="836"/>
      <c r="D1128" s="37">
        <v>1</v>
      </c>
      <c r="E1128" s="82">
        <f>'MAQUINARIA Y EQUIPOS'!D53</f>
        <v>51040</v>
      </c>
      <c r="F1128" s="83">
        <v>50</v>
      </c>
      <c r="G1128" s="111">
        <f>ROUND(D1128*E1128/F1128,0)</f>
        <v>1021</v>
      </c>
    </row>
    <row r="1129" spans="1:7">
      <c r="A1129" s="95"/>
      <c r="B1129" s="835" t="str">
        <f>'MAQUINARIA Y EQUIPOS'!$C$9</f>
        <v>ANDAMIO TUBULAR 1.50 m</v>
      </c>
      <c r="C1129" s="836"/>
      <c r="D1129" s="238">
        <v>2</v>
      </c>
      <c r="E1129" s="82">
        <f>'MAQUINARIA Y EQUIPOS'!$D$9</f>
        <v>754</v>
      </c>
      <c r="F1129" s="83">
        <f>F1155</f>
        <v>8</v>
      </c>
      <c r="G1129" s="111">
        <f>ROUND(D1129*E1129/F1129,0)</f>
        <v>189</v>
      </c>
    </row>
    <row r="1130" spans="1:7">
      <c r="A1130" s="95"/>
      <c r="B1130" s="835" t="str">
        <f>'MAQUINARIA Y EQUIPOS'!C47</f>
        <v>TABLONES 3m</v>
      </c>
      <c r="C1130" s="836"/>
      <c r="D1130" s="37">
        <v>2</v>
      </c>
      <c r="E1130" s="82">
        <f>'MAQUINARIA Y EQUIPOS'!D47</f>
        <v>348</v>
      </c>
      <c r="F1130" s="83">
        <f>+F1155</f>
        <v>8</v>
      </c>
      <c r="G1130" s="111">
        <f>ROUND(D1130*E1130/F1130,0)</f>
        <v>87</v>
      </c>
    </row>
    <row r="1131" spans="1:7">
      <c r="A1131" s="95"/>
      <c r="B1131" s="835" t="s">
        <v>841</v>
      </c>
      <c r="C1131" s="836"/>
      <c r="D1131" s="37"/>
      <c r="E1131" s="82"/>
      <c r="F1131" s="83"/>
      <c r="G1131" s="111"/>
    </row>
    <row r="1132" spans="1:7" ht="13.5" thickBot="1">
      <c r="A1132" s="95"/>
      <c r="B1132" s="839" t="s">
        <v>841</v>
      </c>
      <c r="C1132" s="840"/>
      <c r="D1132" s="77"/>
      <c r="E1132" s="106"/>
      <c r="F1132" s="86"/>
      <c r="G1132" s="112"/>
    </row>
    <row r="1133" spans="1:7" ht="14.25" thickTop="1" thickBot="1">
      <c r="A1133" s="95"/>
      <c r="B1133" s="808"/>
      <c r="C1133" s="808"/>
      <c r="D1133" s="808"/>
      <c r="E1133" s="809"/>
      <c r="F1133" s="119" t="s">
        <v>856</v>
      </c>
      <c r="G1133" s="118">
        <f>SUM(G1127:G1132)</f>
        <v>1960</v>
      </c>
    </row>
    <row r="1134" spans="1:7" ht="14.25" thickTop="1" thickBot="1">
      <c r="A1134" s="95"/>
      <c r="B1134" s="830"/>
      <c r="C1134" s="830"/>
      <c r="D1134" s="830"/>
      <c r="E1134" s="830"/>
      <c r="F1134" s="830"/>
      <c r="G1134" s="830"/>
    </row>
    <row r="1135" spans="1:7" ht="13.5" thickTop="1">
      <c r="A1135" s="95"/>
      <c r="B1135" s="811" t="s">
        <v>311</v>
      </c>
      <c r="C1135" s="812"/>
      <c r="D1135" s="812"/>
      <c r="E1135" s="812"/>
      <c r="F1135" s="812"/>
      <c r="G1135" s="825"/>
    </row>
    <row r="1136" spans="1:7">
      <c r="A1136" s="95"/>
      <c r="B1136" s="817" t="s">
        <v>838</v>
      </c>
      <c r="C1136" s="818"/>
      <c r="D1136" s="98" t="s">
        <v>842</v>
      </c>
      <c r="E1136" s="98" t="s">
        <v>853</v>
      </c>
      <c r="F1136" s="99" t="s">
        <v>1047</v>
      </c>
      <c r="G1136" s="107" t="s">
        <v>840</v>
      </c>
    </row>
    <row r="1137" spans="1:8">
      <c r="A1137" s="95"/>
      <c r="B1137" s="115"/>
      <c r="C1137" s="102"/>
      <c r="D1137" s="100"/>
      <c r="E1137" s="100" t="s">
        <v>312</v>
      </c>
      <c r="F1137" s="101" t="s">
        <v>313</v>
      </c>
      <c r="G1137" s="108" t="s">
        <v>314</v>
      </c>
    </row>
    <row r="1138" spans="1:8" ht="14.25">
      <c r="A1138" s="125"/>
      <c r="B1138" s="841" t="str">
        <f>MATERIALES2!C35</f>
        <v>CONCRETO 1:2:3-3000 psi(MATERIALES)</v>
      </c>
      <c r="C1138" s="842"/>
      <c r="D1138" s="87" t="s">
        <v>1066</v>
      </c>
      <c r="E1138" s="144">
        <f>0.15*0.15</f>
        <v>2.2499999999999999E-2</v>
      </c>
      <c r="F1138" s="80">
        <f>MATERIALES2!E35</f>
        <v>367600</v>
      </c>
      <c r="G1138" s="110">
        <f t="shared" ref="G1138:G1143" si="27">ROUND(E1138*F1138,0)</f>
        <v>8271</v>
      </c>
    </row>
    <row r="1139" spans="1:8">
      <c r="A1139" s="123"/>
      <c r="B1139" s="854" t="str">
        <f>MATERIALES2!C158</f>
        <v>TABLA 1X8X10</v>
      </c>
      <c r="C1139" s="855"/>
      <c r="D1139" s="37" t="s">
        <v>865</v>
      </c>
      <c r="E1139" s="83">
        <f>0.25</f>
        <v>0.25</v>
      </c>
      <c r="F1139" s="82">
        <f>MATERIALES2!E158</f>
        <v>6700</v>
      </c>
      <c r="G1139" s="111">
        <f t="shared" si="27"/>
        <v>1675</v>
      </c>
    </row>
    <row r="1140" spans="1:8">
      <c r="A1140" s="95"/>
      <c r="B1140" s="854" t="str">
        <f>MATERIALES2!C151</f>
        <v>ABARCO DE 2X2X4,50</v>
      </c>
      <c r="C1140" s="855"/>
      <c r="D1140" s="37" t="s">
        <v>865</v>
      </c>
      <c r="E1140" s="83">
        <v>0.15</v>
      </c>
      <c r="F1140" s="82">
        <f>MATERIALES2!E151</f>
        <v>5000</v>
      </c>
      <c r="G1140" s="111">
        <f t="shared" si="27"/>
        <v>750</v>
      </c>
    </row>
    <row r="1141" spans="1:8">
      <c r="A1141" s="95"/>
      <c r="B1141" s="854" t="str">
        <f>MATERIALES2!C918</f>
        <v>PUNTILLAS DE 2"</v>
      </c>
      <c r="C1141" s="855"/>
      <c r="D1141" s="37" t="s">
        <v>922</v>
      </c>
      <c r="E1141" s="83">
        <v>0.1</v>
      </c>
      <c r="F1141" s="82">
        <f>MATERIALES2!E918</f>
        <v>1500</v>
      </c>
      <c r="G1141" s="111">
        <f t="shared" si="27"/>
        <v>150</v>
      </c>
    </row>
    <row r="1142" spans="1:8">
      <c r="A1142" s="95"/>
      <c r="B1142" s="854" t="str">
        <f>MATERIALES2!C65</f>
        <v>ALAMBRE NEGRO</v>
      </c>
      <c r="C1142" s="855"/>
      <c r="D1142" s="37" t="s">
        <v>925</v>
      </c>
      <c r="E1142" s="83">
        <v>0.12</v>
      </c>
      <c r="F1142" s="82">
        <f>MATERIALES2!E65</f>
        <v>2100</v>
      </c>
      <c r="G1142" s="111">
        <f t="shared" si="27"/>
        <v>252</v>
      </c>
    </row>
    <row r="1143" spans="1:8">
      <c r="A1143" s="95"/>
      <c r="B1143" s="854" t="str">
        <f>MATERIALES2!C62</f>
        <v>HIERRO CHIPA 3/8"</v>
      </c>
      <c r="C1143" s="855"/>
      <c r="D1143" s="37" t="s">
        <v>925</v>
      </c>
      <c r="E1143" s="83">
        <f>ROUND(7*0.5*0.3,2)</f>
        <v>1.05</v>
      </c>
      <c r="F1143" s="82">
        <f>MATERIALES2!E62</f>
        <v>2100</v>
      </c>
      <c r="G1143" s="111">
        <f t="shared" si="27"/>
        <v>2205</v>
      </c>
    </row>
    <row r="1144" spans="1:8">
      <c r="A1144" s="95"/>
      <c r="B1144" s="854" t="str">
        <f>MATERIALES2!C83</f>
        <v>HIERRO PDR 60</v>
      </c>
      <c r="C1144" s="855"/>
      <c r="D1144" s="37" t="s">
        <v>865</v>
      </c>
      <c r="E1144" s="83">
        <f>ROUND(4*1.1/6,2)</f>
        <v>0.73</v>
      </c>
      <c r="F1144" s="82">
        <f>MATERIALES2!E83</f>
        <v>2800</v>
      </c>
      <c r="G1144" s="111">
        <f>ROUND(E1144*F1144,0)</f>
        <v>2044</v>
      </c>
      <c r="H1144" s="505" t="s">
        <v>1670</v>
      </c>
    </row>
    <row r="1145" spans="1:8">
      <c r="A1145" s="95"/>
      <c r="B1145" s="938" t="s">
        <v>841</v>
      </c>
      <c r="C1145" s="939"/>
      <c r="D1145" s="53" t="s">
        <v>841</v>
      </c>
      <c r="E1145" s="53"/>
      <c r="F1145" s="82"/>
      <c r="G1145" s="111"/>
    </row>
    <row r="1146" spans="1:8" ht="13.5" thickBot="1">
      <c r="A1146" s="95"/>
      <c r="B1146" s="942" t="s">
        <v>841</v>
      </c>
      <c r="C1146" s="943"/>
      <c r="D1146" s="84" t="s">
        <v>841</v>
      </c>
      <c r="E1146" s="84"/>
      <c r="F1146" s="85"/>
      <c r="G1146" s="112"/>
    </row>
    <row r="1147" spans="1:8" ht="13.5" thickTop="1">
      <c r="A1147" s="95"/>
      <c r="B1147" s="808"/>
      <c r="C1147" s="809"/>
      <c r="D1147" s="801" t="s">
        <v>856</v>
      </c>
      <c r="E1147" s="802"/>
      <c r="F1147" s="9"/>
      <c r="G1147" s="113">
        <f>SUM(G1138:G1146)</f>
        <v>15347</v>
      </c>
    </row>
    <row r="1148" spans="1:8">
      <c r="A1148" s="95"/>
      <c r="B1148" s="819"/>
      <c r="C1148" s="820"/>
      <c r="D1148" s="801" t="s">
        <v>857</v>
      </c>
      <c r="E1148" s="802"/>
      <c r="F1148" s="79">
        <f>'MANO DE OBRA'!D60</f>
        <v>0.05</v>
      </c>
      <c r="G1148" s="113">
        <f>ROUND(G1147*F1148,0)</f>
        <v>767</v>
      </c>
    </row>
    <row r="1149" spans="1:8" ht="13.5" thickBot="1">
      <c r="A1149" s="95"/>
      <c r="B1149" s="819"/>
      <c r="C1149" s="820"/>
      <c r="D1149" s="803" t="s">
        <v>320</v>
      </c>
      <c r="E1149" s="804"/>
      <c r="F1149" s="114"/>
      <c r="G1149" s="118">
        <f>+G1147+G1148</f>
        <v>16114</v>
      </c>
    </row>
    <row r="1150" spans="1:8" ht="14.25" thickTop="1" thickBot="1">
      <c r="A1150" s="95"/>
      <c r="B1150" s="830"/>
      <c r="C1150" s="830"/>
      <c r="D1150" s="830"/>
      <c r="E1150" s="830"/>
      <c r="F1150" s="830"/>
      <c r="G1150" s="830"/>
    </row>
    <row r="1151" spans="1:8" ht="13.5" thickTop="1">
      <c r="A1151" s="95"/>
      <c r="B1151" s="811" t="s">
        <v>858</v>
      </c>
      <c r="C1151" s="812"/>
      <c r="D1151" s="812"/>
      <c r="E1151" s="812"/>
      <c r="F1151" s="812"/>
      <c r="G1151" s="825"/>
    </row>
    <row r="1152" spans="1:8">
      <c r="A1152" s="95"/>
      <c r="B1152" s="817"/>
      <c r="C1152" s="818"/>
      <c r="D1152" s="98" t="s">
        <v>301</v>
      </c>
      <c r="E1152" s="98" t="s">
        <v>859</v>
      </c>
      <c r="F1152" s="99" t="s">
        <v>839</v>
      </c>
      <c r="G1152" s="107" t="s">
        <v>840</v>
      </c>
    </row>
    <row r="1153" spans="1:7">
      <c r="A1153" s="95"/>
      <c r="B1153" s="821" t="s">
        <v>838</v>
      </c>
      <c r="C1153" s="822"/>
      <c r="D1153" s="100" t="s">
        <v>316</v>
      </c>
      <c r="E1153" s="100" t="s">
        <v>315</v>
      </c>
      <c r="F1153" s="101" t="s">
        <v>306</v>
      </c>
      <c r="G1153" s="108" t="s">
        <v>319</v>
      </c>
    </row>
    <row r="1154" spans="1:7">
      <c r="A1154" s="95"/>
      <c r="B1154" s="115"/>
      <c r="C1154" s="102"/>
      <c r="D1154" s="103"/>
      <c r="E1154" s="103" t="s">
        <v>317</v>
      </c>
      <c r="F1154" s="104" t="s">
        <v>318</v>
      </c>
      <c r="G1154" s="109"/>
    </row>
    <row r="1155" spans="1:7">
      <c r="A1155" s="95"/>
      <c r="B1155" s="823" t="str">
        <f>'MANO DE OBRA'!B10</f>
        <v>AYUDANTE CUAD. TIPO AA</v>
      </c>
      <c r="C1155" s="824"/>
      <c r="D1155" s="87">
        <v>1</v>
      </c>
      <c r="E1155" s="80">
        <f>'MANO DE OBRA'!E10</f>
        <v>34680</v>
      </c>
      <c r="F1155" s="81">
        <v>8</v>
      </c>
      <c r="G1155" s="110">
        <f>ROUND(D1155*E1155/F1155,0)</f>
        <v>4335</v>
      </c>
    </row>
    <row r="1156" spans="1:7">
      <c r="A1156" s="95"/>
      <c r="B1156" s="835" t="str">
        <f>'MANO DE OBRA'!B15</f>
        <v xml:space="preserve">OFICIAL CUAD. TIPO AA </v>
      </c>
      <c r="C1156" s="836"/>
      <c r="D1156" s="37">
        <v>1</v>
      </c>
      <c r="E1156" s="82">
        <f>'MANO DE OBRA'!E15</f>
        <v>71474</v>
      </c>
      <c r="F1156" s="83">
        <v>8</v>
      </c>
      <c r="G1156" s="111">
        <f>ROUND(D1156*E1156/F1156,0)</f>
        <v>8934</v>
      </c>
    </row>
    <row r="1157" spans="1:7">
      <c r="A1157" s="95"/>
      <c r="B1157" s="835"/>
      <c r="C1157" s="836"/>
      <c r="D1157" s="89"/>
      <c r="E1157" s="82"/>
      <c r="F1157" s="83"/>
      <c r="G1157" s="111"/>
    </row>
    <row r="1158" spans="1:7">
      <c r="A1158" s="95"/>
      <c r="B1158" s="835" t="s">
        <v>841</v>
      </c>
      <c r="C1158" s="836"/>
      <c r="D1158" s="37"/>
      <c r="E1158" s="82"/>
      <c r="F1158" s="83"/>
      <c r="G1158" s="111"/>
    </row>
    <row r="1159" spans="1:7" ht="13.5" thickBot="1">
      <c r="A1159" s="95"/>
      <c r="B1159" s="828" t="s">
        <v>841</v>
      </c>
      <c r="C1159" s="829"/>
      <c r="D1159" s="77"/>
      <c r="E1159" s="82"/>
      <c r="F1159" s="86"/>
      <c r="G1159" s="112"/>
    </row>
    <row r="1160" spans="1:7" ht="14.25" thickTop="1" thickBot="1">
      <c r="A1160" s="95"/>
      <c r="B1160" s="808"/>
      <c r="C1160" s="808"/>
      <c r="D1160" s="808"/>
      <c r="E1160" s="809"/>
      <c r="F1160" s="120" t="s">
        <v>856</v>
      </c>
      <c r="G1160" s="118">
        <f>SUM(G1155:G1159)</f>
        <v>13269</v>
      </c>
    </row>
    <row r="1161" spans="1:7" ht="14.25" thickTop="1" thickBot="1">
      <c r="A1161" s="95"/>
      <c r="B1161" s="810"/>
      <c r="C1161" s="810"/>
      <c r="D1161" s="810"/>
      <c r="E1161" s="810"/>
      <c r="F1161" s="810"/>
      <c r="G1161" s="810"/>
    </row>
    <row r="1162" spans="1:7" ht="13.5" thickTop="1">
      <c r="A1162" s="95"/>
      <c r="B1162" s="811" t="s">
        <v>321</v>
      </c>
      <c r="C1162" s="812"/>
      <c r="D1162" s="812"/>
      <c r="E1162" s="812"/>
      <c r="F1162" s="812"/>
      <c r="G1162" s="825"/>
    </row>
    <row r="1163" spans="1:7">
      <c r="A1163" s="95"/>
      <c r="B1163" s="817" t="s">
        <v>838</v>
      </c>
      <c r="C1163" s="818"/>
      <c r="D1163" s="98" t="s">
        <v>301</v>
      </c>
      <c r="E1163" s="98" t="s">
        <v>297</v>
      </c>
      <c r="F1163" s="99" t="s">
        <v>839</v>
      </c>
      <c r="G1163" s="107" t="s">
        <v>840</v>
      </c>
    </row>
    <row r="1164" spans="1:7">
      <c r="A1164" s="95"/>
      <c r="B1164" s="115"/>
      <c r="C1164" s="102"/>
      <c r="D1164" s="103" t="s">
        <v>322</v>
      </c>
      <c r="E1164" s="103" t="s">
        <v>323</v>
      </c>
      <c r="F1164" s="104" t="s">
        <v>324</v>
      </c>
      <c r="G1164" s="109" t="s">
        <v>325</v>
      </c>
    </row>
    <row r="1165" spans="1:7">
      <c r="A1165" s="95"/>
      <c r="B1165" s="826"/>
      <c r="C1165" s="827"/>
      <c r="D1165" s="96"/>
      <c r="E1165" s="96"/>
      <c r="F1165" s="96"/>
      <c r="G1165" s="116"/>
    </row>
    <row r="1166" spans="1:7" ht="13.5" thickBot="1">
      <c r="A1166" s="95"/>
      <c r="B1166" s="828" t="s">
        <v>841</v>
      </c>
      <c r="C1166" s="829"/>
      <c r="D1166" s="77"/>
      <c r="E1166" s="82"/>
      <c r="F1166" s="86"/>
      <c r="G1166" s="112"/>
    </row>
    <row r="1167" spans="1:7" ht="14.25" thickTop="1" thickBot="1">
      <c r="A1167" s="95"/>
      <c r="B1167" s="808"/>
      <c r="C1167" s="808"/>
      <c r="D1167" s="808"/>
      <c r="E1167" s="809"/>
      <c r="F1167" s="120" t="s">
        <v>856</v>
      </c>
      <c r="G1167" s="118">
        <f>SUM(G1162:G1166)</f>
        <v>0</v>
      </c>
    </row>
    <row r="1168" spans="1:7" ht="14.25" thickTop="1" thickBot="1">
      <c r="A1168" s="95"/>
      <c r="B1168" s="810"/>
      <c r="C1168" s="810"/>
      <c r="D1168" s="810"/>
      <c r="E1168" s="810"/>
      <c r="F1168" s="810"/>
      <c r="G1168" s="834"/>
    </row>
    <row r="1169" spans="1:8" ht="13.5" thickTop="1">
      <c r="A1169" s="95"/>
      <c r="B1169" s="811" t="s">
        <v>326</v>
      </c>
      <c r="C1169" s="812"/>
      <c r="D1169" s="812"/>
      <c r="E1169" s="812"/>
      <c r="F1169" s="813"/>
      <c r="G1169" s="121">
        <f>+G1133+G1149+G1160</f>
        <v>31343</v>
      </c>
    </row>
    <row r="1170" spans="1:8">
      <c r="A1170" s="95"/>
      <c r="B1170" s="814" t="s">
        <v>861</v>
      </c>
      <c r="C1170" s="815"/>
      <c r="D1170" s="815"/>
      <c r="E1170" s="816"/>
      <c r="F1170" s="128">
        <f>'MANO DE OBRA'!D59</f>
        <v>0</v>
      </c>
      <c r="G1170" s="122">
        <f>ROUND(G1169*F1170,0)</f>
        <v>0</v>
      </c>
    </row>
    <row r="1171" spans="1:8" ht="13.5" thickBot="1">
      <c r="A1171" s="95"/>
      <c r="B1171" s="805" t="s">
        <v>1049</v>
      </c>
      <c r="C1171" s="806"/>
      <c r="D1171" s="806"/>
      <c r="E1171" s="806"/>
      <c r="F1171" s="807"/>
      <c r="G1171" s="118">
        <f>ROUND(G1169+G1170,-2)</f>
        <v>31300</v>
      </c>
      <c r="H1171" s="505" t="s">
        <v>1670</v>
      </c>
    </row>
    <row r="1172" spans="1:8" ht="13.5" thickTop="1">
      <c r="A1172" s="95"/>
      <c r="B1172" s="326" t="s">
        <v>303</v>
      </c>
      <c r="C1172" s="325"/>
      <c r="D1172" s="325"/>
      <c r="E1172" s="325"/>
      <c r="F1172" s="327" t="s">
        <v>781</v>
      </c>
      <c r="G1172" s="328" t="s">
        <v>831</v>
      </c>
    </row>
    <row r="1173" spans="1:8">
      <c r="A1173" s="95"/>
      <c r="B1173" s="91" t="s">
        <v>834</v>
      </c>
      <c r="C1173" s="844" t="s">
        <v>368</v>
      </c>
      <c r="D1173" s="844"/>
      <c r="E1173" s="844"/>
      <c r="F1173" s="15" t="s">
        <v>833</v>
      </c>
      <c r="G1173" s="165" t="str">
        <f>'MANO DE OBRA'!D61</f>
        <v>Agosto de 2010</v>
      </c>
    </row>
    <row r="1174" spans="1:8" ht="27.75" customHeight="1" thickBot="1">
      <c r="A1174" s="236"/>
      <c r="B1174" s="244" t="s">
        <v>835</v>
      </c>
      <c r="C1174" s="934" t="s">
        <v>42</v>
      </c>
      <c r="D1174" s="934"/>
      <c r="E1174" s="934"/>
      <c r="F1174" s="934"/>
      <c r="G1174" s="935"/>
    </row>
    <row r="1175" spans="1:8" ht="14.25" thickTop="1" thickBot="1">
      <c r="A1175" s="95"/>
      <c r="B1175" s="847"/>
      <c r="C1175" s="847"/>
      <c r="D1175" s="847"/>
      <c r="E1175" s="847"/>
      <c r="F1175" s="847"/>
      <c r="G1175" s="847"/>
    </row>
    <row r="1176" spans="1:8" ht="13.5" thickTop="1">
      <c r="A1176" s="95"/>
      <c r="B1176" s="811" t="s">
        <v>304</v>
      </c>
      <c r="C1176" s="812"/>
      <c r="D1176" s="812"/>
      <c r="E1176" s="812"/>
      <c r="F1176" s="812"/>
      <c r="G1176" s="825"/>
    </row>
    <row r="1177" spans="1:8">
      <c r="A1177" s="95"/>
      <c r="B1177" s="105"/>
      <c r="C1177" s="97"/>
      <c r="D1177" s="98" t="s">
        <v>301</v>
      </c>
      <c r="E1177" s="98" t="s">
        <v>1072</v>
      </c>
      <c r="F1177" s="99" t="s">
        <v>839</v>
      </c>
      <c r="G1177" s="107" t="s">
        <v>840</v>
      </c>
    </row>
    <row r="1178" spans="1:8">
      <c r="A1178" s="95"/>
      <c r="B1178" s="821" t="s">
        <v>838</v>
      </c>
      <c r="C1178" s="822"/>
      <c r="D1178" s="100" t="s">
        <v>308</v>
      </c>
      <c r="E1178" s="100" t="s">
        <v>305</v>
      </c>
      <c r="F1178" s="101" t="s">
        <v>306</v>
      </c>
      <c r="G1178" s="108" t="s">
        <v>310</v>
      </c>
    </row>
    <row r="1179" spans="1:8">
      <c r="A1179" s="95"/>
      <c r="B1179" s="115"/>
      <c r="C1179" s="102"/>
      <c r="D1179" s="103"/>
      <c r="E1179" s="103" t="s">
        <v>309</v>
      </c>
      <c r="F1179" s="104" t="s">
        <v>307</v>
      </c>
      <c r="G1179" s="109"/>
    </row>
    <row r="1180" spans="1:8">
      <c r="A1180" s="127"/>
      <c r="B1180" s="823" t="str">
        <f>'MAQUINARIA Y EQUIPOS'!C28</f>
        <v>HERRAMIENTAS MENORES</v>
      </c>
      <c r="C1180" s="824"/>
      <c r="D1180" s="87">
        <v>1</v>
      </c>
      <c r="E1180" s="82">
        <f>ROUND(G1212*0.05,0)</f>
        <v>848</v>
      </c>
      <c r="F1180" s="81">
        <v>1</v>
      </c>
      <c r="G1180" s="110">
        <f t="shared" ref="G1180:G1186" si="28">ROUND(D1180*E1180/F1180,0)</f>
        <v>848</v>
      </c>
    </row>
    <row r="1181" spans="1:8">
      <c r="A1181" s="95"/>
      <c r="B1181" s="835" t="str">
        <f>'MAQUINARIA Y EQUIPOS'!C53</f>
        <v>VIBRADOR A GASOLINA</v>
      </c>
      <c r="C1181" s="836"/>
      <c r="D1181" s="37">
        <v>1</v>
      </c>
      <c r="E1181" s="82">
        <f>'MAQUINARIA Y EQUIPOS'!D53</f>
        <v>51040</v>
      </c>
      <c r="F1181" s="83">
        <v>25</v>
      </c>
      <c r="G1181" s="111">
        <f t="shared" si="28"/>
        <v>2042</v>
      </c>
    </row>
    <row r="1182" spans="1:8">
      <c r="A1182" s="95"/>
      <c r="B1182" s="835" t="str">
        <f>'MAQUINARIA Y EQUIPOS'!$C$9</f>
        <v>ANDAMIO TUBULAR 1.50 m</v>
      </c>
      <c r="C1182" s="836"/>
      <c r="D1182" s="238">
        <v>8</v>
      </c>
      <c r="E1182" s="82">
        <f>'MAQUINARIA Y EQUIPOS'!$D$9</f>
        <v>754</v>
      </c>
      <c r="F1182" s="83">
        <f>F1207</f>
        <v>5</v>
      </c>
      <c r="G1182" s="111">
        <f t="shared" si="28"/>
        <v>1206</v>
      </c>
    </row>
    <row r="1183" spans="1:8">
      <c r="A1183" s="95"/>
      <c r="B1183" s="835" t="str">
        <f>'MAQUINARIA Y EQUIPOS'!C46</f>
        <v>TABLEROS DE 1.40 x 1.70</v>
      </c>
      <c r="C1183" s="836"/>
      <c r="D1183" s="37">
        <v>4</v>
      </c>
      <c r="E1183" s="82">
        <f>'MAQUINARIA Y EQUIPOS'!$D$46</f>
        <v>186</v>
      </c>
      <c r="F1183" s="83">
        <v>5</v>
      </c>
      <c r="G1183" s="111">
        <f t="shared" si="28"/>
        <v>149</v>
      </c>
    </row>
    <row r="1184" spans="1:8">
      <c r="A1184" s="95"/>
      <c r="B1184" s="835" t="str">
        <f>'MAQUINARIA Y EQUIPOS'!C13</f>
        <v>CERCHA METALICA 3.0 MTS</v>
      </c>
      <c r="C1184" s="836"/>
      <c r="D1184" s="37">
        <v>2</v>
      </c>
      <c r="E1184" s="82">
        <f>'MAQUINARIA Y EQUIPOS'!$D$13</f>
        <v>220</v>
      </c>
      <c r="F1184" s="83">
        <v>5</v>
      </c>
      <c r="G1184" s="111">
        <f t="shared" si="28"/>
        <v>88</v>
      </c>
    </row>
    <row r="1185" spans="1:8">
      <c r="A1185" s="95"/>
      <c r="B1185" s="835" t="str">
        <f>'MAQUINARIA Y EQUIPOS'!C38</f>
        <v>PARAL TELESCOPICO 4 MTS</v>
      </c>
      <c r="C1185" s="836"/>
      <c r="D1185" s="37">
        <v>6</v>
      </c>
      <c r="E1185" s="82">
        <f>'MAQUINARIA Y EQUIPOS'!$D$38</f>
        <v>290</v>
      </c>
      <c r="F1185" s="83">
        <v>5</v>
      </c>
      <c r="G1185" s="111">
        <f t="shared" si="28"/>
        <v>348</v>
      </c>
    </row>
    <row r="1186" spans="1:8" ht="13.5" thickBot="1">
      <c r="A1186" s="95"/>
      <c r="B1186" s="961" t="str">
        <f>'MAQUINARIA Y EQUIPOS'!C27</f>
        <v>GRUA EXTENSION</v>
      </c>
      <c r="C1186" s="829"/>
      <c r="D1186" s="77">
        <v>1</v>
      </c>
      <c r="E1186" s="82">
        <f>'MAQUINARIA Y EQUIPOS'!$D$27</f>
        <v>52200</v>
      </c>
      <c r="F1186" s="83">
        <v>5</v>
      </c>
      <c r="G1186" s="111">
        <f t="shared" si="28"/>
        <v>10440</v>
      </c>
    </row>
    <row r="1187" spans="1:8" ht="14.25" thickTop="1" thickBot="1">
      <c r="A1187" s="95"/>
      <c r="B1187" s="808"/>
      <c r="C1187" s="808"/>
      <c r="D1187" s="808"/>
      <c r="E1187" s="809"/>
      <c r="F1187" s="119" t="s">
        <v>856</v>
      </c>
      <c r="G1187" s="118">
        <f>SUM(G1180:G1186)</f>
        <v>15121</v>
      </c>
    </row>
    <row r="1188" spans="1:8" ht="14.25" thickTop="1" thickBot="1">
      <c r="A1188" s="95"/>
      <c r="B1188" s="830"/>
      <c r="C1188" s="830"/>
      <c r="D1188" s="830"/>
      <c r="E1188" s="830"/>
      <c r="F1188" s="830"/>
      <c r="G1188" s="830"/>
    </row>
    <row r="1189" spans="1:8" ht="13.5" thickTop="1">
      <c r="A1189" s="95"/>
      <c r="B1189" s="811" t="s">
        <v>311</v>
      </c>
      <c r="C1189" s="812"/>
      <c r="D1189" s="812"/>
      <c r="E1189" s="812"/>
      <c r="F1189" s="812"/>
      <c r="G1189" s="825"/>
    </row>
    <row r="1190" spans="1:8">
      <c r="A1190" s="95"/>
      <c r="B1190" s="817" t="s">
        <v>838</v>
      </c>
      <c r="C1190" s="818"/>
      <c r="D1190" s="98" t="s">
        <v>842</v>
      </c>
      <c r="E1190" s="98" t="s">
        <v>853</v>
      </c>
      <c r="F1190" s="99" t="s">
        <v>1047</v>
      </c>
      <c r="G1190" s="107" t="s">
        <v>840</v>
      </c>
    </row>
    <row r="1191" spans="1:8">
      <c r="A1191" s="95"/>
      <c r="B1191" s="115"/>
      <c r="C1191" s="102"/>
      <c r="D1191" s="100"/>
      <c r="E1191" s="100" t="s">
        <v>312</v>
      </c>
      <c r="F1191" s="101" t="s">
        <v>313</v>
      </c>
      <c r="G1191" s="108" t="s">
        <v>314</v>
      </c>
    </row>
    <row r="1192" spans="1:8" ht="14.25">
      <c r="A1192" s="125"/>
      <c r="B1192" s="841" t="str">
        <f>MATERIALES2!C35</f>
        <v>CONCRETO 1:2:3-3000 psi(MATERIALES)</v>
      </c>
      <c r="C1192" s="842"/>
      <c r="D1192" s="87" t="s">
        <v>1066</v>
      </c>
      <c r="E1192" s="142">
        <v>0.12</v>
      </c>
      <c r="F1192" s="80">
        <f>MATERIALES2!E35</f>
        <v>367600</v>
      </c>
      <c r="G1192" s="110">
        <f t="shared" ref="G1192:G1197" si="29">ROUND(E1192*F1192,0)</f>
        <v>44112</v>
      </c>
    </row>
    <row r="1193" spans="1:8">
      <c r="A1193" s="123"/>
      <c r="B1193" s="854" t="str">
        <f>MATERIALES2!C82</f>
        <v>HIERRO A-37</v>
      </c>
      <c r="C1193" s="855"/>
      <c r="D1193" s="37" t="s">
        <v>925</v>
      </c>
      <c r="E1193" s="83">
        <f>ROUND(3.1*13*0.56/3/2,2)</f>
        <v>3.76</v>
      </c>
      <c r="F1193" s="82">
        <f>MATERIALES2!E82</f>
        <v>2800</v>
      </c>
      <c r="G1193" s="111">
        <f t="shared" si="29"/>
        <v>10528</v>
      </c>
    </row>
    <row r="1194" spans="1:8">
      <c r="A1194" s="123"/>
      <c r="B1194" s="854" t="str">
        <f>MATERIALES2!C83</f>
        <v>HIERRO PDR 60</v>
      </c>
      <c r="C1194" s="855"/>
      <c r="D1194" s="37" t="s">
        <v>925</v>
      </c>
      <c r="E1194" s="83">
        <f>ROUND(2.1*25*1/3/2,2)</f>
        <v>8.75</v>
      </c>
      <c r="F1194" s="82">
        <f>MATERIALES2!E83</f>
        <v>2800</v>
      </c>
      <c r="G1194" s="111">
        <f t="shared" si="29"/>
        <v>24500</v>
      </c>
    </row>
    <row r="1195" spans="1:8">
      <c r="A1195" s="123"/>
      <c r="B1195" s="854" t="str">
        <f>MATERIALES2!C65</f>
        <v>ALAMBRE NEGRO</v>
      </c>
      <c r="C1195" s="855"/>
      <c r="D1195" s="37" t="s">
        <v>925</v>
      </c>
      <c r="E1195" s="83">
        <f>ROUND(13*25*0.4/105.26/6,2)</f>
        <v>0.21</v>
      </c>
      <c r="F1195" s="82">
        <f>MATERIALES2!E65</f>
        <v>2100</v>
      </c>
      <c r="G1195" s="111">
        <f t="shared" si="29"/>
        <v>441</v>
      </c>
    </row>
    <row r="1196" spans="1:8">
      <c r="A1196" s="123"/>
      <c r="B1196" s="854" t="str">
        <f>MATERIALES2!C156</f>
        <v>TABLA 1X4X10</v>
      </c>
      <c r="C1196" s="855"/>
      <c r="D1196" s="37" t="s">
        <v>865</v>
      </c>
      <c r="E1196" s="83">
        <f>ROUND(4/6,2)</f>
        <v>0.67</v>
      </c>
      <c r="F1196" s="82">
        <f>MATERIALES2!E156</f>
        <v>3400</v>
      </c>
      <c r="G1196" s="111">
        <f t="shared" si="29"/>
        <v>2278</v>
      </c>
    </row>
    <row r="1197" spans="1:8">
      <c r="A1197" s="123"/>
      <c r="B1197" s="854" t="str">
        <f>MATERIALES2!C919</f>
        <v>PUNTILLAS DE 3"</v>
      </c>
      <c r="C1197" s="855"/>
      <c r="D1197" s="239" t="s">
        <v>922</v>
      </c>
      <c r="E1197" s="53">
        <v>0.15</v>
      </c>
      <c r="F1197" s="82">
        <f>MATERIALES2!E919</f>
        <v>1500</v>
      </c>
      <c r="G1197" s="111">
        <f t="shared" si="29"/>
        <v>225</v>
      </c>
      <c r="H1197" s="505" t="s">
        <v>1670</v>
      </c>
    </row>
    <row r="1198" spans="1:8" ht="13.5" thickBot="1">
      <c r="A1198" s="95"/>
      <c r="B1198" s="839" t="s">
        <v>841</v>
      </c>
      <c r="C1198" s="840"/>
      <c r="D1198" s="84" t="s">
        <v>841</v>
      </c>
      <c r="E1198" s="84"/>
      <c r="F1198" s="85"/>
      <c r="G1198" s="112"/>
    </row>
    <row r="1199" spans="1:8" ht="13.5" thickTop="1">
      <c r="A1199" s="95"/>
      <c r="B1199" s="808"/>
      <c r="C1199" s="809"/>
      <c r="D1199" s="801" t="s">
        <v>856</v>
      </c>
      <c r="E1199" s="802"/>
      <c r="F1199" s="9"/>
      <c r="G1199" s="113">
        <f>SUM(G1192:G1198)</f>
        <v>82084</v>
      </c>
    </row>
    <row r="1200" spans="1:8">
      <c r="A1200" s="95"/>
      <c r="B1200" s="819"/>
      <c r="C1200" s="820"/>
      <c r="D1200" s="801" t="s">
        <v>857</v>
      </c>
      <c r="E1200" s="802"/>
      <c r="F1200" s="79">
        <f>'MANO DE OBRA'!D60</f>
        <v>0.05</v>
      </c>
      <c r="G1200" s="113">
        <f>ROUND(G1199*F1200,0)</f>
        <v>4104</v>
      </c>
    </row>
    <row r="1201" spans="1:7" ht="13.5" thickBot="1">
      <c r="A1201" s="95"/>
      <c r="B1201" s="819"/>
      <c r="C1201" s="820"/>
      <c r="D1201" s="803" t="s">
        <v>320</v>
      </c>
      <c r="E1201" s="804"/>
      <c r="F1201" s="114"/>
      <c r="G1201" s="118">
        <f>+G1199+G1200</f>
        <v>86188</v>
      </c>
    </row>
    <row r="1202" spans="1:7" ht="14.25" thickTop="1" thickBot="1">
      <c r="A1202" s="95"/>
      <c r="B1202" s="830"/>
      <c r="C1202" s="830"/>
      <c r="D1202" s="830"/>
      <c r="E1202" s="830"/>
      <c r="F1202" s="830"/>
      <c r="G1202" s="830"/>
    </row>
    <row r="1203" spans="1:7" ht="13.5" thickTop="1">
      <c r="A1203" s="95"/>
      <c r="B1203" s="811" t="s">
        <v>858</v>
      </c>
      <c r="C1203" s="812"/>
      <c r="D1203" s="812"/>
      <c r="E1203" s="812"/>
      <c r="F1203" s="812"/>
      <c r="G1203" s="825"/>
    </row>
    <row r="1204" spans="1:7">
      <c r="A1204" s="95"/>
      <c r="B1204" s="817"/>
      <c r="C1204" s="818"/>
      <c r="D1204" s="98" t="s">
        <v>301</v>
      </c>
      <c r="E1204" s="98" t="s">
        <v>859</v>
      </c>
      <c r="F1204" s="99" t="s">
        <v>839</v>
      </c>
      <c r="G1204" s="107" t="s">
        <v>840</v>
      </c>
    </row>
    <row r="1205" spans="1:7">
      <c r="A1205" s="95"/>
      <c r="B1205" s="821" t="s">
        <v>838</v>
      </c>
      <c r="C1205" s="822"/>
      <c r="D1205" s="100" t="s">
        <v>316</v>
      </c>
      <c r="E1205" s="100" t="s">
        <v>315</v>
      </c>
      <c r="F1205" s="101" t="s">
        <v>306</v>
      </c>
      <c r="G1205" s="108" t="s">
        <v>319</v>
      </c>
    </row>
    <row r="1206" spans="1:7">
      <c r="A1206" s="95"/>
      <c r="B1206" s="115"/>
      <c r="C1206" s="102"/>
      <c r="D1206" s="103"/>
      <c r="E1206" s="103" t="s">
        <v>317</v>
      </c>
      <c r="F1206" s="104" t="s">
        <v>318</v>
      </c>
      <c r="G1206" s="109"/>
    </row>
    <row r="1207" spans="1:7">
      <c r="A1207" s="95"/>
      <c r="B1207" s="823" t="str">
        <f>'MANO DE OBRA'!B10</f>
        <v>AYUDANTE CUAD. TIPO AA</v>
      </c>
      <c r="C1207" s="824"/>
      <c r="D1207" s="87">
        <v>2</v>
      </c>
      <c r="E1207" s="80">
        <f>'MANO DE OBRA'!E10</f>
        <v>34680</v>
      </c>
      <c r="F1207" s="81">
        <f>1+4</f>
        <v>5</v>
      </c>
      <c r="G1207" s="110">
        <f>ROUND(D1207*E1207/F1207,0)</f>
        <v>13872</v>
      </c>
    </row>
    <row r="1208" spans="1:7">
      <c r="A1208" s="95"/>
      <c r="B1208" s="835" t="str">
        <f>'MANO DE OBRA'!B15</f>
        <v xml:space="preserve">OFICIAL CUAD. TIPO AA </v>
      </c>
      <c r="C1208" s="836"/>
      <c r="D1208" s="37">
        <v>1</v>
      </c>
      <c r="E1208" s="82">
        <f>'MANO DE OBRA'!E15</f>
        <v>71474</v>
      </c>
      <c r="F1208" s="83">
        <f>1+22.22</f>
        <v>23.22</v>
      </c>
      <c r="G1208" s="111">
        <f>ROUND(D1208*E1208/F1208,0)</f>
        <v>3078</v>
      </c>
    </row>
    <row r="1209" spans="1:7">
      <c r="A1209" s="95"/>
      <c r="B1209" s="835"/>
      <c r="C1209" s="836"/>
      <c r="D1209" s="89"/>
      <c r="E1209" s="82"/>
      <c r="F1209" s="83"/>
      <c r="G1209" s="111"/>
    </row>
    <row r="1210" spans="1:7">
      <c r="A1210" s="95"/>
      <c r="B1210" s="835" t="s">
        <v>841</v>
      </c>
      <c r="C1210" s="836"/>
      <c r="D1210" s="37"/>
      <c r="E1210" s="82"/>
      <c r="F1210" s="83"/>
      <c r="G1210" s="111"/>
    </row>
    <row r="1211" spans="1:7" ht="13.5" thickBot="1">
      <c r="A1211" s="95"/>
      <c r="B1211" s="828" t="s">
        <v>841</v>
      </c>
      <c r="C1211" s="829"/>
      <c r="D1211" s="77"/>
      <c r="E1211" s="82"/>
      <c r="F1211" s="86"/>
      <c r="G1211" s="112"/>
    </row>
    <row r="1212" spans="1:7" ht="14.25" thickTop="1" thickBot="1">
      <c r="A1212" s="95"/>
      <c r="B1212" s="808"/>
      <c r="C1212" s="808"/>
      <c r="D1212" s="808"/>
      <c r="E1212" s="809"/>
      <c r="F1212" s="120" t="s">
        <v>856</v>
      </c>
      <c r="G1212" s="118">
        <f>SUM(G1207:G1211)</f>
        <v>16950</v>
      </c>
    </row>
    <row r="1213" spans="1:7" ht="14.25" thickTop="1" thickBot="1">
      <c r="A1213" s="95"/>
      <c r="B1213" s="810"/>
      <c r="C1213" s="810"/>
      <c r="D1213" s="810"/>
      <c r="E1213" s="810"/>
      <c r="F1213" s="810"/>
      <c r="G1213" s="810"/>
    </row>
    <row r="1214" spans="1:7" ht="13.5" thickTop="1">
      <c r="A1214" s="95"/>
      <c r="B1214" s="811" t="s">
        <v>321</v>
      </c>
      <c r="C1214" s="812"/>
      <c r="D1214" s="812"/>
      <c r="E1214" s="812"/>
      <c r="F1214" s="812"/>
      <c r="G1214" s="825"/>
    </row>
    <row r="1215" spans="1:7">
      <c r="A1215" s="95"/>
      <c r="B1215" s="817" t="s">
        <v>838</v>
      </c>
      <c r="C1215" s="818"/>
      <c r="D1215" s="98" t="s">
        <v>301</v>
      </c>
      <c r="E1215" s="98" t="s">
        <v>297</v>
      </c>
      <c r="F1215" s="99" t="s">
        <v>839</v>
      </c>
      <c r="G1215" s="107" t="s">
        <v>840</v>
      </c>
    </row>
    <row r="1216" spans="1:7">
      <c r="A1216" s="95"/>
      <c r="B1216" s="115"/>
      <c r="C1216" s="102"/>
      <c r="D1216" s="103" t="s">
        <v>322</v>
      </c>
      <c r="E1216" s="103" t="s">
        <v>323</v>
      </c>
      <c r="F1216" s="104" t="s">
        <v>324</v>
      </c>
      <c r="G1216" s="109" t="s">
        <v>325</v>
      </c>
    </row>
    <row r="1217" spans="1:8">
      <c r="A1217" s="95"/>
      <c r="B1217" s="826"/>
      <c r="C1217" s="827"/>
      <c r="D1217" s="96"/>
      <c r="E1217" s="96"/>
      <c r="F1217" s="96"/>
      <c r="G1217" s="116"/>
    </row>
    <row r="1218" spans="1:8" ht="13.5" thickBot="1">
      <c r="A1218" s="95"/>
      <c r="B1218" s="828" t="s">
        <v>841</v>
      </c>
      <c r="C1218" s="829"/>
      <c r="D1218" s="77"/>
      <c r="E1218" s="82"/>
      <c r="F1218" s="86"/>
      <c r="G1218" s="112"/>
    </row>
    <row r="1219" spans="1:8" ht="14.25" thickTop="1" thickBot="1">
      <c r="A1219" s="95"/>
      <c r="B1219" s="808"/>
      <c r="C1219" s="808"/>
      <c r="D1219" s="808"/>
      <c r="E1219" s="809"/>
      <c r="F1219" s="120" t="s">
        <v>856</v>
      </c>
      <c r="G1219" s="118">
        <f>SUM(G1214:G1218)</f>
        <v>0</v>
      </c>
    </row>
    <row r="1220" spans="1:8" ht="14.25" thickTop="1" thickBot="1">
      <c r="A1220" s="95"/>
      <c r="B1220" s="810"/>
      <c r="C1220" s="810"/>
      <c r="D1220" s="810"/>
      <c r="E1220" s="810"/>
      <c r="F1220" s="810"/>
      <c r="G1220" s="834"/>
    </row>
    <row r="1221" spans="1:8" ht="13.5" thickTop="1">
      <c r="A1221" s="95"/>
      <c r="B1221" s="811" t="s">
        <v>326</v>
      </c>
      <c r="C1221" s="812"/>
      <c r="D1221" s="812"/>
      <c r="E1221" s="812"/>
      <c r="F1221" s="813"/>
      <c r="G1221" s="121">
        <f>+G1187+G1201+G1212</f>
        <v>118259</v>
      </c>
    </row>
    <row r="1222" spans="1:8">
      <c r="A1222" s="95"/>
      <c r="B1222" s="814" t="s">
        <v>861</v>
      </c>
      <c r="C1222" s="815"/>
      <c r="D1222" s="815"/>
      <c r="E1222" s="816"/>
      <c r="F1222" s="128">
        <f>'MANO DE OBRA'!D59</f>
        <v>0</v>
      </c>
      <c r="G1222" s="122">
        <f>ROUND(G1221*F1222,0)</f>
        <v>0</v>
      </c>
    </row>
    <row r="1223" spans="1:8" ht="13.5" thickBot="1">
      <c r="A1223" s="95"/>
      <c r="B1223" s="805" t="s">
        <v>1049</v>
      </c>
      <c r="C1223" s="806"/>
      <c r="D1223" s="806"/>
      <c r="E1223" s="806"/>
      <c r="F1223" s="807"/>
      <c r="G1223" s="118">
        <f>ROUND(G1221+G1222,-2)</f>
        <v>118300</v>
      </c>
      <c r="H1223" s="505" t="s">
        <v>1670</v>
      </c>
    </row>
    <row r="1224" spans="1:8" ht="13.5" thickTop="1">
      <c r="A1224" s="95"/>
      <c r="B1224" s="326" t="s">
        <v>303</v>
      </c>
      <c r="C1224" s="325"/>
      <c r="D1224" s="325"/>
      <c r="E1224" s="325"/>
      <c r="F1224" s="327" t="s">
        <v>781</v>
      </c>
      <c r="G1224" s="328" t="s">
        <v>868</v>
      </c>
    </row>
    <row r="1225" spans="1:8">
      <c r="A1225" s="95"/>
      <c r="B1225" s="91" t="s">
        <v>834</v>
      </c>
      <c r="C1225" s="844" t="s">
        <v>368</v>
      </c>
      <c r="D1225" s="844"/>
      <c r="E1225" s="844"/>
      <c r="F1225" s="15" t="s">
        <v>833</v>
      </c>
      <c r="G1225" s="165" t="str">
        <f>'MANO DE OBRA'!D61</f>
        <v>Agosto de 2010</v>
      </c>
    </row>
    <row r="1226" spans="1:8" ht="13.5" thickBot="1">
      <c r="A1226" s="236"/>
      <c r="B1226" s="244" t="s">
        <v>835</v>
      </c>
      <c r="C1226" s="934" t="s">
        <v>338</v>
      </c>
      <c r="D1226" s="934"/>
      <c r="E1226" s="934"/>
      <c r="F1226" s="934"/>
      <c r="G1226" s="935"/>
    </row>
    <row r="1227" spans="1:8" ht="14.25" thickTop="1" thickBot="1">
      <c r="A1227" s="95"/>
      <c r="B1227" s="847"/>
      <c r="C1227" s="847"/>
      <c r="D1227" s="847"/>
      <c r="E1227" s="847"/>
      <c r="F1227" s="847"/>
      <c r="G1227" s="847"/>
    </row>
    <row r="1228" spans="1:8" ht="13.5" thickTop="1">
      <c r="A1228" s="95"/>
      <c r="B1228" s="811" t="s">
        <v>304</v>
      </c>
      <c r="C1228" s="812"/>
      <c r="D1228" s="812"/>
      <c r="E1228" s="812"/>
      <c r="F1228" s="812"/>
      <c r="G1228" s="825"/>
    </row>
    <row r="1229" spans="1:8">
      <c r="A1229" s="95"/>
      <c r="B1229" s="105"/>
      <c r="C1229" s="97"/>
      <c r="D1229" s="98" t="s">
        <v>301</v>
      </c>
      <c r="E1229" s="98" t="s">
        <v>1072</v>
      </c>
      <c r="F1229" s="99" t="s">
        <v>839</v>
      </c>
      <c r="G1229" s="107" t="s">
        <v>840</v>
      </c>
    </row>
    <row r="1230" spans="1:8">
      <c r="A1230" s="95"/>
      <c r="B1230" s="821" t="s">
        <v>838</v>
      </c>
      <c r="C1230" s="822"/>
      <c r="D1230" s="100" t="s">
        <v>308</v>
      </c>
      <c r="E1230" s="100" t="s">
        <v>305</v>
      </c>
      <c r="F1230" s="101" t="s">
        <v>306</v>
      </c>
      <c r="G1230" s="108" t="s">
        <v>310</v>
      </c>
    </row>
    <row r="1231" spans="1:8">
      <c r="A1231" s="95"/>
      <c r="B1231" s="115"/>
      <c r="C1231" s="102"/>
      <c r="D1231" s="103"/>
      <c r="E1231" s="103" t="s">
        <v>309</v>
      </c>
      <c r="F1231" s="104" t="s">
        <v>307</v>
      </c>
      <c r="G1231" s="109"/>
    </row>
    <row r="1232" spans="1:8">
      <c r="A1232" s="127"/>
      <c r="B1232" s="823" t="str">
        <f>'MAQUINARIA Y EQUIPOS'!C28</f>
        <v>HERRAMIENTAS MENORES</v>
      </c>
      <c r="C1232" s="824"/>
      <c r="D1232" s="87">
        <v>1</v>
      </c>
      <c r="E1232" s="82">
        <f>ROUND(G1212*0.05,0)</f>
        <v>848</v>
      </c>
      <c r="F1232" s="81">
        <v>1</v>
      </c>
      <c r="G1232" s="110">
        <f t="shared" ref="G1232:G1238" si="30">ROUND(D1232*E1232/F1232,0)</f>
        <v>848</v>
      </c>
    </row>
    <row r="1233" spans="1:8">
      <c r="A1233" s="95"/>
      <c r="B1233" s="835" t="str">
        <f>'MAQUINARIA Y EQUIPOS'!C53</f>
        <v>VIBRADOR A GASOLINA</v>
      </c>
      <c r="C1233" s="836"/>
      <c r="D1233" s="37">
        <v>1</v>
      </c>
      <c r="E1233" s="82">
        <f>'MAQUINARIA Y EQUIPOS'!D53</f>
        <v>51040</v>
      </c>
      <c r="F1233" s="83">
        <v>25</v>
      </c>
      <c r="G1233" s="111">
        <f t="shared" si="30"/>
        <v>2042</v>
      </c>
    </row>
    <row r="1234" spans="1:8">
      <c r="A1234" s="95"/>
      <c r="B1234" s="835" t="str">
        <f>'MAQUINARIA Y EQUIPOS'!$C$9</f>
        <v>ANDAMIO TUBULAR 1.50 m</v>
      </c>
      <c r="C1234" s="836"/>
      <c r="D1234" s="238">
        <v>8</v>
      </c>
      <c r="E1234" s="82">
        <f>'MAQUINARIA Y EQUIPOS'!$D$9</f>
        <v>754</v>
      </c>
      <c r="F1234" s="83">
        <f>F1259</f>
        <v>5</v>
      </c>
      <c r="G1234" s="111">
        <f t="shared" si="30"/>
        <v>1206</v>
      </c>
    </row>
    <row r="1235" spans="1:8">
      <c r="A1235" s="95"/>
      <c r="B1235" s="835" t="str">
        <f>'MAQUINARIA Y EQUIPOS'!C46</f>
        <v>TABLEROS DE 1.40 x 1.70</v>
      </c>
      <c r="C1235" s="836"/>
      <c r="D1235" s="37">
        <v>4</v>
      </c>
      <c r="E1235" s="82">
        <f>'MAQUINARIA Y EQUIPOS'!$D$46</f>
        <v>186</v>
      </c>
      <c r="F1235" s="83">
        <v>5</v>
      </c>
      <c r="G1235" s="111">
        <f t="shared" si="30"/>
        <v>149</v>
      </c>
    </row>
    <row r="1236" spans="1:8">
      <c r="A1236" s="95"/>
      <c r="B1236" s="835" t="str">
        <f>'MAQUINARIA Y EQUIPOS'!C13</f>
        <v>CERCHA METALICA 3.0 MTS</v>
      </c>
      <c r="C1236" s="836"/>
      <c r="D1236" s="37">
        <v>2</v>
      </c>
      <c r="E1236" s="82">
        <f>'MAQUINARIA Y EQUIPOS'!$D$13</f>
        <v>220</v>
      </c>
      <c r="F1236" s="83">
        <v>5</v>
      </c>
      <c r="G1236" s="111">
        <f t="shared" si="30"/>
        <v>88</v>
      </c>
    </row>
    <row r="1237" spans="1:8">
      <c r="A1237" s="95"/>
      <c r="B1237" s="835" t="str">
        <f>'MAQUINARIA Y EQUIPOS'!C38</f>
        <v>PARAL TELESCOPICO 4 MTS</v>
      </c>
      <c r="C1237" s="836"/>
      <c r="D1237" s="37">
        <v>6</v>
      </c>
      <c r="E1237" s="82">
        <f>'MAQUINARIA Y EQUIPOS'!$D$38</f>
        <v>290</v>
      </c>
      <c r="F1237" s="83">
        <v>5</v>
      </c>
      <c r="G1237" s="111">
        <f t="shared" si="30"/>
        <v>348</v>
      </c>
    </row>
    <row r="1238" spans="1:8" ht="13.5" thickBot="1">
      <c r="A1238" s="95"/>
      <c r="B1238" s="961" t="str">
        <f>'MAQUINARIA Y EQUIPOS'!C27</f>
        <v>GRUA EXTENSION</v>
      </c>
      <c r="C1238" s="829"/>
      <c r="D1238" s="77">
        <v>1</v>
      </c>
      <c r="E1238" s="82">
        <f>'MAQUINARIA Y EQUIPOS'!$D$27</f>
        <v>52200</v>
      </c>
      <c r="F1238" s="83">
        <v>5</v>
      </c>
      <c r="G1238" s="111">
        <f t="shared" si="30"/>
        <v>10440</v>
      </c>
    </row>
    <row r="1239" spans="1:8" ht="14.25" thickTop="1" thickBot="1">
      <c r="A1239" s="95"/>
      <c r="B1239" s="808"/>
      <c r="C1239" s="808"/>
      <c r="D1239" s="808"/>
      <c r="E1239" s="809"/>
      <c r="F1239" s="119" t="s">
        <v>856</v>
      </c>
      <c r="G1239" s="118">
        <f>SUM(G1232:G1238)</f>
        <v>15121</v>
      </c>
    </row>
    <row r="1240" spans="1:8" ht="14.25" thickTop="1" thickBot="1">
      <c r="A1240" s="95"/>
      <c r="B1240" s="830"/>
      <c r="C1240" s="830"/>
      <c r="D1240" s="830"/>
      <c r="E1240" s="830"/>
      <c r="F1240" s="830"/>
      <c r="G1240" s="830"/>
    </row>
    <row r="1241" spans="1:8" ht="13.5" thickTop="1">
      <c r="A1241" s="95"/>
      <c r="B1241" s="811" t="s">
        <v>311</v>
      </c>
      <c r="C1241" s="812"/>
      <c r="D1241" s="812"/>
      <c r="E1241" s="812"/>
      <c r="F1241" s="812"/>
      <c r="G1241" s="825"/>
    </row>
    <row r="1242" spans="1:8">
      <c r="A1242" s="95"/>
      <c r="B1242" s="817" t="s">
        <v>838</v>
      </c>
      <c r="C1242" s="818"/>
      <c r="D1242" s="98" t="s">
        <v>842</v>
      </c>
      <c r="E1242" s="98" t="s">
        <v>853</v>
      </c>
      <c r="F1242" s="99" t="s">
        <v>1047</v>
      </c>
      <c r="G1242" s="107" t="s">
        <v>840</v>
      </c>
    </row>
    <row r="1243" spans="1:8">
      <c r="A1243" s="95"/>
      <c r="B1243" s="115"/>
      <c r="C1243" s="102"/>
      <c r="D1243" s="100"/>
      <c r="E1243" s="100" t="s">
        <v>312</v>
      </c>
      <c r="F1243" s="101" t="s">
        <v>313</v>
      </c>
      <c r="G1243" s="108" t="s">
        <v>314</v>
      </c>
    </row>
    <row r="1244" spans="1:8" ht="14.25">
      <c r="A1244" s="125"/>
      <c r="B1244" s="841" t="str">
        <f>MATERIALES2!C35</f>
        <v>CONCRETO 1:2:3-3000 psi(MATERIALES)</v>
      </c>
      <c r="C1244" s="842"/>
      <c r="D1244" s="87" t="s">
        <v>1066</v>
      </c>
      <c r="E1244" s="142">
        <v>0.08</v>
      </c>
      <c r="F1244" s="80">
        <f>MATERIALES2!E35</f>
        <v>367600</v>
      </c>
      <c r="G1244" s="110">
        <f t="shared" ref="G1244:G1249" si="31">ROUND(E1244*F1244,0)</f>
        <v>29408</v>
      </c>
      <c r="H1244" s="309"/>
    </row>
    <row r="1245" spans="1:8">
      <c r="A1245" s="123"/>
      <c r="B1245" s="854" t="str">
        <f>MATERIALES2!C82</f>
        <v>HIERRO A-37</v>
      </c>
      <c r="C1245" s="855"/>
      <c r="D1245" s="37" t="s">
        <v>925</v>
      </c>
      <c r="E1245" s="83">
        <f>ROUND(1.1*7*0.56/3/2,2)</f>
        <v>0.72</v>
      </c>
      <c r="F1245" s="82">
        <f>MATERIALES2!E82</f>
        <v>2800</v>
      </c>
      <c r="G1245" s="111">
        <f t="shared" si="31"/>
        <v>2016</v>
      </c>
      <c r="H1245" s="309"/>
    </row>
    <row r="1246" spans="1:8">
      <c r="A1246" s="123"/>
      <c r="B1246" s="854" t="str">
        <f>MATERIALES2!C83</f>
        <v>HIERRO PDR 60</v>
      </c>
      <c r="C1246" s="855"/>
      <c r="D1246" s="37" t="s">
        <v>925</v>
      </c>
      <c r="E1246" s="83">
        <f>ROUND(1.1*9*1/3/2,2)</f>
        <v>1.65</v>
      </c>
      <c r="F1246" s="82">
        <f>MATERIALES2!E83</f>
        <v>2800</v>
      </c>
      <c r="G1246" s="111">
        <f t="shared" si="31"/>
        <v>4620</v>
      </c>
      <c r="H1246" s="309"/>
    </row>
    <row r="1247" spans="1:8">
      <c r="A1247" s="123"/>
      <c r="B1247" s="854" t="str">
        <f>MATERIALES2!C65</f>
        <v>ALAMBRE NEGRO</v>
      </c>
      <c r="C1247" s="855"/>
      <c r="D1247" s="37" t="s">
        <v>925</v>
      </c>
      <c r="E1247" s="83">
        <f>ROUND(7*9*0.4/105.26/6,2)</f>
        <v>0.04</v>
      </c>
      <c r="F1247" s="82">
        <f>MATERIALES2!E65</f>
        <v>2100</v>
      </c>
      <c r="G1247" s="111">
        <f t="shared" si="31"/>
        <v>84</v>
      </c>
      <c r="H1247" s="309"/>
    </row>
    <row r="1248" spans="1:8">
      <c r="A1248" s="123"/>
      <c r="B1248" s="854" t="str">
        <f>MATERIALES2!C156</f>
        <v>TABLA 1X4X10</v>
      </c>
      <c r="C1248" s="855"/>
      <c r="D1248" s="37" t="s">
        <v>865</v>
      </c>
      <c r="E1248" s="83">
        <f>ROUND(4/6,2)</f>
        <v>0.67</v>
      </c>
      <c r="F1248" s="82">
        <f>MATERIALES2!E156</f>
        <v>3400</v>
      </c>
      <c r="G1248" s="111">
        <f t="shared" si="31"/>
        <v>2278</v>
      </c>
      <c r="H1248" s="309"/>
    </row>
    <row r="1249" spans="1:8">
      <c r="A1249" s="123"/>
      <c r="B1249" s="854" t="str">
        <f>MATERIALES2!C919</f>
        <v>PUNTILLAS DE 3"</v>
      </c>
      <c r="C1249" s="855"/>
      <c r="D1249" s="239" t="s">
        <v>922</v>
      </c>
      <c r="E1249" s="53">
        <v>0.15</v>
      </c>
      <c r="F1249" s="82">
        <f>MATERIALES2!E919</f>
        <v>1500</v>
      </c>
      <c r="G1249" s="111">
        <f t="shared" si="31"/>
        <v>225</v>
      </c>
      <c r="H1249" s="505" t="s">
        <v>1670</v>
      </c>
    </row>
    <row r="1250" spans="1:8" ht="13.5" thickBot="1">
      <c r="A1250" s="95"/>
      <c r="B1250" s="839" t="s">
        <v>841</v>
      </c>
      <c r="C1250" s="840"/>
      <c r="D1250" s="84" t="s">
        <v>841</v>
      </c>
      <c r="E1250" s="84"/>
      <c r="F1250" s="85"/>
      <c r="G1250" s="112"/>
    </row>
    <row r="1251" spans="1:8" ht="13.5" thickTop="1">
      <c r="A1251" s="95"/>
      <c r="B1251" s="808"/>
      <c r="C1251" s="809"/>
      <c r="D1251" s="801" t="s">
        <v>856</v>
      </c>
      <c r="E1251" s="802"/>
      <c r="F1251" s="9"/>
      <c r="G1251" s="113">
        <f>SUM(G1244:G1250)</f>
        <v>38631</v>
      </c>
    </row>
    <row r="1252" spans="1:8">
      <c r="A1252" s="95"/>
      <c r="B1252" s="819"/>
      <c r="C1252" s="820"/>
      <c r="D1252" s="801" t="s">
        <v>857</v>
      </c>
      <c r="E1252" s="802"/>
      <c r="F1252" s="79">
        <f>'MANO DE OBRA'!D60</f>
        <v>0.05</v>
      </c>
      <c r="G1252" s="113">
        <f>ROUND(G1251*F1252,0)</f>
        <v>1932</v>
      </c>
    </row>
    <row r="1253" spans="1:8" ht="13.5" thickBot="1">
      <c r="A1253" s="95"/>
      <c r="B1253" s="819"/>
      <c r="C1253" s="820"/>
      <c r="D1253" s="803" t="s">
        <v>320</v>
      </c>
      <c r="E1253" s="804"/>
      <c r="F1253" s="114"/>
      <c r="G1253" s="118">
        <f>+G1251+G1252</f>
        <v>40563</v>
      </c>
    </row>
    <row r="1254" spans="1:8" ht="14.25" thickTop="1" thickBot="1">
      <c r="A1254" s="95"/>
      <c r="B1254" s="830"/>
      <c r="C1254" s="830"/>
      <c r="D1254" s="830"/>
      <c r="E1254" s="830"/>
      <c r="F1254" s="830"/>
      <c r="G1254" s="830"/>
    </row>
    <row r="1255" spans="1:8" ht="13.5" thickTop="1">
      <c r="A1255" s="95"/>
      <c r="B1255" s="811" t="s">
        <v>858</v>
      </c>
      <c r="C1255" s="812"/>
      <c r="D1255" s="812"/>
      <c r="E1255" s="812"/>
      <c r="F1255" s="812"/>
      <c r="G1255" s="825"/>
    </row>
    <row r="1256" spans="1:8">
      <c r="A1256" s="95"/>
      <c r="B1256" s="817"/>
      <c r="C1256" s="818"/>
      <c r="D1256" s="98" t="s">
        <v>301</v>
      </c>
      <c r="E1256" s="98" t="s">
        <v>859</v>
      </c>
      <c r="F1256" s="99" t="s">
        <v>839</v>
      </c>
      <c r="G1256" s="107" t="s">
        <v>840</v>
      </c>
    </row>
    <row r="1257" spans="1:8">
      <c r="A1257" s="95"/>
      <c r="B1257" s="821" t="s">
        <v>838</v>
      </c>
      <c r="C1257" s="822"/>
      <c r="D1257" s="100" t="s">
        <v>316</v>
      </c>
      <c r="E1257" s="100" t="s">
        <v>315</v>
      </c>
      <c r="F1257" s="101" t="s">
        <v>306</v>
      </c>
      <c r="G1257" s="108" t="s">
        <v>319</v>
      </c>
    </row>
    <row r="1258" spans="1:8">
      <c r="A1258" s="95"/>
      <c r="B1258" s="115"/>
      <c r="C1258" s="102"/>
      <c r="D1258" s="103"/>
      <c r="E1258" s="103" t="s">
        <v>317</v>
      </c>
      <c r="F1258" s="104" t="s">
        <v>318</v>
      </c>
      <c r="G1258" s="109"/>
    </row>
    <row r="1259" spans="1:8">
      <c r="A1259" s="95"/>
      <c r="B1259" s="823" t="str">
        <f>'MANO DE OBRA'!B10</f>
        <v>AYUDANTE CUAD. TIPO AA</v>
      </c>
      <c r="C1259" s="824"/>
      <c r="D1259" s="87">
        <v>2</v>
      </c>
      <c r="E1259" s="80">
        <f>'MANO DE OBRA'!E10</f>
        <v>34680</v>
      </c>
      <c r="F1259" s="81">
        <v>5</v>
      </c>
      <c r="G1259" s="110">
        <f>ROUND(D1259*E1259/F1259,0)</f>
        <v>13872</v>
      </c>
    </row>
    <row r="1260" spans="1:8">
      <c r="A1260" s="95"/>
      <c r="B1260" s="835" t="str">
        <f>'MANO DE OBRA'!B15</f>
        <v xml:space="preserve">OFICIAL CUAD. TIPO AA </v>
      </c>
      <c r="C1260" s="836"/>
      <c r="D1260" s="37">
        <v>1</v>
      </c>
      <c r="E1260" s="82">
        <f>'MANO DE OBRA'!E15</f>
        <v>71474</v>
      </c>
      <c r="F1260" s="83">
        <f>1+22.22</f>
        <v>23.22</v>
      </c>
      <c r="G1260" s="111">
        <f>ROUND(D1260*E1260/F1260,0)</f>
        <v>3078</v>
      </c>
    </row>
    <row r="1261" spans="1:8">
      <c r="A1261" s="95"/>
      <c r="B1261" s="835"/>
      <c r="C1261" s="836"/>
      <c r="D1261" s="89"/>
      <c r="E1261" s="82"/>
      <c r="F1261" s="83"/>
      <c r="G1261" s="111"/>
    </row>
    <row r="1262" spans="1:8">
      <c r="A1262" s="95"/>
      <c r="B1262" s="835" t="s">
        <v>841</v>
      </c>
      <c r="C1262" s="836"/>
      <c r="D1262" s="37"/>
      <c r="E1262" s="82"/>
      <c r="F1262" s="83"/>
      <c r="G1262" s="111"/>
    </row>
    <row r="1263" spans="1:8" ht="13.5" thickBot="1">
      <c r="A1263" s="95"/>
      <c r="B1263" s="828" t="s">
        <v>841</v>
      </c>
      <c r="C1263" s="829"/>
      <c r="D1263" s="77"/>
      <c r="E1263" s="82"/>
      <c r="F1263" s="86"/>
      <c r="G1263" s="112"/>
    </row>
    <row r="1264" spans="1:8" ht="14.25" thickTop="1" thickBot="1">
      <c r="A1264" s="95"/>
      <c r="B1264" s="808"/>
      <c r="C1264" s="808"/>
      <c r="D1264" s="808"/>
      <c r="E1264" s="809"/>
      <c r="F1264" s="120" t="s">
        <v>856</v>
      </c>
      <c r="G1264" s="118">
        <f>SUM(G1259:G1263)</f>
        <v>16950</v>
      </c>
    </row>
    <row r="1265" spans="1:8" ht="14.25" thickTop="1" thickBot="1">
      <c r="A1265" s="95"/>
      <c r="B1265" s="810"/>
      <c r="C1265" s="810"/>
      <c r="D1265" s="810"/>
      <c r="E1265" s="810"/>
      <c r="F1265" s="810"/>
      <c r="G1265" s="810"/>
    </row>
    <row r="1266" spans="1:8" ht="13.5" thickTop="1">
      <c r="A1266" s="95"/>
      <c r="B1266" s="811" t="s">
        <v>321</v>
      </c>
      <c r="C1266" s="812"/>
      <c r="D1266" s="812"/>
      <c r="E1266" s="812"/>
      <c r="F1266" s="812"/>
      <c r="G1266" s="825"/>
    </row>
    <row r="1267" spans="1:8">
      <c r="A1267" s="95"/>
      <c r="B1267" s="817" t="s">
        <v>838</v>
      </c>
      <c r="C1267" s="818"/>
      <c r="D1267" s="98" t="s">
        <v>301</v>
      </c>
      <c r="E1267" s="98" t="s">
        <v>297</v>
      </c>
      <c r="F1267" s="99" t="s">
        <v>839</v>
      </c>
      <c r="G1267" s="107" t="s">
        <v>840</v>
      </c>
    </row>
    <row r="1268" spans="1:8">
      <c r="A1268" s="95"/>
      <c r="B1268" s="115"/>
      <c r="C1268" s="102"/>
      <c r="D1268" s="103" t="s">
        <v>322</v>
      </c>
      <c r="E1268" s="103" t="s">
        <v>323</v>
      </c>
      <c r="F1268" s="104" t="s">
        <v>324</v>
      </c>
      <c r="G1268" s="109" t="s">
        <v>325</v>
      </c>
    </row>
    <row r="1269" spans="1:8">
      <c r="A1269" s="95"/>
      <c r="B1269" s="826"/>
      <c r="C1269" s="827"/>
      <c r="D1269" s="96"/>
      <c r="E1269" s="96"/>
      <c r="F1269" s="96"/>
      <c r="G1269" s="116"/>
    </row>
    <row r="1270" spans="1:8" ht="13.5" thickBot="1">
      <c r="A1270" s="95"/>
      <c r="B1270" s="828" t="s">
        <v>841</v>
      </c>
      <c r="C1270" s="829"/>
      <c r="D1270" s="77"/>
      <c r="E1270" s="82"/>
      <c r="F1270" s="86"/>
      <c r="G1270" s="112"/>
    </row>
    <row r="1271" spans="1:8" ht="14.25" thickTop="1" thickBot="1">
      <c r="A1271" s="95"/>
      <c r="B1271" s="808"/>
      <c r="C1271" s="808"/>
      <c r="D1271" s="808"/>
      <c r="E1271" s="809"/>
      <c r="F1271" s="120" t="s">
        <v>856</v>
      </c>
      <c r="G1271" s="118">
        <f>SUM(G1266:G1270)</f>
        <v>0</v>
      </c>
    </row>
    <row r="1272" spans="1:8" ht="14.25" thickTop="1" thickBot="1">
      <c r="A1272" s="95"/>
      <c r="B1272" s="810"/>
      <c r="C1272" s="810"/>
      <c r="D1272" s="810"/>
      <c r="E1272" s="810"/>
      <c r="F1272" s="810"/>
      <c r="G1272" s="834"/>
    </row>
    <row r="1273" spans="1:8" ht="13.5" thickTop="1">
      <c r="A1273" s="95"/>
      <c r="B1273" s="811" t="s">
        <v>326</v>
      </c>
      <c r="C1273" s="812"/>
      <c r="D1273" s="812"/>
      <c r="E1273" s="812"/>
      <c r="F1273" s="813"/>
      <c r="G1273" s="121">
        <f>+G1239+G1253+G1264</f>
        <v>72634</v>
      </c>
    </row>
    <row r="1274" spans="1:8">
      <c r="A1274" s="95"/>
      <c r="B1274" s="814" t="s">
        <v>861</v>
      </c>
      <c r="C1274" s="815"/>
      <c r="D1274" s="815"/>
      <c r="E1274" s="816"/>
      <c r="F1274" s="128">
        <f>'MANO DE OBRA'!D110</f>
        <v>0</v>
      </c>
      <c r="G1274" s="122">
        <f>ROUND(G1273*F1274,0)</f>
        <v>0</v>
      </c>
    </row>
    <row r="1275" spans="1:8" ht="13.5" thickBot="1">
      <c r="A1275" s="95"/>
      <c r="B1275" s="805" t="s">
        <v>1049</v>
      </c>
      <c r="C1275" s="806"/>
      <c r="D1275" s="806"/>
      <c r="E1275" s="806"/>
      <c r="F1275" s="807"/>
      <c r="G1275" s="118">
        <f>ROUND(G1273+G1274,-2)</f>
        <v>72600</v>
      </c>
      <c r="H1275" s="505" t="s">
        <v>1670</v>
      </c>
    </row>
    <row r="1276" spans="1:8" ht="13.5" thickTop="1">
      <c r="A1276" s="95"/>
      <c r="B1276" s="90" t="s">
        <v>303</v>
      </c>
      <c r="C1276" s="843"/>
      <c r="D1276" s="843"/>
      <c r="E1276" s="843"/>
      <c r="F1276" s="92" t="s">
        <v>781</v>
      </c>
      <c r="G1276" s="93" t="s">
        <v>831</v>
      </c>
    </row>
    <row r="1277" spans="1:8">
      <c r="A1277" s="95"/>
      <c r="B1277" s="91" t="s">
        <v>834</v>
      </c>
      <c r="C1277" s="844" t="s">
        <v>377</v>
      </c>
      <c r="D1277" s="844"/>
      <c r="E1277" s="844"/>
      <c r="F1277" s="15" t="s">
        <v>833</v>
      </c>
      <c r="G1277" s="165" t="str">
        <f>'MANO DE OBRA'!D61</f>
        <v>Agosto de 2010</v>
      </c>
    </row>
    <row r="1278" spans="1:8" ht="13.5" thickBot="1">
      <c r="A1278" s="127"/>
      <c r="B1278" s="94" t="s">
        <v>835</v>
      </c>
      <c r="C1278" s="845" t="s">
        <v>378</v>
      </c>
      <c r="D1278" s="845"/>
      <c r="E1278" s="845"/>
      <c r="F1278" s="845"/>
      <c r="G1278" s="846"/>
    </row>
    <row r="1279" spans="1:8" ht="14.25" thickTop="1" thickBot="1">
      <c r="A1279" s="95"/>
      <c r="B1279" s="847"/>
      <c r="C1279" s="847"/>
      <c r="D1279" s="847"/>
      <c r="E1279" s="847"/>
      <c r="F1279" s="847"/>
      <c r="G1279" s="847"/>
    </row>
    <row r="1280" spans="1:8" ht="13.5" thickTop="1">
      <c r="A1280" s="95"/>
      <c r="B1280" s="811" t="s">
        <v>304</v>
      </c>
      <c r="C1280" s="812"/>
      <c r="D1280" s="812"/>
      <c r="E1280" s="812"/>
      <c r="F1280" s="812"/>
      <c r="G1280" s="825"/>
    </row>
    <row r="1281" spans="1:7">
      <c r="A1281" s="95"/>
      <c r="B1281" s="105"/>
      <c r="C1281" s="97"/>
      <c r="D1281" s="98" t="s">
        <v>301</v>
      </c>
      <c r="E1281" s="98" t="s">
        <v>1072</v>
      </c>
      <c r="F1281" s="99" t="s">
        <v>839</v>
      </c>
      <c r="G1281" s="107" t="s">
        <v>840</v>
      </c>
    </row>
    <row r="1282" spans="1:7">
      <c r="A1282" s="95"/>
      <c r="B1282" s="821" t="s">
        <v>838</v>
      </c>
      <c r="C1282" s="822"/>
      <c r="D1282" s="100" t="s">
        <v>308</v>
      </c>
      <c r="E1282" s="100" t="s">
        <v>305</v>
      </c>
      <c r="F1282" s="101" t="s">
        <v>306</v>
      </c>
      <c r="G1282" s="108" t="s">
        <v>310</v>
      </c>
    </row>
    <row r="1283" spans="1:7">
      <c r="A1283" s="95"/>
      <c r="B1283" s="115"/>
      <c r="C1283" s="102"/>
      <c r="D1283" s="103"/>
      <c r="E1283" s="103" t="s">
        <v>309</v>
      </c>
      <c r="F1283" s="104" t="s">
        <v>307</v>
      </c>
      <c r="G1283" s="109"/>
    </row>
    <row r="1284" spans="1:7">
      <c r="A1284" s="127"/>
      <c r="B1284" s="823" t="str">
        <f>'MAQUINARIA Y EQUIPOS'!C28</f>
        <v>HERRAMIENTAS MENORES</v>
      </c>
      <c r="C1284" s="824"/>
      <c r="D1284" s="87">
        <v>1</v>
      </c>
      <c r="E1284" s="82">
        <f>ROUND(G1317*0.05,0)</f>
        <v>332</v>
      </c>
      <c r="F1284" s="81">
        <v>1</v>
      </c>
      <c r="G1284" s="110">
        <f t="shared" ref="G1284:G1289" si="32">ROUND(D1284*E1284/F1284,0)</f>
        <v>332</v>
      </c>
    </row>
    <row r="1285" spans="1:7">
      <c r="A1285" s="95"/>
      <c r="B1285" s="835" t="str">
        <f>'MAQUINARIA Y EQUIPOS'!C53</f>
        <v>VIBRADOR A GASOLINA</v>
      </c>
      <c r="C1285" s="836"/>
      <c r="D1285" s="37">
        <v>1</v>
      </c>
      <c r="E1285" s="82">
        <f>'MAQUINARIA Y EQUIPOS'!D53</f>
        <v>51040</v>
      </c>
      <c r="F1285" s="83">
        <v>25</v>
      </c>
      <c r="G1285" s="111">
        <f t="shared" si="32"/>
        <v>2042</v>
      </c>
    </row>
    <row r="1286" spans="1:7">
      <c r="A1286" s="95"/>
      <c r="B1286" s="835" t="str">
        <f>'MAQUINARIA Y EQUIPOS'!C9</f>
        <v>ANDAMIO TUBULAR 1.50 m</v>
      </c>
      <c r="C1286" s="836"/>
      <c r="D1286" s="37">
        <v>3</v>
      </c>
      <c r="E1286" s="82">
        <f>'MAQUINARIA Y EQUIPOS'!D9</f>
        <v>754</v>
      </c>
      <c r="F1286" s="83">
        <v>14.33</v>
      </c>
      <c r="G1286" s="111">
        <f t="shared" si="32"/>
        <v>158</v>
      </c>
    </row>
    <row r="1287" spans="1:7">
      <c r="A1287" s="95"/>
      <c r="B1287" s="835" t="str">
        <f>'MAQUINARIA Y EQUIPOS'!C47</f>
        <v>TABLONES 3m</v>
      </c>
      <c r="C1287" s="836"/>
      <c r="D1287" s="37">
        <v>2</v>
      </c>
      <c r="E1287" s="82">
        <f>'MAQUINARIA Y EQUIPOS'!D47</f>
        <v>348</v>
      </c>
      <c r="F1287" s="83">
        <v>14.33</v>
      </c>
      <c r="G1287" s="111">
        <f t="shared" si="32"/>
        <v>49</v>
      </c>
    </row>
    <row r="1288" spans="1:7">
      <c r="A1288" s="95"/>
      <c r="B1288" s="835" t="str">
        <f>'MAQUINARIA Y EQUIPOS'!C38</f>
        <v>PARAL TELESCOPICO 4 MTS</v>
      </c>
      <c r="C1288" s="836"/>
      <c r="D1288" s="37">
        <v>1</v>
      </c>
      <c r="E1288" s="82">
        <f>'MAQUINARIA Y EQUIPOS'!D38</f>
        <v>290</v>
      </c>
      <c r="F1288" s="83">
        <v>25</v>
      </c>
      <c r="G1288" s="111">
        <f t="shared" si="32"/>
        <v>12</v>
      </c>
    </row>
    <row r="1289" spans="1:7" ht="13.5" thickBot="1">
      <c r="A1289" s="95"/>
      <c r="B1289" s="835" t="str">
        <f>'MAQUINARIA Y EQUIPOS'!C13</f>
        <v>CERCHA METALICA 3.0 MTS</v>
      </c>
      <c r="C1289" s="836"/>
      <c r="D1289" s="77">
        <v>6</v>
      </c>
      <c r="E1289" s="82">
        <f>'MAQUINARIA Y EQUIPOS'!D13</f>
        <v>220</v>
      </c>
      <c r="F1289" s="86">
        <v>14.33</v>
      </c>
      <c r="G1289" s="111">
        <f t="shared" si="32"/>
        <v>92</v>
      </c>
    </row>
    <row r="1290" spans="1:7" ht="14.25" thickTop="1" thickBot="1">
      <c r="A1290" s="95"/>
      <c r="B1290" s="808"/>
      <c r="C1290" s="808"/>
      <c r="D1290" s="808"/>
      <c r="E1290" s="809"/>
      <c r="F1290" s="119" t="s">
        <v>856</v>
      </c>
      <c r="G1290" s="118">
        <f>SUM(G1284:G1289)</f>
        <v>2685</v>
      </c>
    </row>
    <row r="1291" spans="1:7" ht="14.25" thickTop="1" thickBot="1">
      <c r="A1291" s="95"/>
      <c r="B1291" s="830"/>
      <c r="C1291" s="830"/>
      <c r="D1291" s="830"/>
      <c r="E1291" s="830"/>
      <c r="F1291" s="830"/>
      <c r="G1291" s="830"/>
    </row>
    <row r="1292" spans="1:7" ht="13.5" thickTop="1">
      <c r="A1292" s="95"/>
      <c r="B1292" s="811" t="s">
        <v>311</v>
      </c>
      <c r="C1292" s="812"/>
      <c r="D1292" s="812"/>
      <c r="E1292" s="812"/>
      <c r="F1292" s="812"/>
      <c r="G1292" s="825"/>
    </row>
    <row r="1293" spans="1:7">
      <c r="A1293" s="95"/>
      <c r="B1293" s="817" t="s">
        <v>838</v>
      </c>
      <c r="C1293" s="818"/>
      <c r="D1293" s="98" t="s">
        <v>842</v>
      </c>
      <c r="E1293" s="98" t="s">
        <v>853</v>
      </c>
      <c r="F1293" s="99" t="s">
        <v>1047</v>
      </c>
      <c r="G1293" s="107" t="s">
        <v>840</v>
      </c>
    </row>
    <row r="1294" spans="1:7">
      <c r="A1294" s="95"/>
      <c r="B1294" s="115"/>
      <c r="C1294" s="102"/>
      <c r="D1294" s="100"/>
      <c r="E1294" s="100" t="s">
        <v>312</v>
      </c>
      <c r="F1294" s="101" t="s">
        <v>313</v>
      </c>
      <c r="G1294" s="108" t="s">
        <v>314</v>
      </c>
    </row>
    <row r="1295" spans="1:7" ht="14.25">
      <c r="A1295" s="125"/>
      <c r="B1295" s="841" t="str">
        <f>MATERIALES2!C35</f>
        <v>CONCRETO 1:2:3-3000 psi(MATERIALES)</v>
      </c>
      <c r="C1295" s="842"/>
      <c r="D1295" s="87" t="s">
        <v>1066</v>
      </c>
      <c r="E1295" s="81">
        <v>0.02</v>
      </c>
      <c r="F1295" s="80">
        <f>MATERIALES2!E35</f>
        <v>367600</v>
      </c>
      <c r="G1295" s="110">
        <f t="shared" ref="G1295:G1301" si="33">ROUND(E1295*F1295,0)</f>
        <v>7352</v>
      </c>
    </row>
    <row r="1296" spans="1:7">
      <c r="A1296" s="123"/>
      <c r="B1296" s="854" t="str">
        <f>MATERIALES2!C163</f>
        <v>TABLON 2x12x10</v>
      </c>
      <c r="C1296" s="855"/>
      <c r="D1296" s="37" t="s">
        <v>865</v>
      </c>
      <c r="E1296" s="83">
        <f>ROUND(16.67*3/3/4.5*0.03,2)</f>
        <v>0.11</v>
      </c>
      <c r="F1296" s="82">
        <f>MATERIALES2!E163</f>
        <v>20000</v>
      </c>
      <c r="G1296" s="111">
        <f t="shared" si="33"/>
        <v>2200</v>
      </c>
    </row>
    <row r="1297" spans="1:8">
      <c r="A1297" s="95"/>
      <c r="B1297" s="854" t="str">
        <f>MATERIALES2!C918</f>
        <v>PUNTILLAS DE 2"</v>
      </c>
      <c r="C1297" s="855"/>
      <c r="D1297" s="37" t="s">
        <v>922</v>
      </c>
      <c r="E1297" s="83">
        <f>3.8*0.03</f>
        <v>0.11399999999999999</v>
      </c>
      <c r="F1297" s="82">
        <f>MATERIALES2!E918</f>
        <v>1500</v>
      </c>
      <c r="G1297" s="111">
        <f t="shared" si="33"/>
        <v>171</v>
      </c>
    </row>
    <row r="1298" spans="1:8">
      <c r="A1298" s="95"/>
      <c r="B1298" s="854" t="str">
        <f>MATERIALES2!C151</f>
        <v>ABARCO DE 2X2X4,50</v>
      </c>
      <c r="C1298" s="855"/>
      <c r="D1298" s="37" t="s">
        <v>865</v>
      </c>
      <c r="E1298" s="83">
        <f>ROUND(16.67/3/4.5*0.03,2)</f>
        <v>0.04</v>
      </c>
      <c r="F1298" s="82">
        <f>MATERIALES2!E151</f>
        <v>5000</v>
      </c>
      <c r="G1298" s="111">
        <f t="shared" si="33"/>
        <v>200</v>
      </c>
    </row>
    <row r="1299" spans="1:8">
      <c r="A1299" s="95"/>
      <c r="B1299" s="854" t="str">
        <f>MATERIALES2!C62</f>
        <v>HIERRO CHIPA 3/8"</v>
      </c>
      <c r="C1299" s="855"/>
      <c r="D1299" s="37" t="s">
        <v>925</v>
      </c>
      <c r="E1299" s="83">
        <f>ROUND(12*0.5*0.3,2)</f>
        <v>1.8</v>
      </c>
      <c r="F1299" s="82">
        <f>MATERIALES2!E62</f>
        <v>2100</v>
      </c>
      <c r="G1299" s="111">
        <f t="shared" si="33"/>
        <v>3780</v>
      </c>
    </row>
    <row r="1300" spans="1:8">
      <c r="A1300" s="95"/>
      <c r="B1300" s="854" t="str">
        <f>MATERIALES2!C70</f>
        <v>VARILLA CORRUGADA ½" x 6.0 M</v>
      </c>
      <c r="C1300" s="855"/>
      <c r="D1300" s="37" t="s">
        <v>865</v>
      </c>
      <c r="E1300" s="83">
        <v>0.83</v>
      </c>
      <c r="F1300" s="82">
        <f>MATERIALES2!E70</f>
        <v>9300</v>
      </c>
      <c r="G1300" s="111">
        <f t="shared" si="33"/>
        <v>7719</v>
      </c>
    </row>
    <row r="1301" spans="1:8">
      <c r="A1301" s="95"/>
      <c r="B1301" s="854" t="str">
        <f>MATERIALES2!C65</f>
        <v>ALAMBRE NEGRO</v>
      </c>
      <c r="C1301" s="855"/>
      <c r="D1301" s="37" t="s">
        <v>925</v>
      </c>
      <c r="E1301" s="83">
        <v>0.23</v>
      </c>
      <c r="F1301" s="82">
        <f>MATERIALES2!E65</f>
        <v>2100</v>
      </c>
      <c r="G1301" s="111">
        <f t="shared" si="33"/>
        <v>483</v>
      </c>
      <c r="H1301" s="505" t="s">
        <v>1670</v>
      </c>
    </row>
    <row r="1302" spans="1:8">
      <c r="A1302" s="95"/>
      <c r="B1302" s="938" t="s">
        <v>841</v>
      </c>
      <c r="C1302" s="939"/>
      <c r="D1302" s="53" t="s">
        <v>841</v>
      </c>
      <c r="E1302" s="53"/>
      <c r="F1302" s="82"/>
      <c r="G1302" s="111"/>
    </row>
    <row r="1303" spans="1:8" ht="13.5" thickBot="1">
      <c r="A1303" s="95"/>
      <c r="B1303" s="839" t="s">
        <v>841</v>
      </c>
      <c r="C1303" s="840"/>
      <c r="D1303" s="84" t="s">
        <v>841</v>
      </c>
      <c r="E1303" s="84"/>
      <c r="F1303" s="85"/>
      <c r="G1303" s="112"/>
    </row>
    <row r="1304" spans="1:8" ht="13.5" thickTop="1">
      <c r="A1304" s="95"/>
      <c r="B1304" s="808"/>
      <c r="C1304" s="809"/>
      <c r="D1304" s="801" t="s">
        <v>856</v>
      </c>
      <c r="E1304" s="802"/>
      <c r="F1304" s="9"/>
      <c r="G1304" s="113">
        <f>SUM(G1295:G1303)</f>
        <v>21905</v>
      </c>
    </row>
    <row r="1305" spans="1:8">
      <c r="A1305" s="95"/>
      <c r="B1305" s="819"/>
      <c r="C1305" s="820"/>
      <c r="D1305" s="801" t="s">
        <v>857</v>
      </c>
      <c r="E1305" s="802"/>
      <c r="F1305" s="79">
        <f>'MANO DE OBRA'!D60</f>
        <v>0.05</v>
      </c>
      <c r="G1305" s="113">
        <f>ROUND(G1304*F1305,0)</f>
        <v>1095</v>
      </c>
    </row>
    <row r="1306" spans="1:8" ht="13.5" thickBot="1">
      <c r="A1306" s="95"/>
      <c r="B1306" s="819"/>
      <c r="C1306" s="820"/>
      <c r="D1306" s="803" t="s">
        <v>320</v>
      </c>
      <c r="E1306" s="804"/>
      <c r="F1306" s="114"/>
      <c r="G1306" s="118">
        <f>+G1304+G1305</f>
        <v>23000</v>
      </c>
    </row>
    <row r="1307" spans="1:8" ht="14.25" thickTop="1" thickBot="1">
      <c r="A1307" s="95"/>
      <c r="B1307" s="830"/>
      <c r="C1307" s="830"/>
      <c r="D1307" s="830"/>
      <c r="E1307" s="830"/>
      <c r="F1307" s="830"/>
      <c r="G1307" s="830"/>
    </row>
    <row r="1308" spans="1:8" ht="13.5" thickTop="1">
      <c r="A1308" s="95"/>
      <c r="B1308" s="811" t="s">
        <v>858</v>
      </c>
      <c r="C1308" s="812"/>
      <c r="D1308" s="812"/>
      <c r="E1308" s="812"/>
      <c r="F1308" s="812"/>
      <c r="G1308" s="825"/>
    </row>
    <row r="1309" spans="1:8">
      <c r="A1309" s="95"/>
      <c r="B1309" s="817"/>
      <c r="C1309" s="818"/>
      <c r="D1309" s="98" t="s">
        <v>301</v>
      </c>
      <c r="E1309" s="98" t="s">
        <v>859</v>
      </c>
      <c r="F1309" s="99" t="s">
        <v>839</v>
      </c>
      <c r="G1309" s="107" t="s">
        <v>840</v>
      </c>
    </row>
    <row r="1310" spans="1:8">
      <c r="A1310" s="95"/>
      <c r="B1310" s="821" t="s">
        <v>838</v>
      </c>
      <c r="C1310" s="822"/>
      <c r="D1310" s="100" t="s">
        <v>316</v>
      </c>
      <c r="E1310" s="100" t="s">
        <v>315</v>
      </c>
      <c r="F1310" s="101" t="s">
        <v>306</v>
      </c>
      <c r="G1310" s="108" t="s">
        <v>319</v>
      </c>
    </row>
    <row r="1311" spans="1:8">
      <c r="A1311" s="95"/>
      <c r="B1311" s="115"/>
      <c r="C1311" s="102"/>
      <c r="D1311" s="103"/>
      <c r="E1311" s="103" t="s">
        <v>317</v>
      </c>
      <c r="F1311" s="104" t="s">
        <v>318</v>
      </c>
      <c r="G1311" s="109"/>
    </row>
    <row r="1312" spans="1:8">
      <c r="A1312" s="95"/>
      <c r="B1312" s="823" t="str">
        <f>'MANO DE OBRA'!B10</f>
        <v>AYUDANTE CUAD. TIPO AA</v>
      </c>
      <c r="C1312" s="824"/>
      <c r="D1312" s="87">
        <v>1</v>
      </c>
      <c r="E1312" s="80">
        <f>'MANO DE OBRA'!E10</f>
        <v>34680</v>
      </c>
      <c r="F1312" s="81">
        <v>16</v>
      </c>
      <c r="G1312" s="110">
        <f>ROUND(D1312*E1312/F1312,0)</f>
        <v>2168</v>
      </c>
    </row>
    <row r="1313" spans="1:8">
      <c r="A1313" s="95"/>
      <c r="B1313" s="835" t="str">
        <f>'MANO DE OBRA'!B15</f>
        <v xml:space="preserve">OFICIAL CUAD. TIPO AA </v>
      </c>
      <c r="C1313" s="836"/>
      <c r="D1313" s="37">
        <v>1</v>
      </c>
      <c r="E1313" s="82">
        <f>'MANO DE OBRA'!E15</f>
        <v>71474</v>
      </c>
      <c r="F1313" s="83">
        <v>16</v>
      </c>
      <c r="G1313" s="111">
        <f>ROUND(D1313*E1313/F1313,0)</f>
        <v>4467</v>
      </c>
    </row>
    <row r="1314" spans="1:8">
      <c r="A1314" s="95"/>
      <c r="B1314" s="835"/>
      <c r="C1314" s="836"/>
      <c r="D1314" s="89"/>
      <c r="E1314" s="82"/>
      <c r="F1314" s="83"/>
      <c r="G1314" s="111"/>
    </row>
    <row r="1315" spans="1:8">
      <c r="A1315" s="95"/>
      <c r="B1315" s="835" t="s">
        <v>841</v>
      </c>
      <c r="C1315" s="836"/>
      <c r="D1315" s="37"/>
      <c r="E1315" s="82"/>
      <c r="F1315" s="83"/>
      <c r="G1315" s="111"/>
    </row>
    <row r="1316" spans="1:8" ht="13.5" thickBot="1">
      <c r="A1316" s="95"/>
      <c r="B1316" s="828" t="s">
        <v>841</v>
      </c>
      <c r="C1316" s="829"/>
      <c r="D1316" s="77"/>
      <c r="E1316" s="82"/>
      <c r="F1316" s="86"/>
      <c r="G1316" s="112"/>
    </row>
    <row r="1317" spans="1:8" ht="14.25" thickTop="1" thickBot="1">
      <c r="A1317" s="95"/>
      <c r="B1317" s="808"/>
      <c r="C1317" s="808"/>
      <c r="D1317" s="808"/>
      <c r="E1317" s="809"/>
      <c r="F1317" s="120" t="s">
        <v>856</v>
      </c>
      <c r="G1317" s="118">
        <f>SUM(G1312:G1316)</f>
        <v>6635</v>
      </c>
    </row>
    <row r="1318" spans="1:8" ht="14.25" thickTop="1" thickBot="1">
      <c r="A1318" s="95"/>
      <c r="B1318" s="810"/>
      <c r="C1318" s="810"/>
      <c r="D1318" s="810"/>
      <c r="E1318" s="810"/>
      <c r="F1318" s="810"/>
      <c r="G1318" s="810"/>
    </row>
    <row r="1319" spans="1:8" ht="13.5" thickTop="1">
      <c r="A1319" s="95"/>
      <c r="B1319" s="811" t="s">
        <v>321</v>
      </c>
      <c r="C1319" s="812"/>
      <c r="D1319" s="812"/>
      <c r="E1319" s="812"/>
      <c r="F1319" s="812"/>
      <c r="G1319" s="825"/>
    </row>
    <row r="1320" spans="1:8">
      <c r="A1320" s="95"/>
      <c r="B1320" s="817" t="s">
        <v>838</v>
      </c>
      <c r="C1320" s="818"/>
      <c r="D1320" s="98" t="s">
        <v>301</v>
      </c>
      <c r="E1320" s="98" t="s">
        <v>297</v>
      </c>
      <c r="F1320" s="99" t="s">
        <v>839</v>
      </c>
      <c r="G1320" s="107" t="s">
        <v>840</v>
      </c>
    </row>
    <row r="1321" spans="1:8">
      <c r="A1321" s="95"/>
      <c r="B1321" s="115"/>
      <c r="C1321" s="102"/>
      <c r="D1321" s="103" t="s">
        <v>322</v>
      </c>
      <c r="E1321" s="103" t="s">
        <v>323</v>
      </c>
      <c r="F1321" s="104" t="s">
        <v>324</v>
      </c>
      <c r="G1321" s="109" t="s">
        <v>325</v>
      </c>
    </row>
    <row r="1322" spans="1:8">
      <c r="A1322" s="95"/>
      <c r="B1322" s="826"/>
      <c r="C1322" s="827"/>
      <c r="D1322" s="96"/>
      <c r="E1322" s="96"/>
      <c r="F1322" s="96"/>
      <c r="G1322" s="116"/>
    </row>
    <row r="1323" spans="1:8" ht="13.5" thickBot="1">
      <c r="A1323" s="95"/>
      <c r="B1323" s="828" t="s">
        <v>841</v>
      </c>
      <c r="C1323" s="829"/>
      <c r="D1323" s="77"/>
      <c r="E1323" s="82"/>
      <c r="F1323" s="86"/>
      <c r="G1323" s="112"/>
    </row>
    <row r="1324" spans="1:8" ht="14.25" thickTop="1" thickBot="1">
      <c r="A1324" s="95"/>
      <c r="B1324" s="808"/>
      <c r="C1324" s="808"/>
      <c r="D1324" s="808"/>
      <c r="E1324" s="809"/>
      <c r="F1324" s="120" t="s">
        <v>856</v>
      </c>
      <c r="G1324" s="118">
        <f>SUM(G1319:G1323)</f>
        <v>0</v>
      </c>
    </row>
    <row r="1325" spans="1:8" ht="14.25" thickTop="1" thickBot="1">
      <c r="A1325" s="95"/>
      <c r="B1325" s="810"/>
      <c r="C1325" s="810"/>
      <c r="D1325" s="810"/>
      <c r="E1325" s="810"/>
      <c r="F1325" s="810"/>
      <c r="G1325" s="834"/>
    </row>
    <row r="1326" spans="1:8" ht="13.5" thickTop="1">
      <c r="A1326" s="95"/>
      <c r="B1326" s="811" t="s">
        <v>326</v>
      </c>
      <c r="C1326" s="812"/>
      <c r="D1326" s="812"/>
      <c r="E1326" s="812"/>
      <c r="F1326" s="813"/>
      <c r="G1326" s="121">
        <f>+G1290+G1306+G1317</f>
        <v>32320</v>
      </c>
    </row>
    <row r="1327" spans="1:8">
      <c r="A1327" s="95"/>
      <c r="B1327" s="814" t="s">
        <v>861</v>
      </c>
      <c r="C1327" s="815"/>
      <c r="D1327" s="815"/>
      <c r="E1327" s="816"/>
      <c r="F1327" s="128">
        <f>'MANO DE OBRA'!D638</f>
        <v>0</v>
      </c>
      <c r="G1327" s="122">
        <f>ROUND(G1326*F1327,0)</f>
        <v>0</v>
      </c>
    </row>
    <row r="1328" spans="1:8" ht="13.5" thickBot="1">
      <c r="A1328" s="95"/>
      <c r="B1328" s="805" t="s">
        <v>1049</v>
      </c>
      <c r="C1328" s="806"/>
      <c r="D1328" s="806"/>
      <c r="E1328" s="806"/>
      <c r="F1328" s="807"/>
      <c r="G1328" s="118">
        <f>ROUND(G1326+G1327,-2)</f>
        <v>32300</v>
      </c>
      <c r="H1328" s="505" t="s">
        <v>1670</v>
      </c>
    </row>
    <row r="1329" spans="1:7" ht="13.5" thickTop="1">
      <c r="A1329" s="95"/>
      <c r="B1329" s="326" t="s">
        <v>303</v>
      </c>
      <c r="C1329" s="325"/>
      <c r="D1329" s="325"/>
      <c r="E1329" s="325"/>
      <c r="F1329" s="327" t="s">
        <v>167</v>
      </c>
      <c r="G1329" s="328" t="s">
        <v>831</v>
      </c>
    </row>
    <row r="1330" spans="1:7">
      <c r="B1330" s="91" t="s">
        <v>834</v>
      </c>
      <c r="C1330" s="844" t="s">
        <v>377</v>
      </c>
      <c r="D1330" s="844"/>
      <c r="E1330" s="844"/>
      <c r="F1330" s="15" t="s">
        <v>833</v>
      </c>
      <c r="G1330" s="165" t="str">
        <f>'MANO DE OBRA'!D61</f>
        <v>Agosto de 2010</v>
      </c>
    </row>
    <row r="1331" spans="1:7" ht="13.5" thickBot="1">
      <c r="B1331" s="244" t="s">
        <v>835</v>
      </c>
      <c r="C1331" s="934" t="s">
        <v>588</v>
      </c>
      <c r="D1331" s="934"/>
      <c r="E1331" s="934"/>
      <c r="F1331" s="934"/>
      <c r="G1331" s="935"/>
    </row>
    <row r="1332" spans="1:7" ht="14.25" thickTop="1" thickBot="1">
      <c r="B1332" s="847"/>
      <c r="C1332" s="847"/>
      <c r="D1332" s="847"/>
      <c r="E1332" s="847"/>
      <c r="F1332" s="847"/>
      <c r="G1332" s="847"/>
    </row>
    <row r="1333" spans="1:7" ht="13.5" thickTop="1">
      <c r="B1333" s="811" t="s">
        <v>304</v>
      </c>
      <c r="C1333" s="812"/>
      <c r="D1333" s="812"/>
      <c r="E1333" s="812"/>
      <c r="F1333" s="812"/>
      <c r="G1333" s="825"/>
    </row>
    <row r="1334" spans="1:7">
      <c r="B1334" s="105"/>
      <c r="C1334" s="97"/>
      <c r="D1334" s="98" t="s">
        <v>301</v>
      </c>
      <c r="E1334" s="98" t="s">
        <v>1072</v>
      </c>
      <c r="F1334" s="99" t="s">
        <v>839</v>
      </c>
      <c r="G1334" s="107" t="s">
        <v>840</v>
      </c>
    </row>
    <row r="1335" spans="1:7">
      <c r="B1335" s="821" t="s">
        <v>838</v>
      </c>
      <c r="C1335" s="822"/>
      <c r="D1335" s="100" t="s">
        <v>308</v>
      </c>
      <c r="E1335" s="100" t="s">
        <v>305</v>
      </c>
      <c r="F1335" s="101" t="s">
        <v>306</v>
      </c>
      <c r="G1335" s="108" t="s">
        <v>310</v>
      </c>
    </row>
    <row r="1336" spans="1:7">
      <c r="B1336" s="115"/>
      <c r="C1336" s="102"/>
      <c r="D1336" s="103"/>
      <c r="E1336" s="103" t="s">
        <v>309</v>
      </c>
      <c r="F1336" s="104" t="s">
        <v>307</v>
      </c>
      <c r="G1336" s="109"/>
    </row>
    <row r="1337" spans="1:7">
      <c r="B1337" s="823" t="str">
        <f>'MAQUINARIA Y EQUIPOS'!C28</f>
        <v>HERRAMIENTAS MENORES</v>
      </c>
      <c r="C1337" s="824"/>
      <c r="D1337" s="87">
        <v>1</v>
      </c>
      <c r="E1337" s="82">
        <f>ROUND(G1317*0.05,0)</f>
        <v>332</v>
      </c>
      <c r="F1337" s="81">
        <v>1</v>
      </c>
      <c r="G1337" s="110">
        <f>ROUND(D1337*E1337/F1337,0)</f>
        <v>332</v>
      </c>
    </row>
    <row r="1338" spans="1:7">
      <c r="B1338" s="953" t="str">
        <f>'MAQUINARIA Y EQUIPOS'!C25</f>
        <v>EQUIPO PARA PULIR PISOS</v>
      </c>
      <c r="C1338" s="836"/>
      <c r="D1338" s="37">
        <v>1</v>
      </c>
      <c r="E1338" s="82">
        <f>'MAQUINARIA Y EQUIPOS'!D25</f>
        <v>50000</v>
      </c>
      <c r="F1338" s="83">
        <v>40</v>
      </c>
      <c r="G1338" s="111">
        <f>ROUND(D1338*E1338/F1338,0)</f>
        <v>1250</v>
      </c>
    </row>
    <row r="1339" spans="1:7">
      <c r="B1339" s="835"/>
      <c r="C1339" s="836"/>
      <c r="D1339" s="238"/>
      <c r="E1339" s="82"/>
      <c r="F1339" s="83"/>
      <c r="G1339" s="111"/>
    </row>
    <row r="1340" spans="1:7">
      <c r="B1340" s="91"/>
      <c r="C1340" s="4"/>
      <c r="D1340" s="53"/>
      <c r="E1340" s="4"/>
      <c r="F1340" s="53"/>
      <c r="G1340" s="310"/>
    </row>
    <row r="1341" spans="1:7">
      <c r="B1341" s="835"/>
      <c r="C1341" s="836"/>
      <c r="D1341" s="37"/>
      <c r="E1341" s="82"/>
      <c r="F1341" s="83"/>
      <c r="G1341" s="111"/>
    </row>
    <row r="1342" spans="1:7">
      <c r="B1342" s="91"/>
      <c r="C1342" s="4"/>
      <c r="D1342" s="53"/>
      <c r="E1342" s="4"/>
      <c r="F1342" s="53"/>
      <c r="G1342" s="310"/>
    </row>
    <row r="1343" spans="1:7" ht="13.5" thickBot="1">
      <c r="B1343" s="961"/>
      <c r="C1343" s="829"/>
      <c r="D1343" s="77"/>
      <c r="E1343" s="82"/>
      <c r="F1343" s="83"/>
      <c r="G1343" s="111"/>
    </row>
    <row r="1344" spans="1:7" ht="14.25" thickTop="1" thickBot="1">
      <c r="B1344" s="808"/>
      <c r="C1344" s="808"/>
      <c r="D1344" s="808"/>
      <c r="E1344" s="809"/>
      <c r="F1344" s="119" t="s">
        <v>856</v>
      </c>
      <c r="G1344" s="118">
        <f>SUM(G1337:G1343)</f>
        <v>1582</v>
      </c>
    </row>
    <row r="1345" spans="2:8" ht="14.25" thickTop="1" thickBot="1">
      <c r="B1345" s="830"/>
      <c r="C1345" s="830"/>
      <c r="D1345" s="830"/>
      <c r="E1345" s="830"/>
      <c r="F1345" s="830"/>
      <c r="G1345" s="830"/>
    </row>
    <row r="1346" spans="2:8" ht="13.5" thickTop="1">
      <c r="B1346" s="811" t="s">
        <v>311</v>
      </c>
      <c r="C1346" s="812"/>
      <c r="D1346" s="812"/>
      <c r="E1346" s="812"/>
      <c r="F1346" s="812"/>
      <c r="G1346" s="825"/>
    </row>
    <row r="1347" spans="2:8">
      <c r="B1347" s="817" t="s">
        <v>838</v>
      </c>
      <c r="C1347" s="818"/>
      <c r="D1347" s="98" t="s">
        <v>842</v>
      </c>
      <c r="E1347" s="98" t="s">
        <v>853</v>
      </c>
      <c r="F1347" s="99" t="s">
        <v>1047</v>
      </c>
      <c r="G1347" s="107" t="s">
        <v>840</v>
      </c>
    </row>
    <row r="1348" spans="2:8">
      <c r="B1348" s="115"/>
      <c r="C1348" s="102"/>
      <c r="D1348" s="100"/>
      <c r="E1348" s="100" t="s">
        <v>312</v>
      </c>
      <c r="F1348" s="101" t="s">
        <v>313</v>
      </c>
      <c r="G1348" s="108" t="s">
        <v>314</v>
      </c>
    </row>
    <row r="1349" spans="2:8" ht="14.25">
      <c r="B1349" s="826" t="str">
        <f>'CONCRETOS - HIERROS'!C114</f>
        <v>CONCRETO 1:2:4 2500 psi</v>
      </c>
      <c r="C1349" s="960"/>
      <c r="D1349" s="87" t="s">
        <v>1066</v>
      </c>
      <c r="E1349" s="313">
        <v>0.12</v>
      </c>
      <c r="F1349" s="80">
        <f>'CONCRETOS - HIERROS'!G164</f>
        <v>351700</v>
      </c>
      <c r="G1349" s="315">
        <f t="shared" ref="G1349:G1354" si="34">ROUND(E1349*F1349,0)</f>
        <v>42204</v>
      </c>
    </row>
    <row r="1350" spans="2:8">
      <c r="B1350" s="854" t="str">
        <f>MATERIALES2!C83</f>
        <v>HIERRO PDR 60</v>
      </c>
      <c r="C1350" s="956"/>
      <c r="D1350" s="37" t="s">
        <v>925</v>
      </c>
      <c r="E1350" s="314">
        <v>10</v>
      </c>
      <c r="F1350" s="82">
        <f>MATERIALES2!E83</f>
        <v>2800</v>
      </c>
      <c r="G1350" s="316">
        <f t="shared" si="34"/>
        <v>28000</v>
      </c>
    </row>
    <row r="1351" spans="2:8">
      <c r="B1351" s="854" t="str">
        <f>MATERIALES2!C65</f>
        <v>ALAMBRE NEGRO</v>
      </c>
      <c r="C1351" s="956"/>
      <c r="D1351" s="37" t="s">
        <v>925</v>
      </c>
      <c r="E1351" s="314">
        <v>0.24</v>
      </c>
      <c r="F1351" s="82">
        <f>MATERIALES2!E65</f>
        <v>2100</v>
      </c>
      <c r="G1351" s="316">
        <f t="shared" si="34"/>
        <v>504</v>
      </c>
    </row>
    <row r="1352" spans="2:8">
      <c r="B1352" s="869" t="s">
        <v>873</v>
      </c>
      <c r="C1352" s="959"/>
      <c r="D1352" s="350" t="s">
        <v>1351</v>
      </c>
      <c r="E1352" s="380">
        <v>0.3</v>
      </c>
      <c r="F1352" s="156">
        <f>'MAQUINARIA Y EQUIPOS'!D70</f>
        <v>10000</v>
      </c>
      <c r="G1352" s="415">
        <f t="shared" si="34"/>
        <v>3000</v>
      </c>
    </row>
    <row r="1353" spans="2:8">
      <c r="B1353" s="413" t="str">
        <f>MAMPOSTERIA!C325</f>
        <v>MURO LADRILLO TOLETE COMUN e = 0.12 M, MORTERO DE PEGA 1:4, e = 1.5 Cm</v>
      </c>
      <c r="C1353" s="414"/>
      <c r="D1353" s="350" t="s">
        <v>868</v>
      </c>
      <c r="E1353" s="324">
        <v>0.2</v>
      </c>
      <c r="F1353" s="156">
        <f>MAMPOSTERIA!G375</f>
        <v>38200</v>
      </c>
      <c r="G1353" s="415">
        <f t="shared" si="34"/>
        <v>7640</v>
      </c>
    </row>
    <row r="1354" spans="2:8">
      <c r="B1354" s="957" t="s">
        <v>168</v>
      </c>
      <c r="C1354" s="958"/>
      <c r="D1354" s="350" t="s">
        <v>868</v>
      </c>
      <c r="E1354" s="380">
        <v>1.05</v>
      </c>
      <c r="F1354" s="156">
        <f>PISOS!G937</f>
        <v>51343</v>
      </c>
      <c r="G1354" s="415">
        <f t="shared" si="34"/>
        <v>53910</v>
      </c>
    </row>
    <row r="1355" spans="2:8">
      <c r="B1355" s="91"/>
      <c r="C1355" s="4"/>
      <c r="D1355" s="53"/>
      <c r="E1355" s="53"/>
      <c r="F1355" s="53"/>
      <c r="G1355" s="310"/>
    </row>
    <row r="1356" spans="2:8">
      <c r="B1356" s="246"/>
      <c r="C1356" s="312"/>
      <c r="D1356" s="37"/>
      <c r="E1356" s="314"/>
      <c r="F1356" s="82"/>
      <c r="G1356" s="316"/>
    </row>
    <row r="1357" spans="2:8">
      <c r="B1357" s="91"/>
      <c r="C1357" s="4"/>
      <c r="D1357" s="53"/>
      <c r="E1357" s="4"/>
      <c r="F1357" s="53"/>
      <c r="G1357" s="310"/>
      <c r="H1357" s="505" t="s">
        <v>1670</v>
      </c>
    </row>
    <row r="1358" spans="2:8" ht="13.5" thickBot="1">
      <c r="B1358" s="91"/>
      <c r="C1358" s="4"/>
      <c r="D1358" s="84"/>
      <c r="E1358" s="4"/>
      <c r="F1358" s="84"/>
      <c r="G1358" s="310"/>
    </row>
    <row r="1359" spans="2:8" ht="13.5" thickTop="1">
      <c r="B1359" s="808"/>
      <c r="C1359" s="809"/>
      <c r="D1359" s="801" t="s">
        <v>856</v>
      </c>
      <c r="E1359" s="802"/>
      <c r="F1359" s="9"/>
      <c r="G1359" s="113">
        <f>SUM(G1349:G1357)</f>
        <v>135258</v>
      </c>
    </row>
    <row r="1360" spans="2:8">
      <c r="B1360" s="819"/>
      <c r="C1360" s="820"/>
      <c r="D1360" s="801" t="s">
        <v>857</v>
      </c>
      <c r="E1360" s="802"/>
      <c r="F1360" s="79">
        <f>'MANO DE OBRA'!D164</f>
        <v>0</v>
      </c>
      <c r="G1360" s="113">
        <f>ROUND(G1359*F1360,0)</f>
        <v>0</v>
      </c>
    </row>
    <row r="1361" spans="2:7" ht="13.5" thickBot="1">
      <c r="B1361" s="819"/>
      <c r="C1361" s="820"/>
      <c r="D1361" s="803" t="s">
        <v>320</v>
      </c>
      <c r="E1361" s="804"/>
      <c r="F1361" s="114"/>
      <c r="G1361" s="118">
        <f>+G1359+G1360</f>
        <v>135258</v>
      </c>
    </row>
    <row r="1362" spans="2:7" ht="14.25" thickTop="1" thickBot="1">
      <c r="B1362" s="830"/>
      <c r="C1362" s="830"/>
      <c r="D1362" s="830"/>
      <c r="E1362" s="830"/>
      <c r="F1362" s="830"/>
      <c r="G1362" s="830"/>
    </row>
    <row r="1363" spans="2:7" ht="13.5" thickTop="1">
      <c r="B1363" s="811" t="s">
        <v>858</v>
      </c>
      <c r="C1363" s="812"/>
      <c r="D1363" s="812"/>
      <c r="E1363" s="812"/>
      <c r="F1363" s="812"/>
      <c r="G1363" s="825"/>
    </row>
    <row r="1364" spans="2:7">
      <c r="B1364" s="817"/>
      <c r="C1364" s="818"/>
      <c r="D1364" s="98" t="s">
        <v>301</v>
      </c>
      <c r="E1364" s="98" t="s">
        <v>859</v>
      </c>
      <c r="F1364" s="99" t="s">
        <v>839</v>
      </c>
      <c r="G1364" s="107" t="s">
        <v>840</v>
      </c>
    </row>
    <row r="1365" spans="2:7">
      <c r="B1365" s="821" t="s">
        <v>838</v>
      </c>
      <c r="C1365" s="822"/>
      <c r="D1365" s="100" t="s">
        <v>316</v>
      </c>
      <c r="E1365" s="100" t="s">
        <v>315</v>
      </c>
      <c r="F1365" s="101" t="s">
        <v>306</v>
      </c>
      <c r="G1365" s="108" t="s">
        <v>319</v>
      </c>
    </row>
    <row r="1366" spans="2:7">
      <c r="B1366" s="115"/>
      <c r="C1366" s="102"/>
      <c r="D1366" s="103"/>
      <c r="E1366" s="103" t="s">
        <v>317</v>
      </c>
      <c r="F1366" s="104" t="s">
        <v>318</v>
      </c>
      <c r="G1366" s="109"/>
    </row>
    <row r="1367" spans="2:7">
      <c r="B1367" s="823" t="str">
        <f>'MANO DE OBRA'!B10</f>
        <v>AYUDANTE CUAD. TIPO AA</v>
      </c>
      <c r="C1367" s="824"/>
      <c r="D1367" s="87">
        <v>2</v>
      </c>
      <c r="E1367" s="80">
        <f>'MANO DE OBRA'!E10</f>
        <v>34680</v>
      </c>
      <c r="F1367" s="81">
        <v>5</v>
      </c>
      <c r="G1367" s="110">
        <f>ROUND(D1367*E1367/F1367,0)</f>
        <v>13872</v>
      </c>
    </row>
    <row r="1368" spans="2:7">
      <c r="B1368" s="835" t="str">
        <f>'MANO DE OBRA'!B15</f>
        <v xml:space="preserve">OFICIAL CUAD. TIPO AA </v>
      </c>
      <c r="C1368" s="836"/>
      <c r="D1368" s="37">
        <v>1</v>
      </c>
      <c r="E1368" s="311">
        <f>'MANO DE OBRA'!E15</f>
        <v>71474</v>
      </c>
      <c r="F1368" s="83">
        <v>5</v>
      </c>
      <c r="G1368" s="111">
        <f>ROUND(D1368*E1368/F1368,0)</f>
        <v>14295</v>
      </c>
    </row>
    <row r="1369" spans="2:7">
      <c r="B1369" s="835"/>
      <c r="C1369" s="836"/>
      <c r="D1369" s="89"/>
      <c r="E1369" s="82"/>
      <c r="F1369" s="83"/>
      <c r="G1369" s="111"/>
    </row>
    <row r="1370" spans="2:7">
      <c r="B1370" s="835" t="s">
        <v>841</v>
      </c>
      <c r="C1370" s="836"/>
      <c r="D1370" s="37"/>
      <c r="E1370" s="82"/>
      <c r="F1370" s="83"/>
      <c r="G1370" s="111"/>
    </row>
    <row r="1371" spans="2:7" ht="13.5" thickBot="1">
      <c r="B1371" s="828" t="s">
        <v>841</v>
      </c>
      <c r="C1371" s="829"/>
      <c r="D1371" s="77"/>
      <c r="E1371" s="82"/>
      <c r="F1371" s="86"/>
      <c r="G1371" s="112"/>
    </row>
    <row r="1372" spans="2:7" ht="14.25" thickTop="1" thickBot="1">
      <c r="B1372" s="808"/>
      <c r="C1372" s="808"/>
      <c r="D1372" s="808"/>
      <c r="E1372" s="809"/>
      <c r="F1372" s="120" t="s">
        <v>856</v>
      </c>
      <c r="G1372" s="118">
        <f>SUM(G1367:G1371)</f>
        <v>28167</v>
      </c>
    </row>
    <row r="1373" spans="2:7" ht="14.25" thickTop="1" thickBot="1">
      <c r="B1373" s="810"/>
      <c r="C1373" s="810"/>
      <c r="D1373" s="810"/>
      <c r="E1373" s="810"/>
      <c r="F1373" s="810"/>
      <c r="G1373" s="810"/>
    </row>
    <row r="1374" spans="2:7" ht="13.5" thickTop="1">
      <c r="B1374" s="811" t="s">
        <v>321</v>
      </c>
      <c r="C1374" s="812"/>
      <c r="D1374" s="812"/>
      <c r="E1374" s="812"/>
      <c r="F1374" s="812"/>
      <c r="G1374" s="825"/>
    </row>
    <row r="1375" spans="2:7">
      <c r="B1375" s="817" t="s">
        <v>838</v>
      </c>
      <c r="C1375" s="818"/>
      <c r="D1375" s="98" t="s">
        <v>301</v>
      </c>
      <c r="E1375" s="98" t="s">
        <v>297</v>
      </c>
      <c r="F1375" s="99" t="s">
        <v>839</v>
      </c>
      <c r="G1375" s="107" t="s">
        <v>840</v>
      </c>
    </row>
    <row r="1376" spans="2:7">
      <c r="B1376" s="115"/>
      <c r="C1376" s="102"/>
      <c r="D1376" s="103" t="s">
        <v>322</v>
      </c>
      <c r="E1376" s="103" t="s">
        <v>323</v>
      </c>
      <c r="F1376" s="104" t="s">
        <v>324</v>
      </c>
      <c r="G1376" s="109" t="s">
        <v>325</v>
      </c>
    </row>
    <row r="1377" spans="1:8">
      <c r="B1377" s="826"/>
      <c r="C1377" s="827"/>
      <c r="D1377" s="96"/>
      <c r="E1377" s="96"/>
      <c r="F1377" s="96"/>
      <c r="G1377" s="116"/>
    </row>
    <row r="1378" spans="1:8" ht="13.5" thickBot="1">
      <c r="B1378" s="828" t="s">
        <v>841</v>
      </c>
      <c r="C1378" s="829"/>
      <c r="D1378" s="77"/>
      <c r="E1378" s="82"/>
      <c r="F1378" s="86"/>
      <c r="G1378" s="112"/>
    </row>
    <row r="1379" spans="1:8" ht="14.25" thickTop="1" thickBot="1">
      <c r="B1379" s="808"/>
      <c r="C1379" s="808"/>
      <c r="D1379" s="808"/>
      <c r="E1379" s="809"/>
      <c r="F1379" s="120" t="s">
        <v>856</v>
      </c>
      <c r="G1379" s="118">
        <f>SUM(G1374:G1378)</f>
        <v>0</v>
      </c>
    </row>
    <row r="1380" spans="1:8" ht="14.25" thickTop="1" thickBot="1">
      <c r="B1380" s="810"/>
      <c r="C1380" s="810"/>
      <c r="D1380" s="810"/>
      <c r="E1380" s="810"/>
      <c r="F1380" s="810"/>
      <c r="G1380" s="834"/>
    </row>
    <row r="1381" spans="1:8" ht="13.5" thickTop="1">
      <c r="B1381" s="811" t="s">
        <v>326</v>
      </c>
      <c r="C1381" s="812"/>
      <c r="D1381" s="812"/>
      <c r="E1381" s="812"/>
      <c r="F1381" s="813"/>
      <c r="G1381" s="121">
        <f>+G1344+G1361+G1372</f>
        <v>165007</v>
      </c>
    </row>
    <row r="1382" spans="1:8">
      <c r="B1382" s="814" t="s">
        <v>861</v>
      </c>
      <c r="C1382" s="815"/>
      <c r="D1382" s="815"/>
      <c r="E1382" s="816"/>
      <c r="F1382" s="128">
        <f>'MANO DE OBRA'!D214</f>
        <v>0</v>
      </c>
      <c r="G1382" s="122">
        <f>ROUND(G1381*F1382,0)</f>
        <v>0</v>
      </c>
    </row>
    <row r="1383" spans="1:8" ht="13.5" thickBot="1">
      <c r="B1383" s="805" t="s">
        <v>1049</v>
      </c>
      <c r="C1383" s="806"/>
      <c r="D1383" s="806"/>
      <c r="E1383" s="806"/>
      <c r="F1383" s="807"/>
      <c r="G1383" s="118">
        <f>ROUND(G1381+G1382,-2)</f>
        <v>165000</v>
      </c>
      <c r="H1383" s="505" t="s">
        <v>1670</v>
      </c>
    </row>
    <row r="1384" spans="1:8" ht="13.5" thickTop="1">
      <c r="A1384" s="95"/>
      <c r="B1384" s="90" t="s">
        <v>303</v>
      </c>
      <c r="C1384" s="843"/>
      <c r="D1384" s="843"/>
      <c r="E1384" s="843"/>
      <c r="F1384" s="92" t="s">
        <v>781</v>
      </c>
      <c r="G1384" s="93" t="s">
        <v>831</v>
      </c>
    </row>
    <row r="1385" spans="1:8">
      <c r="A1385" s="95"/>
      <c r="B1385" s="91" t="s">
        <v>834</v>
      </c>
      <c r="C1385" s="844" t="s">
        <v>368</v>
      </c>
      <c r="D1385" s="844"/>
      <c r="E1385" s="844"/>
      <c r="F1385" s="15" t="s">
        <v>833</v>
      </c>
      <c r="G1385" s="165" t="str">
        <f>'MANO DE OBRA'!D61</f>
        <v>Agosto de 2010</v>
      </c>
    </row>
    <row r="1386" spans="1:8" ht="13.5" thickBot="1">
      <c r="A1386" s="127"/>
      <c r="B1386" s="94" t="s">
        <v>835</v>
      </c>
      <c r="C1386" s="845" t="s">
        <v>169</v>
      </c>
      <c r="D1386" s="845"/>
      <c r="E1386" s="845"/>
      <c r="F1386" s="845"/>
      <c r="G1386" s="846"/>
    </row>
    <row r="1387" spans="1:8" ht="14.25" thickTop="1" thickBot="1">
      <c r="A1387" s="95"/>
      <c r="B1387" s="847"/>
      <c r="C1387" s="847"/>
      <c r="D1387" s="847"/>
      <c r="E1387" s="847"/>
      <c r="F1387" s="847"/>
      <c r="G1387" s="847"/>
    </row>
    <row r="1388" spans="1:8" ht="13.5" thickTop="1">
      <c r="A1388" s="95"/>
      <c r="B1388" s="811" t="s">
        <v>304</v>
      </c>
      <c r="C1388" s="812"/>
      <c r="D1388" s="812"/>
      <c r="E1388" s="812"/>
      <c r="F1388" s="812"/>
      <c r="G1388" s="825"/>
    </row>
    <row r="1389" spans="1:8">
      <c r="A1389" s="95"/>
      <c r="B1389" s="105"/>
      <c r="C1389" s="97"/>
      <c r="D1389" s="98" t="s">
        <v>301</v>
      </c>
      <c r="E1389" s="98" t="s">
        <v>1072</v>
      </c>
      <c r="F1389" s="99" t="s">
        <v>839</v>
      </c>
      <c r="G1389" s="107" t="s">
        <v>840</v>
      </c>
    </row>
    <row r="1390" spans="1:8">
      <c r="A1390" s="95"/>
      <c r="B1390" s="821" t="s">
        <v>838</v>
      </c>
      <c r="C1390" s="822"/>
      <c r="D1390" s="100" t="s">
        <v>308</v>
      </c>
      <c r="E1390" s="100" t="s">
        <v>305</v>
      </c>
      <c r="F1390" s="101" t="s">
        <v>306</v>
      </c>
      <c r="G1390" s="108" t="s">
        <v>310</v>
      </c>
    </row>
    <row r="1391" spans="1:8">
      <c r="A1391" s="95"/>
      <c r="B1391" s="115"/>
      <c r="C1391" s="102"/>
      <c r="D1391" s="103"/>
      <c r="E1391" s="103" t="s">
        <v>309</v>
      </c>
      <c r="F1391" s="104" t="s">
        <v>307</v>
      </c>
      <c r="G1391" s="109"/>
    </row>
    <row r="1392" spans="1:8">
      <c r="A1392" s="127"/>
      <c r="B1392" s="823" t="str">
        <f>'MAQUINARIA Y EQUIPOS'!C28</f>
        <v>HERRAMIENTAS MENORES</v>
      </c>
      <c r="C1392" s="824"/>
      <c r="D1392" s="87">
        <v>1</v>
      </c>
      <c r="E1392" s="82">
        <f>ROUND(G1425*0.05,0)</f>
        <v>531</v>
      </c>
      <c r="F1392" s="81">
        <v>1</v>
      </c>
      <c r="G1392" s="110">
        <f>ROUND(D1392*E1392/F1392,0)</f>
        <v>531</v>
      </c>
    </row>
    <row r="1393" spans="1:7">
      <c r="A1393" s="95"/>
      <c r="B1393" s="835" t="str">
        <f>'MAQUINARIA Y EQUIPOS'!C53</f>
        <v>VIBRADOR A GASOLINA</v>
      </c>
      <c r="C1393" s="836"/>
      <c r="D1393" s="37">
        <v>1</v>
      </c>
      <c r="E1393" s="82">
        <f>'MAQUINARIA Y EQUIPOS'!D53</f>
        <v>51040</v>
      </c>
      <c r="F1393" s="83">
        <v>25</v>
      </c>
      <c r="G1393" s="111">
        <f>ROUND(D1393*E1393/F1393,0)</f>
        <v>2042</v>
      </c>
    </row>
    <row r="1394" spans="1:7">
      <c r="A1394" s="95"/>
      <c r="B1394" s="835" t="str">
        <f>'MAQUINARIA Y EQUIPOS'!C9</f>
        <v>ANDAMIO TUBULAR 1.50 m</v>
      </c>
      <c r="C1394" s="836"/>
      <c r="D1394" s="37">
        <v>2</v>
      </c>
      <c r="E1394" s="82">
        <f>'MAQUINARIA Y EQUIPOS'!D9</f>
        <v>754</v>
      </c>
      <c r="F1394" s="83">
        <f>+F1420</f>
        <v>10</v>
      </c>
      <c r="G1394" s="111">
        <f>ROUND(D1394*E1394/F1394,0)</f>
        <v>151</v>
      </c>
    </row>
    <row r="1395" spans="1:7">
      <c r="A1395" s="95"/>
      <c r="B1395" s="835" t="str">
        <f>'MAQUINARIA Y EQUIPOS'!C37</f>
        <v>PARAL TELESCOPICO 3 MTS</v>
      </c>
      <c r="C1395" s="836"/>
      <c r="D1395" s="37">
        <v>4</v>
      </c>
      <c r="E1395" s="82">
        <f>'MAQUINARIA Y EQUIPOS'!D37</f>
        <v>290</v>
      </c>
      <c r="F1395" s="83">
        <f>+F1420</f>
        <v>10</v>
      </c>
      <c r="G1395" s="111">
        <f>ROUND(D1395*E1395/F1395,0)</f>
        <v>116</v>
      </c>
    </row>
    <row r="1396" spans="1:7">
      <c r="A1396" s="95"/>
      <c r="B1396" s="835" t="str">
        <f>'MAQUINARIA Y EQUIPOS'!C47</f>
        <v>TABLONES 3m</v>
      </c>
      <c r="C1396" s="836"/>
      <c r="D1396" s="37">
        <v>2</v>
      </c>
      <c r="E1396" s="82">
        <f>'MAQUINARIA Y EQUIPOS'!D47</f>
        <v>348</v>
      </c>
      <c r="F1396" s="83">
        <f>+F1421</f>
        <v>10</v>
      </c>
      <c r="G1396" s="111">
        <f>ROUND(D1396*E1396/F1396,0)</f>
        <v>70</v>
      </c>
    </row>
    <row r="1397" spans="1:7" ht="13.5" thickBot="1">
      <c r="A1397" s="95"/>
      <c r="B1397" s="839" t="s">
        <v>841</v>
      </c>
      <c r="C1397" s="840"/>
      <c r="D1397" s="77"/>
      <c r="E1397" s="106"/>
      <c r="F1397" s="86"/>
      <c r="G1397" s="112"/>
    </row>
    <row r="1398" spans="1:7" ht="14.25" thickTop="1" thickBot="1">
      <c r="A1398" s="95"/>
      <c r="B1398" s="808"/>
      <c r="C1398" s="808"/>
      <c r="D1398" s="808"/>
      <c r="E1398" s="809"/>
      <c r="F1398" s="119" t="s">
        <v>856</v>
      </c>
      <c r="G1398" s="118">
        <f>SUM(G1392:G1397)</f>
        <v>2910</v>
      </c>
    </row>
    <row r="1399" spans="1:7" ht="14.25" thickTop="1" thickBot="1">
      <c r="A1399" s="95"/>
      <c r="B1399" s="830"/>
      <c r="C1399" s="830"/>
      <c r="D1399" s="830"/>
      <c r="E1399" s="830"/>
      <c r="F1399" s="830"/>
      <c r="G1399" s="830"/>
    </row>
    <row r="1400" spans="1:7" ht="13.5" thickTop="1">
      <c r="A1400" s="95"/>
      <c r="B1400" s="811" t="s">
        <v>311</v>
      </c>
      <c r="C1400" s="812"/>
      <c r="D1400" s="812"/>
      <c r="E1400" s="812"/>
      <c r="F1400" s="812"/>
      <c r="G1400" s="825"/>
    </row>
    <row r="1401" spans="1:7">
      <c r="A1401" s="95"/>
      <c r="B1401" s="817" t="s">
        <v>838</v>
      </c>
      <c r="C1401" s="818"/>
      <c r="D1401" s="98" t="s">
        <v>842</v>
      </c>
      <c r="E1401" s="98" t="s">
        <v>853</v>
      </c>
      <c r="F1401" s="99" t="s">
        <v>1047</v>
      </c>
      <c r="G1401" s="107" t="s">
        <v>840</v>
      </c>
    </row>
    <row r="1402" spans="1:7">
      <c r="A1402" s="95"/>
      <c r="B1402" s="115"/>
      <c r="C1402" s="102"/>
      <c r="D1402" s="100"/>
      <c r="E1402" s="100" t="s">
        <v>312</v>
      </c>
      <c r="F1402" s="101" t="s">
        <v>313</v>
      </c>
      <c r="G1402" s="108" t="s">
        <v>314</v>
      </c>
    </row>
    <row r="1403" spans="1:7" ht="14.25">
      <c r="A1403" s="125"/>
      <c r="B1403" s="841" t="str">
        <f>MATERIALES2!C35</f>
        <v>CONCRETO 1:2:3-3000 psi(MATERIALES)</v>
      </c>
      <c r="C1403" s="842"/>
      <c r="D1403" s="87" t="s">
        <v>1066</v>
      </c>
      <c r="E1403" s="317">
        <v>2.2499999999999999E-2</v>
      </c>
      <c r="F1403" s="80">
        <f>MATERIALES2!E35</f>
        <v>367600</v>
      </c>
      <c r="G1403" s="110">
        <f t="shared" ref="G1403:G1409" si="35">ROUND(E1403*F1403,0)</f>
        <v>8271</v>
      </c>
    </row>
    <row r="1404" spans="1:7">
      <c r="A1404" s="123"/>
      <c r="B1404" s="854" t="str">
        <f>MATERIALES2!C163</f>
        <v>TABLON 2x12x10</v>
      </c>
      <c r="C1404" s="855"/>
      <c r="D1404" s="37" t="s">
        <v>865</v>
      </c>
      <c r="E1404" s="83">
        <f>ROUND(4*1/3/4,2)</f>
        <v>0.33</v>
      </c>
      <c r="F1404" s="82">
        <f>MATERIALES2!E163</f>
        <v>20000</v>
      </c>
      <c r="G1404" s="111">
        <f t="shared" si="35"/>
        <v>6600</v>
      </c>
    </row>
    <row r="1405" spans="1:7">
      <c r="A1405" s="95"/>
      <c r="B1405" s="854" t="str">
        <f>MATERIALES2!C151</f>
        <v>ABARCO DE 2X2X4,50</v>
      </c>
      <c r="C1405" s="855"/>
      <c r="D1405" s="37" t="s">
        <v>865</v>
      </c>
      <c r="E1405" s="83">
        <f>ROUND((0.4*2+0.25*2)*3/4.5/4,2)</f>
        <v>0.22</v>
      </c>
      <c r="F1405" s="82">
        <f>MATERIALES2!E151</f>
        <v>5000</v>
      </c>
      <c r="G1405" s="111">
        <f t="shared" si="35"/>
        <v>1100</v>
      </c>
    </row>
    <row r="1406" spans="1:7">
      <c r="A1406" s="95"/>
      <c r="B1406" s="854" t="str">
        <f>MATERIALES2!C919</f>
        <v>PUNTILLAS DE 3"</v>
      </c>
      <c r="C1406" s="855"/>
      <c r="D1406" s="37" t="s">
        <v>922</v>
      </c>
      <c r="E1406" s="83">
        <v>0.5</v>
      </c>
      <c r="F1406" s="82">
        <f>MATERIALES2!E919</f>
        <v>1500</v>
      </c>
      <c r="G1406" s="111">
        <f t="shared" si="35"/>
        <v>750</v>
      </c>
    </row>
    <row r="1407" spans="1:7">
      <c r="A1407" s="95"/>
      <c r="B1407" s="854" t="str">
        <f>MATERIALES2!C62</f>
        <v>HIERRO CHIPA 3/8"</v>
      </c>
      <c r="C1407" s="855"/>
      <c r="D1407" s="37" t="s">
        <v>925</v>
      </c>
      <c r="E1407" s="146">
        <f>ROUND(12*0.5*0.3,2)</f>
        <v>1.8</v>
      </c>
      <c r="F1407" s="82">
        <f>MATERIALES2!E62</f>
        <v>2100</v>
      </c>
      <c r="G1407" s="111">
        <f t="shared" si="35"/>
        <v>3780</v>
      </c>
    </row>
    <row r="1408" spans="1:7">
      <c r="A1408" s="95"/>
      <c r="B1408" s="854" t="str">
        <f>MATERIALES2!C70</f>
        <v>VARILLA CORRUGADA ½" x 6.0 M</v>
      </c>
      <c r="C1408" s="855"/>
      <c r="D1408" s="37" t="s">
        <v>865</v>
      </c>
      <c r="E1408" s="146">
        <v>0.93</v>
      </c>
      <c r="F1408" s="82">
        <f>MATERIALES2!E70</f>
        <v>9300</v>
      </c>
      <c r="G1408" s="111">
        <f t="shared" si="35"/>
        <v>8649</v>
      </c>
    </row>
    <row r="1409" spans="1:8">
      <c r="A1409" s="95"/>
      <c r="B1409" s="854" t="str">
        <f>MATERIALES2!C65</f>
        <v>ALAMBRE NEGRO</v>
      </c>
      <c r="C1409" s="855"/>
      <c r="D1409" s="37" t="s">
        <v>925</v>
      </c>
      <c r="E1409" s="160">
        <v>0.23</v>
      </c>
      <c r="F1409" s="82">
        <f>MATERIALES2!E65</f>
        <v>2100</v>
      </c>
      <c r="G1409" s="111">
        <f t="shared" si="35"/>
        <v>483</v>
      </c>
    </row>
    <row r="1410" spans="1:8">
      <c r="A1410" s="95"/>
      <c r="B1410" s="938" t="s">
        <v>841</v>
      </c>
      <c r="C1410" s="939"/>
      <c r="D1410" s="53" t="s">
        <v>841</v>
      </c>
      <c r="E1410" s="53"/>
      <c r="F1410" s="82"/>
      <c r="G1410" s="111"/>
      <c r="H1410" s="505" t="s">
        <v>1670</v>
      </c>
    </row>
    <row r="1411" spans="1:8" ht="13.5" thickBot="1">
      <c r="A1411" s="95"/>
      <c r="B1411" s="839" t="s">
        <v>841</v>
      </c>
      <c r="C1411" s="840"/>
      <c r="D1411" s="84" t="s">
        <v>841</v>
      </c>
      <c r="E1411" s="84"/>
      <c r="F1411" s="85"/>
      <c r="G1411" s="112"/>
    </row>
    <row r="1412" spans="1:8" ht="13.5" thickTop="1">
      <c r="A1412" s="95"/>
      <c r="B1412" s="808"/>
      <c r="C1412" s="809"/>
      <c r="D1412" s="801" t="s">
        <v>856</v>
      </c>
      <c r="E1412" s="802"/>
      <c r="F1412" s="9"/>
      <c r="G1412" s="113">
        <f>SUM(G1403:G1411)</f>
        <v>29633</v>
      </c>
    </row>
    <row r="1413" spans="1:8">
      <c r="A1413" s="95"/>
      <c r="B1413" s="819"/>
      <c r="C1413" s="820"/>
      <c r="D1413" s="801" t="s">
        <v>857</v>
      </c>
      <c r="E1413" s="802"/>
      <c r="F1413" s="79">
        <f>'MANO DE OBRA'!D1329</f>
        <v>0</v>
      </c>
      <c r="G1413" s="113">
        <f>ROUND(G1412*F1413,0)</f>
        <v>0</v>
      </c>
    </row>
    <row r="1414" spans="1:8" ht="13.5" thickBot="1">
      <c r="A1414" s="95"/>
      <c r="B1414" s="819"/>
      <c r="C1414" s="820"/>
      <c r="D1414" s="803" t="s">
        <v>320</v>
      </c>
      <c r="E1414" s="804"/>
      <c r="F1414" s="114"/>
      <c r="G1414" s="118">
        <f>+G1412+G1413</f>
        <v>29633</v>
      </c>
    </row>
    <row r="1415" spans="1:8" ht="14.25" thickTop="1" thickBot="1">
      <c r="A1415" s="95"/>
      <c r="B1415" s="830"/>
      <c r="C1415" s="830"/>
      <c r="D1415" s="830"/>
      <c r="E1415" s="830"/>
      <c r="F1415" s="830"/>
      <c r="G1415" s="830"/>
    </row>
    <row r="1416" spans="1:8" ht="13.5" thickTop="1">
      <c r="A1416" s="95"/>
      <c r="B1416" s="811" t="s">
        <v>858</v>
      </c>
      <c r="C1416" s="812"/>
      <c r="D1416" s="812"/>
      <c r="E1416" s="812"/>
      <c r="F1416" s="812"/>
      <c r="G1416" s="825"/>
    </row>
    <row r="1417" spans="1:8">
      <c r="A1417" s="95"/>
      <c r="B1417" s="817"/>
      <c r="C1417" s="818"/>
      <c r="D1417" s="98" t="s">
        <v>301</v>
      </c>
      <c r="E1417" s="98" t="s">
        <v>859</v>
      </c>
      <c r="F1417" s="99" t="s">
        <v>839</v>
      </c>
      <c r="G1417" s="107" t="s">
        <v>840</v>
      </c>
    </row>
    <row r="1418" spans="1:8">
      <c r="A1418" s="95"/>
      <c r="B1418" s="821" t="s">
        <v>838</v>
      </c>
      <c r="C1418" s="822"/>
      <c r="D1418" s="100" t="s">
        <v>316</v>
      </c>
      <c r="E1418" s="100" t="s">
        <v>315</v>
      </c>
      <c r="F1418" s="101" t="s">
        <v>306</v>
      </c>
      <c r="G1418" s="108" t="s">
        <v>319</v>
      </c>
    </row>
    <row r="1419" spans="1:8">
      <c r="A1419" s="95"/>
      <c r="B1419" s="115"/>
      <c r="C1419" s="102"/>
      <c r="D1419" s="103"/>
      <c r="E1419" s="103" t="s">
        <v>317</v>
      </c>
      <c r="F1419" s="104" t="s">
        <v>318</v>
      </c>
      <c r="G1419" s="109"/>
    </row>
    <row r="1420" spans="1:8">
      <c r="A1420" s="95"/>
      <c r="B1420" s="823" t="str">
        <f>'MANO DE OBRA'!B10</f>
        <v>AYUDANTE CUAD. TIPO AA</v>
      </c>
      <c r="C1420" s="824"/>
      <c r="D1420" s="87">
        <v>1</v>
      </c>
      <c r="E1420" s="80">
        <f>'MANO DE OBRA'!E10</f>
        <v>34680</v>
      </c>
      <c r="F1420" s="81">
        <v>10</v>
      </c>
      <c r="G1420" s="110">
        <f>ROUND(D1420*E1420/F1420,0)</f>
        <v>3468</v>
      </c>
    </row>
    <row r="1421" spans="1:8">
      <c r="A1421" s="95"/>
      <c r="B1421" s="835" t="str">
        <f>'MANO DE OBRA'!B15</f>
        <v xml:space="preserve">OFICIAL CUAD. TIPO AA </v>
      </c>
      <c r="C1421" s="836"/>
      <c r="D1421" s="37">
        <v>1</v>
      </c>
      <c r="E1421" s="82">
        <f>'MANO DE OBRA'!E15</f>
        <v>71474</v>
      </c>
      <c r="F1421" s="83">
        <v>10</v>
      </c>
      <c r="G1421" s="111">
        <f>ROUND(D1421*E1421/F1421,0)</f>
        <v>7147</v>
      </c>
    </row>
    <row r="1422" spans="1:8">
      <c r="A1422" s="95"/>
      <c r="B1422" s="835"/>
      <c r="C1422" s="836"/>
      <c r="D1422" s="89"/>
      <c r="E1422" s="82"/>
      <c r="F1422" s="83"/>
      <c r="G1422" s="111"/>
    </row>
    <row r="1423" spans="1:8">
      <c r="A1423" s="95"/>
      <c r="B1423" s="835" t="s">
        <v>841</v>
      </c>
      <c r="C1423" s="836"/>
      <c r="D1423" s="37"/>
      <c r="E1423" s="82"/>
      <c r="F1423" s="83"/>
      <c r="G1423" s="111"/>
    </row>
    <row r="1424" spans="1:8" ht="13.5" thickBot="1">
      <c r="A1424" s="95"/>
      <c r="B1424" s="828" t="s">
        <v>841</v>
      </c>
      <c r="C1424" s="829"/>
      <c r="D1424" s="77"/>
      <c r="E1424" s="82"/>
      <c r="F1424" s="86"/>
      <c r="G1424" s="112"/>
    </row>
    <row r="1425" spans="1:8" ht="14.25" thickTop="1" thickBot="1">
      <c r="A1425" s="95"/>
      <c r="B1425" s="808"/>
      <c r="C1425" s="808"/>
      <c r="D1425" s="808"/>
      <c r="E1425" s="809"/>
      <c r="F1425" s="120" t="s">
        <v>856</v>
      </c>
      <c r="G1425" s="118">
        <f>SUM(G1420:G1424)</f>
        <v>10615</v>
      </c>
    </row>
    <row r="1426" spans="1:8" ht="14.25" thickTop="1" thickBot="1">
      <c r="A1426" s="95"/>
      <c r="B1426" s="810"/>
      <c r="C1426" s="810"/>
      <c r="D1426" s="810"/>
      <c r="E1426" s="810"/>
      <c r="F1426" s="810"/>
      <c r="G1426" s="810"/>
    </row>
    <row r="1427" spans="1:8" ht="13.5" thickTop="1">
      <c r="A1427" s="95"/>
      <c r="B1427" s="811" t="s">
        <v>321</v>
      </c>
      <c r="C1427" s="812"/>
      <c r="D1427" s="812"/>
      <c r="E1427" s="812"/>
      <c r="F1427" s="812"/>
      <c r="G1427" s="825"/>
    </row>
    <row r="1428" spans="1:8">
      <c r="A1428" s="95"/>
      <c r="B1428" s="817" t="s">
        <v>838</v>
      </c>
      <c r="C1428" s="818"/>
      <c r="D1428" s="98" t="s">
        <v>301</v>
      </c>
      <c r="E1428" s="98" t="s">
        <v>297</v>
      </c>
      <c r="F1428" s="99" t="s">
        <v>839</v>
      </c>
      <c r="G1428" s="107" t="s">
        <v>840</v>
      </c>
    </row>
    <row r="1429" spans="1:8">
      <c r="A1429" s="95"/>
      <c r="B1429" s="115"/>
      <c r="C1429" s="102"/>
      <c r="D1429" s="103" t="s">
        <v>322</v>
      </c>
      <c r="E1429" s="103" t="s">
        <v>323</v>
      </c>
      <c r="F1429" s="104" t="s">
        <v>324</v>
      </c>
      <c r="G1429" s="109" t="s">
        <v>325</v>
      </c>
    </row>
    <row r="1430" spans="1:8">
      <c r="A1430" s="95"/>
      <c r="B1430" s="826"/>
      <c r="C1430" s="827"/>
      <c r="D1430" s="96"/>
      <c r="E1430" s="96"/>
      <c r="F1430" s="96"/>
      <c r="G1430" s="116"/>
    </row>
    <row r="1431" spans="1:8" ht="13.5" thickBot="1">
      <c r="A1431" s="95"/>
      <c r="B1431" s="828" t="s">
        <v>841</v>
      </c>
      <c r="C1431" s="829"/>
      <c r="D1431" s="77"/>
      <c r="E1431" s="82"/>
      <c r="F1431" s="86"/>
      <c r="G1431" s="112"/>
    </row>
    <row r="1432" spans="1:8" ht="14.25" thickTop="1" thickBot="1">
      <c r="A1432" s="95"/>
      <c r="B1432" s="808"/>
      <c r="C1432" s="808"/>
      <c r="D1432" s="808"/>
      <c r="E1432" s="809"/>
      <c r="F1432" s="120" t="s">
        <v>856</v>
      </c>
      <c r="G1432" s="118">
        <f>SUM(G1427:G1431)</f>
        <v>0</v>
      </c>
    </row>
    <row r="1433" spans="1:8" ht="14.25" thickTop="1" thickBot="1">
      <c r="A1433" s="95"/>
      <c r="B1433" s="810"/>
      <c r="C1433" s="810"/>
      <c r="D1433" s="810"/>
      <c r="E1433" s="810"/>
      <c r="F1433" s="810"/>
      <c r="G1433" s="834"/>
    </row>
    <row r="1434" spans="1:8" ht="13.5" thickTop="1">
      <c r="A1434" s="95"/>
      <c r="B1434" s="811" t="s">
        <v>326</v>
      </c>
      <c r="C1434" s="812"/>
      <c r="D1434" s="812"/>
      <c r="E1434" s="812"/>
      <c r="F1434" s="813"/>
      <c r="G1434" s="121">
        <f>+G1398+G1414+G1425</f>
        <v>43158</v>
      </c>
    </row>
    <row r="1435" spans="1:8">
      <c r="A1435" s="95"/>
      <c r="B1435" s="814" t="s">
        <v>861</v>
      </c>
      <c r="C1435" s="815"/>
      <c r="D1435" s="815"/>
      <c r="E1435" s="816"/>
      <c r="F1435" s="128">
        <f>'MANO DE OBRA'!D1381</f>
        <v>0</v>
      </c>
      <c r="G1435" s="122">
        <f>ROUND(G1434*F1435,0)</f>
        <v>0</v>
      </c>
    </row>
    <row r="1436" spans="1:8" ht="13.5" thickBot="1">
      <c r="A1436" s="95"/>
      <c r="B1436" s="805" t="s">
        <v>1049</v>
      </c>
      <c r="C1436" s="806"/>
      <c r="D1436" s="806"/>
      <c r="E1436" s="806"/>
      <c r="F1436" s="807"/>
      <c r="G1436" s="118">
        <f>ROUND(G1434+G1435,-2)</f>
        <v>43200</v>
      </c>
      <c r="H1436" s="505" t="s">
        <v>1670</v>
      </c>
    </row>
    <row r="1437" spans="1:8" ht="13.5" thickTop="1">
      <c r="A1437" s="95"/>
      <c r="B1437" s="90" t="s">
        <v>303</v>
      </c>
      <c r="C1437" s="843"/>
      <c r="D1437" s="843"/>
      <c r="E1437" s="843"/>
      <c r="F1437" s="92" t="s">
        <v>781</v>
      </c>
      <c r="G1437" s="93" t="s">
        <v>868</v>
      </c>
    </row>
    <row r="1438" spans="1:8">
      <c r="A1438" s="95"/>
      <c r="B1438" s="91" t="s">
        <v>834</v>
      </c>
      <c r="C1438" s="844" t="s">
        <v>368</v>
      </c>
      <c r="D1438" s="844"/>
      <c r="E1438" s="844"/>
      <c r="F1438" s="15" t="s">
        <v>833</v>
      </c>
      <c r="G1438" s="165" t="str">
        <f>'MANO DE OBRA'!D61</f>
        <v>Agosto de 2010</v>
      </c>
    </row>
    <row r="1439" spans="1:8" ht="13.5" thickBot="1">
      <c r="A1439" s="127"/>
      <c r="B1439" s="94" t="s">
        <v>835</v>
      </c>
      <c r="C1439" s="845" t="s">
        <v>1367</v>
      </c>
      <c r="D1439" s="845"/>
      <c r="E1439" s="845"/>
      <c r="F1439" s="845"/>
      <c r="G1439" s="846"/>
    </row>
    <row r="1440" spans="1:8" ht="14.25" thickTop="1" thickBot="1">
      <c r="A1440" s="95"/>
      <c r="B1440" s="847"/>
      <c r="C1440" s="847"/>
      <c r="D1440" s="847"/>
      <c r="E1440" s="847"/>
      <c r="F1440" s="847"/>
      <c r="G1440" s="847"/>
    </row>
    <row r="1441" spans="1:7" ht="13.5" thickTop="1">
      <c r="A1441" s="95"/>
      <c r="B1441" s="811" t="s">
        <v>304</v>
      </c>
      <c r="C1441" s="812"/>
      <c r="D1441" s="812"/>
      <c r="E1441" s="812"/>
      <c r="F1441" s="812"/>
      <c r="G1441" s="825"/>
    </row>
    <row r="1442" spans="1:7">
      <c r="A1442" s="95"/>
      <c r="B1442" s="105"/>
      <c r="C1442" s="97"/>
      <c r="D1442" s="98" t="s">
        <v>301</v>
      </c>
      <c r="E1442" s="98" t="s">
        <v>1072</v>
      </c>
      <c r="F1442" s="99" t="s">
        <v>839</v>
      </c>
      <c r="G1442" s="107" t="s">
        <v>840</v>
      </c>
    </row>
    <row r="1443" spans="1:7">
      <c r="A1443" s="95"/>
      <c r="B1443" s="821" t="s">
        <v>838</v>
      </c>
      <c r="C1443" s="822"/>
      <c r="D1443" s="100" t="s">
        <v>308</v>
      </c>
      <c r="E1443" s="100" t="s">
        <v>305</v>
      </c>
      <c r="F1443" s="101" t="s">
        <v>306</v>
      </c>
      <c r="G1443" s="108" t="s">
        <v>310</v>
      </c>
    </row>
    <row r="1444" spans="1:7">
      <c r="A1444" s="95"/>
      <c r="B1444" s="115"/>
      <c r="C1444" s="102"/>
      <c r="D1444" s="103"/>
      <c r="E1444" s="103" t="s">
        <v>309</v>
      </c>
      <c r="F1444" s="104" t="s">
        <v>307</v>
      </c>
      <c r="G1444" s="109"/>
    </row>
    <row r="1445" spans="1:7">
      <c r="A1445" s="127"/>
      <c r="B1445" s="823" t="str">
        <f>'MAQUINARIA Y EQUIPOS'!C28</f>
        <v>HERRAMIENTAS MENORES</v>
      </c>
      <c r="C1445" s="824"/>
      <c r="D1445" s="87">
        <v>1</v>
      </c>
      <c r="E1445" s="82">
        <f>ROUND(G1478*0.05,0)</f>
        <v>531</v>
      </c>
      <c r="F1445" s="81">
        <v>1</v>
      </c>
      <c r="G1445" s="110">
        <f>ROUND(D1445*E1445/F1445,0)</f>
        <v>531</v>
      </c>
    </row>
    <row r="1446" spans="1:7">
      <c r="A1446" s="95"/>
      <c r="B1446" s="835"/>
      <c r="C1446" s="836"/>
      <c r="D1446" s="37"/>
      <c r="E1446" s="82"/>
      <c r="F1446" s="83"/>
      <c r="G1446" s="111"/>
    </row>
    <row r="1447" spans="1:7">
      <c r="A1447" s="95"/>
      <c r="B1447" s="835"/>
      <c r="C1447" s="836"/>
      <c r="D1447" s="37"/>
      <c r="E1447" s="82"/>
      <c r="F1447" s="83"/>
      <c r="G1447" s="111"/>
    </row>
    <row r="1448" spans="1:7">
      <c r="A1448" s="95"/>
      <c r="B1448" s="835"/>
      <c r="C1448" s="836"/>
      <c r="D1448" s="37"/>
      <c r="E1448" s="82"/>
      <c r="F1448" s="83"/>
      <c r="G1448" s="111"/>
    </row>
    <row r="1449" spans="1:7">
      <c r="A1449" s="95"/>
      <c r="B1449" s="835"/>
      <c r="C1449" s="836"/>
      <c r="D1449" s="37"/>
      <c r="E1449" s="82"/>
      <c r="F1449" s="83"/>
      <c r="G1449" s="111"/>
    </row>
    <row r="1450" spans="1:7" ht="13.5" thickBot="1">
      <c r="A1450" s="95"/>
      <c r="B1450" s="839" t="s">
        <v>841</v>
      </c>
      <c r="C1450" s="840"/>
      <c r="D1450" s="77"/>
      <c r="E1450" s="106"/>
      <c r="F1450" s="86"/>
      <c r="G1450" s="112"/>
    </row>
    <row r="1451" spans="1:7" ht="14.25" thickTop="1" thickBot="1">
      <c r="A1451" s="95"/>
      <c r="B1451" s="808"/>
      <c r="C1451" s="808"/>
      <c r="D1451" s="808"/>
      <c r="E1451" s="809"/>
      <c r="F1451" s="119" t="s">
        <v>856</v>
      </c>
      <c r="G1451" s="118">
        <f>SUM(G1445:G1450)</f>
        <v>531</v>
      </c>
    </row>
    <row r="1452" spans="1:7" ht="14.25" thickTop="1" thickBot="1">
      <c r="A1452" s="95"/>
      <c r="B1452" s="830"/>
      <c r="C1452" s="830"/>
      <c r="D1452" s="830"/>
      <c r="E1452" s="830"/>
      <c r="F1452" s="830"/>
      <c r="G1452" s="830"/>
    </row>
    <row r="1453" spans="1:7" ht="13.5" thickTop="1">
      <c r="A1453" s="95"/>
      <c r="B1453" s="811" t="s">
        <v>311</v>
      </c>
      <c r="C1453" s="812"/>
      <c r="D1453" s="812"/>
      <c r="E1453" s="812"/>
      <c r="F1453" s="812"/>
      <c r="G1453" s="825"/>
    </row>
    <row r="1454" spans="1:7">
      <c r="A1454" s="95"/>
      <c r="B1454" s="817" t="s">
        <v>838</v>
      </c>
      <c r="C1454" s="818"/>
      <c r="D1454" s="98" t="s">
        <v>842</v>
      </c>
      <c r="E1454" s="98" t="s">
        <v>853</v>
      </c>
      <c r="F1454" s="99" t="s">
        <v>1047</v>
      </c>
      <c r="G1454" s="107" t="s">
        <v>840</v>
      </c>
    </row>
    <row r="1455" spans="1:7">
      <c r="A1455" s="95"/>
      <c r="B1455" s="115"/>
      <c r="C1455" s="102"/>
      <c r="D1455" s="100"/>
      <c r="E1455" s="100" t="s">
        <v>312</v>
      </c>
      <c r="F1455" s="101" t="s">
        <v>313</v>
      </c>
      <c r="G1455" s="108" t="s">
        <v>314</v>
      </c>
    </row>
    <row r="1456" spans="1:7">
      <c r="A1456" s="125"/>
      <c r="B1456" s="826" t="str">
        <f>'CONCRETOS - HIERROS'!C114</f>
        <v>CONCRETO 1:2:4 2500 psi</v>
      </c>
      <c r="C1456" s="842"/>
      <c r="D1456" s="87" t="s">
        <v>669</v>
      </c>
      <c r="E1456" s="317">
        <v>0.1</v>
      </c>
      <c r="F1456" s="80">
        <f>'CONCRETOS - HIERROS'!G164</f>
        <v>351700</v>
      </c>
      <c r="G1456" s="110">
        <f>E1456*F1456</f>
        <v>35170</v>
      </c>
    </row>
    <row r="1457" spans="1:8">
      <c r="A1457" s="123"/>
      <c r="B1457" s="964" t="str">
        <f>'MAQUINARIA Y EQUIPOS'!C70</f>
        <v>FOMALETA</v>
      </c>
      <c r="C1457" s="965"/>
      <c r="D1457" s="154" t="s">
        <v>868</v>
      </c>
      <c r="E1457" s="155">
        <v>0.15</v>
      </c>
      <c r="F1457" s="156">
        <f>'MAQUINARIA Y EQUIPOS'!D70</f>
        <v>10000</v>
      </c>
      <c r="G1457" s="157">
        <f>E1457*F1457</f>
        <v>1500</v>
      </c>
    </row>
    <row r="1458" spans="1:8">
      <c r="A1458" s="95"/>
      <c r="B1458" s="854"/>
      <c r="C1458" s="855"/>
      <c r="D1458" s="37"/>
      <c r="E1458" s="83"/>
      <c r="F1458" s="82"/>
      <c r="G1458" s="111"/>
    </row>
    <row r="1459" spans="1:8">
      <c r="A1459" s="95"/>
      <c r="B1459" s="854"/>
      <c r="C1459" s="855"/>
      <c r="D1459" s="37"/>
      <c r="E1459" s="83"/>
      <c r="F1459" s="82"/>
      <c r="G1459" s="111"/>
    </row>
    <row r="1460" spans="1:8">
      <c r="A1460" s="95"/>
      <c r="B1460" s="854"/>
      <c r="C1460" s="855"/>
      <c r="D1460" s="37"/>
      <c r="E1460" s="146"/>
      <c r="F1460" s="82"/>
      <c r="G1460" s="111"/>
    </row>
    <row r="1461" spans="1:8">
      <c r="A1461" s="95"/>
      <c r="B1461" s="854"/>
      <c r="C1461" s="855"/>
      <c r="D1461" s="37"/>
      <c r="E1461" s="146"/>
      <c r="F1461" s="82"/>
      <c r="G1461" s="111"/>
    </row>
    <row r="1462" spans="1:8">
      <c r="A1462" s="95"/>
      <c r="B1462" s="854"/>
      <c r="C1462" s="855"/>
      <c r="D1462" s="37"/>
      <c r="E1462" s="160"/>
      <c r="F1462" s="82"/>
      <c r="G1462" s="111"/>
    </row>
    <row r="1463" spans="1:8">
      <c r="A1463" s="95"/>
      <c r="B1463" s="938"/>
      <c r="C1463" s="939"/>
      <c r="D1463" s="53"/>
      <c r="E1463" s="53"/>
      <c r="F1463" s="82"/>
      <c r="G1463" s="111"/>
      <c r="H1463" s="505" t="s">
        <v>1670</v>
      </c>
    </row>
    <row r="1464" spans="1:8" ht="13.5" thickBot="1">
      <c r="A1464" s="95"/>
      <c r="B1464" s="839" t="s">
        <v>841</v>
      </c>
      <c r="C1464" s="840"/>
      <c r="D1464" s="84" t="s">
        <v>841</v>
      </c>
      <c r="E1464" s="84"/>
      <c r="F1464" s="85"/>
      <c r="G1464" s="112"/>
    </row>
    <row r="1465" spans="1:8" ht="13.5" thickTop="1">
      <c r="A1465" s="95"/>
      <c r="B1465" s="808"/>
      <c r="C1465" s="809"/>
      <c r="D1465" s="801" t="s">
        <v>856</v>
      </c>
      <c r="E1465" s="802"/>
      <c r="F1465" s="9"/>
      <c r="G1465" s="113">
        <f>SUM(G1456:G1464)</f>
        <v>36670</v>
      </c>
    </row>
    <row r="1466" spans="1:8">
      <c r="A1466" s="95"/>
      <c r="B1466" s="819"/>
      <c r="C1466" s="820"/>
      <c r="D1466" s="801" t="s">
        <v>857</v>
      </c>
      <c r="E1466" s="802"/>
      <c r="F1466" s="79">
        <f>'MANO DE OBRA'!D60</f>
        <v>0.05</v>
      </c>
      <c r="G1466" s="113">
        <f>ROUND(G1465*F1466,0)</f>
        <v>1834</v>
      </c>
    </row>
    <row r="1467" spans="1:8" ht="13.5" thickBot="1">
      <c r="A1467" s="95"/>
      <c r="B1467" s="819"/>
      <c r="C1467" s="820"/>
      <c r="D1467" s="803" t="s">
        <v>320</v>
      </c>
      <c r="E1467" s="804"/>
      <c r="F1467" s="114"/>
      <c r="G1467" s="118">
        <f>+G1465+G1466</f>
        <v>38504</v>
      </c>
    </row>
    <row r="1468" spans="1:8" ht="14.25" thickTop="1" thickBot="1">
      <c r="A1468" s="95"/>
      <c r="B1468" s="830"/>
      <c r="C1468" s="830"/>
      <c r="D1468" s="830"/>
      <c r="E1468" s="830"/>
      <c r="F1468" s="830"/>
      <c r="G1468" s="830"/>
    </row>
    <row r="1469" spans="1:8" ht="13.5" thickTop="1">
      <c r="A1469" s="95"/>
      <c r="B1469" s="811" t="s">
        <v>858</v>
      </c>
      <c r="C1469" s="812"/>
      <c r="D1469" s="812"/>
      <c r="E1469" s="812"/>
      <c r="F1469" s="812"/>
      <c r="G1469" s="825"/>
    </row>
    <row r="1470" spans="1:8">
      <c r="A1470" s="95"/>
      <c r="B1470" s="817"/>
      <c r="C1470" s="818"/>
      <c r="D1470" s="98" t="s">
        <v>301</v>
      </c>
      <c r="E1470" s="98" t="s">
        <v>859</v>
      </c>
      <c r="F1470" s="99" t="s">
        <v>839</v>
      </c>
      <c r="G1470" s="107" t="s">
        <v>840</v>
      </c>
    </row>
    <row r="1471" spans="1:8">
      <c r="A1471" s="95"/>
      <c r="B1471" s="821" t="s">
        <v>838</v>
      </c>
      <c r="C1471" s="822"/>
      <c r="D1471" s="100" t="s">
        <v>316</v>
      </c>
      <c r="E1471" s="100" t="s">
        <v>315</v>
      </c>
      <c r="F1471" s="101" t="s">
        <v>306</v>
      </c>
      <c r="G1471" s="108" t="s">
        <v>319</v>
      </c>
    </row>
    <row r="1472" spans="1:8">
      <c r="A1472" s="95"/>
      <c r="B1472" s="115"/>
      <c r="C1472" s="102"/>
      <c r="D1472" s="103"/>
      <c r="E1472" s="103" t="s">
        <v>317</v>
      </c>
      <c r="F1472" s="104" t="s">
        <v>318</v>
      </c>
      <c r="G1472" s="109"/>
    </row>
    <row r="1473" spans="1:7">
      <c r="A1473" s="95"/>
      <c r="B1473" s="823" t="str">
        <f>'MANO DE OBRA'!B10</f>
        <v>AYUDANTE CUAD. TIPO AA</v>
      </c>
      <c r="C1473" s="824"/>
      <c r="D1473" s="87">
        <v>1</v>
      </c>
      <c r="E1473" s="80">
        <f>'MANO DE OBRA'!E10</f>
        <v>34680</v>
      </c>
      <c r="F1473" s="81">
        <v>10</v>
      </c>
      <c r="G1473" s="110">
        <f>ROUND(D1473*E1473/F1473,0)</f>
        <v>3468</v>
      </c>
    </row>
    <row r="1474" spans="1:7">
      <c r="A1474" s="95"/>
      <c r="B1474" s="835" t="str">
        <f>'MANO DE OBRA'!B15</f>
        <v xml:space="preserve">OFICIAL CUAD. TIPO AA </v>
      </c>
      <c r="C1474" s="836"/>
      <c r="D1474" s="37">
        <v>1</v>
      </c>
      <c r="E1474" s="82">
        <f>'MANO DE OBRA'!E15</f>
        <v>71474</v>
      </c>
      <c r="F1474" s="83">
        <v>10</v>
      </c>
      <c r="G1474" s="111">
        <f>ROUND(D1474*E1474/F1474,0)</f>
        <v>7147</v>
      </c>
    </row>
    <row r="1475" spans="1:7">
      <c r="A1475" s="95"/>
      <c r="B1475" s="835"/>
      <c r="C1475" s="836"/>
      <c r="D1475" s="89"/>
      <c r="E1475" s="82"/>
      <c r="F1475" s="83"/>
      <c r="G1475" s="111"/>
    </row>
    <row r="1476" spans="1:7">
      <c r="A1476" s="95"/>
      <c r="B1476" s="835" t="s">
        <v>841</v>
      </c>
      <c r="C1476" s="836"/>
      <c r="D1476" s="37"/>
      <c r="E1476" s="82"/>
      <c r="F1476" s="83"/>
      <c r="G1476" s="111"/>
    </row>
    <row r="1477" spans="1:7" ht="13.5" thickBot="1">
      <c r="A1477" s="95"/>
      <c r="B1477" s="828" t="s">
        <v>841</v>
      </c>
      <c r="C1477" s="829"/>
      <c r="D1477" s="77"/>
      <c r="E1477" s="82"/>
      <c r="F1477" s="86"/>
      <c r="G1477" s="112"/>
    </row>
    <row r="1478" spans="1:7" ht="14.25" thickTop="1" thickBot="1">
      <c r="A1478" s="95"/>
      <c r="B1478" s="808"/>
      <c r="C1478" s="808"/>
      <c r="D1478" s="808"/>
      <c r="E1478" s="809"/>
      <c r="F1478" s="120" t="s">
        <v>856</v>
      </c>
      <c r="G1478" s="118">
        <f>SUM(G1473:G1477)</f>
        <v>10615</v>
      </c>
    </row>
    <row r="1479" spans="1:7" ht="14.25" thickTop="1" thickBot="1">
      <c r="A1479" s="95"/>
      <c r="B1479" s="810"/>
      <c r="C1479" s="810"/>
      <c r="D1479" s="810"/>
      <c r="E1479" s="810"/>
      <c r="F1479" s="810"/>
      <c r="G1479" s="810"/>
    </row>
    <row r="1480" spans="1:7" ht="13.5" thickTop="1">
      <c r="A1480" s="95"/>
      <c r="B1480" s="811" t="s">
        <v>321</v>
      </c>
      <c r="C1480" s="812"/>
      <c r="D1480" s="812"/>
      <c r="E1480" s="812"/>
      <c r="F1480" s="812"/>
      <c r="G1480" s="825"/>
    </row>
    <row r="1481" spans="1:7">
      <c r="A1481" s="95"/>
      <c r="B1481" s="817" t="s">
        <v>838</v>
      </c>
      <c r="C1481" s="818"/>
      <c r="D1481" s="98" t="s">
        <v>301</v>
      </c>
      <c r="E1481" s="98" t="s">
        <v>297</v>
      </c>
      <c r="F1481" s="99" t="s">
        <v>839</v>
      </c>
      <c r="G1481" s="107" t="s">
        <v>840</v>
      </c>
    </row>
    <row r="1482" spans="1:7">
      <c r="A1482" s="95"/>
      <c r="B1482" s="115"/>
      <c r="C1482" s="102"/>
      <c r="D1482" s="103" t="s">
        <v>322</v>
      </c>
      <c r="E1482" s="103" t="s">
        <v>323</v>
      </c>
      <c r="F1482" s="104" t="s">
        <v>324</v>
      </c>
      <c r="G1482" s="109" t="s">
        <v>325</v>
      </c>
    </row>
    <row r="1483" spans="1:7">
      <c r="A1483" s="95"/>
      <c r="B1483" s="826"/>
      <c r="C1483" s="827"/>
      <c r="D1483" s="96"/>
      <c r="E1483" s="96"/>
      <c r="F1483" s="96"/>
      <c r="G1483" s="116"/>
    </row>
    <row r="1484" spans="1:7" ht="13.5" thickBot="1">
      <c r="A1484" s="95"/>
      <c r="B1484" s="828" t="s">
        <v>841</v>
      </c>
      <c r="C1484" s="829"/>
      <c r="D1484" s="77"/>
      <c r="E1484" s="82"/>
      <c r="F1484" s="86"/>
      <c r="G1484" s="112"/>
    </row>
    <row r="1485" spans="1:7" ht="14.25" thickTop="1" thickBot="1">
      <c r="A1485" s="95"/>
      <c r="B1485" s="808"/>
      <c r="C1485" s="808"/>
      <c r="D1485" s="808"/>
      <c r="E1485" s="809"/>
      <c r="F1485" s="120" t="s">
        <v>856</v>
      </c>
      <c r="G1485" s="118">
        <f>SUM(G1480:G1484)</f>
        <v>0</v>
      </c>
    </row>
    <row r="1486" spans="1:7" ht="14.25" thickTop="1" thickBot="1">
      <c r="A1486" s="95"/>
      <c r="B1486" s="810"/>
      <c r="C1486" s="810"/>
      <c r="D1486" s="810"/>
      <c r="E1486" s="810"/>
      <c r="F1486" s="810"/>
      <c r="G1486" s="834"/>
    </row>
    <row r="1487" spans="1:7" ht="13.5" thickTop="1">
      <c r="A1487" s="95"/>
      <c r="B1487" s="811" t="s">
        <v>326</v>
      </c>
      <c r="C1487" s="812"/>
      <c r="D1487" s="812"/>
      <c r="E1487" s="812"/>
      <c r="F1487" s="813"/>
      <c r="G1487" s="121">
        <f>+G1451+G1467+G1478</f>
        <v>49650</v>
      </c>
    </row>
    <row r="1488" spans="1:7">
      <c r="A1488" s="95"/>
      <c r="B1488" s="814" t="s">
        <v>861</v>
      </c>
      <c r="C1488" s="815"/>
      <c r="D1488" s="815"/>
      <c r="E1488" s="816"/>
      <c r="F1488" s="128">
        <f>'MANO DE OBRA'!D1434</f>
        <v>0</v>
      </c>
      <c r="G1488" s="122">
        <f>ROUND(G1487*F1488,0)</f>
        <v>0</v>
      </c>
    </row>
    <row r="1489" spans="1:8" ht="13.5" thickBot="1">
      <c r="A1489" s="95"/>
      <c r="B1489" s="805" t="s">
        <v>1049</v>
      </c>
      <c r="C1489" s="806"/>
      <c r="D1489" s="806"/>
      <c r="E1489" s="806"/>
      <c r="F1489" s="807"/>
      <c r="G1489" s="118">
        <f>ROUND(G1487+G1488,-2)</f>
        <v>49700</v>
      </c>
      <c r="H1489" s="505" t="s">
        <v>1670</v>
      </c>
    </row>
    <row r="1490" spans="1:8" ht="14.25" thickTop="1" thickBot="1"/>
    <row r="1491" spans="1:8" ht="13.5" thickTop="1">
      <c r="B1491" s="90" t="s">
        <v>303</v>
      </c>
      <c r="C1491" s="843"/>
      <c r="D1491" s="843"/>
      <c r="E1491" s="843"/>
      <c r="F1491" s="92" t="s">
        <v>781</v>
      </c>
      <c r="G1491" s="93" t="s">
        <v>831</v>
      </c>
    </row>
    <row r="1492" spans="1:8">
      <c r="B1492" s="91" t="s">
        <v>834</v>
      </c>
      <c r="C1492" s="844" t="s">
        <v>377</v>
      </c>
      <c r="D1492" s="844"/>
      <c r="E1492" s="844"/>
      <c r="F1492" s="15" t="s">
        <v>833</v>
      </c>
      <c r="G1492" s="165" t="str">
        <f>'MANO DE OBRA'!D61</f>
        <v>Agosto de 2010</v>
      </c>
    </row>
    <row r="1493" spans="1:8" ht="26.25" customHeight="1" thickBot="1">
      <c r="B1493" s="94" t="s">
        <v>835</v>
      </c>
      <c r="C1493" s="940" t="s">
        <v>1300</v>
      </c>
      <c r="D1493" s="940"/>
      <c r="E1493" s="940"/>
      <c r="F1493" s="940"/>
      <c r="G1493" s="941"/>
    </row>
    <row r="1494" spans="1:8" ht="14.25" thickTop="1" thickBot="1">
      <c r="B1494" s="847"/>
      <c r="C1494" s="847"/>
      <c r="D1494" s="847"/>
      <c r="E1494" s="847"/>
      <c r="F1494" s="847"/>
      <c r="G1494" s="847"/>
    </row>
    <row r="1495" spans="1:8" ht="13.5" thickTop="1">
      <c r="B1495" s="811" t="s">
        <v>304</v>
      </c>
      <c r="C1495" s="812"/>
      <c r="D1495" s="812"/>
      <c r="E1495" s="812"/>
      <c r="F1495" s="812"/>
      <c r="G1495" s="825"/>
    </row>
    <row r="1496" spans="1:8">
      <c r="B1496" s="105"/>
      <c r="C1496" s="97"/>
      <c r="D1496" s="98" t="s">
        <v>301</v>
      </c>
      <c r="E1496" s="98" t="s">
        <v>1072</v>
      </c>
      <c r="F1496" s="99" t="s">
        <v>839</v>
      </c>
      <c r="G1496" s="107" t="s">
        <v>840</v>
      </c>
    </row>
    <row r="1497" spans="1:8">
      <c r="B1497" s="821" t="s">
        <v>838</v>
      </c>
      <c r="C1497" s="822"/>
      <c r="D1497" s="100" t="s">
        <v>308</v>
      </c>
      <c r="E1497" s="100" t="s">
        <v>305</v>
      </c>
      <c r="F1497" s="101" t="s">
        <v>306</v>
      </c>
      <c r="G1497" s="108" t="s">
        <v>310</v>
      </c>
    </row>
    <row r="1498" spans="1:8">
      <c r="B1498" s="115"/>
      <c r="C1498" s="102"/>
      <c r="D1498" s="103"/>
      <c r="E1498" s="103" t="s">
        <v>309</v>
      </c>
      <c r="F1498" s="104" t="s">
        <v>307</v>
      </c>
      <c r="G1498" s="109"/>
    </row>
    <row r="1499" spans="1:8">
      <c r="B1499" s="823" t="str">
        <f>'MAQUINARIA Y EQUIPOS'!$C$28</f>
        <v>HERRAMIENTAS MENORES</v>
      </c>
      <c r="C1499" s="824"/>
      <c r="D1499" s="87">
        <v>1</v>
      </c>
      <c r="E1499" s="82">
        <f>ROUND(G1530*0.05,0)</f>
        <v>531</v>
      </c>
      <c r="F1499" s="81">
        <v>1</v>
      </c>
      <c r="G1499" s="110">
        <f>ROUND(D1499*E1499/F1499,0)</f>
        <v>531</v>
      </c>
    </row>
    <row r="1500" spans="1:8">
      <c r="B1500" s="835"/>
      <c r="C1500" s="836"/>
      <c r="D1500" s="37"/>
      <c r="E1500" s="82"/>
      <c r="F1500" s="83"/>
      <c r="G1500" s="111"/>
    </row>
    <row r="1501" spans="1:8">
      <c r="B1501" s="835"/>
      <c r="C1501" s="836"/>
      <c r="D1501" s="37"/>
      <c r="E1501" s="82"/>
      <c r="F1501" s="83"/>
      <c r="G1501" s="111"/>
    </row>
    <row r="1502" spans="1:8">
      <c r="B1502" s="835"/>
      <c r="C1502" s="836"/>
      <c r="D1502" s="37"/>
      <c r="E1502" s="82"/>
      <c r="F1502" s="83"/>
      <c r="G1502" s="111"/>
    </row>
    <row r="1503" spans="1:8">
      <c r="B1503" s="835"/>
      <c r="C1503" s="836"/>
      <c r="D1503" s="37"/>
      <c r="E1503" s="82"/>
      <c r="F1503" s="83"/>
      <c r="G1503" s="111"/>
    </row>
    <row r="1504" spans="1:8" ht="13.5" thickBot="1">
      <c r="B1504" s="839" t="s">
        <v>841</v>
      </c>
      <c r="C1504" s="840"/>
      <c r="D1504" s="77"/>
      <c r="E1504" s="106"/>
      <c r="F1504" s="86"/>
      <c r="G1504" s="112"/>
    </row>
    <row r="1505" spans="2:8" ht="14.25" thickTop="1" thickBot="1">
      <c r="B1505" s="808"/>
      <c r="C1505" s="808"/>
      <c r="D1505" s="808"/>
      <c r="E1505" s="809"/>
      <c r="F1505" s="119" t="s">
        <v>856</v>
      </c>
      <c r="G1505" s="118">
        <f>SUM(G1499:G1504)</f>
        <v>531</v>
      </c>
    </row>
    <row r="1506" spans="2:8" ht="14.25" thickTop="1" thickBot="1">
      <c r="B1506" s="830"/>
      <c r="C1506" s="830"/>
      <c r="D1506" s="830"/>
      <c r="E1506" s="830"/>
      <c r="F1506" s="830"/>
      <c r="G1506" s="830"/>
    </row>
    <row r="1507" spans="2:8" ht="13.5" thickTop="1">
      <c r="B1507" s="811" t="s">
        <v>311</v>
      </c>
      <c r="C1507" s="812"/>
      <c r="D1507" s="812"/>
      <c r="E1507" s="812"/>
      <c r="F1507" s="812"/>
      <c r="G1507" s="825"/>
    </row>
    <row r="1508" spans="2:8">
      <c r="B1508" s="817" t="s">
        <v>838</v>
      </c>
      <c r="C1508" s="818"/>
      <c r="D1508" s="98" t="s">
        <v>842</v>
      </c>
      <c r="E1508" s="98" t="s">
        <v>853</v>
      </c>
      <c r="F1508" s="99" t="s">
        <v>1047</v>
      </c>
      <c r="G1508" s="107" t="s">
        <v>840</v>
      </c>
    </row>
    <row r="1509" spans="2:8">
      <c r="B1509" s="115"/>
      <c r="C1509" s="102"/>
      <c r="D1509" s="100"/>
      <c r="E1509" s="100" t="s">
        <v>312</v>
      </c>
      <c r="F1509" s="101" t="s">
        <v>313</v>
      </c>
      <c r="G1509" s="108" t="s">
        <v>314</v>
      </c>
    </row>
    <row r="1510" spans="2:8">
      <c r="B1510" s="826" t="str">
        <f>'CONCRETOS - HIERROS'!C167</f>
        <v>CONCRETO 1:3:5 2000 psi</v>
      </c>
      <c r="C1510" s="842"/>
      <c r="D1510" s="87" t="s">
        <v>669</v>
      </c>
      <c r="E1510" s="317">
        <v>1.0999999999999999E-2</v>
      </c>
      <c r="F1510" s="80">
        <f>'CONCRETOS - HIERROS'!G217</f>
        <v>319200</v>
      </c>
      <c r="G1510" s="110">
        <f>E1510*F1510</f>
        <v>3511.2</v>
      </c>
    </row>
    <row r="1511" spans="2:8">
      <c r="B1511" s="854" t="s">
        <v>192</v>
      </c>
      <c r="C1511" s="855"/>
      <c r="D1511" s="37" t="s">
        <v>556</v>
      </c>
      <c r="E1511" s="83">
        <v>1</v>
      </c>
      <c r="F1511" s="82">
        <v>2500</v>
      </c>
      <c r="G1511" s="111">
        <f>E1511*F1511</f>
        <v>2500</v>
      </c>
    </row>
    <row r="1512" spans="2:8">
      <c r="B1512" s="854"/>
      <c r="C1512" s="855"/>
      <c r="D1512" s="37"/>
      <c r="E1512" s="83"/>
      <c r="F1512" s="82"/>
      <c r="G1512" s="111"/>
    </row>
    <row r="1513" spans="2:8">
      <c r="B1513" s="854"/>
      <c r="C1513" s="855"/>
      <c r="D1513" s="37"/>
      <c r="E1513" s="83"/>
      <c r="F1513" s="82"/>
      <c r="G1513" s="111"/>
    </row>
    <row r="1514" spans="2:8">
      <c r="B1514" s="854"/>
      <c r="C1514" s="855"/>
      <c r="D1514" s="37"/>
      <c r="E1514" s="146"/>
      <c r="F1514" s="82"/>
      <c r="G1514" s="111"/>
    </row>
    <row r="1515" spans="2:8">
      <c r="B1515" s="854"/>
      <c r="C1515" s="855"/>
      <c r="D1515" s="37"/>
      <c r="E1515" s="146"/>
      <c r="F1515" s="82"/>
      <c r="G1515" s="111"/>
    </row>
    <row r="1516" spans="2:8">
      <c r="B1516" s="854"/>
      <c r="C1516" s="855"/>
      <c r="D1516" s="37"/>
      <c r="E1516" s="160"/>
      <c r="F1516" s="82"/>
      <c r="G1516" s="111"/>
    </row>
    <row r="1517" spans="2:8">
      <c r="B1517" s="938"/>
      <c r="C1517" s="939"/>
      <c r="D1517" s="53"/>
      <c r="E1517" s="53"/>
      <c r="F1517" s="82"/>
      <c r="G1517" s="111"/>
      <c r="H1517" s="505" t="s">
        <v>1670</v>
      </c>
    </row>
    <row r="1518" spans="2:8" ht="13.5" thickBot="1">
      <c r="B1518" s="839" t="s">
        <v>841</v>
      </c>
      <c r="C1518" s="840"/>
      <c r="D1518" s="84" t="s">
        <v>841</v>
      </c>
      <c r="E1518" s="84"/>
      <c r="F1518" s="85"/>
      <c r="G1518" s="112"/>
    </row>
    <row r="1519" spans="2:8" ht="13.5" thickTop="1">
      <c r="B1519" s="808"/>
      <c r="C1519" s="809"/>
      <c r="D1519" s="801" t="s">
        <v>856</v>
      </c>
      <c r="E1519" s="802"/>
      <c r="F1519" s="9"/>
      <c r="G1519" s="113">
        <f>SUM(G1510:G1518)</f>
        <v>6011.2</v>
      </c>
    </row>
    <row r="1520" spans="2:8">
      <c r="B1520" s="819"/>
      <c r="C1520" s="820"/>
      <c r="D1520" s="801" t="s">
        <v>857</v>
      </c>
      <c r="E1520" s="802"/>
      <c r="F1520" s="79">
        <f>'MANO DE OBRA'!D114</f>
        <v>0</v>
      </c>
      <c r="G1520" s="113">
        <f>ROUND(G1519*F1520,0)</f>
        <v>0</v>
      </c>
    </row>
    <row r="1521" spans="2:7" ht="13.5" thickBot="1">
      <c r="B1521" s="819"/>
      <c r="C1521" s="820"/>
      <c r="D1521" s="803" t="s">
        <v>320</v>
      </c>
      <c r="E1521" s="804"/>
      <c r="F1521" s="114"/>
      <c r="G1521" s="118">
        <f>+G1519+G1520</f>
        <v>6011.2</v>
      </c>
    </row>
    <row r="1522" spans="2:7" ht="14.25" thickTop="1" thickBot="1">
      <c r="B1522" s="830"/>
      <c r="C1522" s="830"/>
      <c r="D1522" s="830"/>
      <c r="E1522" s="830"/>
      <c r="F1522" s="830"/>
      <c r="G1522" s="830"/>
    </row>
    <row r="1523" spans="2:7" ht="13.5" thickTop="1">
      <c r="B1523" s="811" t="s">
        <v>858</v>
      </c>
      <c r="C1523" s="812"/>
      <c r="D1523" s="812"/>
      <c r="E1523" s="812"/>
      <c r="F1523" s="812"/>
      <c r="G1523" s="825"/>
    </row>
    <row r="1524" spans="2:7">
      <c r="B1524" s="817"/>
      <c r="C1524" s="818"/>
      <c r="D1524" s="98" t="s">
        <v>301</v>
      </c>
      <c r="E1524" s="98" t="s">
        <v>859</v>
      </c>
      <c r="F1524" s="99" t="s">
        <v>839</v>
      </c>
      <c r="G1524" s="107" t="s">
        <v>840</v>
      </c>
    </row>
    <row r="1525" spans="2:7">
      <c r="B1525" s="821" t="s">
        <v>838</v>
      </c>
      <c r="C1525" s="822"/>
      <c r="D1525" s="100" t="s">
        <v>316</v>
      </c>
      <c r="E1525" s="100" t="s">
        <v>315</v>
      </c>
      <c r="F1525" s="101" t="s">
        <v>306</v>
      </c>
      <c r="G1525" s="108" t="s">
        <v>319</v>
      </c>
    </row>
    <row r="1526" spans="2:7">
      <c r="B1526" s="115"/>
      <c r="C1526" s="102"/>
      <c r="D1526" s="103"/>
      <c r="E1526" s="103" t="s">
        <v>317</v>
      </c>
      <c r="F1526" s="104" t="s">
        <v>318</v>
      </c>
      <c r="G1526" s="109"/>
    </row>
    <row r="1527" spans="2:7">
      <c r="B1527" s="823" t="str">
        <f>'MANO DE OBRA'!$B$10</f>
        <v>AYUDANTE CUAD. TIPO AA</v>
      </c>
      <c r="C1527" s="824"/>
      <c r="D1527" s="87">
        <v>1</v>
      </c>
      <c r="E1527" s="80">
        <f>'MANO DE OBRA'!$E$10</f>
        <v>34680</v>
      </c>
      <c r="F1527" s="81">
        <v>10</v>
      </c>
      <c r="G1527" s="110">
        <f>ROUND(D1527*E1527/F1527,0)</f>
        <v>3468</v>
      </c>
    </row>
    <row r="1528" spans="2:7">
      <c r="B1528" s="835" t="str">
        <f>'MANO DE OBRA'!$B$15</f>
        <v xml:space="preserve">OFICIAL CUAD. TIPO AA </v>
      </c>
      <c r="C1528" s="836"/>
      <c r="D1528" s="37">
        <v>1</v>
      </c>
      <c r="E1528" s="82">
        <f>'MANO DE OBRA'!$E$15</f>
        <v>71474</v>
      </c>
      <c r="F1528" s="83">
        <v>10</v>
      </c>
      <c r="G1528" s="111">
        <f>ROUND(D1528*E1528/F1528,0)</f>
        <v>7147</v>
      </c>
    </row>
    <row r="1529" spans="2:7" ht="13.5" thickBot="1">
      <c r="B1529" s="828" t="s">
        <v>841</v>
      </c>
      <c r="C1529" s="829"/>
      <c r="D1529" s="77"/>
      <c r="E1529" s="82"/>
      <c r="F1529" s="86"/>
      <c r="G1529" s="112"/>
    </row>
    <row r="1530" spans="2:7" ht="14.25" thickTop="1" thickBot="1">
      <c r="B1530" s="808"/>
      <c r="C1530" s="808"/>
      <c r="D1530" s="808"/>
      <c r="E1530" s="809"/>
      <c r="F1530" s="120" t="s">
        <v>856</v>
      </c>
      <c r="G1530" s="118">
        <f>SUM(G1527:G1529)</f>
        <v>10615</v>
      </c>
    </row>
    <row r="1531" spans="2:7" ht="14.25" thickTop="1" thickBot="1">
      <c r="B1531" s="810"/>
      <c r="C1531" s="810"/>
      <c r="D1531" s="810"/>
      <c r="E1531" s="810"/>
      <c r="F1531" s="810"/>
      <c r="G1531" s="810"/>
    </row>
    <row r="1532" spans="2:7" ht="13.5" thickTop="1">
      <c r="B1532" s="811" t="s">
        <v>321</v>
      </c>
      <c r="C1532" s="812"/>
      <c r="D1532" s="812"/>
      <c r="E1532" s="812"/>
      <c r="F1532" s="812"/>
      <c r="G1532" s="825"/>
    </row>
    <row r="1533" spans="2:7">
      <c r="B1533" s="817" t="s">
        <v>838</v>
      </c>
      <c r="C1533" s="818"/>
      <c r="D1533" s="98" t="s">
        <v>301</v>
      </c>
      <c r="E1533" s="98" t="s">
        <v>297</v>
      </c>
      <c r="F1533" s="99" t="s">
        <v>839</v>
      </c>
      <c r="G1533" s="107" t="s">
        <v>840</v>
      </c>
    </row>
    <row r="1534" spans="2:7">
      <c r="B1534" s="115"/>
      <c r="C1534" s="102"/>
      <c r="D1534" s="103" t="s">
        <v>322</v>
      </c>
      <c r="E1534" s="103" t="s">
        <v>323</v>
      </c>
      <c r="F1534" s="104" t="s">
        <v>324</v>
      </c>
      <c r="G1534" s="109" t="s">
        <v>325</v>
      </c>
    </row>
    <row r="1535" spans="2:7">
      <c r="B1535" s="826"/>
      <c r="C1535" s="827"/>
      <c r="D1535" s="96"/>
      <c r="E1535" s="96"/>
      <c r="F1535" s="96"/>
      <c r="G1535" s="116"/>
    </row>
    <row r="1536" spans="2:7" ht="13.5" thickBot="1">
      <c r="B1536" s="828" t="s">
        <v>841</v>
      </c>
      <c r="C1536" s="829"/>
      <c r="D1536" s="77"/>
      <c r="E1536" s="82"/>
      <c r="F1536" s="86"/>
      <c r="G1536" s="112"/>
    </row>
    <row r="1537" spans="2:8" ht="14.25" thickTop="1" thickBot="1">
      <c r="B1537" s="808"/>
      <c r="C1537" s="808"/>
      <c r="D1537" s="808"/>
      <c r="E1537" s="809"/>
      <c r="F1537" s="120" t="s">
        <v>856</v>
      </c>
      <c r="G1537" s="118">
        <f>SUM(G1532:G1536)</f>
        <v>0</v>
      </c>
    </row>
    <row r="1538" spans="2:8" ht="14.25" thickTop="1" thickBot="1">
      <c r="B1538" s="810"/>
      <c r="C1538" s="810"/>
      <c r="D1538" s="810"/>
      <c r="E1538" s="810"/>
      <c r="F1538" s="810"/>
      <c r="G1538" s="834"/>
    </row>
    <row r="1539" spans="2:8" ht="13.5" thickTop="1">
      <c r="B1539" s="811" t="s">
        <v>326</v>
      </c>
      <c r="C1539" s="812"/>
      <c r="D1539" s="812"/>
      <c r="E1539" s="812"/>
      <c r="F1539" s="813"/>
      <c r="G1539" s="121">
        <f>+G1505+G1521+G1530</f>
        <v>17157.2</v>
      </c>
    </row>
    <row r="1540" spans="2:8">
      <c r="B1540" s="814" t="s">
        <v>861</v>
      </c>
      <c r="C1540" s="815"/>
      <c r="D1540" s="815"/>
      <c r="E1540" s="816"/>
      <c r="F1540" s="128">
        <f>'MANO DE OBRA'!D1488</f>
        <v>0</v>
      </c>
      <c r="G1540" s="122">
        <f>ROUND(G1539*F1540,0)</f>
        <v>0</v>
      </c>
    </row>
    <row r="1541" spans="2:8" ht="13.5" thickBot="1">
      <c r="B1541" s="805" t="s">
        <v>1049</v>
      </c>
      <c r="C1541" s="806"/>
      <c r="D1541" s="806"/>
      <c r="E1541" s="806"/>
      <c r="F1541" s="807"/>
      <c r="G1541" s="118">
        <f>ROUND(G1539+G1540,-2)</f>
        <v>17200</v>
      </c>
      <c r="H1541" s="505" t="s">
        <v>1670</v>
      </c>
    </row>
    <row r="1542" spans="2:8" ht="13.5" thickTop="1">
      <c r="B1542" s="515" t="s">
        <v>303</v>
      </c>
      <c r="C1542" s="885"/>
      <c r="D1542" s="885"/>
      <c r="E1542" s="885"/>
      <c r="F1542" s="516" t="s">
        <v>781</v>
      </c>
      <c r="G1542" s="441" t="s">
        <v>831</v>
      </c>
    </row>
    <row r="1543" spans="2:8">
      <c r="B1543" s="517" t="s">
        <v>834</v>
      </c>
      <c r="C1543" s="886"/>
      <c r="D1543" s="886"/>
      <c r="E1543" s="886"/>
      <c r="F1543" s="518" t="s">
        <v>833</v>
      </c>
      <c r="G1543" s="569" t="s">
        <v>1702</v>
      </c>
    </row>
    <row r="1544" spans="2:8" ht="13.5" thickBot="1">
      <c r="B1544" s="519" t="s">
        <v>835</v>
      </c>
      <c r="C1544" s="887" t="s">
        <v>1706</v>
      </c>
      <c r="D1544" s="887"/>
      <c r="E1544" s="887"/>
      <c r="F1544" s="887"/>
      <c r="G1544" s="888"/>
    </row>
    <row r="1545" spans="2:8" ht="14.25" thickTop="1" thickBot="1">
      <c r="B1545" s="889"/>
      <c r="C1545" s="889"/>
      <c r="D1545" s="889"/>
      <c r="E1545" s="889"/>
      <c r="F1545" s="889"/>
      <c r="G1545" s="889"/>
    </row>
    <row r="1546" spans="2:8" ht="13.5" thickTop="1">
      <c r="B1546" s="890" t="s">
        <v>304</v>
      </c>
      <c r="C1546" s="891"/>
      <c r="D1546" s="891"/>
      <c r="E1546" s="891"/>
      <c r="F1546" s="891"/>
      <c r="G1546" s="892"/>
    </row>
    <row r="1547" spans="2:8">
      <c r="B1547" s="966" t="s">
        <v>838</v>
      </c>
      <c r="C1547" s="893"/>
      <c r="D1547" s="520" t="s">
        <v>301</v>
      </c>
      <c r="E1547" s="520" t="s">
        <v>1683</v>
      </c>
      <c r="F1547" s="521" t="s">
        <v>839</v>
      </c>
      <c r="G1547" s="522" t="s">
        <v>840</v>
      </c>
    </row>
    <row r="1548" spans="2:8">
      <c r="B1548" s="823" t="str">
        <f>'MAQUINARIA Y EQUIPOS'!$C$28</f>
        <v>HERRAMIENTAS MENORES</v>
      </c>
      <c r="C1548" s="824"/>
      <c r="D1548" s="523"/>
      <c r="E1548" s="524">
        <v>2906</v>
      </c>
      <c r="F1548" s="577">
        <v>1</v>
      </c>
      <c r="G1548" s="526">
        <f>+E1548*F1548</f>
        <v>2906</v>
      </c>
    </row>
    <row r="1549" spans="2:8">
      <c r="B1549" s="894" t="str">
        <f>'MAQUINARIA Y EQUIPOS'!C54</f>
        <v>VIBRADOR ELECTRICO</v>
      </c>
      <c r="C1549" s="895"/>
      <c r="D1549" s="523"/>
      <c r="E1549" s="524">
        <f>'MAQUINARIA Y EQUIPOS'!D54/8</f>
        <v>6380</v>
      </c>
      <c r="F1549" s="587">
        <v>30</v>
      </c>
      <c r="G1549" s="542">
        <f>+E1549/F1549</f>
        <v>212.66666666666666</v>
      </c>
    </row>
    <row r="1550" spans="2:8">
      <c r="B1550" s="894" t="str">
        <f>'MAQUINARIA Y EQUIPOS'!C71</f>
        <v>GENERADOR ELECTRICO</v>
      </c>
      <c r="C1550" s="895"/>
      <c r="D1550" s="523"/>
      <c r="E1550" s="524">
        <f>'MAQUINARIA Y EQUIPOS'!D71/8</f>
        <v>15000</v>
      </c>
      <c r="F1550" s="587">
        <v>30</v>
      </c>
      <c r="G1550" s="542">
        <f>+E1550/F1550</f>
        <v>500</v>
      </c>
    </row>
    <row r="1551" spans="2:8" ht="14.25">
      <c r="B1551" s="896"/>
      <c r="C1551" s="897"/>
      <c r="D1551" s="578"/>
      <c r="E1551" s="579"/>
      <c r="F1551" s="580"/>
      <c r="G1551" s="581"/>
    </row>
    <row r="1552" spans="2:8" ht="14.25">
      <c r="B1552" s="896" t="s">
        <v>841</v>
      </c>
      <c r="C1552" s="897"/>
      <c r="D1552" s="582"/>
      <c r="E1552" s="579"/>
      <c r="F1552" s="580"/>
      <c r="G1552" s="581"/>
    </row>
    <row r="1553" spans="2:8" ht="15" thickBot="1">
      <c r="B1553" s="898" t="s">
        <v>841</v>
      </c>
      <c r="C1553" s="899"/>
      <c r="D1553" s="583"/>
      <c r="E1553" s="584"/>
      <c r="F1553" s="585"/>
      <c r="G1553" s="586"/>
    </row>
    <row r="1554" spans="2:8" ht="15.75" thickTop="1" thickBot="1">
      <c r="B1554" s="900"/>
      <c r="C1554" s="900"/>
      <c r="D1554" s="900"/>
      <c r="E1554" s="901"/>
      <c r="F1554" s="534" t="s">
        <v>856</v>
      </c>
      <c r="G1554" s="535">
        <f>SUM(G1548:G1553)</f>
        <v>3618.6666666666665</v>
      </c>
    </row>
    <row r="1555" spans="2:8" ht="15.75" thickTop="1" thickBot="1">
      <c r="B1555" s="902"/>
      <c r="C1555" s="902"/>
      <c r="D1555" s="902"/>
      <c r="E1555" s="902"/>
      <c r="F1555" s="902"/>
      <c r="G1555" s="902"/>
    </row>
    <row r="1556" spans="2:8" ht="13.5" thickTop="1">
      <c r="B1556" s="890" t="s">
        <v>311</v>
      </c>
      <c r="C1556" s="891"/>
      <c r="D1556" s="891"/>
      <c r="E1556" s="891"/>
      <c r="F1556" s="891"/>
      <c r="G1556" s="892"/>
    </row>
    <row r="1557" spans="2:8">
      <c r="B1557" s="903" t="s">
        <v>838</v>
      </c>
      <c r="C1557" s="904"/>
      <c r="D1557" s="520" t="s">
        <v>842</v>
      </c>
      <c r="E1557" s="520" t="s">
        <v>853</v>
      </c>
      <c r="F1557" s="563" t="s">
        <v>1047</v>
      </c>
      <c r="G1557" s="522" t="s">
        <v>840</v>
      </c>
    </row>
    <row r="1558" spans="2:8">
      <c r="B1558" s="894" t="str">
        <f>MATERIALES2!C35</f>
        <v>CONCRETO 1:2:3-3000 psi(MATERIALES)</v>
      </c>
      <c r="C1558" s="895"/>
      <c r="D1558" s="523" t="s">
        <v>669</v>
      </c>
      <c r="E1558" s="609">
        <f>0.35*0.2*1</f>
        <v>6.9999999999999993E-2</v>
      </c>
      <c r="F1558" s="524">
        <f>MATERIALES2!E35</f>
        <v>367600</v>
      </c>
      <c r="G1558" s="526">
        <f>+F1558*E1558</f>
        <v>25731.999999999996</v>
      </c>
    </row>
    <row r="1559" spans="2:8">
      <c r="B1559" s="894" t="str">
        <f>'MAQUINARIA Y EQUIPOS'!C70</f>
        <v>FOMALETA</v>
      </c>
      <c r="C1559" s="895"/>
      <c r="D1559" s="523" t="s">
        <v>1351</v>
      </c>
      <c r="E1559" s="609">
        <v>0.2</v>
      </c>
      <c r="F1559" s="524">
        <f>'MAQUINARIA Y EQUIPOS'!D70</f>
        <v>10000</v>
      </c>
      <c r="G1559" s="542">
        <f>+F1559*E1559</f>
        <v>2000</v>
      </c>
    </row>
    <row r="1560" spans="2:8">
      <c r="B1560" s="894" t="str">
        <f>MATERIALES2!C85</f>
        <v>ACERO DE REFUERZO FIGURADO</v>
      </c>
      <c r="C1560" s="895"/>
      <c r="D1560" s="523" t="s">
        <v>1709</v>
      </c>
      <c r="E1560" s="609">
        <v>6.51</v>
      </c>
      <c r="F1560" s="524">
        <f>MATERIALES2!E85</f>
        <v>3439</v>
      </c>
      <c r="G1560" s="542">
        <f>+F1560*E1560</f>
        <v>22387.89</v>
      </c>
    </row>
    <row r="1561" spans="2:8">
      <c r="B1561" s="894" t="str">
        <f>MATERIALES2!C65</f>
        <v>ALAMBRE NEGRO</v>
      </c>
      <c r="C1561" s="895"/>
      <c r="D1561" s="523" t="s">
        <v>1709</v>
      </c>
      <c r="E1561" s="609">
        <f>ROUND((+E1560*3%),2)</f>
        <v>0.2</v>
      </c>
      <c r="F1561" s="524">
        <f>MATERIALES2!E65</f>
        <v>2100</v>
      </c>
      <c r="G1561" s="542">
        <f>+F1561*E1561</f>
        <v>420</v>
      </c>
    </row>
    <row r="1562" spans="2:8" ht="14.25">
      <c r="B1562" s="909"/>
      <c r="C1562" s="910"/>
      <c r="D1562" s="582"/>
      <c r="E1562" s="589"/>
      <c r="F1562" s="579"/>
      <c r="G1562" s="581"/>
    </row>
    <row r="1563" spans="2:8" ht="14.25">
      <c r="B1563" s="909"/>
      <c r="C1563" s="910"/>
      <c r="D1563" s="590" t="s">
        <v>841</v>
      </c>
      <c r="E1563" s="589"/>
      <c r="F1563" s="579"/>
      <c r="G1563" s="581"/>
    </row>
    <row r="1564" spans="2:8" ht="14.25">
      <c r="B1564" s="909" t="s">
        <v>841</v>
      </c>
      <c r="C1564" s="910"/>
      <c r="D1564" s="590" t="s">
        <v>841</v>
      </c>
      <c r="E1564" s="589"/>
      <c r="F1564" s="579"/>
      <c r="G1564" s="581"/>
    </row>
    <row r="1565" spans="2:8" ht="14.25">
      <c r="B1565" s="909" t="s">
        <v>841</v>
      </c>
      <c r="C1565" s="910"/>
      <c r="D1565" s="590" t="s">
        <v>841</v>
      </c>
      <c r="E1565" s="589"/>
      <c r="F1565" s="579"/>
      <c r="G1565" s="581"/>
      <c r="H1565" s="505" t="s">
        <v>1670</v>
      </c>
    </row>
    <row r="1566" spans="2:8" ht="15" thickBot="1">
      <c r="B1566" s="898" t="s">
        <v>841</v>
      </c>
      <c r="C1566" s="899"/>
      <c r="D1566" s="591" t="s">
        <v>841</v>
      </c>
      <c r="E1566" s="591"/>
      <c r="F1566" s="592"/>
      <c r="G1566" s="586"/>
    </row>
    <row r="1567" spans="2:8" ht="13.5" thickTop="1">
      <c r="B1567" s="900"/>
      <c r="C1567" s="901"/>
      <c r="D1567" s="915" t="s">
        <v>856</v>
      </c>
      <c r="E1567" s="916"/>
      <c r="F1567" s="593"/>
      <c r="G1567" s="594">
        <f>SUM(G1558:G1566)</f>
        <v>50539.89</v>
      </c>
    </row>
    <row r="1568" spans="2:8">
      <c r="B1568" s="913"/>
      <c r="C1568" s="914"/>
      <c r="D1568" s="915" t="s">
        <v>857</v>
      </c>
      <c r="E1568" s="916"/>
      <c r="F1568" s="595">
        <v>0.05</v>
      </c>
      <c r="G1568" s="594">
        <f>ROUND(G1567*F1568,0)</f>
        <v>2527</v>
      </c>
    </row>
    <row r="1569" spans="2:7" ht="13.5" thickBot="1">
      <c r="B1569" s="913"/>
      <c r="C1569" s="914"/>
      <c r="D1569" s="917" t="s">
        <v>320</v>
      </c>
      <c r="E1569" s="918"/>
      <c r="F1569" s="596"/>
      <c r="G1569" s="535">
        <f>+G1567+G1568</f>
        <v>53066.89</v>
      </c>
    </row>
    <row r="1570" spans="2:7" ht="15.75" thickTop="1" thickBot="1">
      <c r="B1570" s="902"/>
      <c r="C1570" s="902"/>
      <c r="D1570" s="902"/>
      <c r="E1570" s="902"/>
      <c r="F1570" s="902"/>
      <c r="G1570" s="902"/>
    </row>
    <row r="1571" spans="2:7" ht="13.5" thickTop="1">
      <c r="B1571" s="811" t="s">
        <v>858</v>
      </c>
      <c r="C1571" s="812"/>
      <c r="D1571" s="812"/>
      <c r="E1571" s="812"/>
      <c r="F1571" s="812"/>
      <c r="G1571" s="825"/>
    </row>
    <row r="1572" spans="2:7">
      <c r="B1572" s="817"/>
      <c r="C1572" s="818"/>
      <c r="D1572" s="98" t="s">
        <v>301</v>
      </c>
      <c r="E1572" s="98" t="s">
        <v>859</v>
      </c>
      <c r="F1572" s="99" t="s">
        <v>839</v>
      </c>
      <c r="G1572" s="107" t="s">
        <v>840</v>
      </c>
    </row>
    <row r="1573" spans="2:7">
      <c r="B1573" s="821" t="s">
        <v>838</v>
      </c>
      <c r="C1573" s="822"/>
      <c r="D1573" s="100" t="s">
        <v>316</v>
      </c>
      <c r="E1573" s="100" t="s">
        <v>315</v>
      </c>
      <c r="F1573" s="101" t="s">
        <v>306</v>
      </c>
      <c r="G1573" s="108" t="s">
        <v>319</v>
      </c>
    </row>
    <row r="1574" spans="2:7">
      <c r="B1574" s="115"/>
      <c r="C1574" s="102"/>
      <c r="D1574" s="103"/>
      <c r="E1574" s="103" t="s">
        <v>317</v>
      </c>
      <c r="F1574" s="104" t="s">
        <v>318</v>
      </c>
      <c r="G1574" s="109"/>
    </row>
    <row r="1575" spans="2:7">
      <c r="B1575" s="823" t="str">
        <f>'MANO DE OBRA'!$B$10</f>
        <v>AYUDANTE CUAD. TIPO AA</v>
      </c>
      <c r="C1575" s="824"/>
      <c r="D1575" s="87">
        <v>4</v>
      </c>
      <c r="E1575" s="80">
        <f>'MANO DE OBRA'!$E$10</f>
        <v>34680</v>
      </c>
      <c r="F1575" s="81">
        <v>6</v>
      </c>
      <c r="G1575" s="110">
        <f>ROUND(D1575*E1575/F1575,0)</f>
        <v>23120</v>
      </c>
    </row>
    <row r="1576" spans="2:7">
      <c r="B1576" s="835" t="str">
        <f>'MANO DE OBRA'!$B$15</f>
        <v xml:space="preserve">OFICIAL CUAD. TIPO AA </v>
      </c>
      <c r="C1576" s="836"/>
      <c r="D1576" s="37">
        <v>1</v>
      </c>
      <c r="E1576" s="82">
        <f>'MANO DE OBRA'!$E$15</f>
        <v>71474</v>
      </c>
      <c r="F1576" s="83">
        <v>6</v>
      </c>
      <c r="G1576" s="111">
        <f>ROUND(D1576*E1576/F1576,0)</f>
        <v>11912</v>
      </c>
    </row>
    <row r="1577" spans="2:7" ht="13.5" thickBot="1">
      <c r="B1577" s="828" t="s">
        <v>841</v>
      </c>
      <c r="C1577" s="829"/>
      <c r="D1577" s="77"/>
      <c r="E1577" s="82"/>
      <c r="F1577" s="86"/>
      <c r="G1577" s="112"/>
    </row>
    <row r="1578" spans="2:7" ht="14.25" thickTop="1" thickBot="1">
      <c r="B1578" s="808"/>
      <c r="C1578" s="808"/>
      <c r="D1578" s="808"/>
      <c r="E1578" s="809"/>
      <c r="F1578" s="120" t="s">
        <v>856</v>
      </c>
      <c r="G1578" s="118">
        <f>SUM(G1575:G1577)</f>
        <v>35032</v>
      </c>
    </row>
    <row r="1579" spans="2:7" ht="15.75" thickTop="1" thickBot="1">
      <c r="B1579" s="911"/>
      <c r="C1579" s="911"/>
      <c r="D1579" s="911"/>
      <c r="E1579" s="911"/>
      <c r="F1579" s="911"/>
      <c r="G1579" s="911"/>
    </row>
    <row r="1580" spans="2:7" ht="13.5" thickTop="1">
      <c r="B1580" s="890" t="s">
        <v>321</v>
      </c>
      <c r="C1580" s="891"/>
      <c r="D1580" s="891"/>
      <c r="E1580" s="891"/>
      <c r="F1580" s="891"/>
      <c r="G1580" s="892"/>
    </row>
    <row r="1581" spans="2:7">
      <c r="B1581" s="572" t="s">
        <v>838</v>
      </c>
      <c r="C1581" s="520" t="s">
        <v>1687</v>
      </c>
      <c r="D1581" s="520" t="s">
        <v>1688</v>
      </c>
      <c r="E1581" s="520" t="s">
        <v>1689</v>
      </c>
      <c r="F1581" s="563" t="s">
        <v>297</v>
      </c>
      <c r="G1581" s="568" t="s">
        <v>1690</v>
      </c>
    </row>
    <row r="1582" spans="2:7">
      <c r="B1582" s="601"/>
      <c r="C1582" s="602"/>
      <c r="D1582" s="603"/>
      <c r="E1582" s="602"/>
      <c r="F1582" s="538"/>
      <c r="G1582" s="604"/>
    </row>
    <row r="1583" spans="2:7" ht="15" thickBot="1">
      <c r="B1583" s="613" t="s">
        <v>841</v>
      </c>
      <c r="C1583" s="614"/>
      <c r="D1583" s="583"/>
      <c r="E1583" s="579"/>
      <c r="F1583" s="585"/>
      <c r="G1583" s="586"/>
    </row>
    <row r="1584" spans="2:7" ht="15.75" thickTop="1" thickBot="1">
      <c r="B1584" s="900"/>
      <c r="C1584" s="900"/>
      <c r="D1584" s="900"/>
      <c r="E1584" s="901"/>
      <c r="F1584" s="553" t="s">
        <v>856</v>
      </c>
      <c r="G1584" s="535">
        <f>SUM(G1580:G1583)</f>
        <v>0</v>
      </c>
    </row>
    <row r="1585" spans="2:8" ht="15.75" thickTop="1" thickBot="1">
      <c r="B1585" s="911"/>
      <c r="C1585" s="911"/>
      <c r="D1585" s="911"/>
      <c r="E1585" s="911"/>
      <c r="F1585" s="911"/>
      <c r="G1585" s="911"/>
    </row>
    <row r="1586" spans="2:8" ht="13.5" thickTop="1">
      <c r="B1586" s="890" t="s">
        <v>326</v>
      </c>
      <c r="C1586" s="891"/>
      <c r="D1586" s="891"/>
      <c r="E1586" s="891"/>
      <c r="F1586" s="912"/>
      <c r="G1586" s="559">
        <f>+G1554+G1569+G1578+G1584</f>
        <v>91717.556666666671</v>
      </c>
    </row>
    <row r="1587" spans="2:8">
      <c r="B1587" s="919" t="s">
        <v>861</v>
      </c>
      <c r="C1587" s="920"/>
      <c r="D1587" s="920"/>
      <c r="E1587" s="921"/>
      <c r="F1587" s="560">
        <f>'[1]MANO DE OBRA'!$D$59</f>
        <v>0</v>
      </c>
      <c r="G1587" s="561">
        <f>ROUND(G1586*F1587,0)</f>
        <v>0</v>
      </c>
    </row>
    <row r="1588" spans="2:8" ht="13.5" thickBot="1">
      <c r="B1588" s="922" t="s">
        <v>1049</v>
      </c>
      <c r="C1588" s="923"/>
      <c r="D1588" s="923"/>
      <c r="E1588" s="923"/>
      <c r="F1588" s="924"/>
      <c r="G1588" s="535">
        <f>G1586</f>
        <v>91717.556666666671</v>
      </c>
      <c r="H1588" s="505" t="s">
        <v>1670</v>
      </c>
    </row>
    <row r="1589" spans="2:8" ht="13.5" thickTop="1"/>
  </sheetData>
  <mergeCells count="1458">
    <mergeCell ref="B1570:G1570"/>
    <mergeCell ref="B1560:C1560"/>
    <mergeCell ref="B1561:C1561"/>
    <mergeCell ref="B1562:C1562"/>
    <mergeCell ref="B1563:C1563"/>
    <mergeCell ref="B1564:C1564"/>
    <mergeCell ref="B1565:C1565"/>
    <mergeCell ref="B1572:C1572"/>
    <mergeCell ref="B1573:C1573"/>
    <mergeCell ref="B1575:C1575"/>
    <mergeCell ref="B1576:C1576"/>
    <mergeCell ref="B1566:C1566"/>
    <mergeCell ref="B1567:C1569"/>
    <mergeCell ref="B1577:C1577"/>
    <mergeCell ref="B1586:F1586"/>
    <mergeCell ref="B1587:E1587"/>
    <mergeCell ref="B1588:F1588"/>
    <mergeCell ref="B1571:G1571"/>
    <mergeCell ref="B1578:E1578"/>
    <mergeCell ref="B1579:G1579"/>
    <mergeCell ref="B1580:G1580"/>
    <mergeCell ref="B1584:E1584"/>
    <mergeCell ref="B1585:G1585"/>
    <mergeCell ref="B1546:G1546"/>
    <mergeCell ref="B1547:C1547"/>
    <mergeCell ref="B1548:C1548"/>
    <mergeCell ref="B1549:C1549"/>
    <mergeCell ref="B1550:C1550"/>
    <mergeCell ref="B1551:C1551"/>
    <mergeCell ref="B1552:C1552"/>
    <mergeCell ref="B1553:C1553"/>
    <mergeCell ref="B1554:E1554"/>
    <mergeCell ref="B1555:G1555"/>
    <mergeCell ref="B1556:G1556"/>
    <mergeCell ref="B1557:C1557"/>
    <mergeCell ref="B1558:C1558"/>
    <mergeCell ref="B1559:C1559"/>
    <mergeCell ref="D1567:E1567"/>
    <mergeCell ref="D1568:E1568"/>
    <mergeCell ref="D1569:E1569"/>
    <mergeCell ref="B1480:G1480"/>
    <mergeCell ref="B1473:C1473"/>
    <mergeCell ref="B1474:C1474"/>
    <mergeCell ref="B1475:C1475"/>
    <mergeCell ref="B1476:C1476"/>
    <mergeCell ref="B1488:E1488"/>
    <mergeCell ref="B1489:F1489"/>
    <mergeCell ref="B1481:C1481"/>
    <mergeCell ref="B1483:C1483"/>
    <mergeCell ref="B1484:C1484"/>
    <mergeCell ref="B1485:E1485"/>
    <mergeCell ref="B1486:G1486"/>
    <mergeCell ref="B1487:F1487"/>
    <mergeCell ref="C1542:E1542"/>
    <mergeCell ref="C1543:E1543"/>
    <mergeCell ref="C1544:G1544"/>
    <mergeCell ref="B1545:G1545"/>
    <mergeCell ref="B1510:C1510"/>
    <mergeCell ref="B1511:C1511"/>
    <mergeCell ref="B1512:C1512"/>
    <mergeCell ref="B1513:C1513"/>
    <mergeCell ref="B1514:C1514"/>
    <mergeCell ref="B1515:C1515"/>
    <mergeCell ref="B1516:C1516"/>
    <mergeCell ref="B1517:C1517"/>
    <mergeCell ref="B1518:C1518"/>
    <mergeCell ref="B1503:C1503"/>
    <mergeCell ref="B1504:C1504"/>
    <mergeCell ref="B1505:E1505"/>
    <mergeCell ref="B1506:G1506"/>
    <mergeCell ref="B1507:G1507"/>
    <mergeCell ref="B1508:C1508"/>
    <mergeCell ref="B1463:C1463"/>
    <mergeCell ref="B1464:C1464"/>
    <mergeCell ref="B1457:C1457"/>
    <mergeCell ref="B1458:C1458"/>
    <mergeCell ref="B1459:C1459"/>
    <mergeCell ref="B1460:C1460"/>
    <mergeCell ref="B1468:G1468"/>
    <mergeCell ref="B1469:G1469"/>
    <mergeCell ref="B1470:C1470"/>
    <mergeCell ref="B1471:C1471"/>
    <mergeCell ref="B1465:C1467"/>
    <mergeCell ref="D1465:E1465"/>
    <mergeCell ref="D1466:E1466"/>
    <mergeCell ref="D1467:E1467"/>
    <mergeCell ref="B1477:C1477"/>
    <mergeCell ref="B1478:E1478"/>
    <mergeCell ref="B1479:G1479"/>
    <mergeCell ref="B1064:E1064"/>
    <mergeCell ref="B1065:F1065"/>
    <mergeCell ref="B1212:E1212"/>
    <mergeCell ref="B1213:G1213"/>
    <mergeCell ref="B1195:C1195"/>
    <mergeCell ref="B1196:C1196"/>
    <mergeCell ref="B1112:C1112"/>
    <mergeCell ref="B1113:C1113"/>
    <mergeCell ref="B1443:C1443"/>
    <mergeCell ref="B1445:C1445"/>
    <mergeCell ref="B1446:C1446"/>
    <mergeCell ref="B1447:C1447"/>
    <mergeCell ref="B1441:G1441"/>
    <mergeCell ref="B1215:C1215"/>
    <mergeCell ref="B1217:C1217"/>
    <mergeCell ref="B1218:C1218"/>
    <mergeCell ref="B1219:E1219"/>
    <mergeCell ref="B1221:F1221"/>
    <mergeCell ref="B1214:G1214"/>
    <mergeCell ref="B1105:C1105"/>
    <mergeCell ref="B1125:C1125"/>
    <mergeCell ref="B1127:C1127"/>
    <mergeCell ref="B1128:C1128"/>
    <mergeCell ref="B1115:G1115"/>
    <mergeCell ref="B1116:F1116"/>
    <mergeCell ref="B1123:G1123"/>
    <mergeCell ref="B1108:G1108"/>
    <mergeCell ref="B1109:G1109"/>
    <mergeCell ref="B1107:E1107"/>
    <mergeCell ref="B1184:C1184"/>
    <mergeCell ref="B1186:C1186"/>
    <mergeCell ref="B1185:C1185"/>
    <mergeCell ref="B1050:C1050"/>
    <mergeCell ref="B1051:C1051"/>
    <mergeCell ref="B1052:C1052"/>
    <mergeCell ref="B1044:G1044"/>
    <mergeCell ref="B1045:G1045"/>
    <mergeCell ref="B1046:C1046"/>
    <mergeCell ref="B1047:C1047"/>
    <mergeCell ref="B1057:C1057"/>
    <mergeCell ref="B1059:C1059"/>
    <mergeCell ref="B1060:C1060"/>
    <mergeCell ref="B1061:E1061"/>
    <mergeCell ref="B1053:C1053"/>
    <mergeCell ref="B1054:E1054"/>
    <mergeCell ref="B1055:G1055"/>
    <mergeCell ref="B1056:G1056"/>
    <mergeCell ref="B1062:G1062"/>
    <mergeCell ref="B1063:F1063"/>
    <mergeCell ref="B1033:C1033"/>
    <mergeCell ref="B1034:C1034"/>
    <mergeCell ref="B1035:C1035"/>
    <mergeCell ref="B1036:C1036"/>
    <mergeCell ref="B1028:G1028"/>
    <mergeCell ref="B1029:G1029"/>
    <mergeCell ref="B1030:C1030"/>
    <mergeCell ref="B1032:C1032"/>
    <mergeCell ref="B1041:C1043"/>
    <mergeCell ref="D1041:E1041"/>
    <mergeCell ref="D1042:E1042"/>
    <mergeCell ref="D1043:E1043"/>
    <mergeCell ref="B1037:C1037"/>
    <mergeCell ref="B1038:C1038"/>
    <mergeCell ref="B1039:C1039"/>
    <mergeCell ref="B1040:C1040"/>
    <mergeCell ref="B1049:C1049"/>
    <mergeCell ref="C1014:E1014"/>
    <mergeCell ref="C1015:G1015"/>
    <mergeCell ref="B1016:G1016"/>
    <mergeCell ref="B1017:G1017"/>
    <mergeCell ref="B692:F692"/>
    <mergeCell ref="B693:E693"/>
    <mergeCell ref="B694:F694"/>
    <mergeCell ref="C1013:E1013"/>
    <mergeCell ref="B1007:C1007"/>
    <mergeCell ref="B1008:E1008"/>
    <mergeCell ref="B1024:C1024"/>
    <mergeCell ref="B1025:C1025"/>
    <mergeCell ref="B1026:C1026"/>
    <mergeCell ref="B1027:E1027"/>
    <mergeCell ref="B1019:C1019"/>
    <mergeCell ref="B1021:C1021"/>
    <mergeCell ref="B1022:C1022"/>
    <mergeCell ref="B1023:C1023"/>
    <mergeCell ref="D989:E989"/>
    <mergeCell ref="D990:E990"/>
    <mergeCell ref="B983:C983"/>
    <mergeCell ref="B984:C984"/>
    <mergeCell ref="B985:C985"/>
    <mergeCell ref="B986:C986"/>
    <mergeCell ref="B998:C998"/>
    <mergeCell ref="C960:E960"/>
    <mergeCell ref="C961:E961"/>
    <mergeCell ref="C962:G962"/>
    <mergeCell ref="B963:G963"/>
    <mergeCell ref="B956:G956"/>
    <mergeCell ref="B957:F957"/>
    <mergeCell ref="B958:E958"/>
    <mergeCell ref="B675:C675"/>
    <mergeCell ref="B676:C676"/>
    <mergeCell ref="B678:C678"/>
    <mergeCell ref="D670:E670"/>
    <mergeCell ref="D671:E671"/>
    <mergeCell ref="D672:E672"/>
    <mergeCell ref="B673:G673"/>
    <mergeCell ref="B683:E683"/>
    <mergeCell ref="B684:G684"/>
    <mergeCell ref="B685:G685"/>
    <mergeCell ref="B686:C686"/>
    <mergeCell ref="B679:C679"/>
    <mergeCell ref="B680:C680"/>
    <mergeCell ref="B681:C681"/>
    <mergeCell ref="B682:C682"/>
    <mergeCell ref="B1009:G1009"/>
    <mergeCell ref="B1010:F1010"/>
    <mergeCell ref="B688:C688"/>
    <mergeCell ref="B689:C689"/>
    <mergeCell ref="B690:E690"/>
    <mergeCell ref="B691:G691"/>
    <mergeCell ref="B1004:C1004"/>
    <mergeCell ref="B1006:C1006"/>
    <mergeCell ref="B996:C996"/>
    <mergeCell ref="B997:C997"/>
    <mergeCell ref="B999:C999"/>
    <mergeCell ref="B991:G991"/>
    <mergeCell ref="B992:G992"/>
    <mergeCell ref="B993:C993"/>
    <mergeCell ref="B994:C994"/>
    <mergeCell ref="B988:C990"/>
    <mergeCell ref="D988:E988"/>
    <mergeCell ref="B658:G658"/>
    <mergeCell ref="B659:C659"/>
    <mergeCell ref="B661:C661"/>
    <mergeCell ref="B662:C662"/>
    <mergeCell ref="B654:C654"/>
    <mergeCell ref="B655:C655"/>
    <mergeCell ref="B656:E656"/>
    <mergeCell ref="B657:G657"/>
    <mergeCell ref="B667:C667"/>
    <mergeCell ref="B668:C668"/>
    <mergeCell ref="B669:C669"/>
    <mergeCell ref="B670:C672"/>
    <mergeCell ref="B663:C663"/>
    <mergeCell ref="B664:C664"/>
    <mergeCell ref="B665:C665"/>
    <mergeCell ref="B666:C666"/>
    <mergeCell ref="B674:G674"/>
    <mergeCell ref="C643:E643"/>
    <mergeCell ref="B574:C574"/>
    <mergeCell ref="B575:C575"/>
    <mergeCell ref="B583:C583"/>
    <mergeCell ref="B584:E584"/>
    <mergeCell ref="B580:C580"/>
    <mergeCell ref="B582:C582"/>
    <mergeCell ref="C642:E642"/>
    <mergeCell ref="B585:G585"/>
    <mergeCell ref="B650:C650"/>
    <mergeCell ref="B651:C651"/>
    <mergeCell ref="B652:C652"/>
    <mergeCell ref="B653:C653"/>
    <mergeCell ref="C644:G644"/>
    <mergeCell ref="B645:G645"/>
    <mergeCell ref="B646:G646"/>
    <mergeCell ref="B648:C648"/>
    <mergeCell ref="B586:F586"/>
    <mergeCell ref="B587:E587"/>
    <mergeCell ref="B588:F588"/>
    <mergeCell ref="B593:G593"/>
    <mergeCell ref="B595:C595"/>
    <mergeCell ref="B597:C597"/>
    <mergeCell ref="B598:C598"/>
    <mergeCell ref="B599:C599"/>
    <mergeCell ref="B600:C600"/>
    <mergeCell ref="B614:C614"/>
    <mergeCell ref="B615:C615"/>
    <mergeCell ref="B616:C616"/>
    <mergeCell ref="B617:C619"/>
    <mergeCell ref="D617:E617"/>
    <mergeCell ref="D618:E618"/>
    <mergeCell ref="B471:E471"/>
    <mergeCell ref="B472:G472"/>
    <mergeCell ref="D458:E458"/>
    <mergeCell ref="D459:E459"/>
    <mergeCell ref="D460:E460"/>
    <mergeCell ref="B461:G461"/>
    <mergeCell ref="B467:C467"/>
    <mergeCell ref="B468:C468"/>
    <mergeCell ref="B478:E478"/>
    <mergeCell ref="B479:G479"/>
    <mergeCell ref="B480:F480"/>
    <mergeCell ref="B481:E481"/>
    <mergeCell ref="B473:G473"/>
    <mergeCell ref="B474:C474"/>
    <mergeCell ref="B557:C557"/>
    <mergeCell ref="B558:C558"/>
    <mergeCell ref="B550:E550"/>
    <mergeCell ref="B546:C546"/>
    <mergeCell ref="B547:C547"/>
    <mergeCell ref="B548:C548"/>
    <mergeCell ref="B549:C549"/>
    <mergeCell ref="B540:G540"/>
    <mergeCell ref="B542:C542"/>
    <mergeCell ref="B544:C544"/>
    <mergeCell ref="B545:C545"/>
    <mergeCell ref="B555:C555"/>
    <mergeCell ref="B556:C556"/>
    <mergeCell ref="B519:C519"/>
    <mergeCell ref="B520:C520"/>
    <mergeCell ref="B521:C521"/>
    <mergeCell ref="B522:C522"/>
    <mergeCell ref="B514:G514"/>
    <mergeCell ref="B570:C570"/>
    <mergeCell ref="B576:C576"/>
    <mergeCell ref="B577:E577"/>
    <mergeCell ref="B578:G578"/>
    <mergeCell ref="B579:G579"/>
    <mergeCell ref="B563:C563"/>
    <mergeCell ref="B564:C566"/>
    <mergeCell ref="D564:E564"/>
    <mergeCell ref="D565:E565"/>
    <mergeCell ref="D566:E566"/>
    <mergeCell ref="B449:C449"/>
    <mergeCell ref="B450:C450"/>
    <mergeCell ref="B452:C452"/>
    <mergeCell ref="B567:G567"/>
    <mergeCell ref="B568:G568"/>
    <mergeCell ref="B569:C569"/>
    <mergeCell ref="B559:C559"/>
    <mergeCell ref="B560:C560"/>
    <mergeCell ref="B561:C561"/>
    <mergeCell ref="B562:C562"/>
    <mergeCell ref="B476:C476"/>
    <mergeCell ref="B477:C477"/>
    <mergeCell ref="B482:F482"/>
    <mergeCell ref="C537:E537"/>
    <mergeCell ref="C538:G538"/>
    <mergeCell ref="B539:G539"/>
    <mergeCell ref="B532:G532"/>
    <mergeCell ref="B533:F533"/>
    <mergeCell ref="B534:E534"/>
    <mergeCell ref="B572:C572"/>
    <mergeCell ref="B573:C573"/>
    <mergeCell ref="B457:C457"/>
    <mergeCell ref="B515:G515"/>
    <mergeCell ref="B516:C516"/>
    <mergeCell ref="B517:C517"/>
    <mergeCell ref="B527:C527"/>
    <mergeCell ref="B529:C529"/>
    <mergeCell ref="B530:C530"/>
    <mergeCell ref="B531:E531"/>
    <mergeCell ref="B523:C523"/>
    <mergeCell ref="B524:E524"/>
    <mergeCell ref="B525:G525"/>
    <mergeCell ref="B526:G526"/>
    <mergeCell ref="C536:E536"/>
    <mergeCell ref="B551:G551"/>
    <mergeCell ref="B552:G552"/>
    <mergeCell ref="B553:C553"/>
    <mergeCell ref="B503:C503"/>
    <mergeCell ref="B504:C504"/>
    <mergeCell ref="B505:C505"/>
    <mergeCell ref="B497:E497"/>
    <mergeCell ref="B498:G498"/>
    <mergeCell ref="B499:G499"/>
    <mergeCell ref="B500:C500"/>
    <mergeCell ref="B510:C510"/>
    <mergeCell ref="B511:C513"/>
    <mergeCell ref="D511:E511"/>
    <mergeCell ref="D512:E512"/>
    <mergeCell ref="D513:E513"/>
    <mergeCell ref="B506:C506"/>
    <mergeCell ref="B507:C507"/>
    <mergeCell ref="B508:C508"/>
    <mergeCell ref="B509:C509"/>
    <mergeCell ref="B535:F535"/>
    <mergeCell ref="C378:E378"/>
    <mergeCell ref="C379:G379"/>
    <mergeCell ref="C484:E484"/>
    <mergeCell ref="C485:G485"/>
    <mergeCell ref="B486:G486"/>
    <mergeCell ref="C430:E430"/>
    <mergeCell ref="C431:E431"/>
    <mergeCell ref="C432:G432"/>
    <mergeCell ref="B433:G433"/>
    <mergeCell ref="B434:G434"/>
    <mergeCell ref="B436:C436"/>
    <mergeCell ref="B438:C438"/>
    <mergeCell ref="B493:C493"/>
    <mergeCell ref="B494:C494"/>
    <mergeCell ref="B495:C495"/>
    <mergeCell ref="B496:C496"/>
    <mergeCell ref="B487:G487"/>
    <mergeCell ref="B489:C489"/>
    <mergeCell ref="B491:C491"/>
    <mergeCell ref="B492:C492"/>
    <mergeCell ref="B443:C443"/>
    <mergeCell ref="B444:E444"/>
    <mergeCell ref="B445:G445"/>
    <mergeCell ref="B446:G446"/>
    <mergeCell ref="B447:C447"/>
    <mergeCell ref="B458:C460"/>
    <mergeCell ref="B462:G462"/>
    <mergeCell ref="B463:C463"/>
    <mergeCell ref="B464:C464"/>
    <mergeCell ref="B466:C466"/>
    <mergeCell ref="B469:C469"/>
    <mergeCell ref="B470:C470"/>
    <mergeCell ref="B136:C136"/>
    <mergeCell ref="B137:C137"/>
    <mergeCell ref="B138:C138"/>
    <mergeCell ref="B161:G161"/>
    <mergeCell ref="B162:F162"/>
    <mergeCell ref="B163:E163"/>
    <mergeCell ref="B164:F164"/>
    <mergeCell ref="B156:C156"/>
    <mergeCell ref="B158:C158"/>
    <mergeCell ref="B159:C159"/>
    <mergeCell ref="B160:E160"/>
    <mergeCell ref="C483:E483"/>
    <mergeCell ref="B439:C439"/>
    <mergeCell ref="B440:C440"/>
    <mergeCell ref="B441:C441"/>
    <mergeCell ref="B442:C442"/>
    <mergeCell ref="B453:C453"/>
    <mergeCell ref="B451:C451"/>
    <mergeCell ref="B454:C454"/>
    <mergeCell ref="B455:C455"/>
    <mergeCell ref="B456:C456"/>
    <mergeCell ref="B414:C414"/>
    <mergeCell ref="B415:C415"/>
    <mergeCell ref="B416:C416"/>
    <mergeCell ref="B426:G426"/>
    <mergeCell ref="B427:F427"/>
    <mergeCell ref="B428:E428"/>
    <mergeCell ref="B429:F429"/>
    <mergeCell ref="B421:C421"/>
    <mergeCell ref="B423:C423"/>
    <mergeCell ref="B424:C424"/>
    <mergeCell ref="B425:E425"/>
    <mergeCell ref="B143:G143"/>
    <mergeCell ref="B144:G144"/>
    <mergeCell ref="B145:C145"/>
    <mergeCell ref="B146:C146"/>
    <mergeCell ref="B376:F376"/>
    <mergeCell ref="B368:C368"/>
    <mergeCell ref="B370:C370"/>
    <mergeCell ref="B371:C371"/>
    <mergeCell ref="B372:E372"/>
    <mergeCell ref="B389:C389"/>
    <mergeCell ref="B390:C390"/>
    <mergeCell ref="B380:G380"/>
    <mergeCell ref="C377:E377"/>
    <mergeCell ref="B358:C358"/>
    <mergeCell ref="B351:C351"/>
    <mergeCell ref="B352:C354"/>
    <mergeCell ref="D352:E352"/>
    <mergeCell ref="D353:E353"/>
    <mergeCell ref="B139:C139"/>
    <mergeCell ref="B140:C142"/>
    <mergeCell ref="D140:E140"/>
    <mergeCell ref="D141:E141"/>
    <mergeCell ref="D142:E142"/>
    <mergeCell ref="B152:C152"/>
    <mergeCell ref="B153:E153"/>
    <mergeCell ref="B154:G154"/>
    <mergeCell ref="B155:G155"/>
    <mergeCell ref="B148:C148"/>
    <mergeCell ref="B149:C149"/>
    <mergeCell ref="B150:C150"/>
    <mergeCell ref="B151:C151"/>
    <mergeCell ref="B116:G116"/>
    <mergeCell ref="B118:C118"/>
    <mergeCell ref="B120:C120"/>
    <mergeCell ref="B121:C121"/>
    <mergeCell ref="C112:E112"/>
    <mergeCell ref="C113:E113"/>
    <mergeCell ref="C114:G114"/>
    <mergeCell ref="B115:G115"/>
    <mergeCell ref="B126:E126"/>
    <mergeCell ref="B127:G127"/>
    <mergeCell ref="B128:G128"/>
    <mergeCell ref="B129:C129"/>
    <mergeCell ref="B122:C122"/>
    <mergeCell ref="B123:C123"/>
    <mergeCell ref="B124:C124"/>
    <mergeCell ref="B125:C125"/>
    <mergeCell ref="B135:C135"/>
    <mergeCell ref="B131:C131"/>
    <mergeCell ref="B132:C132"/>
    <mergeCell ref="B133:C133"/>
    <mergeCell ref="B134:C134"/>
    <mergeCell ref="B1011:E1011"/>
    <mergeCell ref="B1012:F1012"/>
    <mergeCell ref="B1000:C1000"/>
    <mergeCell ref="B1001:E1001"/>
    <mergeCell ref="B1002:G1002"/>
    <mergeCell ref="B1003:G1003"/>
    <mergeCell ref="B391:E391"/>
    <mergeCell ref="B392:G392"/>
    <mergeCell ref="B393:G393"/>
    <mergeCell ref="B394:C394"/>
    <mergeCell ref="B381:G381"/>
    <mergeCell ref="B383:C383"/>
    <mergeCell ref="B385:C385"/>
    <mergeCell ref="B386:C386"/>
    <mergeCell ref="B387:C387"/>
    <mergeCell ref="B388:C388"/>
    <mergeCell ref="B400:C400"/>
    <mergeCell ref="B401:C401"/>
    <mergeCell ref="B402:C402"/>
    <mergeCell ref="B403:C403"/>
    <mergeCell ref="B396:C396"/>
    <mergeCell ref="B397:C397"/>
    <mergeCell ref="B398:C398"/>
    <mergeCell ref="B980:C980"/>
    <mergeCell ref="B981:C981"/>
    <mergeCell ref="B982:C982"/>
    <mergeCell ref="B974:E974"/>
    <mergeCell ref="B975:G975"/>
    <mergeCell ref="B976:G976"/>
    <mergeCell ref="B977:C977"/>
    <mergeCell ref="B987:C987"/>
    <mergeCell ref="B502:C502"/>
    <mergeCell ref="B959:F959"/>
    <mergeCell ref="B970:C970"/>
    <mergeCell ref="B971:C971"/>
    <mergeCell ref="B972:C972"/>
    <mergeCell ref="B973:C973"/>
    <mergeCell ref="B964:G964"/>
    <mergeCell ref="B966:C966"/>
    <mergeCell ref="B968:C968"/>
    <mergeCell ref="B969:C969"/>
    <mergeCell ref="B979:C979"/>
    <mergeCell ref="B930:C930"/>
    <mergeCell ref="B931:C931"/>
    <mergeCell ref="B932:C932"/>
    <mergeCell ref="B933:C933"/>
    <mergeCell ref="B943:C943"/>
    <mergeCell ref="B944:C944"/>
    <mergeCell ref="B945:C945"/>
    <mergeCell ref="B946:C946"/>
    <mergeCell ref="B938:G938"/>
    <mergeCell ref="B939:G939"/>
    <mergeCell ref="B940:C940"/>
    <mergeCell ref="B941:C941"/>
    <mergeCell ref="B951:C951"/>
    <mergeCell ref="B953:C953"/>
    <mergeCell ref="B954:C954"/>
    <mergeCell ref="B955:E955"/>
    <mergeCell ref="B947:C947"/>
    <mergeCell ref="B948:E948"/>
    <mergeCell ref="B949:G949"/>
    <mergeCell ref="B950:G950"/>
    <mergeCell ref="C907:E907"/>
    <mergeCell ref="C908:E908"/>
    <mergeCell ref="C909:G909"/>
    <mergeCell ref="B910:G910"/>
    <mergeCell ref="B832:G832"/>
    <mergeCell ref="B833:G833"/>
    <mergeCell ref="B845:C845"/>
    <mergeCell ref="B847:C847"/>
    <mergeCell ref="B399:C399"/>
    <mergeCell ref="B408:G408"/>
    <mergeCell ref="B409:G409"/>
    <mergeCell ref="B410:C410"/>
    <mergeCell ref="B411:C411"/>
    <mergeCell ref="B404:C404"/>
    <mergeCell ref="B405:C407"/>
    <mergeCell ref="D405:E405"/>
    <mergeCell ref="D406:E406"/>
    <mergeCell ref="D407:E407"/>
    <mergeCell ref="B417:C417"/>
    <mergeCell ref="B418:E418"/>
    <mergeCell ref="B419:G419"/>
    <mergeCell ref="B420:G420"/>
    <mergeCell ref="B413:C413"/>
    <mergeCell ref="B742:C742"/>
    <mergeCell ref="B743:E743"/>
    <mergeCell ref="B816:G816"/>
    <mergeCell ref="B817:G817"/>
    <mergeCell ref="B818:C818"/>
    <mergeCell ref="B837:C837"/>
    <mergeCell ref="B838:C838"/>
    <mergeCell ref="B834:C834"/>
    <mergeCell ref="B852:E852"/>
    <mergeCell ref="B339:G339"/>
    <mergeCell ref="D354:E354"/>
    <mergeCell ref="B364:C364"/>
    <mergeCell ref="B365:E365"/>
    <mergeCell ref="B366:G366"/>
    <mergeCell ref="B367:G367"/>
    <mergeCell ref="B360:C360"/>
    <mergeCell ref="B361:C361"/>
    <mergeCell ref="B362:C362"/>
    <mergeCell ref="B363:C363"/>
    <mergeCell ref="B373:G373"/>
    <mergeCell ref="B374:F374"/>
    <mergeCell ref="B375:E375"/>
    <mergeCell ref="B340:G340"/>
    <mergeCell ref="B341:C341"/>
    <mergeCell ref="B334:C334"/>
    <mergeCell ref="B335:C335"/>
    <mergeCell ref="B336:C336"/>
    <mergeCell ref="B337:C337"/>
    <mergeCell ref="B347:C347"/>
    <mergeCell ref="B348:C348"/>
    <mergeCell ref="B349:C349"/>
    <mergeCell ref="B350:C350"/>
    <mergeCell ref="B343:C343"/>
    <mergeCell ref="B344:C344"/>
    <mergeCell ref="B345:C345"/>
    <mergeCell ref="B346:C346"/>
    <mergeCell ref="B355:G355"/>
    <mergeCell ref="B356:G356"/>
    <mergeCell ref="B357:C357"/>
    <mergeCell ref="B320:G320"/>
    <mergeCell ref="B321:F321"/>
    <mergeCell ref="B322:E322"/>
    <mergeCell ref="B323:F323"/>
    <mergeCell ref="B315:C315"/>
    <mergeCell ref="B317:C317"/>
    <mergeCell ref="B318:C318"/>
    <mergeCell ref="B319:E319"/>
    <mergeCell ref="B328:G328"/>
    <mergeCell ref="B330:C330"/>
    <mergeCell ref="B332:C332"/>
    <mergeCell ref="B333:C333"/>
    <mergeCell ref="C324:E324"/>
    <mergeCell ref="C325:E325"/>
    <mergeCell ref="C326:G326"/>
    <mergeCell ref="B327:G327"/>
    <mergeCell ref="B338:E338"/>
    <mergeCell ref="B298:C298"/>
    <mergeCell ref="B291:C291"/>
    <mergeCell ref="B292:C292"/>
    <mergeCell ref="B293:C293"/>
    <mergeCell ref="B294:C294"/>
    <mergeCell ref="B302:G302"/>
    <mergeCell ref="B303:G303"/>
    <mergeCell ref="B304:C304"/>
    <mergeCell ref="B305:C305"/>
    <mergeCell ref="B299:C301"/>
    <mergeCell ref="D299:E299"/>
    <mergeCell ref="D300:E300"/>
    <mergeCell ref="D301:E301"/>
    <mergeCell ref="B311:C311"/>
    <mergeCell ref="B312:E312"/>
    <mergeCell ref="B313:G313"/>
    <mergeCell ref="B314:G314"/>
    <mergeCell ref="B307:C307"/>
    <mergeCell ref="B308:C308"/>
    <mergeCell ref="B309:C309"/>
    <mergeCell ref="B310:C310"/>
    <mergeCell ref="B280:C280"/>
    <mergeCell ref="B281:C281"/>
    <mergeCell ref="C272:E272"/>
    <mergeCell ref="C273:G273"/>
    <mergeCell ref="B274:G274"/>
    <mergeCell ref="B275:G275"/>
    <mergeCell ref="B286:G286"/>
    <mergeCell ref="B287:G287"/>
    <mergeCell ref="B288:C288"/>
    <mergeCell ref="B290:C290"/>
    <mergeCell ref="B282:C282"/>
    <mergeCell ref="B283:C283"/>
    <mergeCell ref="B284:C284"/>
    <mergeCell ref="B285:E285"/>
    <mergeCell ref="B295:C295"/>
    <mergeCell ref="B296:C296"/>
    <mergeCell ref="B297:C297"/>
    <mergeCell ref="B260:G260"/>
    <mergeCell ref="B261:G261"/>
    <mergeCell ref="B262:C262"/>
    <mergeCell ref="B255:C255"/>
    <mergeCell ref="B256:C256"/>
    <mergeCell ref="B257:C257"/>
    <mergeCell ref="B258:C258"/>
    <mergeCell ref="B268:F268"/>
    <mergeCell ref="B269:E269"/>
    <mergeCell ref="B270:F270"/>
    <mergeCell ref="C271:E271"/>
    <mergeCell ref="B264:C264"/>
    <mergeCell ref="B265:C265"/>
    <mergeCell ref="B266:E266"/>
    <mergeCell ref="B267:G267"/>
    <mergeCell ref="B277:C277"/>
    <mergeCell ref="B279:C279"/>
    <mergeCell ref="B215:F215"/>
    <mergeCell ref="B201:C201"/>
    <mergeCell ref="B202:C202"/>
    <mergeCell ref="B171:C171"/>
    <mergeCell ref="B181:G181"/>
    <mergeCell ref="B182:C182"/>
    <mergeCell ref="B184:C184"/>
    <mergeCell ref="B198:C198"/>
    <mergeCell ref="B199:C199"/>
    <mergeCell ref="B196:G196"/>
    <mergeCell ref="B197:G197"/>
    <mergeCell ref="B246:C248"/>
    <mergeCell ref="B239:C239"/>
    <mergeCell ref="B240:C240"/>
    <mergeCell ref="B241:C241"/>
    <mergeCell ref="B242:C242"/>
    <mergeCell ref="D246:E246"/>
    <mergeCell ref="D247:E247"/>
    <mergeCell ref="D248:E248"/>
    <mergeCell ref="B237:C237"/>
    <mergeCell ref="B238:C238"/>
    <mergeCell ref="B224:C224"/>
    <mergeCell ref="B234:G234"/>
    <mergeCell ref="B235:C235"/>
    <mergeCell ref="B923:G923"/>
    <mergeCell ref="B924:C924"/>
    <mergeCell ref="B934:C934"/>
    <mergeCell ref="B935:C937"/>
    <mergeCell ref="D935:E935"/>
    <mergeCell ref="D936:E936"/>
    <mergeCell ref="D937:E937"/>
    <mergeCell ref="B226:C226"/>
    <mergeCell ref="B227:C227"/>
    <mergeCell ref="B228:C228"/>
    <mergeCell ref="B229:C229"/>
    <mergeCell ref="B722:C722"/>
    <mergeCell ref="B718:C718"/>
    <mergeCell ref="B719:C719"/>
    <mergeCell ref="B720:C720"/>
    <mergeCell ref="B721:C721"/>
    <mergeCell ref="B232:E232"/>
    <mergeCell ref="B233:G233"/>
    <mergeCell ref="B243:C243"/>
    <mergeCell ref="B244:C244"/>
    <mergeCell ref="B245:C245"/>
    <mergeCell ref="B230:C230"/>
    <mergeCell ref="B820:C820"/>
    <mergeCell ref="B821:C821"/>
    <mergeCell ref="B822:C822"/>
    <mergeCell ref="B823:C823"/>
    <mergeCell ref="B250:G250"/>
    <mergeCell ref="B251:C251"/>
    <mergeCell ref="B252:C252"/>
    <mergeCell ref="B254:C254"/>
    <mergeCell ref="B249:G249"/>
    <mergeCell ref="B259:E259"/>
    <mergeCell ref="B911:G911"/>
    <mergeCell ref="B913:C913"/>
    <mergeCell ref="B915:C915"/>
    <mergeCell ref="B916:C916"/>
    <mergeCell ref="B917:C917"/>
    <mergeCell ref="B918:C918"/>
    <mergeCell ref="B919:C919"/>
    <mergeCell ref="B734:C734"/>
    <mergeCell ref="B744:G744"/>
    <mergeCell ref="B745:F745"/>
    <mergeCell ref="B87:C89"/>
    <mergeCell ref="D87:E87"/>
    <mergeCell ref="D88:E88"/>
    <mergeCell ref="D89:E89"/>
    <mergeCell ref="B101:G101"/>
    <mergeCell ref="B102:G102"/>
    <mergeCell ref="B707:C707"/>
    <mergeCell ref="B708:C708"/>
    <mergeCell ref="B173:C173"/>
    <mergeCell ref="B174:C174"/>
    <mergeCell ref="B175:C175"/>
    <mergeCell ref="B176:C176"/>
    <mergeCell ref="B185:C185"/>
    <mergeCell ref="B186:C186"/>
    <mergeCell ref="B187:C187"/>
    <mergeCell ref="B188:C188"/>
    <mergeCell ref="B231:C231"/>
    <mergeCell ref="C165:E165"/>
    <mergeCell ref="C166:E166"/>
    <mergeCell ref="B108:G108"/>
    <mergeCell ref="B109:F109"/>
    <mergeCell ref="B95:C95"/>
    <mergeCell ref="B84:C84"/>
    <mergeCell ref="B85:C85"/>
    <mergeCell ref="B86:C86"/>
    <mergeCell ref="B79:C79"/>
    <mergeCell ref="B80:C80"/>
    <mergeCell ref="B81:C81"/>
    <mergeCell ref="B82:C82"/>
    <mergeCell ref="B70:C70"/>
    <mergeCell ref="B71:C71"/>
    <mergeCell ref="B72:C72"/>
    <mergeCell ref="B78:C78"/>
    <mergeCell ref="C220:G220"/>
    <mergeCell ref="B221:G221"/>
    <mergeCell ref="B222:G222"/>
    <mergeCell ref="C167:G167"/>
    <mergeCell ref="B168:G168"/>
    <mergeCell ref="B169:G169"/>
    <mergeCell ref="B207:G207"/>
    <mergeCell ref="B208:G208"/>
    <mergeCell ref="B209:C209"/>
    <mergeCell ref="B211:C211"/>
    <mergeCell ref="B203:C203"/>
    <mergeCell ref="B204:C204"/>
    <mergeCell ref="B205:C205"/>
    <mergeCell ref="B206:E206"/>
    <mergeCell ref="B216:E216"/>
    <mergeCell ref="B217:F217"/>
    <mergeCell ref="C218:E218"/>
    <mergeCell ref="C219:E219"/>
    <mergeCell ref="B212:C212"/>
    <mergeCell ref="B213:E213"/>
    <mergeCell ref="B214:G214"/>
    <mergeCell ref="B96:C96"/>
    <mergeCell ref="B97:C97"/>
    <mergeCell ref="D35:E35"/>
    <mergeCell ref="D36:E36"/>
    <mergeCell ref="B42:C42"/>
    <mergeCell ref="B37:G37"/>
    <mergeCell ref="B38:G38"/>
    <mergeCell ref="B39:C39"/>
    <mergeCell ref="B40:C40"/>
    <mergeCell ref="B47:E47"/>
    <mergeCell ref="B48:G48"/>
    <mergeCell ref="B49:G49"/>
    <mergeCell ref="B50:C50"/>
    <mergeCell ref="B43:C43"/>
    <mergeCell ref="B44:C44"/>
    <mergeCell ref="B45:C45"/>
    <mergeCell ref="B46:C46"/>
    <mergeCell ref="B52:C52"/>
    <mergeCell ref="B53:C53"/>
    <mergeCell ref="B54:E54"/>
    <mergeCell ref="B69:C69"/>
    <mergeCell ref="B63:G63"/>
    <mergeCell ref="B65:C65"/>
    <mergeCell ref="B67:C67"/>
    <mergeCell ref="B68:C68"/>
    <mergeCell ref="B55:G55"/>
    <mergeCell ref="B56:F56"/>
    <mergeCell ref="B73:E73"/>
    <mergeCell ref="B74:G74"/>
    <mergeCell ref="B75:G75"/>
    <mergeCell ref="B76:C76"/>
    <mergeCell ref="B83:C83"/>
    <mergeCell ref="B21:G21"/>
    <mergeCell ref="B1220:G1220"/>
    <mergeCell ref="B1178:C1178"/>
    <mergeCell ref="B1180:C1180"/>
    <mergeCell ref="B1181:C1181"/>
    <mergeCell ref="B1187:E1187"/>
    <mergeCell ref="B1182:C1182"/>
    <mergeCell ref="B1183:C1183"/>
    <mergeCell ref="B1197:C1197"/>
    <mergeCell ref="B15:C15"/>
    <mergeCell ref="B16:C16"/>
    <mergeCell ref="B17:C17"/>
    <mergeCell ref="B18:C18"/>
    <mergeCell ref="B19:C19"/>
    <mergeCell ref="B20:E20"/>
    <mergeCell ref="B22:G22"/>
    <mergeCell ref="B23:C23"/>
    <mergeCell ref="B25:C25"/>
    <mergeCell ref="B26:C26"/>
    <mergeCell ref="B1202:G1202"/>
    <mergeCell ref="B1203:G1203"/>
    <mergeCell ref="B1199:C1201"/>
    <mergeCell ref="D1199:E1199"/>
    <mergeCell ref="B31:C31"/>
    <mergeCell ref="B32:C32"/>
    <mergeCell ref="B33:C33"/>
    <mergeCell ref="B34:C36"/>
    <mergeCell ref="B27:C27"/>
    <mergeCell ref="B28:C28"/>
    <mergeCell ref="B29:C29"/>
    <mergeCell ref="B30:C30"/>
    <mergeCell ref="D34:E34"/>
    <mergeCell ref="B1134:G1134"/>
    <mergeCell ref="B1138:C1138"/>
    <mergeCell ref="B1106:C1106"/>
    <mergeCell ref="B1136:C1136"/>
    <mergeCell ref="B1129:C1129"/>
    <mergeCell ref="B1130:C1130"/>
    <mergeCell ref="B1131:C1131"/>
    <mergeCell ref="B1132:C1132"/>
    <mergeCell ref="B1133:E1133"/>
    <mergeCell ref="C1066:E1066"/>
    <mergeCell ref="C1067:E1067"/>
    <mergeCell ref="C1068:G1068"/>
    <mergeCell ref="B1069:G1069"/>
    <mergeCell ref="B1070:G1070"/>
    <mergeCell ref="B1072:C1072"/>
    <mergeCell ref="B1074:C1074"/>
    <mergeCell ref="B1075:C1075"/>
    <mergeCell ref="B1080:E1080"/>
    <mergeCell ref="B1081:G1081"/>
    <mergeCell ref="B1082:G1082"/>
    <mergeCell ref="B1083:C1083"/>
    <mergeCell ref="B1076:C1076"/>
    <mergeCell ref="B1077:C1077"/>
    <mergeCell ref="B1078:C1078"/>
    <mergeCell ref="B1079:C1079"/>
    <mergeCell ref="B1104:C1104"/>
    <mergeCell ref="B1085:C1085"/>
    <mergeCell ref="B1086:C1086"/>
    <mergeCell ref="B1091:C1091"/>
    <mergeCell ref="B1092:C1092"/>
    <mergeCell ref="B1093:C1093"/>
    <mergeCell ref="B1094:C1096"/>
    <mergeCell ref="B853:F853"/>
    <mergeCell ref="B839:C839"/>
    <mergeCell ref="B840:C840"/>
    <mergeCell ref="B841:C841"/>
    <mergeCell ref="B842:E842"/>
    <mergeCell ref="B843:G843"/>
    <mergeCell ref="B844:G844"/>
    <mergeCell ref="B848:C848"/>
    <mergeCell ref="B849:E849"/>
    <mergeCell ref="B1117:E1117"/>
    <mergeCell ref="B1118:F1118"/>
    <mergeCell ref="B1114:E1114"/>
    <mergeCell ref="B1110:C1110"/>
    <mergeCell ref="B835:C835"/>
    <mergeCell ref="B829:C831"/>
    <mergeCell ref="D829:E829"/>
    <mergeCell ref="D830:E830"/>
    <mergeCell ref="D831:E831"/>
    <mergeCell ref="B920:C920"/>
    <mergeCell ref="B1087:C1087"/>
    <mergeCell ref="B1088:C1088"/>
    <mergeCell ref="B1089:C1089"/>
    <mergeCell ref="B1090:C1090"/>
    <mergeCell ref="B926:C926"/>
    <mergeCell ref="D1094:E1094"/>
    <mergeCell ref="D1095:E1095"/>
    <mergeCell ref="D1096:E1096"/>
    <mergeCell ref="B927:C927"/>
    <mergeCell ref="B928:C928"/>
    <mergeCell ref="B929:C929"/>
    <mergeCell ref="B921:E921"/>
    <mergeCell ref="B922:G922"/>
    <mergeCell ref="B111:F111"/>
    <mergeCell ref="B193:C195"/>
    <mergeCell ref="D193:E193"/>
    <mergeCell ref="D194:E194"/>
    <mergeCell ref="D195:E195"/>
    <mergeCell ref="B177:C177"/>
    <mergeCell ref="B178:C178"/>
    <mergeCell ref="B179:E179"/>
    <mergeCell ref="B180:G180"/>
    <mergeCell ref="B189:C189"/>
    <mergeCell ref="B190:C190"/>
    <mergeCell ref="B103:C103"/>
    <mergeCell ref="B105:C105"/>
    <mergeCell ref="B106:C106"/>
    <mergeCell ref="B107:E107"/>
    <mergeCell ref="B710:G710"/>
    <mergeCell ref="B827:C827"/>
    <mergeCell ref="C801:E801"/>
    <mergeCell ref="C802:E802"/>
    <mergeCell ref="B711:G711"/>
    <mergeCell ref="B712:C712"/>
    <mergeCell ref="B726:G726"/>
    <mergeCell ref="B727:G727"/>
    <mergeCell ref="B728:C728"/>
    <mergeCell ref="B729:C729"/>
    <mergeCell ref="C803:G803"/>
    <mergeCell ref="B804:G804"/>
    <mergeCell ref="B805:G805"/>
    <mergeCell ref="B807:C807"/>
    <mergeCell ref="B825:C825"/>
    <mergeCell ref="B826:C826"/>
    <mergeCell ref="B809:C809"/>
    <mergeCell ref="C1:G1"/>
    <mergeCell ref="C2:G2"/>
    <mergeCell ref="C589:E589"/>
    <mergeCell ref="C590:E590"/>
    <mergeCell ref="C591:G591"/>
    <mergeCell ref="B592:G592"/>
    <mergeCell ref="C5:G5"/>
    <mergeCell ref="C6:E6"/>
    <mergeCell ref="C7:E7"/>
    <mergeCell ref="C8:G8"/>
    <mergeCell ref="C3:G3"/>
    <mergeCell ref="B4:G4"/>
    <mergeCell ref="B57:E57"/>
    <mergeCell ref="B58:F58"/>
    <mergeCell ref="C59:E59"/>
    <mergeCell ref="C60:E60"/>
    <mergeCell ref="B9:G9"/>
    <mergeCell ref="B10:G10"/>
    <mergeCell ref="B12:C12"/>
    <mergeCell ref="B14:C14"/>
    <mergeCell ref="B90:G90"/>
    <mergeCell ref="B91:G91"/>
    <mergeCell ref="B92:C92"/>
    <mergeCell ref="B93:C93"/>
    <mergeCell ref="C61:G61"/>
    <mergeCell ref="B62:G62"/>
    <mergeCell ref="B98:C98"/>
    <mergeCell ref="B99:C99"/>
    <mergeCell ref="B100:E100"/>
    <mergeCell ref="B191:C191"/>
    <mergeCell ref="B192:C192"/>
    <mergeCell ref="B110:E110"/>
    <mergeCell ref="D619:E619"/>
    <mergeCell ref="B608:C608"/>
    <mergeCell ref="B609:C609"/>
    <mergeCell ref="B610:C610"/>
    <mergeCell ref="B611:C611"/>
    <mergeCell ref="B612:C612"/>
    <mergeCell ref="B613:C613"/>
    <mergeCell ref="B601:C601"/>
    <mergeCell ref="B602:C602"/>
    <mergeCell ref="B603:E603"/>
    <mergeCell ref="B604:G604"/>
    <mergeCell ref="B605:G605"/>
    <mergeCell ref="B606:C606"/>
    <mergeCell ref="B633:C633"/>
    <mergeCell ref="B635:C635"/>
    <mergeCell ref="B636:C636"/>
    <mergeCell ref="B637:E637"/>
    <mergeCell ref="B638:G638"/>
    <mergeCell ref="B639:F639"/>
    <mergeCell ref="B627:C627"/>
    <mergeCell ref="B628:C628"/>
    <mergeCell ref="B629:C629"/>
    <mergeCell ref="B630:E630"/>
    <mergeCell ref="B631:G631"/>
    <mergeCell ref="B632:G632"/>
    <mergeCell ref="B620:G620"/>
    <mergeCell ref="B621:G621"/>
    <mergeCell ref="B622:C622"/>
    <mergeCell ref="B623:C623"/>
    <mergeCell ref="B625:C625"/>
    <mergeCell ref="B626:C626"/>
    <mergeCell ref="B871:C871"/>
    <mergeCell ref="B858:G858"/>
    <mergeCell ref="B860:C860"/>
    <mergeCell ref="B862:C862"/>
    <mergeCell ref="B863:C863"/>
    <mergeCell ref="B864:C864"/>
    <mergeCell ref="B865:C865"/>
    <mergeCell ref="B640:E640"/>
    <mergeCell ref="B641:F641"/>
    <mergeCell ref="C854:E854"/>
    <mergeCell ref="C855:E855"/>
    <mergeCell ref="C856:G856"/>
    <mergeCell ref="B857:G857"/>
    <mergeCell ref="B758:C758"/>
    <mergeCell ref="B759:C759"/>
    <mergeCell ref="B760:C760"/>
    <mergeCell ref="B761:C761"/>
    <mergeCell ref="C695:E695"/>
    <mergeCell ref="C696:E696"/>
    <mergeCell ref="B705:C705"/>
    <mergeCell ref="B706:C706"/>
    <mergeCell ref="C697:G697"/>
    <mergeCell ref="B698:G698"/>
    <mergeCell ref="B714:C714"/>
    <mergeCell ref="B715:C715"/>
    <mergeCell ref="B716:C716"/>
    <mergeCell ref="B717:C717"/>
    <mergeCell ref="B699:G699"/>
    <mergeCell ref="B701:C701"/>
    <mergeCell ref="B703:C703"/>
    <mergeCell ref="B704:C704"/>
    <mergeCell ref="B709:E709"/>
    <mergeCell ref="C748:E748"/>
    <mergeCell ref="C749:E749"/>
    <mergeCell ref="C750:G750"/>
    <mergeCell ref="B723:C725"/>
    <mergeCell ref="D723:E723"/>
    <mergeCell ref="D724:E724"/>
    <mergeCell ref="D725:E725"/>
    <mergeCell ref="B735:C735"/>
    <mergeCell ref="B736:E736"/>
    <mergeCell ref="B737:G737"/>
    <mergeCell ref="B738:G738"/>
    <mergeCell ref="B731:C731"/>
    <mergeCell ref="B732:C732"/>
    <mergeCell ref="B733:C733"/>
    <mergeCell ref="B746:E746"/>
    <mergeCell ref="B747:F747"/>
    <mergeCell ref="B739:C739"/>
    <mergeCell ref="B741:C741"/>
    <mergeCell ref="B751:G751"/>
    <mergeCell ref="B752:G752"/>
    <mergeCell ref="B754:C754"/>
    <mergeCell ref="B756:C756"/>
    <mergeCell ref="B757:C757"/>
    <mergeCell ref="B898:C898"/>
    <mergeCell ref="B900:C900"/>
    <mergeCell ref="B901:C901"/>
    <mergeCell ref="B902:E902"/>
    <mergeCell ref="B892:C892"/>
    <mergeCell ref="B893:C893"/>
    <mergeCell ref="B894:C894"/>
    <mergeCell ref="B895:E895"/>
    <mergeCell ref="B896:G896"/>
    <mergeCell ref="B897:G897"/>
    <mergeCell ref="B885:G885"/>
    <mergeCell ref="B886:G886"/>
    <mergeCell ref="B887:C887"/>
    <mergeCell ref="B888:C888"/>
    <mergeCell ref="B890:C890"/>
    <mergeCell ref="B891:C891"/>
    <mergeCell ref="B879:C879"/>
    <mergeCell ref="B880:C880"/>
    <mergeCell ref="B881:C881"/>
    <mergeCell ref="B882:C884"/>
    <mergeCell ref="D882:E882"/>
    <mergeCell ref="D883:E883"/>
    <mergeCell ref="D884:E884"/>
    <mergeCell ref="B873:C873"/>
    <mergeCell ref="B775:C775"/>
    <mergeCell ref="B776:C778"/>
    <mergeCell ref="D776:E776"/>
    <mergeCell ref="D777:E777"/>
    <mergeCell ref="D778:E778"/>
    <mergeCell ref="B779:G779"/>
    <mergeCell ref="B769:C769"/>
    <mergeCell ref="B770:C770"/>
    <mergeCell ref="B771:C771"/>
    <mergeCell ref="B772:C772"/>
    <mergeCell ref="B773:C773"/>
    <mergeCell ref="B774:C774"/>
    <mergeCell ref="B762:E762"/>
    <mergeCell ref="B763:G763"/>
    <mergeCell ref="B764:G764"/>
    <mergeCell ref="B765:C765"/>
    <mergeCell ref="B767:C767"/>
    <mergeCell ref="B768:C768"/>
    <mergeCell ref="B794:C794"/>
    <mergeCell ref="B795:C795"/>
    <mergeCell ref="B796:E796"/>
    <mergeCell ref="B797:G797"/>
    <mergeCell ref="B798:F798"/>
    <mergeCell ref="B799:E799"/>
    <mergeCell ref="B787:C787"/>
    <mergeCell ref="B788:C788"/>
    <mergeCell ref="B789:E789"/>
    <mergeCell ref="B790:G790"/>
    <mergeCell ref="B791:G791"/>
    <mergeCell ref="B792:C792"/>
    <mergeCell ref="B780:G780"/>
    <mergeCell ref="B781:C781"/>
    <mergeCell ref="B782:C782"/>
    <mergeCell ref="B784:C784"/>
    <mergeCell ref="B785:C785"/>
    <mergeCell ref="B786:C786"/>
    <mergeCell ref="B1145:C1145"/>
    <mergeCell ref="B828:C828"/>
    <mergeCell ref="B810:C810"/>
    <mergeCell ref="B824:C824"/>
    <mergeCell ref="B815:E815"/>
    <mergeCell ref="B1097:G1097"/>
    <mergeCell ref="B1098:G1098"/>
    <mergeCell ref="B1099:C1099"/>
    <mergeCell ref="B1100:C1100"/>
    <mergeCell ref="B1102:C1102"/>
    <mergeCell ref="B1103:C1103"/>
    <mergeCell ref="B850:G850"/>
    <mergeCell ref="B851:F851"/>
    <mergeCell ref="B811:C811"/>
    <mergeCell ref="B812:C812"/>
    <mergeCell ref="B813:C813"/>
    <mergeCell ref="B1146:C1146"/>
    <mergeCell ref="B1147:C1149"/>
    <mergeCell ref="D1147:E1147"/>
    <mergeCell ref="D1148:E1148"/>
    <mergeCell ref="D1149:E1149"/>
    <mergeCell ref="B1139:C1139"/>
    <mergeCell ref="B1140:C1140"/>
    <mergeCell ref="B1141:C1141"/>
    <mergeCell ref="B1142:C1142"/>
    <mergeCell ref="B1143:C1143"/>
    <mergeCell ref="B1144:C1144"/>
    <mergeCell ref="B800:F800"/>
    <mergeCell ref="C1119:E1119"/>
    <mergeCell ref="C1120:E1120"/>
    <mergeCell ref="C1121:G1121"/>
    <mergeCell ref="B1122:G1122"/>
    <mergeCell ref="B1135:G1135"/>
    <mergeCell ref="B905:E905"/>
    <mergeCell ref="B906:F906"/>
    <mergeCell ref="B903:G903"/>
    <mergeCell ref="B904:F904"/>
    <mergeCell ref="B874:C874"/>
    <mergeCell ref="B875:C875"/>
    <mergeCell ref="B876:C876"/>
    <mergeCell ref="B877:C877"/>
    <mergeCell ref="B878:C878"/>
    <mergeCell ref="B866:C866"/>
    <mergeCell ref="B867:C867"/>
    <mergeCell ref="B868:E868"/>
    <mergeCell ref="B869:G869"/>
    <mergeCell ref="B870:G870"/>
    <mergeCell ref="B814:C814"/>
    <mergeCell ref="B1163:C1163"/>
    <mergeCell ref="B1165:C1165"/>
    <mergeCell ref="B1166:C1166"/>
    <mergeCell ref="B1167:E1167"/>
    <mergeCell ref="B1168:G1168"/>
    <mergeCell ref="B1169:F1169"/>
    <mergeCell ref="B1157:C1157"/>
    <mergeCell ref="B1158:C1158"/>
    <mergeCell ref="B1159:C1159"/>
    <mergeCell ref="B1160:E1160"/>
    <mergeCell ref="B1161:G1161"/>
    <mergeCell ref="B1162:G1162"/>
    <mergeCell ref="B1150:G1150"/>
    <mergeCell ref="B1151:G1151"/>
    <mergeCell ref="B1152:C1152"/>
    <mergeCell ref="B1153:C1153"/>
    <mergeCell ref="B1155:C1155"/>
    <mergeCell ref="B1156:C1156"/>
    <mergeCell ref="D1200:E1200"/>
    <mergeCell ref="D1201:E1201"/>
    <mergeCell ref="B1230:C1230"/>
    <mergeCell ref="B1232:C1232"/>
    <mergeCell ref="B1233:C1233"/>
    <mergeCell ref="B1234:C1234"/>
    <mergeCell ref="B1204:C1204"/>
    <mergeCell ref="B1205:C1205"/>
    <mergeCell ref="B1207:C1207"/>
    <mergeCell ref="B1170:E1170"/>
    <mergeCell ref="B1171:F1171"/>
    <mergeCell ref="C1225:E1225"/>
    <mergeCell ref="C1226:G1226"/>
    <mergeCell ref="B1227:G1227"/>
    <mergeCell ref="B1228:G1228"/>
    <mergeCell ref="C1173:E1173"/>
    <mergeCell ref="C1174:G1174"/>
    <mergeCell ref="B1175:G1175"/>
    <mergeCell ref="B1176:G1176"/>
    <mergeCell ref="B1198:C1198"/>
    <mergeCell ref="B1222:E1222"/>
    <mergeCell ref="B1223:F1223"/>
    <mergeCell ref="B1188:G1188"/>
    <mergeCell ref="B1189:G1189"/>
    <mergeCell ref="B1190:C1190"/>
    <mergeCell ref="B1192:C1192"/>
    <mergeCell ref="B1210:C1210"/>
    <mergeCell ref="B1211:C1211"/>
    <mergeCell ref="B1208:C1208"/>
    <mergeCell ref="B1209:C1209"/>
    <mergeCell ref="B1193:C1193"/>
    <mergeCell ref="B1194:C1194"/>
    <mergeCell ref="B1248:C1248"/>
    <mergeCell ref="B1249:C1249"/>
    <mergeCell ref="B1250:C1250"/>
    <mergeCell ref="B1251:C1253"/>
    <mergeCell ref="D1251:E1251"/>
    <mergeCell ref="D1252:E1252"/>
    <mergeCell ref="D1253:E1253"/>
    <mergeCell ref="B1241:G1241"/>
    <mergeCell ref="B1242:C1242"/>
    <mergeCell ref="B1244:C1244"/>
    <mergeCell ref="B1245:C1245"/>
    <mergeCell ref="B1246:C1246"/>
    <mergeCell ref="B1247:C1247"/>
    <mergeCell ref="B1235:C1235"/>
    <mergeCell ref="B1236:C1236"/>
    <mergeCell ref="B1237:C1237"/>
    <mergeCell ref="B1238:C1238"/>
    <mergeCell ref="B1239:E1239"/>
    <mergeCell ref="B1240:G1240"/>
    <mergeCell ref="B1267:C1267"/>
    <mergeCell ref="B1269:C1269"/>
    <mergeCell ref="B1270:C1270"/>
    <mergeCell ref="B1271:E1271"/>
    <mergeCell ref="B1272:G1272"/>
    <mergeCell ref="B1273:F1273"/>
    <mergeCell ref="B1261:C1261"/>
    <mergeCell ref="B1262:C1262"/>
    <mergeCell ref="B1263:C1263"/>
    <mergeCell ref="B1264:E1264"/>
    <mergeCell ref="B1265:G1265"/>
    <mergeCell ref="B1266:G1266"/>
    <mergeCell ref="B1254:G1254"/>
    <mergeCell ref="B1255:G1255"/>
    <mergeCell ref="B1256:C1256"/>
    <mergeCell ref="B1257:C1257"/>
    <mergeCell ref="B1259:C1259"/>
    <mergeCell ref="B1260:C1260"/>
    <mergeCell ref="B1288:C1288"/>
    <mergeCell ref="B1289:C1289"/>
    <mergeCell ref="B1290:E1290"/>
    <mergeCell ref="B1291:G1291"/>
    <mergeCell ref="B1292:G1292"/>
    <mergeCell ref="B1293:C1293"/>
    <mergeCell ref="B1280:G1280"/>
    <mergeCell ref="B1282:C1282"/>
    <mergeCell ref="B1284:C1284"/>
    <mergeCell ref="B1285:C1285"/>
    <mergeCell ref="B1286:C1286"/>
    <mergeCell ref="B1287:C1287"/>
    <mergeCell ref="B1274:E1274"/>
    <mergeCell ref="B1275:F1275"/>
    <mergeCell ref="C1276:E1276"/>
    <mergeCell ref="C1277:E1277"/>
    <mergeCell ref="C1278:G1278"/>
    <mergeCell ref="B1279:G1279"/>
    <mergeCell ref="B1307:G1307"/>
    <mergeCell ref="B1308:G1308"/>
    <mergeCell ref="B1309:C1309"/>
    <mergeCell ref="B1310:C1310"/>
    <mergeCell ref="B1312:C1312"/>
    <mergeCell ref="B1313:C1313"/>
    <mergeCell ref="B1301:C1301"/>
    <mergeCell ref="B1302:C1302"/>
    <mergeCell ref="B1303:C1303"/>
    <mergeCell ref="B1304:C1306"/>
    <mergeCell ref="D1304:E1304"/>
    <mergeCell ref="D1305:E1305"/>
    <mergeCell ref="D1306:E1306"/>
    <mergeCell ref="B1295:C1295"/>
    <mergeCell ref="B1296:C1296"/>
    <mergeCell ref="B1297:C1297"/>
    <mergeCell ref="B1298:C1298"/>
    <mergeCell ref="B1299:C1299"/>
    <mergeCell ref="B1300:C1300"/>
    <mergeCell ref="B1327:E1327"/>
    <mergeCell ref="B1328:F1328"/>
    <mergeCell ref="C1330:E1330"/>
    <mergeCell ref="C1331:G1331"/>
    <mergeCell ref="B1332:G1332"/>
    <mergeCell ref="B1333:G1333"/>
    <mergeCell ref="B1320:C1320"/>
    <mergeCell ref="B1322:C1322"/>
    <mergeCell ref="B1323:C1323"/>
    <mergeCell ref="B1324:E1324"/>
    <mergeCell ref="B1325:G1325"/>
    <mergeCell ref="B1326:F1326"/>
    <mergeCell ref="B1314:C1314"/>
    <mergeCell ref="B1315:C1315"/>
    <mergeCell ref="B1316:C1316"/>
    <mergeCell ref="B1317:E1317"/>
    <mergeCell ref="B1318:G1318"/>
    <mergeCell ref="B1319:G1319"/>
    <mergeCell ref="B1351:C1351"/>
    <mergeCell ref="B1354:C1354"/>
    <mergeCell ref="B1352:C1352"/>
    <mergeCell ref="B1359:C1361"/>
    <mergeCell ref="D1359:E1359"/>
    <mergeCell ref="D1360:E1360"/>
    <mergeCell ref="D1361:E1361"/>
    <mergeCell ref="B1344:E1344"/>
    <mergeCell ref="B1345:G1345"/>
    <mergeCell ref="B1346:G1346"/>
    <mergeCell ref="B1347:C1347"/>
    <mergeCell ref="B1349:C1349"/>
    <mergeCell ref="B1350:C1350"/>
    <mergeCell ref="B1335:C1335"/>
    <mergeCell ref="B1337:C1337"/>
    <mergeCell ref="B1339:C1339"/>
    <mergeCell ref="B1341:C1341"/>
    <mergeCell ref="B1338:C1338"/>
    <mergeCell ref="B1343:C1343"/>
    <mergeCell ref="B1375:C1375"/>
    <mergeCell ref="B1377:C1377"/>
    <mergeCell ref="B1378:C1378"/>
    <mergeCell ref="B1379:E1379"/>
    <mergeCell ref="B1380:G1380"/>
    <mergeCell ref="B1381:F1381"/>
    <mergeCell ref="B1369:C1369"/>
    <mergeCell ref="B1370:C1370"/>
    <mergeCell ref="B1371:C1371"/>
    <mergeCell ref="B1372:E1372"/>
    <mergeCell ref="B1373:G1373"/>
    <mergeCell ref="B1374:G1374"/>
    <mergeCell ref="B1362:G1362"/>
    <mergeCell ref="B1363:G1363"/>
    <mergeCell ref="B1364:C1364"/>
    <mergeCell ref="B1365:C1365"/>
    <mergeCell ref="B1367:C1367"/>
    <mergeCell ref="B1368:C1368"/>
    <mergeCell ref="B1396:C1396"/>
    <mergeCell ref="B1397:C1397"/>
    <mergeCell ref="B1398:E1398"/>
    <mergeCell ref="B1399:G1399"/>
    <mergeCell ref="B1400:G1400"/>
    <mergeCell ref="B1401:C1401"/>
    <mergeCell ref="B1388:G1388"/>
    <mergeCell ref="B1390:C1390"/>
    <mergeCell ref="B1392:C1392"/>
    <mergeCell ref="B1393:C1393"/>
    <mergeCell ref="B1394:C1394"/>
    <mergeCell ref="B1395:C1395"/>
    <mergeCell ref="B1382:E1382"/>
    <mergeCell ref="B1383:F1383"/>
    <mergeCell ref="C1384:E1384"/>
    <mergeCell ref="C1385:E1385"/>
    <mergeCell ref="C1386:G1386"/>
    <mergeCell ref="B1387:G1387"/>
    <mergeCell ref="B1415:G1415"/>
    <mergeCell ref="B1416:G1416"/>
    <mergeCell ref="B1417:C1417"/>
    <mergeCell ref="B1418:C1418"/>
    <mergeCell ref="B1420:C1420"/>
    <mergeCell ref="B1421:C1421"/>
    <mergeCell ref="B1409:C1409"/>
    <mergeCell ref="B1410:C1410"/>
    <mergeCell ref="B1411:C1411"/>
    <mergeCell ref="B1412:C1414"/>
    <mergeCell ref="D1412:E1412"/>
    <mergeCell ref="D1413:E1413"/>
    <mergeCell ref="D1414:E1414"/>
    <mergeCell ref="B1403:C1403"/>
    <mergeCell ref="B1404:C1404"/>
    <mergeCell ref="B1405:C1405"/>
    <mergeCell ref="B1406:C1406"/>
    <mergeCell ref="B1407:C1407"/>
    <mergeCell ref="B1408:C1408"/>
    <mergeCell ref="B1435:E1435"/>
    <mergeCell ref="B1436:F1436"/>
    <mergeCell ref="C1491:E1491"/>
    <mergeCell ref="C1492:E1492"/>
    <mergeCell ref="C1493:G1493"/>
    <mergeCell ref="B1494:G1494"/>
    <mergeCell ref="C1437:E1437"/>
    <mergeCell ref="C1438:E1438"/>
    <mergeCell ref="C1439:G1439"/>
    <mergeCell ref="B1440:G1440"/>
    <mergeCell ref="B1428:C1428"/>
    <mergeCell ref="B1430:C1430"/>
    <mergeCell ref="B1431:C1431"/>
    <mergeCell ref="B1432:E1432"/>
    <mergeCell ref="B1433:G1433"/>
    <mergeCell ref="B1434:F1434"/>
    <mergeCell ref="B1422:C1422"/>
    <mergeCell ref="B1423:C1423"/>
    <mergeCell ref="B1424:C1424"/>
    <mergeCell ref="B1425:E1425"/>
    <mergeCell ref="B1426:G1426"/>
    <mergeCell ref="B1427:G1427"/>
    <mergeCell ref="B1452:G1452"/>
    <mergeCell ref="B1453:G1453"/>
    <mergeCell ref="B1454:C1454"/>
    <mergeCell ref="B1456:C1456"/>
    <mergeCell ref="B1448:C1448"/>
    <mergeCell ref="B1449:C1449"/>
    <mergeCell ref="B1450:C1450"/>
    <mergeCell ref="B1451:E1451"/>
    <mergeCell ref="B1461:C1461"/>
    <mergeCell ref="B1462:C1462"/>
    <mergeCell ref="B1495:G1495"/>
    <mergeCell ref="B1497:C1497"/>
    <mergeCell ref="B1499:C1499"/>
    <mergeCell ref="B1500:C1500"/>
    <mergeCell ref="B1501:C1501"/>
    <mergeCell ref="B1502:C1502"/>
    <mergeCell ref="B1532:G1532"/>
    <mergeCell ref="B1540:E1540"/>
    <mergeCell ref="B1541:F1541"/>
    <mergeCell ref="B1533:C1533"/>
    <mergeCell ref="B1535:C1535"/>
    <mergeCell ref="B1536:C1536"/>
    <mergeCell ref="B1537:E1537"/>
    <mergeCell ref="B1538:G1538"/>
    <mergeCell ref="B1539:F1539"/>
    <mergeCell ref="B1525:C1525"/>
    <mergeCell ref="B1527:C1527"/>
    <mergeCell ref="B1528:C1528"/>
    <mergeCell ref="B1531:G1531"/>
    <mergeCell ref="B1529:C1529"/>
    <mergeCell ref="B1530:E1530"/>
    <mergeCell ref="B1519:C1521"/>
    <mergeCell ref="D1519:E1519"/>
    <mergeCell ref="D1520:E1520"/>
    <mergeCell ref="D1521:E1521"/>
    <mergeCell ref="B1523:G1523"/>
    <mergeCell ref="B1524:C1524"/>
    <mergeCell ref="B1522:G1522"/>
  </mergeCells>
  <phoneticPr fontId="0" type="noConversion"/>
  <hyperlinks>
    <hyperlink ref="H6" location="'ITEMS RESUMEN'!ESTRUCTURAS" display="volver"/>
    <hyperlink ref="H32" location="'ITEMS RESUMEN'!ESTRUCTURAS" display="volver"/>
    <hyperlink ref="H58" location="'ITEMS RESUMEN'!ESTRUCTURAS" display="volver"/>
    <hyperlink ref="H85" location="'ITEMS RESUMEN'!ESTRUCTURAS" display="volver"/>
    <hyperlink ref="H111" location="'ITEMS RESUMEN'!ESTRUCTURAS" display="volver"/>
    <hyperlink ref="H138" location="'ITEMS RESUMEN'!ESTRUCTURAS" display="volver"/>
    <hyperlink ref="H164" location="'ITEMS RESUMEN'!ESTRUCTURAS" display="volver"/>
    <hyperlink ref="H191" location="'ITEMS RESUMEN'!ESTRUCTURAS" display="volver"/>
    <hyperlink ref="H217" location="'ITEMS RESUMEN'!ESTRUCTURAS" display="volver"/>
    <hyperlink ref="H244" location="'ITEMS RESUMEN'!ESTRUCTURAS" display="volver"/>
    <hyperlink ref="H270" location="'ITEMS RESUMEN'!ESTRUCTURAS" display="volver"/>
    <hyperlink ref="H297" location="'ITEMS RESUMEN'!ESTRUCTURAS" display="volver"/>
    <hyperlink ref="H323" location="'ITEMS RESUMEN'!ESTRUCTURAS" display="volver"/>
    <hyperlink ref="H350" location="'ITEMS RESUMEN'!ESTRUCTURAS" display="volver"/>
    <hyperlink ref="H376" location="'ITEMS RESUMEN'!ESTRUCTURAS" display="volver"/>
    <hyperlink ref="H402" location="'ITEMS RESUMEN'!ESTRUCTURAS" display="volver"/>
    <hyperlink ref="H429" location="'ITEMS RESUMEN'!ESTRUCTURAS" display="volver"/>
    <hyperlink ref="H456" location="'ITEMS RESUMEN'!ESTRUCTURAS" display="volver"/>
    <hyperlink ref="H482" location="'ITEMS RESUMEN'!ESTRUCTURAS" display="volver"/>
    <hyperlink ref="H509" location="'ITEMS RESUMEN'!ESTRUCTURAS" display="volver"/>
    <hyperlink ref="H535" location="'ITEMS RESUMEN'!ESTRUCTURAS" display="volver"/>
    <hyperlink ref="H562" location="'ITEMS RESUMEN'!ESTRUCTURAS" display="volver"/>
    <hyperlink ref="H588" location="'ITEMS RESUMEN'!ESTRUCTURAS" display="volver"/>
    <hyperlink ref="H614" location="'ITEMS RESUMEN'!ESTRUCTURAS" display="volver"/>
    <hyperlink ref="H641" location="'ITEMS RESUMEN'!ESTRUCTURAS" display="volver"/>
    <hyperlink ref="H667" location="'ITEMS RESUMEN'!ESTRUCTURAS" display="volver"/>
    <hyperlink ref="H694" location="'ITEMS RESUMEN'!ESTRUCTURAS" display="volver"/>
    <hyperlink ref="H720" location="'ITEMS RESUMEN'!ESTRUCTURAS" display="volver"/>
    <hyperlink ref="H747" location="'ITEMS RESUMEN'!ESTRUCTURAS" display="volver"/>
    <hyperlink ref="H773" location="'ITEMS RESUMEN'!ESTRUCTURAS" display="volver"/>
    <hyperlink ref="H800" location="'ITEMS RESUMEN'!ESTRUCTURAS" display="volver"/>
    <hyperlink ref="H827" location="'ITEMS RESUMEN'!ESTRUCTURAS" display="volver"/>
    <hyperlink ref="H853" location="'ITEMS RESUMEN'!ESTRUCTURAS" display="volver"/>
    <hyperlink ref="H880" location="'ITEMS RESUMEN'!ESTRUCTURAS" display="volver"/>
    <hyperlink ref="H906" location="'ITEMS RESUMEN'!ESTRUCTURAS" display="volver"/>
    <hyperlink ref="H933" location="'ITEMS RESUMEN'!ESTRUCTURAS" display="volver"/>
    <hyperlink ref="H959" location="'ITEMS RESUMEN'!ESTRUCTURAS" display="volver"/>
    <hyperlink ref="H985" location="'ITEMS RESUMEN'!ESTRUCTURAS" display="volver"/>
    <hyperlink ref="H1012" location="'ITEMS RESUMEN'!ESTRUCTURAS" display="volver"/>
    <hyperlink ref="H1039" location="'ITEMS RESUMEN'!ESTRUCTURAS" display="volver"/>
    <hyperlink ref="H1065" location="'ITEMS RESUMEN'!ESTRUCTURAS" display="volver"/>
    <hyperlink ref="H1091" location="'ITEMS RESUMEN'!ESTRUCTURAS" display="volver"/>
    <hyperlink ref="H1118" location="'ITEMS RESUMEN'!ESTRUCTURAS" display="volver"/>
    <hyperlink ref="H1144" location="'ITEMS RESUMEN'!ESTRUCTURAS" display="volver"/>
    <hyperlink ref="H1171" location="'ITEMS RESUMEN'!ESTRUCTURAS" display="volver"/>
    <hyperlink ref="H1197" location="'ITEMS RESUMEN'!ESTRUCTURAS" display="volver"/>
    <hyperlink ref="H1223" location="'ITEMS RESUMEN'!ESTRUCTURAS" display="volver"/>
    <hyperlink ref="H1249" location="'ITEMS RESUMEN'!ESTRUCTURAS" display="volver"/>
    <hyperlink ref="H1275" location="'ITEMS RESUMEN'!ESTRUCTURAS" display="volver"/>
    <hyperlink ref="H1301" location="'ITEMS RESUMEN'!ESTRUCTURAS" display="volver"/>
    <hyperlink ref="H1328" location="'ITEMS RESUMEN'!ESTRUCTURAS" display="volver"/>
    <hyperlink ref="H1357" location="'ITEMS RESUMEN'!ESTRUCTURAS" display="volver"/>
    <hyperlink ref="H1383" location="'ITEMS RESUMEN'!ESTRUCTURAS" display="volver"/>
    <hyperlink ref="H1410" location="'ITEMS RESUMEN'!ESTRUCTURAS" display="volver"/>
    <hyperlink ref="H1436" location="'ITEMS RESUMEN'!ESTRUCTURAS" display="volver"/>
    <hyperlink ref="H1463" location="'ITEMS RESUMEN'!ESTRUCTURAS" display="volver"/>
    <hyperlink ref="H1489" location="'ITEMS RESUMEN'!ESTRUCTURAS" display="volver"/>
    <hyperlink ref="H1517" location="'ITEMS RESUMEN'!ESTRUCTURAS" display="volver"/>
    <hyperlink ref="H1541" location="'ITEMS RESUMEN'!ESTRUCTURAS" display="volver"/>
    <hyperlink ref="H1565" location="'ITEMS RESUMEN'!ESTRUCTURAS" display="volver"/>
    <hyperlink ref="H1588" location="'ITEMS RESUMEN'!ESTRUCTURAS" display="volver"/>
  </hyperlinks>
  <pageMargins left="0.98425196850393704" right="0.78740157480314965" top="0.59055118110236227" bottom="0.59055118110236227" header="0" footer="0"/>
  <pageSetup scale="85" orientation="portrait" r:id="rId1"/>
  <headerFooter alignWithMargins="0"/>
  <rowBreaks count="27" manualBreakCount="27">
    <brk id="58" min="1" max="6" man="1"/>
    <brk id="111" min="1" max="6" man="1"/>
    <brk id="164" min="1" max="6" man="1"/>
    <brk id="217" min="1" max="6" man="1"/>
    <brk id="270" min="1" max="6" man="1"/>
    <brk id="323" min="1" max="6" man="1"/>
    <brk id="376" min="1" max="6" man="1"/>
    <brk id="429" min="1" max="6" man="1"/>
    <brk id="482" min="1" max="6" man="1"/>
    <brk id="535" min="1" max="6" man="1"/>
    <brk id="588" min="1" max="6" man="1"/>
    <brk id="641" min="1" max="6" man="1"/>
    <brk id="694" min="1" max="6" man="1"/>
    <brk id="747" min="1" max="6" man="1"/>
    <brk id="853" min="1" max="6" man="1"/>
    <brk id="906" min="1" max="6" man="1"/>
    <brk id="959" min="1" max="6" man="1"/>
    <brk id="1012" min="1" max="6" man="1"/>
    <brk id="1065" min="1" max="6" man="1"/>
    <brk id="1118" min="1" max="6" man="1"/>
    <brk id="1171" min="1" max="6" man="1"/>
    <brk id="1223" min="1" max="6" man="1"/>
    <brk id="1275" min="1" max="6" man="1"/>
    <brk id="1328" min="1" max="6" man="1"/>
    <brk id="1383" min="1" max="6" man="1"/>
    <brk id="1436" min="1" max="6" man="1"/>
    <brk id="1490" min="1" max="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2">
    <tabColor indexed="35"/>
  </sheetPr>
  <dimension ref="A1:K744"/>
  <sheetViews>
    <sheetView topLeftCell="A260" zoomScale="85" zoomScaleNormal="85" zoomScaleSheetLayoutView="70" workbookViewId="0">
      <selection activeCell="H270" sqref="H270"/>
    </sheetView>
  </sheetViews>
  <sheetFormatPr baseColWidth="10" defaultRowHeight="12.75"/>
  <cols>
    <col min="2" max="2" width="19.140625" customWidth="1"/>
    <col min="3" max="3" width="25.7109375" customWidth="1"/>
    <col min="4" max="4" width="12.7109375" customWidth="1"/>
    <col min="5" max="5" width="13.7109375" customWidth="1"/>
    <col min="6" max="6" width="14.7109375" customWidth="1"/>
    <col min="7" max="7" width="16.7109375" customWidth="1"/>
  </cols>
  <sheetData>
    <row r="1" spans="1:8" ht="19.5" thickTop="1">
      <c r="A1" s="95"/>
      <c r="B1" s="225"/>
      <c r="C1" s="848" t="s">
        <v>1054</v>
      </c>
      <c r="D1" s="848"/>
      <c r="E1" s="848"/>
      <c r="F1" s="848"/>
      <c r="G1" s="849"/>
    </row>
    <row r="2" spans="1:8" ht="18.75">
      <c r="A2" s="95"/>
      <c r="B2" s="226"/>
      <c r="C2" s="780" t="s">
        <v>1381</v>
      </c>
      <c r="D2" s="780"/>
      <c r="E2" s="780"/>
      <c r="F2" s="780"/>
      <c r="G2" s="850"/>
    </row>
    <row r="3" spans="1:8" ht="18.75">
      <c r="A3" s="95"/>
      <c r="B3" s="226"/>
      <c r="C3" s="781"/>
      <c r="D3" s="781"/>
      <c r="E3" s="781"/>
      <c r="F3" s="781"/>
      <c r="G3" s="851"/>
    </row>
    <row r="4" spans="1:8" ht="15.75">
      <c r="A4" s="95"/>
      <c r="B4" s="881" t="s">
        <v>780</v>
      </c>
      <c r="C4" s="852"/>
      <c r="D4" s="852"/>
      <c r="E4" s="852"/>
      <c r="F4" s="852"/>
      <c r="G4" s="853"/>
    </row>
    <row r="5" spans="1:8" ht="15.75" thickBot="1">
      <c r="A5" s="95"/>
      <c r="B5" s="227"/>
      <c r="C5" s="856"/>
      <c r="D5" s="856"/>
      <c r="E5" s="856"/>
      <c r="F5" s="856"/>
      <c r="G5" s="857"/>
    </row>
    <row r="6" spans="1:8" ht="13.5" thickTop="1">
      <c r="A6" s="95"/>
      <c r="B6" s="90" t="s">
        <v>303</v>
      </c>
      <c r="C6" s="843"/>
      <c r="D6" s="843"/>
      <c r="E6" s="843"/>
      <c r="F6" s="92" t="s">
        <v>781</v>
      </c>
      <c r="G6" s="93" t="s">
        <v>831</v>
      </c>
      <c r="H6" s="505" t="s">
        <v>1670</v>
      </c>
    </row>
    <row r="7" spans="1:8">
      <c r="A7" s="95"/>
      <c r="B7" s="91" t="s">
        <v>834</v>
      </c>
      <c r="C7" s="844" t="s">
        <v>369</v>
      </c>
      <c r="D7" s="844"/>
      <c r="E7" s="844"/>
      <c r="F7" s="15" t="s">
        <v>833</v>
      </c>
      <c r="G7" s="165" t="str">
        <f>'MANO DE OBRA'!D61</f>
        <v>Agosto de 2010</v>
      </c>
    </row>
    <row r="8" spans="1:8" ht="13.5" thickBot="1">
      <c r="A8" s="127"/>
      <c r="B8" s="94" t="s">
        <v>835</v>
      </c>
      <c r="C8" s="845" t="s">
        <v>1286</v>
      </c>
      <c r="D8" s="845"/>
      <c r="E8" s="845"/>
      <c r="F8" s="845"/>
      <c r="G8" s="846"/>
    </row>
    <row r="9" spans="1:8" ht="14.25" thickTop="1" thickBot="1">
      <c r="A9" s="95"/>
      <c r="B9" s="847"/>
      <c r="C9" s="847"/>
      <c r="D9" s="847"/>
      <c r="E9" s="847"/>
      <c r="F9" s="847"/>
      <c r="G9" s="847"/>
    </row>
    <row r="10" spans="1:8" ht="13.5" thickTop="1">
      <c r="A10" s="95"/>
      <c r="B10" s="811" t="s">
        <v>304</v>
      </c>
      <c r="C10" s="812"/>
      <c r="D10" s="812"/>
      <c r="E10" s="812"/>
      <c r="F10" s="812"/>
      <c r="G10" s="825"/>
    </row>
    <row r="11" spans="1:8">
      <c r="A11" s="95"/>
      <c r="B11" s="105"/>
      <c r="C11" s="97"/>
      <c r="D11" s="98" t="s">
        <v>301</v>
      </c>
      <c r="E11" s="98" t="s">
        <v>1072</v>
      </c>
      <c r="F11" s="99" t="s">
        <v>839</v>
      </c>
      <c r="G11" s="107" t="s">
        <v>840</v>
      </c>
    </row>
    <row r="12" spans="1:8">
      <c r="A12" s="95"/>
      <c r="B12" s="821" t="s">
        <v>838</v>
      </c>
      <c r="C12" s="822"/>
      <c r="D12" s="100" t="s">
        <v>308</v>
      </c>
      <c r="E12" s="100" t="s">
        <v>305</v>
      </c>
      <c r="F12" s="101" t="s">
        <v>306</v>
      </c>
      <c r="G12" s="108" t="s">
        <v>310</v>
      </c>
    </row>
    <row r="13" spans="1:8">
      <c r="A13" s="95"/>
      <c r="B13" s="115"/>
      <c r="C13" s="102"/>
      <c r="D13" s="103"/>
      <c r="E13" s="103" t="s">
        <v>309</v>
      </c>
      <c r="F13" s="104" t="s">
        <v>307</v>
      </c>
      <c r="G13" s="109"/>
    </row>
    <row r="14" spans="1:8">
      <c r="A14" s="127"/>
      <c r="B14" s="823" t="str">
        <f>'MAQUINARIA Y EQUIPOS'!C28</f>
        <v>HERRAMIENTAS MENORES</v>
      </c>
      <c r="C14" s="824"/>
      <c r="D14" s="87">
        <v>1</v>
      </c>
      <c r="E14" s="82">
        <f>ROUND(G47*0.05,0)</f>
        <v>338</v>
      </c>
      <c r="F14" s="81">
        <v>1</v>
      </c>
      <c r="G14" s="110">
        <f>ROUND(D14*E14/F14,0)</f>
        <v>338</v>
      </c>
    </row>
    <row r="15" spans="1:8">
      <c r="A15" s="95"/>
      <c r="B15" s="835"/>
      <c r="C15" s="836"/>
      <c r="D15" s="37"/>
      <c r="E15" s="82"/>
      <c r="F15" s="83"/>
      <c r="G15" s="111"/>
    </row>
    <row r="16" spans="1:8">
      <c r="A16" s="95"/>
      <c r="B16" s="835"/>
      <c r="C16" s="836"/>
      <c r="D16" s="37"/>
      <c r="E16" s="82"/>
      <c r="F16" s="83"/>
      <c r="G16" s="111"/>
    </row>
    <row r="17" spans="1:8">
      <c r="A17" s="95"/>
      <c r="B17" s="835"/>
      <c r="C17" s="836"/>
      <c r="D17" s="37"/>
      <c r="E17" s="82"/>
      <c r="F17" s="83"/>
      <c r="G17" s="111"/>
    </row>
    <row r="18" spans="1:8">
      <c r="A18" s="95"/>
      <c r="B18" s="835" t="s">
        <v>841</v>
      </c>
      <c r="C18" s="836"/>
      <c r="D18" s="37"/>
      <c r="E18" s="82"/>
      <c r="F18" s="83"/>
      <c r="G18" s="111"/>
    </row>
    <row r="19" spans="1:8" ht="13.5" thickBot="1">
      <c r="A19" s="95"/>
      <c r="B19" s="839" t="s">
        <v>841</v>
      </c>
      <c r="C19" s="840"/>
      <c r="D19" s="77"/>
      <c r="E19" s="106"/>
      <c r="F19" s="86"/>
      <c r="G19" s="112"/>
    </row>
    <row r="20" spans="1:8" ht="14.25" thickTop="1" thickBot="1">
      <c r="A20" s="95"/>
      <c r="B20" s="808"/>
      <c r="C20" s="808"/>
      <c r="D20" s="808"/>
      <c r="E20" s="809"/>
      <c r="F20" s="119" t="s">
        <v>856</v>
      </c>
      <c r="G20" s="118">
        <f>SUM(G14:G19)</f>
        <v>338</v>
      </c>
    </row>
    <row r="21" spans="1:8" ht="14.25" thickTop="1" thickBot="1">
      <c r="A21" s="95"/>
      <c r="B21" s="830"/>
      <c r="C21" s="830"/>
      <c r="D21" s="830"/>
      <c r="E21" s="830"/>
      <c r="F21" s="830"/>
      <c r="G21" s="830"/>
    </row>
    <row r="22" spans="1:8" ht="13.5" thickTop="1">
      <c r="A22" s="95"/>
      <c r="B22" s="811" t="s">
        <v>311</v>
      </c>
      <c r="C22" s="812"/>
      <c r="D22" s="812"/>
      <c r="E22" s="812"/>
      <c r="F22" s="812"/>
      <c r="G22" s="825"/>
    </row>
    <row r="23" spans="1:8">
      <c r="A23" s="95"/>
      <c r="B23" s="817" t="s">
        <v>838</v>
      </c>
      <c r="C23" s="818"/>
      <c r="D23" s="98" t="s">
        <v>842</v>
      </c>
      <c r="E23" s="98" t="s">
        <v>853</v>
      </c>
      <c r="F23" s="99" t="s">
        <v>1047</v>
      </c>
      <c r="G23" s="107" t="s">
        <v>840</v>
      </c>
    </row>
    <row r="24" spans="1:8">
      <c r="A24" s="95"/>
      <c r="B24" s="115"/>
      <c r="C24" s="102"/>
      <c r="D24" s="100"/>
      <c r="E24" s="100" t="s">
        <v>312</v>
      </c>
      <c r="F24" s="101" t="s">
        <v>313</v>
      </c>
      <c r="G24" s="108" t="s">
        <v>314</v>
      </c>
    </row>
    <row r="25" spans="1:8">
      <c r="A25" s="125"/>
      <c r="B25" s="841" t="str">
        <f>MATERIALES2!C610</f>
        <v>TUBO PVC LLUVIAS 3"x 6.0 M</v>
      </c>
      <c r="C25" s="842"/>
      <c r="D25" s="87" t="s">
        <v>865</v>
      </c>
      <c r="E25" s="145">
        <v>0.2</v>
      </c>
      <c r="F25" s="80">
        <f>MATERIALES2!E610</f>
        <v>29365</v>
      </c>
      <c r="G25" s="110">
        <f>ROUND(E25*F25,0)</f>
        <v>5873</v>
      </c>
    </row>
    <row r="26" spans="1:8">
      <c r="A26" s="123"/>
      <c r="B26" s="854" t="str">
        <f>MATERIALES2!C793</f>
        <v>CODO SANITARIO 90ºx3"</v>
      </c>
      <c r="C26" s="855"/>
      <c r="D26" s="37" t="s">
        <v>865</v>
      </c>
      <c r="E26" s="83">
        <v>0.1</v>
      </c>
      <c r="F26" s="82">
        <f>MATERIALES2!E793</f>
        <v>5060</v>
      </c>
      <c r="G26" s="111">
        <f>ROUND(E26*F26,0)</f>
        <v>506</v>
      </c>
    </row>
    <row r="27" spans="1:8">
      <c r="A27" s="95"/>
      <c r="B27" s="854" t="str">
        <f>MATERIALES2!C704</f>
        <v>SOLDADURA PVC ¼</v>
      </c>
      <c r="C27" s="855"/>
      <c r="D27" s="37" t="s">
        <v>865</v>
      </c>
      <c r="E27" s="83">
        <v>0.03</v>
      </c>
      <c r="F27" s="82">
        <f>MATERIALES2!E704</f>
        <v>56298</v>
      </c>
      <c r="G27" s="111">
        <f>ROUND(E27*F27,0)</f>
        <v>1689</v>
      </c>
    </row>
    <row r="28" spans="1:8">
      <c r="A28" s="95"/>
      <c r="B28" s="854"/>
      <c r="C28" s="855"/>
      <c r="D28" s="37"/>
      <c r="E28" s="83"/>
      <c r="F28" s="82"/>
      <c r="G28" s="111"/>
    </row>
    <row r="29" spans="1:8">
      <c r="A29" s="95"/>
      <c r="B29" s="938"/>
      <c r="C29" s="939"/>
      <c r="D29" s="37"/>
      <c r="E29" s="55"/>
      <c r="F29" s="82"/>
      <c r="G29" s="111"/>
    </row>
    <row r="30" spans="1:8">
      <c r="A30" s="95"/>
      <c r="B30" s="938"/>
      <c r="C30" s="939"/>
      <c r="D30" s="53" t="s">
        <v>841</v>
      </c>
      <c r="E30" s="53"/>
      <c r="F30" s="82"/>
      <c r="G30" s="111"/>
    </row>
    <row r="31" spans="1:8">
      <c r="A31" s="95"/>
      <c r="B31" s="938" t="s">
        <v>841</v>
      </c>
      <c r="C31" s="939"/>
      <c r="D31" s="53" t="s">
        <v>841</v>
      </c>
      <c r="E31" s="53"/>
      <c r="F31" s="82"/>
      <c r="G31" s="111"/>
    </row>
    <row r="32" spans="1:8">
      <c r="A32" s="95"/>
      <c r="B32" s="837" t="s">
        <v>841</v>
      </c>
      <c r="C32" s="838"/>
      <c r="D32" s="53" t="s">
        <v>841</v>
      </c>
      <c r="E32" s="53"/>
      <c r="F32" s="82"/>
      <c r="G32" s="111"/>
      <c r="H32" s="505" t="s">
        <v>1670</v>
      </c>
    </row>
    <row r="33" spans="1:7" ht="13.5" thickBot="1">
      <c r="A33" s="95"/>
      <c r="B33" s="839" t="s">
        <v>841</v>
      </c>
      <c r="C33" s="840"/>
      <c r="D33" s="84" t="s">
        <v>841</v>
      </c>
      <c r="E33" s="84"/>
      <c r="F33" s="85"/>
      <c r="G33" s="112"/>
    </row>
    <row r="34" spans="1:7" ht="13.5" thickTop="1">
      <c r="A34" s="95"/>
      <c r="B34" s="808"/>
      <c r="C34" s="809"/>
      <c r="D34" s="801" t="s">
        <v>856</v>
      </c>
      <c r="E34" s="802"/>
      <c r="F34" s="9"/>
      <c r="G34" s="113">
        <f>SUM(G25:G33)</f>
        <v>8068</v>
      </c>
    </row>
    <row r="35" spans="1:7">
      <c r="A35" s="95"/>
      <c r="B35" s="819"/>
      <c r="C35" s="820"/>
      <c r="D35" s="801" t="s">
        <v>857</v>
      </c>
      <c r="E35" s="802"/>
      <c r="F35" s="79">
        <f>'MANO DE OBRA'!D60</f>
        <v>0.05</v>
      </c>
      <c r="G35" s="113">
        <f>ROUND(G34*F35,0)</f>
        <v>403</v>
      </c>
    </row>
    <row r="36" spans="1:7" ht="13.5" thickBot="1">
      <c r="A36" s="95"/>
      <c r="B36" s="819"/>
      <c r="C36" s="820"/>
      <c r="D36" s="803" t="s">
        <v>320</v>
      </c>
      <c r="E36" s="804"/>
      <c r="F36" s="114"/>
      <c r="G36" s="118">
        <f>+G34+G35</f>
        <v>8471</v>
      </c>
    </row>
    <row r="37" spans="1:7" ht="14.25" thickTop="1" thickBot="1">
      <c r="A37" s="95"/>
      <c r="B37" s="830"/>
      <c r="C37" s="830"/>
      <c r="D37" s="830"/>
      <c r="E37" s="830"/>
      <c r="F37" s="830"/>
      <c r="G37" s="830"/>
    </row>
    <row r="38" spans="1:7" ht="13.5" thickTop="1">
      <c r="A38" s="95"/>
      <c r="B38" s="811" t="s">
        <v>858</v>
      </c>
      <c r="C38" s="812"/>
      <c r="D38" s="812"/>
      <c r="E38" s="812"/>
      <c r="F38" s="812"/>
      <c r="G38" s="825"/>
    </row>
    <row r="39" spans="1:7">
      <c r="A39" s="95"/>
      <c r="B39" s="817"/>
      <c r="C39" s="818"/>
      <c r="D39" s="98" t="s">
        <v>301</v>
      </c>
      <c r="E39" s="98" t="s">
        <v>859</v>
      </c>
      <c r="F39" s="99" t="s">
        <v>839</v>
      </c>
      <c r="G39" s="107" t="s">
        <v>840</v>
      </c>
    </row>
    <row r="40" spans="1:7">
      <c r="A40" s="95"/>
      <c r="B40" s="821" t="s">
        <v>838</v>
      </c>
      <c r="C40" s="822"/>
      <c r="D40" s="100" t="s">
        <v>316</v>
      </c>
      <c r="E40" s="100" t="s">
        <v>315</v>
      </c>
      <c r="F40" s="101" t="s">
        <v>306</v>
      </c>
      <c r="G40" s="108" t="s">
        <v>319</v>
      </c>
    </row>
    <row r="41" spans="1:7">
      <c r="A41" s="95"/>
      <c r="B41" s="115"/>
      <c r="C41" s="102"/>
      <c r="D41" s="103"/>
      <c r="E41" s="103" t="s">
        <v>317</v>
      </c>
      <c r="F41" s="104" t="s">
        <v>318</v>
      </c>
      <c r="G41" s="109"/>
    </row>
    <row r="42" spans="1:7">
      <c r="A42" s="95"/>
      <c r="B42" s="823" t="str">
        <f>'MANO DE OBRA'!B11</f>
        <v>AYUDANTE CUAD. TIPO BB</v>
      </c>
      <c r="C42" s="824"/>
      <c r="D42" s="87">
        <v>1</v>
      </c>
      <c r="E42" s="80">
        <f>'MANO DE OBRA'!E11</f>
        <v>43077</v>
      </c>
      <c r="F42" s="81">
        <v>18</v>
      </c>
      <c r="G42" s="110">
        <f>ROUND(D42*E42/F42,0)</f>
        <v>2393</v>
      </c>
    </row>
    <row r="43" spans="1:7">
      <c r="A43" s="95"/>
      <c r="B43" s="835" t="str">
        <f>'MANO DE OBRA'!B16</f>
        <v>OFICIAL CUAD. TIPO BB</v>
      </c>
      <c r="C43" s="836"/>
      <c r="D43" s="37">
        <v>1</v>
      </c>
      <c r="E43" s="82">
        <f>'MANO DE OBRA'!E16</f>
        <v>78577</v>
      </c>
      <c r="F43" s="83">
        <v>18</v>
      </c>
      <c r="G43" s="111">
        <f>ROUND(D43*E43/F43,0)</f>
        <v>4365</v>
      </c>
    </row>
    <row r="44" spans="1:7">
      <c r="A44" s="95"/>
      <c r="B44" s="835"/>
      <c r="C44" s="836"/>
      <c r="D44" s="89"/>
      <c r="E44" s="82"/>
      <c r="F44" s="83"/>
      <c r="G44" s="111"/>
    </row>
    <row r="45" spans="1:7">
      <c r="A45" s="95"/>
      <c r="B45" s="835" t="s">
        <v>841</v>
      </c>
      <c r="C45" s="836"/>
      <c r="D45" s="37"/>
      <c r="E45" s="82"/>
      <c r="F45" s="83"/>
      <c r="G45" s="111"/>
    </row>
    <row r="46" spans="1:7" ht="13.5" thickBot="1">
      <c r="A46" s="95"/>
      <c r="B46" s="828" t="s">
        <v>841</v>
      </c>
      <c r="C46" s="829"/>
      <c r="D46" s="77"/>
      <c r="E46" s="82"/>
      <c r="F46" s="86"/>
      <c r="G46" s="112"/>
    </row>
    <row r="47" spans="1:7" ht="14.25" thickTop="1" thickBot="1">
      <c r="A47" s="95"/>
      <c r="B47" s="808"/>
      <c r="C47" s="808"/>
      <c r="D47" s="808"/>
      <c r="E47" s="809"/>
      <c r="F47" s="120" t="s">
        <v>856</v>
      </c>
      <c r="G47" s="118">
        <f>SUM(G42:G46)</f>
        <v>6758</v>
      </c>
    </row>
    <row r="48" spans="1:7" ht="14.25" thickTop="1" thickBot="1">
      <c r="A48" s="95"/>
      <c r="B48" s="810"/>
      <c r="C48" s="810"/>
      <c r="D48" s="810"/>
      <c r="E48" s="810"/>
      <c r="F48" s="810"/>
      <c r="G48" s="810"/>
    </row>
    <row r="49" spans="1:8" ht="13.5" thickTop="1">
      <c r="A49" s="95"/>
      <c r="B49" s="811" t="s">
        <v>321</v>
      </c>
      <c r="C49" s="812"/>
      <c r="D49" s="812"/>
      <c r="E49" s="812"/>
      <c r="F49" s="812"/>
      <c r="G49" s="825"/>
    </row>
    <row r="50" spans="1:8">
      <c r="A50" s="95"/>
      <c r="B50" s="817" t="s">
        <v>838</v>
      </c>
      <c r="C50" s="818"/>
      <c r="D50" s="98" t="s">
        <v>301</v>
      </c>
      <c r="E50" s="98" t="s">
        <v>297</v>
      </c>
      <c r="F50" s="99" t="s">
        <v>839</v>
      </c>
      <c r="G50" s="107" t="s">
        <v>840</v>
      </c>
    </row>
    <row r="51" spans="1:8">
      <c r="A51" s="95"/>
      <c r="B51" s="115"/>
      <c r="C51" s="102"/>
      <c r="D51" s="103" t="s">
        <v>322</v>
      </c>
      <c r="E51" s="103" t="s">
        <v>323</v>
      </c>
      <c r="F51" s="104" t="s">
        <v>324</v>
      </c>
      <c r="G51" s="109" t="s">
        <v>325</v>
      </c>
    </row>
    <row r="52" spans="1:8">
      <c r="A52" s="95"/>
      <c r="B52" s="826"/>
      <c r="C52" s="827"/>
      <c r="D52" s="96"/>
      <c r="E52" s="96"/>
      <c r="F52" s="96"/>
      <c r="G52" s="116"/>
    </row>
    <row r="53" spans="1:8" ht="13.5" thickBot="1">
      <c r="A53" s="95"/>
      <c r="B53" s="828" t="s">
        <v>841</v>
      </c>
      <c r="C53" s="829"/>
      <c r="D53" s="77"/>
      <c r="E53" s="82"/>
      <c r="F53" s="86"/>
      <c r="G53" s="112"/>
    </row>
    <row r="54" spans="1:8" ht="14.25" thickTop="1" thickBot="1">
      <c r="A54" s="95"/>
      <c r="B54" s="808"/>
      <c r="C54" s="808"/>
      <c r="D54" s="808"/>
      <c r="E54" s="809"/>
      <c r="F54" s="120" t="s">
        <v>856</v>
      </c>
      <c r="G54" s="118">
        <f>SUM(G49:G53)</f>
        <v>0</v>
      </c>
    </row>
    <row r="55" spans="1:8" ht="14.25" thickTop="1" thickBot="1">
      <c r="A55" s="95"/>
      <c r="B55" s="810"/>
      <c r="C55" s="810"/>
      <c r="D55" s="810"/>
      <c r="E55" s="810"/>
      <c r="F55" s="810"/>
      <c r="G55" s="834"/>
    </row>
    <row r="56" spans="1:8" ht="13.5" thickTop="1">
      <c r="A56" s="95"/>
      <c r="B56" s="811" t="s">
        <v>326</v>
      </c>
      <c r="C56" s="812"/>
      <c r="D56" s="812"/>
      <c r="E56" s="812"/>
      <c r="F56" s="813"/>
      <c r="G56" s="121">
        <f>+G20+G36+G47</f>
        <v>15567</v>
      </c>
    </row>
    <row r="57" spans="1:8">
      <c r="A57" s="95"/>
      <c r="B57" s="814" t="s">
        <v>861</v>
      </c>
      <c r="C57" s="815"/>
      <c r="D57" s="815"/>
      <c r="E57" s="816"/>
      <c r="F57" s="128">
        <f>'MANO DE OBRA'!D59</f>
        <v>0</v>
      </c>
      <c r="G57" s="122">
        <f>ROUND(G56*F57,0)</f>
        <v>0</v>
      </c>
    </row>
    <row r="58" spans="1:8" ht="13.5" thickBot="1">
      <c r="A58" s="95"/>
      <c r="B58" s="805" t="s">
        <v>1049</v>
      </c>
      <c r="C58" s="806"/>
      <c r="D58" s="806"/>
      <c r="E58" s="806"/>
      <c r="F58" s="807"/>
      <c r="G58" s="118">
        <f>ROUND(G56+G57,-2)</f>
        <v>15600</v>
      </c>
      <c r="H58" s="505" t="s">
        <v>1670</v>
      </c>
    </row>
    <row r="59" spans="1:8" ht="13.5" thickTop="1">
      <c r="A59" s="95"/>
      <c r="B59" s="90" t="s">
        <v>303</v>
      </c>
      <c r="C59" s="843"/>
      <c r="D59" s="843"/>
      <c r="E59" s="843"/>
      <c r="F59" s="92" t="s">
        <v>781</v>
      </c>
      <c r="G59" s="93" t="s">
        <v>831</v>
      </c>
    </row>
    <row r="60" spans="1:8">
      <c r="A60" s="95"/>
      <c r="B60" s="91" t="s">
        <v>834</v>
      </c>
      <c r="C60" s="844" t="s">
        <v>369</v>
      </c>
      <c r="D60" s="844"/>
      <c r="E60" s="844"/>
      <c r="F60" s="15" t="s">
        <v>833</v>
      </c>
      <c r="G60" s="165" t="str">
        <f>'MANO DE OBRA'!D61</f>
        <v>Agosto de 2010</v>
      </c>
    </row>
    <row r="61" spans="1:8" ht="13.5" thickBot="1">
      <c r="A61" s="127"/>
      <c r="B61" s="94" t="s">
        <v>835</v>
      </c>
      <c r="C61" s="845" t="s">
        <v>1287</v>
      </c>
      <c r="D61" s="845"/>
      <c r="E61" s="845"/>
      <c r="F61" s="845"/>
      <c r="G61" s="846"/>
    </row>
    <row r="62" spans="1:8" ht="14.25" thickTop="1" thickBot="1">
      <c r="A62" s="95"/>
      <c r="B62" s="847"/>
      <c r="C62" s="847"/>
      <c r="D62" s="847"/>
      <c r="E62" s="847"/>
      <c r="F62" s="847"/>
      <c r="G62" s="847"/>
    </row>
    <row r="63" spans="1:8" ht="13.5" thickTop="1">
      <c r="A63" s="95"/>
      <c r="B63" s="811" t="s">
        <v>304</v>
      </c>
      <c r="C63" s="812"/>
      <c r="D63" s="812"/>
      <c r="E63" s="812"/>
      <c r="F63" s="812"/>
      <c r="G63" s="825"/>
    </row>
    <row r="64" spans="1:8">
      <c r="A64" s="95"/>
      <c r="B64" s="105"/>
      <c r="C64" s="97"/>
      <c r="D64" s="98" t="s">
        <v>301</v>
      </c>
      <c r="E64" s="98" t="s">
        <v>1072</v>
      </c>
      <c r="F64" s="99" t="s">
        <v>839</v>
      </c>
      <c r="G64" s="107" t="s">
        <v>840</v>
      </c>
    </row>
    <row r="65" spans="1:7">
      <c r="A65" s="95"/>
      <c r="B65" s="821" t="s">
        <v>838</v>
      </c>
      <c r="C65" s="822"/>
      <c r="D65" s="100" t="s">
        <v>308</v>
      </c>
      <c r="E65" s="100" t="s">
        <v>305</v>
      </c>
      <c r="F65" s="101" t="s">
        <v>306</v>
      </c>
      <c r="G65" s="108" t="s">
        <v>310</v>
      </c>
    </row>
    <row r="66" spans="1:7">
      <c r="A66" s="95"/>
      <c r="B66" s="115"/>
      <c r="C66" s="102"/>
      <c r="D66" s="103"/>
      <c r="E66" s="103" t="s">
        <v>309</v>
      </c>
      <c r="F66" s="104" t="s">
        <v>307</v>
      </c>
      <c r="G66" s="109"/>
    </row>
    <row r="67" spans="1:7">
      <c r="A67" s="127"/>
      <c r="B67" s="823" t="str">
        <f>'MAQUINARIA Y EQUIPOS'!C28</f>
        <v>HERRAMIENTAS MENORES</v>
      </c>
      <c r="C67" s="824"/>
      <c r="D67" s="87">
        <v>1</v>
      </c>
      <c r="E67" s="82">
        <f>ROUND(G100*0.05,0)</f>
        <v>406</v>
      </c>
      <c r="F67" s="81">
        <v>1</v>
      </c>
      <c r="G67" s="110">
        <f>ROUND(D67*E67/F67,0)</f>
        <v>406</v>
      </c>
    </row>
    <row r="68" spans="1:7">
      <c r="A68" s="95"/>
      <c r="B68" s="835"/>
      <c r="C68" s="836"/>
      <c r="D68" s="37"/>
      <c r="E68" s="82"/>
      <c r="F68" s="83"/>
      <c r="G68" s="111"/>
    </row>
    <row r="69" spans="1:7">
      <c r="A69" s="95"/>
      <c r="B69" s="835"/>
      <c r="C69" s="836"/>
      <c r="D69" s="37"/>
      <c r="E69" s="82"/>
      <c r="F69" s="83"/>
      <c r="G69" s="111"/>
    </row>
    <row r="70" spans="1:7">
      <c r="A70" s="95"/>
      <c r="B70" s="835"/>
      <c r="C70" s="836"/>
      <c r="D70" s="37"/>
      <c r="E70" s="82"/>
      <c r="F70" s="83"/>
      <c r="G70" s="111"/>
    </row>
    <row r="71" spans="1:7">
      <c r="A71" s="95"/>
      <c r="B71" s="835" t="s">
        <v>841</v>
      </c>
      <c r="C71" s="836"/>
      <c r="D71" s="37"/>
      <c r="E71" s="82"/>
      <c r="F71" s="83"/>
      <c r="G71" s="111"/>
    </row>
    <row r="72" spans="1:7" ht="13.5" thickBot="1">
      <c r="A72" s="95"/>
      <c r="B72" s="839" t="s">
        <v>841</v>
      </c>
      <c r="C72" s="840"/>
      <c r="D72" s="77"/>
      <c r="E72" s="106"/>
      <c r="F72" s="86"/>
      <c r="G72" s="112"/>
    </row>
    <row r="73" spans="1:7" ht="14.25" thickTop="1" thickBot="1">
      <c r="A73" s="95"/>
      <c r="B73" s="808"/>
      <c r="C73" s="808"/>
      <c r="D73" s="808"/>
      <c r="E73" s="809"/>
      <c r="F73" s="119" t="s">
        <v>856</v>
      </c>
      <c r="G73" s="118">
        <f>SUM(G67:G72)</f>
        <v>406</v>
      </c>
    </row>
    <row r="74" spans="1:7" ht="14.25" thickTop="1" thickBot="1">
      <c r="A74" s="95"/>
      <c r="B74" s="830"/>
      <c r="C74" s="830"/>
      <c r="D74" s="830"/>
      <c r="E74" s="830"/>
      <c r="F74" s="830"/>
      <c r="G74" s="830"/>
    </row>
    <row r="75" spans="1:7" ht="13.5" thickTop="1">
      <c r="A75" s="95"/>
      <c r="B75" s="811" t="s">
        <v>311</v>
      </c>
      <c r="C75" s="812"/>
      <c r="D75" s="812"/>
      <c r="E75" s="812"/>
      <c r="F75" s="812"/>
      <c r="G75" s="825"/>
    </row>
    <row r="76" spans="1:7">
      <c r="A76" s="95"/>
      <c r="B76" s="817" t="s">
        <v>838</v>
      </c>
      <c r="C76" s="818"/>
      <c r="D76" s="98" t="s">
        <v>842</v>
      </c>
      <c r="E76" s="98" t="s">
        <v>853</v>
      </c>
      <c r="F76" s="99" t="s">
        <v>1047</v>
      </c>
      <c r="G76" s="107" t="s">
        <v>840</v>
      </c>
    </row>
    <row r="77" spans="1:7">
      <c r="A77" s="95"/>
      <c r="B77" s="115"/>
      <c r="C77" s="102"/>
      <c r="D77" s="100"/>
      <c r="E77" s="100" t="s">
        <v>312</v>
      </c>
      <c r="F77" s="101" t="s">
        <v>313</v>
      </c>
      <c r="G77" s="108" t="s">
        <v>314</v>
      </c>
    </row>
    <row r="78" spans="1:7">
      <c r="A78" s="125"/>
      <c r="B78" s="841" t="str">
        <f>MATERIALES2!C611</f>
        <v>TUBO PVC LLUVIAS 4"x 6.0 M</v>
      </c>
      <c r="C78" s="842"/>
      <c r="D78" s="87" t="s">
        <v>865</v>
      </c>
      <c r="E78" s="81">
        <v>0.2</v>
      </c>
      <c r="F78" s="80">
        <f>MATERIALES2!E611</f>
        <v>50635</v>
      </c>
      <c r="G78" s="110">
        <f>ROUND(E78*F78,0)</f>
        <v>10127</v>
      </c>
    </row>
    <row r="79" spans="1:7">
      <c r="A79" s="123"/>
      <c r="B79" s="854" t="str">
        <f>MATERIALES2!C794</f>
        <v>CODO SANITARIO 90ºx4"</v>
      </c>
      <c r="C79" s="855"/>
      <c r="D79" s="37" t="s">
        <v>865</v>
      </c>
      <c r="E79" s="83">
        <v>0.1</v>
      </c>
      <c r="F79" s="82">
        <f>MATERIALES2!E794</f>
        <v>4000</v>
      </c>
      <c r="G79" s="111">
        <f>ROUND(E79*F79,0)</f>
        <v>400</v>
      </c>
    </row>
    <row r="80" spans="1:7">
      <c r="A80" s="95"/>
      <c r="B80" s="854" t="str">
        <f>MATERIALES2!C704</f>
        <v>SOLDADURA PVC ¼</v>
      </c>
      <c r="C80" s="855"/>
      <c r="D80" s="37" t="s">
        <v>865</v>
      </c>
      <c r="E80" s="83">
        <v>0.03</v>
      </c>
      <c r="F80" s="82">
        <f>MATERIALES2!E704</f>
        <v>56298</v>
      </c>
      <c r="G80" s="111">
        <f>ROUND(E80*F80,0)</f>
        <v>1689</v>
      </c>
    </row>
    <row r="81" spans="1:8">
      <c r="A81" s="95"/>
      <c r="B81" s="854"/>
      <c r="C81" s="855"/>
      <c r="D81" s="37"/>
      <c r="E81" s="83"/>
      <c r="F81" s="82"/>
      <c r="G81" s="111"/>
    </row>
    <row r="82" spans="1:8">
      <c r="A82" s="95"/>
      <c r="B82" s="938"/>
      <c r="C82" s="939"/>
      <c r="D82" s="37"/>
      <c r="E82" s="55"/>
      <c r="F82" s="82"/>
      <c r="G82" s="111"/>
    </row>
    <row r="83" spans="1:8">
      <c r="A83" s="95"/>
      <c r="B83" s="938"/>
      <c r="C83" s="939"/>
      <c r="D83" s="53" t="s">
        <v>841</v>
      </c>
      <c r="E83" s="53"/>
      <c r="F83" s="82"/>
      <c r="G83" s="111"/>
    </row>
    <row r="84" spans="1:8">
      <c r="A84" s="95"/>
      <c r="B84" s="837" t="s">
        <v>841</v>
      </c>
      <c r="C84" s="838"/>
      <c r="D84" s="53" t="s">
        <v>841</v>
      </c>
      <c r="E84" s="53"/>
      <c r="F84" s="82"/>
      <c r="G84" s="111"/>
    </row>
    <row r="85" spans="1:8">
      <c r="A85" s="95"/>
      <c r="B85" s="837" t="s">
        <v>841</v>
      </c>
      <c r="C85" s="838"/>
      <c r="D85" s="53" t="s">
        <v>841</v>
      </c>
      <c r="E85" s="53"/>
      <c r="F85" s="82"/>
      <c r="G85" s="111"/>
      <c r="H85" s="505" t="s">
        <v>1670</v>
      </c>
    </row>
    <row r="86" spans="1:8" ht="13.5" thickBot="1">
      <c r="A86" s="95"/>
      <c r="B86" s="839" t="s">
        <v>841</v>
      </c>
      <c r="C86" s="840"/>
      <c r="D86" s="84" t="s">
        <v>841</v>
      </c>
      <c r="E86" s="84"/>
      <c r="F86" s="85"/>
      <c r="G86" s="112"/>
    </row>
    <row r="87" spans="1:8" ht="13.5" thickTop="1">
      <c r="A87" s="95"/>
      <c r="B87" s="808"/>
      <c r="C87" s="809"/>
      <c r="D87" s="801" t="s">
        <v>856</v>
      </c>
      <c r="E87" s="802"/>
      <c r="F87" s="9"/>
      <c r="G87" s="113">
        <f>SUM(G78:G86)</f>
        <v>12216</v>
      </c>
    </row>
    <row r="88" spans="1:8">
      <c r="A88" s="95"/>
      <c r="B88" s="819"/>
      <c r="C88" s="820"/>
      <c r="D88" s="801" t="s">
        <v>857</v>
      </c>
      <c r="E88" s="802"/>
      <c r="F88" s="79">
        <f>'MANO DE OBRA'!D60</f>
        <v>0.05</v>
      </c>
      <c r="G88" s="113">
        <f>ROUND(G87*F88,0)</f>
        <v>611</v>
      </c>
    </row>
    <row r="89" spans="1:8" ht="13.5" thickBot="1">
      <c r="A89" s="95"/>
      <c r="B89" s="819"/>
      <c r="C89" s="820"/>
      <c r="D89" s="803" t="s">
        <v>320</v>
      </c>
      <c r="E89" s="804"/>
      <c r="F89" s="114"/>
      <c r="G89" s="118">
        <f>+G87+G88</f>
        <v>12827</v>
      </c>
    </row>
    <row r="90" spans="1:8" ht="14.25" thickTop="1" thickBot="1">
      <c r="A90" s="95"/>
      <c r="B90" s="830"/>
      <c r="C90" s="830"/>
      <c r="D90" s="830"/>
      <c r="E90" s="830"/>
      <c r="F90" s="830"/>
      <c r="G90" s="830"/>
    </row>
    <row r="91" spans="1:8" ht="13.5" thickTop="1">
      <c r="A91" s="95"/>
      <c r="B91" s="811" t="s">
        <v>858</v>
      </c>
      <c r="C91" s="812"/>
      <c r="D91" s="812"/>
      <c r="E91" s="812"/>
      <c r="F91" s="812"/>
      <c r="G91" s="825"/>
    </row>
    <row r="92" spans="1:8">
      <c r="A92" s="95"/>
      <c r="B92" s="817"/>
      <c r="C92" s="818"/>
      <c r="D92" s="98" t="s">
        <v>301</v>
      </c>
      <c r="E92" s="98" t="s">
        <v>859</v>
      </c>
      <c r="F92" s="99" t="s">
        <v>839</v>
      </c>
      <c r="G92" s="107" t="s">
        <v>840</v>
      </c>
    </row>
    <row r="93" spans="1:8">
      <c r="A93" s="95"/>
      <c r="B93" s="821" t="s">
        <v>838</v>
      </c>
      <c r="C93" s="822"/>
      <c r="D93" s="100" t="s">
        <v>316</v>
      </c>
      <c r="E93" s="100" t="s">
        <v>315</v>
      </c>
      <c r="F93" s="101" t="s">
        <v>306</v>
      </c>
      <c r="G93" s="108" t="s">
        <v>319</v>
      </c>
    </row>
    <row r="94" spans="1:8">
      <c r="A94" s="95"/>
      <c r="B94" s="115"/>
      <c r="C94" s="102"/>
      <c r="D94" s="103"/>
      <c r="E94" s="103" t="s">
        <v>317</v>
      </c>
      <c r="F94" s="104" t="s">
        <v>318</v>
      </c>
      <c r="G94" s="109"/>
    </row>
    <row r="95" spans="1:8">
      <c r="A95" s="95"/>
      <c r="B95" s="823" t="str">
        <f>'MANO DE OBRA'!B11</f>
        <v>AYUDANTE CUAD. TIPO BB</v>
      </c>
      <c r="C95" s="824"/>
      <c r="D95" s="87">
        <v>1</v>
      </c>
      <c r="E95" s="80">
        <f>'MANO DE OBRA'!E11</f>
        <v>43077</v>
      </c>
      <c r="F95" s="81">
        <v>15</v>
      </c>
      <c r="G95" s="110">
        <f>ROUND(D95*E95/F95,0)</f>
        <v>2872</v>
      </c>
    </row>
    <row r="96" spans="1:8">
      <c r="A96" s="95"/>
      <c r="B96" s="835" t="str">
        <f>'MANO DE OBRA'!B16</f>
        <v>OFICIAL CUAD. TIPO BB</v>
      </c>
      <c r="C96" s="836"/>
      <c r="D96" s="37">
        <v>1</v>
      </c>
      <c r="E96" s="82">
        <f>'MANO DE OBRA'!E16</f>
        <v>78577</v>
      </c>
      <c r="F96" s="83">
        <v>15</v>
      </c>
      <c r="G96" s="111">
        <f>ROUND(D96*E96/F96,0)</f>
        <v>5238</v>
      </c>
    </row>
    <row r="97" spans="1:8">
      <c r="A97" s="95"/>
      <c r="B97" s="835"/>
      <c r="C97" s="836"/>
      <c r="D97" s="89"/>
      <c r="E97" s="82"/>
      <c r="F97" s="83"/>
      <c r="G97" s="111"/>
    </row>
    <row r="98" spans="1:8">
      <c r="A98" s="95"/>
      <c r="B98" s="835" t="s">
        <v>841</v>
      </c>
      <c r="C98" s="836"/>
      <c r="D98" s="37"/>
      <c r="E98" s="82"/>
      <c r="F98" s="83"/>
      <c r="G98" s="111"/>
    </row>
    <row r="99" spans="1:8" ht="13.5" thickBot="1">
      <c r="A99" s="95"/>
      <c r="B99" s="828" t="s">
        <v>841</v>
      </c>
      <c r="C99" s="829"/>
      <c r="D99" s="77"/>
      <c r="E99" s="82"/>
      <c r="F99" s="86"/>
      <c r="G99" s="112"/>
    </row>
    <row r="100" spans="1:8" ht="14.25" thickTop="1" thickBot="1">
      <c r="A100" s="95"/>
      <c r="B100" s="808"/>
      <c r="C100" s="808"/>
      <c r="D100" s="808"/>
      <c r="E100" s="809"/>
      <c r="F100" s="120" t="s">
        <v>856</v>
      </c>
      <c r="G100" s="118">
        <f>SUM(G95:G99)</f>
        <v>8110</v>
      </c>
    </row>
    <row r="101" spans="1:8" ht="14.25" thickTop="1" thickBot="1">
      <c r="A101" s="95"/>
      <c r="B101" s="810"/>
      <c r="C101" s="810"/>
      <c r="D101" s="810"/>
      <c r="E101" s="810"/>
      <c r="F101" s="810"/>
      <c r="G101" s="810"/>
    </row>
    <row r="102" spans="1:8" ht="13.5" thickTop="1">
      <c r="A102" s="95"/>
      <c r="B102" s="811" t="s">
        <v>321</v>
      </c>
      <c r="C102" s="812"/>
      <c r="D102" s="812"/>
      <c r="E102" s="812"/>
      <c r="F102" s="812"/>
      <c r="G102" s="825"/>
    </row>
    <row r="103" spans="1:8">
      <c r="A103" s="95"/>
      <c r="B103" s="817" t="s">
        <v>838</v>
      </c>
      <c r="C103" s="818"/>
      <c r="D103" s="98" t="s">
        <v>301</v>
      </c>
      <c r="E103" s="98" t="s">
        <v>297</v>
      </c>
      <c r="F103" s="99" t="s">
        <v>839</v>
      </c>
      <c r="G103" s="107" t="s">
        <v>840</v>
      </c>
    </row>
    <row r="104" spans="1:8">
      <c r="A104" s="95"/>
      <c r="B104" s="115"/>
      <c r="C104" s="102"/>
      <c r="D104" s="103" t="s">
        <v>322</v>
      </c>
      <c r="E104" s="103" t="s">
        <v>323</v>
      </c>
      <c r="F104" s="104" t="s">
        <v>324</v>
      </c>
      <c r="G104" s="109" t="s">
        <v>325</v>
      </c>
    </row>
    <row r="105" spans="1:8">
      <c r="A105" s="95"/>
      <c r="B105" s="826"/>
      <c r="C105" s="827"/>
      <c r="D105" s="96"/>
      <c r="E105" s="96"/>
      <c r="F105" s="96"/>
      <c r="G105" s="116"/>
    </row>
    <row r="106" spans="1:8" ht="13.5" thickBot="1">
      <c r="A106" s="95"/>
      <c r="B106" s="828" t="s">
        <v>841</v>
      </c>
      <c r="C106" s="829"/>
      <c r="D106" s="77"/>
      <c r="E106" s="82"/>
      <c r="F106" s="86"/>
      <c r="G106" s="112"/>
    </row>
    <row r="107" spans="1:8" ht="14.25" thickTop="1" thickBot="1">
      <c r="A107" s="95"/>
      <c r="B107" s="808"/>
      <c r="C107" s="808"/>
      <c r="D107" s="808"/>
      <c r="E107" s="809"/>
      <c r="F107" s="120" t="s">
        <v>856</v>
      </c>
      <c r="G107" s="118">
        <f>SUM(G102:G106)</f>
        <v>0</v>
      </c>
    </row>
    <row r="108" spans="1:8" ht="14.25" thickTop="1" thickBot="1">
      <c r="A108" s="95"/>
      <c r="B108" s="810"/>
      <c r="C108" s="810"/>
      <c r="D108" s="810"/>
      <c r="E108" s="810"/>
      <c r="F108" s="810"/>
      <c r="G108" s="834"/>
    </row>
    <row r="109" spans="1:8" ht="13.5" thickTop="1">
      <c r="A109" s="95"/>
      <c r="B109" s="811" t="s">
        <v>326</v>
      </c>
      <c r="C109" s="812"/>
      <c r="D109" s="812"/>
      <c r="E109" s="812"/>
      <c r="F109" s="813"/>
      <c r="G109" s="121">
        <f>+G73+G89+G100</f>
        <v>21343</v>
      </c>
    </row>
    <row r="110" spans="1:8">
      <c r="A110" s="95"/>
      <c r="B110" s="814" t="s">
        <v>861</v>
      </c>
      <c r="C110" s="815"/>
      <c r="D110" s="815"/>
      <c r="E110" s="816"/>
      <c r="F110" s="128">
        <f>'MANO DE OBRA'!D59</f>
        <v>0</v>
      </c>
      <c r="G110" s="122">
        <f>ROUND(G109*F110,0)</f>
        <v>0</v>
      </c>
    </row>
    <row r="111" spans="1:8" ht="13.5" thickBot="1">
      <c r="A111" s="95"/>
      <c r="B111" s="805" t="s">
        <v>1049</v>
      </c>
      <c r="C111" s="806"/>
      <c r="D111" s="806"/>
      <c r="E111" s="806"/>
      <c r="F111" s="807"/>
      <c r="G111" s="118">
        <f>ROUND(G109+G110,-2)</f>
        <v>21300</v>
      </c>
      <c r="H111" s="505" t="s">
        <v>1670</v>
      </c>
    </row>
    <row r="112" spans="1:8" ht="13.5" thickTop="1">
      <c r="A112" s="95"/>
      <c r="B112" s="90" t="s">
        <v>303</v>
      </c>
      <c r="C112" s="843"/>
      <c r="D112" s="843"/>
      <c r="E112" s="843"/>
      <c r="F112" s="92" t="s">
        <v>781</v>
      </c>
      <c r="G112" s="93" t="s">
        <v>831</v>
      </c>
    </row>
    <row r="113" spans="1:7">
      <c r="A113" s="95"/>
      <c r="B113" s="91" t="s">
        <v>834</v>
      </c>
      <c r="C113" s="844" t="s">
        <v>369</v>
      </c>
      <c r="D113" s="844"/>
      <c r="E113" s="844"/>
      <c r="F113" s="15" t="s">
        <v>833</v>
      </c>
      <c r="G113" s="165" t="str">
        <f>'MANO DE OBRA'!D61</f>
        <v>Agosto de 2010</v>
      </c>
    </row>
    <row r="114" spans="1:7" ht="13.5" thickBot="1">
      <c r="A114" s="127"/>
      <c r="B114" s="94" t="s">
        <v>835</v>
      </c>
      <c r="C114" s="845" t="s">
        <v>1288</v>
      </c>
      <c r="D114" s="845"/>
      <c r="E114" s="845"/>
      <c r="F114" s="845"/>
      <c r="G114" s="846"/>
    </row>
    <row r="115" spans="1:7" ht="14.25" thickTop="1" thickBot="1">
      <c r="A115" s="95"/>
      <c r="B115" s="847"/>
      <c r="C115" s="847"/>
      <c r="D115" s="847"/>
      <c r="E115" s="847"/>
      <c r="F115" s="847"/>
      <c r="G115" s="847"/>
    </row>
    <row r="116" spans="1:7" ht="13.5" thickTop="1">
      <c r="A116" s="95"/>
      <c r="B116" s="811" t="s">
        <v>304</v>
      </c>
      <c r="C116" s="812"/>
      <c r="D116" s="812"/>
      <c r="E116" s="812"/>
      <c r="F116" s="812"/>
      <c r="G116" s="825"/>
    </row>
    <row r="117" spans="1:7">
      <c r="A117" s="95"/>
      <c r="B117" s="105"/>
      <c r="C117" s="97"/>
      <c r="D117" s="98" t="s">
        <v>301</v>
      </c>
      <c r="E117" s="98" t="s">
        <v>1072</v>
      </c>
      <c r="F117" s="99" t="s">
        <v>839</v>
      </c>
      <c r="G117" s="107" t="s">
        <v>840</v>
      </c>
    </row>
    <row r="118" spans="1:7">
      <c r="A118" s="95"/>
      <c r="B118" s="821" t="s">
        <v>838</v>
      </c>
      <c r="C118" s="822"/>
      <c r="D118" s="100" t="s">
        <v>308</v>
      </c>
      <c r="E118" s="100" t="s">
        <v>305</v>
      </c>
      <c r="F118" s="101" t="s">
        <v>306</v>
      </c>
      <c r="G118" s="108" t="s">
        <v>310</v>
      </c>
    </row>
    <row r="119" spans="1:7">
      <c r="A119" s="95"/>
      <c r="B119" s="115"/>
      <c r="C119" s="102"/>
      <c r="D119" s="103"/>
      <c r="E119" s="103" t="s">
        <v>309</v>
      </c>
      <c r="F119" s="104" t="s">
        <v>307</v>
      </c>
      <c r="G119" s="109"/>
    </row>
    <row r="120" spans="1:7">
      <c r="A120" s="127"/>
      <c r="B120" s="823" t="str">
        <f>'MAQUINARIA Y EQUIPOS'!C28</f>
        <v>HERRAMIENTAS MENORES</v>
      </c>
      <c r="C120" s="824"/>
      <c r="D120" s="87">
        <v>1</v>
      </c>
      <c r="E120" s="82">
        <f>ROUND(G153*0.05,0)</f>
        <v>380</v>
      </c>
      <c r="F120" s="81">
        <v>1</v>
      </c>
      <c r="G120" s="110">
        <f>ROUND(D120*E120/F120,0)</f>
        <v>380</v>
      </c>
    </row>
    <row r="121" spans="1:7">
      <c r="A121" s="95"/>
      <c r="B121" s="835"/>
      <c r="C121" s="836"/>
      <c r="D121" s="37"/>
      <c r="E121" s="82"/>
      <c r="F121" s="83"/>
      <c r="G121" s="111"/>
    </row>
    <row r="122" spans="1:7">
      <c r="A122" s="95"/>
      <c r="B122" s="835"/>
      <c r="C122" s="836"/>
      <c r="D122" s="37"/>
      <c r="E122" s="82"/>
      <c r="F122" s="83"/>
      <c r="G122" s="111"/>
    </row>
    <row r="123" spans="1:7">
      <c r="A123" s="95"/>
      <c r="B123" s="835"/>
      <c r="C123" s="836"/>
      <c r="D123" s="37"/>
      <c r="E123" s="82"/>
      <c r="F123" s="83"/>
      <c r="G123" s="111"/>
    </row>
    <row r="124" spans="1:7">
      <c r="A124" s="95"/>
      <c r="B124" s="835"/>
      <c r="C124" s="836"/>
      <c r="D124" s="37"/>
      <c r="E124" s="82"/>
      <c r="F124" s="83"/>
      <c r="G124" s="111"/>
    </row>
    <row r="125" spans="1:7" ht="13.5" thickBot="1">
      <c r="A125" s="95"/>
      <c r="B125" s="835"/>
      <c r="C125" s="836"/>
      <c r="D125" s="77"/>
      <c r="E125" s="82"/>
      <c r="F125" s="86"/>
      <c r="G125" s="111"/>
    </row>
    <row r="126" spans="1:7" ht="14.25" thickTop="1" thickBot="1">
      <c r="A126" s="95"/>
      <c r="B126" s="808"/>
      <c r="C126" s="808"/>
      <c r="D126" s="808"/>
      <c r="E126" s="809"/>
      <c r="F126" s="119" t="s">
        <v>856</v>
      </c>
      <c r="G126" s="118">
        <f>SUM(G120:G125)</f>
        <v>380</v>
      </c>
    </row>
    <row r="127" spans="1:7" ht="14.25" thickTop="1" thickBot="1">
      <c r="A127" s="95"/>
      <c r="B127" s="830"/>
      <c r="C127" s="830"/>
      <c r="D127" s="830"/>
      <c r="E127" s="830"/>
      <c r="F127" s="830"/>
      <c r="G127" s="830"/>
    </row>
    <row r="128" spans="1:7" ht="13.5" thickTop="1">
      <c r="A128" s="95"/>
      <c r="B128" s="811" t="s">
        <v>311</v>
      </c>
      <c r="C128" s="812"/>
      <c r="D128" s="812"/>
      <c r="E128" s="812"/>
      <c r="F128" s="812"/>
      <c r="G128" s="825"/>
    </row>
    <row r="129" spans="1:8">
      <c r="A129" s="95"/>
      <c r="B129" s="817" t="s">
        <v>838</v>
      </c>
      <c r="C129" s="818"/>
      <c r="D129" s="98" t="s">
        <v>842</v>
      </c>
      <c r="E129" s="98" t="s">
        <v>853</v>
      </c>
      <c r="F129" s="99" t="s">
        <v>1047</v>
      </c>
      <c r="G129" s="107" t="s">
        <v>840</v>
      </c>
    </row>
    <row r="130" spans="1:8">
      <c r="A130" s="95"/>
      <c r="B130" s="115"/>
      <c r="C130" s="102"/>
      <c r="D130" s="100"/>
      <c r="E130" s="100" t="s">
        <v>312</v>
      </c>
      <c r="F130" s="101" t="s">
        <v>313</v>
      </c>
      <c r="G130" s="108" t="s">
        <v>314</v>
      </c>
    </row>
    <row r="131" spans="1:8">
      <c r="A131" s="125"/>
      <c r="B131" s="841" t="str">
        <f>MATERIALES2!C601</f>
        <v>TUBO PVC SANITARIO 3"x 6.0 M Pesada</v>
      </c>
      <c r="C131" s="842"/>
      <c r="D131" s="87" t="s">
        <v>865</v>
      </c>
      <c r="E131" s="81">
        <v>0.2</v>
      </c>
      <c r="F131" s="80">
        <f>MATERIALES2!E601</f>
        <v>38000</v>
      </c>
      <c r="G131" s="110">
        <f>ROUND(E131*F131,0)</f>
        <v>7600</v>
      </c>
    </row>
    <row r="132" spans="1:8">
      <c r="A132" s="123"/>
      <c r="B132" s="854" t="str">
        <f>MATERIALES2!C793</f>
        <v>CODO SANITARIO 90ºx3"</v>
      </c>
      <c r="C132" s="855"/>
      <c r="D132" s="37" t="s">
        <v>865</v>
      </c>
      <c r="E132" s="83">
        <v>0.1</v>
      </c>
      <c r="F132" s="82">
        <f>MATERIALES2!E793</f>
        <v>5060</v>
      </c>
      <c r="G132" s="111">
        <f>ROUND(E132*F132,0)</f>
        <v>506</v>
      </c>
    </row>
    <row r="133" spans="1:8">
      <c r="A133" s="95"/>
      <c r="B133" s="854" t="str">
        <f>MATERIALES2!C704</f>
        <v>SOLDADURA PVC ¼</v>
      </c>
      <c r="C133" s="855"/>
      <c r="D133" s="37" t="s">
        <v>865</v>
      </c>
      <c r="E133" s="83">
        <v>0.03</v>
      </c>
      <c r="F133" s="82">
        <f>MATERIALES2!E704</f>
        <v>56298</v>
      </c>
      <c r="G133" s="111">
        <f>ROUND(E133*F133,0)</f>
        <v>1689</v>
      </c>
    </row>
    <row r="134" spans="1:8">
      <c r="A134" s="95"/>
      <c r="B134" s="854"/>
      <c r="C134" s="855"/>
      <c r="D134" s="37"/>
      <c r="E134" s="83"/>
      <c r="F134" s="82"/>
      <c r="G134" s="111"/>
    </row>
    <row r="135" spans="1:8">
      <c r="A135" s="95"/>
      <c r="B135" s="854"/>
      <c r="C135" s="855"/>
      <c r="D135" s="37"/>
      <c r="E135" s="83"/>
      <c r="F135" s="82"/>
      <c r="G135" s="111"/>
    </row>
    <row r="136" spans="1:8">
      <c r="A136" s="95"/>
      <c r="B136" s="938"/>
      <c r="C136" s="939"/>
      <c r="D136" s="53" t="s">
        <v>841</v>
      </c>
      <c r="E136" s="53"/>
      <c r="F136" s="82"/>
      <c r="G136" s="111"/>
    </row>
    <row r="137" spans="1:8">
      <c r="A137" s="95"/>
      <c r="B137" s="938" t="s">
        <v>841</v>
      </c>
      <c r="C137" s="939"/>
      <c r="D137" s="53" t="s">
        <v>841</v>
      </c>
      <c r="E137" s="53"/>
      <c r="F137" s="82"/>
      <c r="G137" s="111"/>
    </row>
    <row r="138" spans="1:8">
      <c r="A138" s="95"/>
      <c r="B138" s="938" t="s">
        <v>841</v>
      </c>
      <c r="C138" s="939"/>
      <c r="D138" s="53" t="s">
        <v>841</v>
      </c>
      <c r="E138" s="53"/>
      <c r="F138" s="82"/>
      <c r="G138" s="111"/>
      <c r="H138" s="505" t="s">
        <v>1670</v>
      </c>
    </row>
    <row r="139" spans="1:8" ht="13.5" thickBot="1">
      <c r="A139" s="95"/>
      <c r="B139" s="942" t="s">
        <v>841</v>
      </c>
      <c r="C139" s="943"/>
      <c r="D139" s="84" t="s">
        <v>841</v>
      </c>
      <c r="E139" s="84"/>
      <c r="F139" s="85"/>
      <c r="G139" s="112"/>
    </row>
    <row r="140" spans="1:8" ht="13.5" thickTop="1">
      <c r="A140" s="95"/>
      <c r="B140" s="808"/>
      <c r="C140" s="809"/>
      <c r="D140" s="801" t="s">
        <v>856</v>
      </c>
      <c r="E140" s="802"/>
      <c r="F140" s="9"/>
      <c r="G140" s="113">
        <f>SUM(G131:G139)</f>
        <v>9795</v>
      </c>
    </row>
    <row r="141" spans="1:8">
      <c r="A141" s="95"/>
      <c r="B141" s="819"/>
      <c r="C141" s="820"/>
      <c r="D141" s="801" t="s">
        <v>857</v>
      </c>
      <c r="E141" s="802"/>
      <c r="F141" s="79">
        <f>'MANO DE OBRA'!D60</f>
        <v>0.05</v>
      </c>
      <c r="G141" s="113">
        <f>ROUND(G140*F141,0)</f>
        <v>490</v>
      </c>
    </row>
    <row r="142" spans="1:8" ht="13.5" thickBot="1">
      <c r="A142" s="95"/>
      <c r="B142" s="819"/>
      <c r="C142" s="820"/>
      <c r="D142" s="803" t="s">
        <v>320</v>
      </c>
      <c r="E142" s="804"/>
      <c r="F142" s="114"/>
      <c r="G142" s="118">
        <f>+G140+G141</f>
        <v>10285</v>
      </c>
    </row>
    <row r="143" spans="1:8" ht="14.25" thickTop="1" thickBot="1">
      <c r="A143" s="95"/>
      <c r="B143" s="830"/>
      <c r="C143" s="830"/>
      <c r="D143" s="830"/>
      <c r="E143" s="830"/>
      <c r="F143" s="830"/>
      <c r="G143" s="830"/>
    </row>
    <row r="144" spans="1:8" ht="13.5" thickTop="1">
      <c r="A144" s="95"/>
      <c r="B144" s="811" t="s">
        <v>858</v>
      </c>
      <c r="C144" s="812"/>
      <c r="D144" s="812"/>
      <c r="E144" s="812"/>
      <c r="F144" s="812"/>
      <c r="G144" s="825"/>
    </row>
    <row r="145" spans="1:7">
      <c r="A145" s="95"/>
      <c r="B145" s="817"/>
      <c r="C145" s="818"/>
      <c r="D145" s="98" t="s">
        <v>301</v>
      </c>
      <c r="E145" s="98" t="s">
        <v>859</v>
      </c>
      <c r="F145" s="99" t="s">
        <v>839</v>
      </c>
      <c r="G145" s="107" t="s">
        <v>840</v>
      </c>
    </row>
    <row r="146" spans="1:7">
      <c r="A146" s="95"/>
      <c r="B146" s="821" t="s">
        <v>838</v>
      </c>
      <c r="C146" s="822"/>
      <c r="D146" s="100" t="s">
        <v>316</v>
      </c>
      <c r="E146" s="100" t="s">
        <v>315</v>
      </c>
      <c r="F146" s="101" t="s">
        <v>306</v>
      </c>
      <c r="G146" s="108" t="s">
        <v>319</v>
      </c>
    </row>
    <row r="147" spans="1:7">
      <c r="A147" s="95"/>
      <c r="B147" s="115"/>
      <c r="C147" s="102"/>
      <c r="D147" s="103"/>
      <c r="E147" s="103" t="s">
        <v>317</v>
      </c>
      <c r="F147" s="104" t="s">
        <v>318</v>
      </c>
      <c r="G147" s="109"/>
    </row>
    <row r="148" spans="1:7">
      <c r="A148" s="95"/>
      <c r="B148" s="823" t="str">
        <f>'MANO DE OBRA'!B11</f>
        <v>AYUDANTE CUAD. TIPO BB</v>
      </c>
      <c r="C148" s="824"/>
      <c r="D148" s="87">
        <v>1</v>
      </c>
      <c r="E148" s="80">
        <f>'MANO DE OBRA'!E11</f>
        <v>43077</v>
      </c>
      <c r="F148" s="81">
        <v>16</v>
      </c>
      <c r="G148" s="110">
        <f>ROUND(D148*E148/F148,0)</f>
        <v>2692</v>
      </c>
    </row>
    <row r="149" spans="1:7">
      <c r="A149" s="95"/>
      <c r="B149" s="835" t="str">
        <f>'MANO DE OBRA'!B16</f>
        <v>OFICIAL CUAD. TIPO BB</v>
      </c>
      <c r="C149" s="836"/>
      <c r="D149" s="37">
        <v>1</v>
      </c>
      <c r="E149" s="82">
        <f>'MANO DE OBRA'!E16</f>
        <v>78577</v>
      </c>
      <c r="F149" s="83">
        <v>16</v>
      </c>
      <c r="G149" s="111">
        <f>ROUND(D149*E149/F149,0)</f>
        <v>4911</v>
      </c>
    </row>
    <row r="150" spans="1:7">
      <c r="A150" s="95"/>
      <c r="B150" s="835"/>
      <c r="C150" s="836"/>
      <c r="D150" s="89"/>
      <c r="E150" s="82"/>
      <c r="F150" s="83"/>
      <c r="G150" s="111"/>
    </row>
    <row r="151" spans="1:7">
      <c r="A151" s="95"/>
      <c r="B151" s="835" t="s">
        <v>841</v>
      </c>
      <c r="C151" s="836"/>
      <c r="D151" s="37"/>
      <c r="E151" s="82"/>
      <c r="F151" s="83"/>
      <c r="G151" s="111"/>
    </row>
    <row r="152" spans="1:7" ht="13.5" thickBot="1">
      <c r="A152" s="95"/>
      <c r="B152" s="828" t="s">
        <v>841</v>
      </c>
      <c r="C152" s="829"/>
      <c r="D152" s="77"/>
      <c r="E152" s="82"/>
      <c r="F152" s="86"/>
      <c r="G152" s="112"/>
    </row>
    <row r="153" spans="1:7" ht="14.25" thickTop="1" thickBot="1">
      <c r="A153" s="95"/>
      <c r="B153" s="808"/>
      <c r="C153" s="808"/>
      <c r="D153" s="808"/>
      <c r="E153" s="809"/>
      <c r="F153" s="120" t="s">
        <v>856</v>
      </c>
      <c r="G153" s="118">
        <f>SUM(G148:G152)</f>
        <v>7603</v>
      </c>
    </row>
    <row r="154" spans="1:7" ht="14.25" thickTop="1" thickBot="1">
      <c r="A154" s="95"/>
      <c r="B154" s="810"/>
      <c r="C154" s="810"/>
      <c r="D154" s="810"/>
      <c r="E154" s="810"/>
      <c r="F154" s="810"/>
      <c r="G154" s="810"/>
    </row>
    <row r="155" spans="1:7" ht="13.5" thickTop="1">
      <c r="A155" s="95"/>
      <c r="B155" s="811" t="s">
        <v>321</v>
      </c>
      <c r="C155" s="812"/>
      <c r="D155" s="812"/>
      <c r="E155" s="812"/>
      <c r="F155" s="812"/>
      <c r="G155" s="825"/>
    </row>
    <row r="156" spans="1:7">
      <c r="A156" s="95"/>
      <c r="B156" s="817" t="s">
        <v>838</v>
      </c>
      <c r="C156" s="818"/>
      <c r="D156" s="98" t="s">
        <v>301</v>
      </c>
      <c r="E156" s="98" t="s">
        <v>297</v>
      </c>
      <c r="F156" s="99" t="s">
        <v>839</v>
      </c>
      <c r="G156" s="107" t="s">
        <v>840</v>
      </c>
    </row>
    <row r="157" spans="1:7">
      <c r="A157" s="95"/>
      <c r="B157" s="115"/>
      <c r="C157" s="102"/>
      <c r="D157" s="103" t="s">
        <v>322</v>
      </c>
      <c r="E157" s="103" t="s">
        <v>323</v>
      </c>
      <c r="F157" s="104" t="s">
        <v>324</v>
      </c>
      <c r="G157" s="109" t="s">
        <v>325</v>
      </c>
    </row>
    <row r="158" spans="1:7">
      <c r="A158" s="95"/>
      <c r="B158" s="826"/>
      <c r="C158" s="827"/>
      <c r="D158" s="96"/>
      <c r="E158" s="96"/>
      <c r="F158" s="96"/>
      <c r="G158" s="116"/>
    </row>
    <row r="159" spans="1:7" ht="13.5" thickBot="1">
      <c r="A159" s="95"/>
      <c r="B159" s="828" t="s">
        <v>841</v>
      </c>
      <c r="C159" s="829"/>
      <c r="D159" s="77"/>
      <c r="E159" s="82"/>
      <c r="F159" s="86"/>
      <c r="G159" s="112"/>
    </row>
    <row r="160" spans="1:7" ht="14.25" thickTop="1" thickBot="1">
      <c r="A160" s="95"/>
      <c r="B160" s="808"/>
      <c r="C160" s="808"/>
      <c r="D160" s="808"/>
      <c r="E160" s="809"/>
      <c r="F160" s="120" t="s">
        <v>856</v>
      </c>
      <c r="G160" s="118">
        <f>SUM(G155:G159)</f>
        <v>0</v>
      </c>
    </row>
    <row r="161" spans="1:8" ht="14.25" thickTop="1" thickBot="1">
      <c r="A161" s="95"/>
      <c r="B161" s="810"/>
      <c r="C161" s="810"/>
      <c r="D161" s="810"/>
      <c r="E161" s="810"/>
      <c r="F161" s="810"/>
      <c r="G161" s="834"/>
    </row>
    <row r="162" spans="1:8" ht="13.5" thickTop="1">
      <c r="A162" s="95"/>
      <c r="B162" s="811" t="s">
        <v>326</v>
      </c>
      <c r="C162" s="812"/>
      <c r="D162" s="812"/>
      <c r="E162" s="812"/>
      <c r="F162" s="813"/>
      <c r="G162" s="121">
        <f>+G126+G142+G153</f>
        <v>18268</v>
      </c>
    </row>
    <row r="163" spans="1:8">
      <c r="A163" s="95"/>
      <c r="B163" s="814" t="s">
        <v>861</v>
      </c>
      <c r="C163" s="815"/>
      <c r="D163" s="815"/>
      <c r="E163" s="816"/>
      <c r="F163" s="128">
        <f>'MANO DE OBRA'!D59</f>
        <v>0</v>
      </c>
      <c r="G163" s="122">
        <f>ROUND(G162*F163,0)</f>
        <v>0</v>
      </c>
    </row>
    <row r="164" spans="1:8" ht="13.5" thickBot="1">
      <c r="A164" s="95"/>
      <c r="B164" s="805" t="s">
        <v>1049</v>
      </c>
      <c r="C164" s="806"/>
      <c r="D164" s="806"/>
      <c r="E164" s="806"/>
      <c r="F164" s="807"/>
      <c r="G164" s="118">
        <f>ROUND(G162+G163,-2)</f>
        <v>18300</v>
      </c>
      <c r="H164" s="505" t="s">
        <v>1670</v>
      </c>
    </row>
    <row r="165" spans="1:8" ht="13.5" thickTop="1">
      <c r="A165" s="95"/>
      <c r="B165" s="90" t="s">
        <v>303</v>
      </c>
      <c r="C165" s="843"/>
      <c r="D165" s="843"/>
      <c r="E165" s="843"/>
      <c r="F165" s="92" t="s">
        <v>781</v>
      </c>
      <c r="G165" s="93" t="s">
        <v>831</v>
      </c>
    </row>
    <row r="166" spans="1:8">
      <c r="A166" s="95"/>
      <c r="B166" s="91" t="s">
        <v>834</v>
      </c>
      <c r="C166" s="844" t="s">
        <v>382</v>
      </c>
      <c r="D166" s="844"/>
      <c r="E166" s="844"/>
      <c r="F166" s="15" t="s">
        <v>833</v>
      </c>
      <c r="G166" s="165" t="str">
        <f>'MANO DE OBRA'!D61</f>
        <v>Agosto de 2010</v>
      </c>
    </row>
    <row r="167" spans="1:8" ht="13.5" thickBot="1">
      <c r="A167" s="127"/>
      <c r="B167" s="94" t="s">
        <v>835</v>
      </c>
      <c r="C167" s="845" t="s">
        <v>1502</v>
      </c>
      <c r="D167" s="845"/>
      <c r="E167" s="845"/>
      <c r="F167" s="845"/>
      <c r="G167" s="846"/>
    </row>
    <row r="168" spans="1:8" ht="14.25" thickTop="1" thickBot="1">
      <c r="A168" s="95"/>
      <c r="B168" s="847"/>
      <c r="C168" s="847"/>
      <c r="D168" s="847"/>
      <c r="E168" s="847"/>
      <c r="F168" s="847"/>
      <c r="G168" s="847"/>
    </row>
    <row r="169" spans="1:8" ht="13.5" thickTop="1">
      <c r="A169" s="95"/>
      <c r="B169" s="811" t="s">
        <v>304</v>
      </c>
      <c r="C169" s="812"/>
      <c r="D169" s="812"/>
      <c r="E169" s="812"/>
      <c r="F169" s="812"/>
      <c r="G169" s="825"/>
    </row>
    <row r="170" spans="1:8">
      <c r="A170" s="95"/>
      <c r="B170" s="105"/>
      <c r="C170" s="97"/>
      <c r="D170" s="98" t="s">
        <v>301</v>
      </c>
      <c r="E170" s="98" t="s">
        <v>1072</v>
      </c>
      <c r="F170" s="99" t="s">
        <v>839</v>
      </c>
      <c r="G170" s="107" t="s">
        <v>840</v>
      </c>
    </row>
    <row r="171" spans="1:8">
      <c r="A171" s="95"/>
      <c r="B171" s="821" t="s">
        <v>838</v>
      </c>
      <c r="C171" s="822"/>
      <c r="D171" s="100" t="s">
        <v>308</v>
      </c>
      <c r="E171" s="100" t="s">
        <v>305</v>
      </c>
      <c r="F171" s="101" t="s">
        <v>306</v>
      </c>
      <c r="G171" s="108" t="s">
        <v>310</v>
      </c>
    </row>
    <row r="172" spans="1:8">
      <c r="A172" s="95"/>
      <c r="B172" s="115"/>
      <c r="C172" s="102"/>
      <c r="D172" s="103"/>
      <c r="E172" s="103" t="s">
        <v>309</v>
      </c>
      <c r="F172" s="104" t="s">
        <v>307</v>
      </c>
      <c r="G172" s="109"/>
    </row>
    <row r="173" spans="1:8">
      <c r="A173" s="127"/>
      <c r="B173" s="823" t="str">
        <f>'MAQUINARIA Y EQUIPOS'!C28</f>
        <v>HERRAMIENTAS MENORES</v>
      </c>
      <c r="C173" s="824"/>
      <c r="D173" s="87">
        <v>1</v>
      </c>
      <c r="E173" s="82">
        <f>ROUND(G206*0.05,0)</f>
        <v>380</v>
      </c>
      <c r="F173" s="81">
        <v>1</v>
      </c>
      <c r="G173" s="110">
        <f>ROUND(D173*E173/F173,0)</f>
        <v>380</v>
      </c>
    </row>
    <row r="174" spans="1:8">
      <c r="A174" s="95"/>
      <c r="B174" s="835"/>
      <c r="C174" s="836"/>
      <c r="D174" s="37"/>
      <c r="E174" s="82"/>
      <c r="F174" s="83"/>
      <c r="G174" s="111"/>
    </row>
    <row r="175" spans="1:8">
      <c r="A175" s="95"/>
      <c r="B175" s="835"/>
      <c r="C175" s="836"/>
      <c r="D175" s="37"/>
      <c r="E175" s="82"/>
      <c r="F175" s="83"/>
      <c r="G175" s="111"/>
    </row>
    <row r="176" spans="1:8">
      <c r="A176" s="95"/>
      <c r="B176" s="835"/>
      <c r="C176" s="836"/>
      <c r="D176" s="37"/>
      <c r="E176" s="82"/>
      <c r="F176" s="83"/>
      <c r="G176" s="111"/>
    </row>
    <row r="177" spans="1:8">
      <c r="A177" s="95"/>
      <c r="B177" s="835"/>
      <c r="C177" s="836"/>
      <c r="D177" s="37"/>
      <c r="E177" s="82"/>
      <c r="F177" s="83"/>
      <c r="G177" s="111"/>
    </row>
    <row r="178" spans="1:8" ht="13.5" thickBot="1">
      <c r="A178" s="95"/>
      <c r="B178" s="835"/>
      <c r="C178" s="836"/>
      <c r="D178" s="77"/>
      <c r="E178" s="82"/>
      <c r="F178" s="86"/>
      <c r="G178" s="111"/>
    </row>
    <row r="179" spans="1:8" ht="14.25" thickTop="1" thickBot="1">
      <c r="A179" s="95"/>
      <c r="B179" s="808"/>
      <c r="C179" s="808"/>
      <c r="D179" s="808"/>
      <c r="E179" s="809"/>
      <c r="F179" s="119" t="s">
        <v>856</v>
      </c>
      <c r="G179" s="118">
        <f>SUM(G173:G178)</f>
        <v>380</v>
      </c>
    </row>
    <row r="180" spans="1:8" ht="14.25" thickTop="1" thickBot="1">
      <c r="A180" s="95"/>
      <c r="B180" s="830"/>
      <c r="C180" s="830"/>
      <c r="D180" s="830"/>
      <c r="E180" s="830"/>
      <c r="F180" s="830"/>
      <c r="G180" s="830"/>
    </row>
    <row r="181" spans="1:8" ht="13.5" thickTop="1">
      <c r="A181" s="95"/>
      <c r="B181" s="811" t="s">
        <v>311</v>
      </c>
      <c r="C181" s="812"/>
      <c r="D181" s="812"/>
      <c r="E181" s="812"/>
      <c r="F181" s="812"/>
      <c r="G181" s="825"/>
    </row>
    <row r="182" spans="1:8">
      <c r="A182" s="95"/>
      <c r="B182" s="817" t="s">
        <v>838</v>
      </c>
      <c r="C182" s="818"/>
      <c r="D182" s="98" t="s">
        <v>842</v>
      </c>
      <c r="E182" s="98" t="s">
        <v>853</v>
      </c>
      <c r="F182" s="99" t="s">
        <v>1047</v>
      </c>
      <c r="G182" s="107" t="s">
        <v>840</v>
      </c>
    </row>
    <row r="183" spans="1:8">
      <c r="A183" s="95"/>
      <c r="B183" s="115"/>
      <c r="C183" s="102"/>
      <c r="D183" s="100"/>
      <c r="E183" s="100" t="s">
        <v>312</v>
      </c>
      <c r="F183" s="101" t="s">
        <v>313</v>
      </c>
      <c r="G183" s="108" t="s">
        <v>314</v>
      </c>
    </row>
    <row r="184" spans="1:8">
      <c r="A184" s="125"/>
      <c r="B184" s="841" t="str">
        <f>MATERIALES2!C602</f>
        <v>TUBO PVC SANITARIO 4"x 6.0 M Pesada</v>
      </c>
      <c r="C184" s="842"/>
      <c r="D184" s="87" t="s">
        <v>865</v>
      </c>
      <c r="E184" s="81">
        <v>0.2</v>
      </c>
      <c r="F184" s="80">
        <f>MATERIALES2!E602</f>
        <v>50000</v>
      </c>
      <c r="G184" s="110">
        <f>ROUND(E184*F184,0)</f>
        <v>10000</v>
      </c>
    </row>
    <row r="185" spans="1:8">
      <c r="A185" s="123"/>
      <c r="B185" s="854" t="str">
        <f>MATERIALES2!C794</f>
        <v>CODO SANITARIO 90ºx4"</v>
      </c>
      <c r="C185" s="855"/>
      <c r="D185" s="37" t="s">
        <v>865</v>
      </c>
      <c r="E185" s="83">
        <v>0.1</v>
      </c>
      <c r="F185" s="82">
        <f>MATERIALES2!E794</f>
        <v>4000</v>
      </c>
      <c r="G185" s="111">
        <f>ROUND(E185*F185,0)</f>
        <v>400</v>
      </c>
    </row>
    <row r="186" spans="1:8">
      <c r="A186" s="95"/>
      <c r="B186" s="854" t="str">
        <f>MATERIALES2!C704</f>
        <v>SOLDADURA PVC ¼</v>
      </c>
      <c r="C186" s="855"/>
      <c r="D186" s="37" t="s">
        <v>865</v>
      </c>
      <c r="E186" s="143">
        <v>0.03</v>
      </c>
      <c r="F186" s="82">
        <f>MATERIALES2!E704</f>
        <v>56298</v>
      </c>
      <c r="G186" s="111">
        <f>ROUND(E186*F186,0)</f>
        <v>1689</v>
      </c>
    </row>
    <row r="187" spans="1:8">
      <c r="A187" s="95"/>
      <c r="B187" s="854"/>
      <c r="C187" s="855"/>
      <c r="D187" s="37"/>
      <c r="E187" s="83"/>
      <c r="F187" s="82"/>
      <c r="G187" s="111"/>
    </row>
    <row r="188" spans="1:8">
      <c r="A188" s="95"/>
      <c r="B188" s="854"/>
      <c r="C188" s="855"/>
      <c r="D188" s="37"/>
      <c r="E188" s="83"/>
      <c r="F188" s="82"/>
      <c r="G188" s="111"/>
    </row>
    <row r="189" spans="1:8">
      <c r="A189" s="95"/>
      <c r="B189" s="938"/>
      <c r="C189" s="939"/>
      <c r="D189" s="53" t="s">
        <v>841</v>
      </c>
      <c r="E189" s="53"/>
      <c r="F189" s="82"/>
      <c r="G189" s="111"/>
    </row>
    <row r="190" spans="1:8">
      <c r="A190" s="95"/>
      <c r="B190" s="938" t="s">
        <v>841</v>
      </c>
      <c r="C190" s="939"/>
      <c r="D190" s="53" t="s">
        <v>841</v>
      </c>
      <c r="E190" s="53"/>
      <c r="F190" s="82"/>
      <c r="G190" s="111"/>
    </row>
    <row r="191" spans="1:8">
      <c r="A191" s="95"/>
      <c r="B191" s="837" t="s">
        <v>841</v>
      </c>
      <c r="C191" s="838"/>
      <c r="D191" s="53" t="s">
        <v>841</v>
      </c>
      <c r="E191" s="53"/>
      <c r="F191" s="82"/>
      <c r="G191" s="111"/>
      <c r="H191" s="505" t="s">
        <v>1670</v>
      </c>
    </row>
    <row r="192" spans="1:8" ht="13.5" thickBot="1">
      <c r="A192" s="95"/>
      <c r="B192" s="839" t="s">
        <v>841</v>
      </c>
      <c r="C192" s="840"/>
      <c r="D192" s="84" t="s">
        <v>841</v>
      </c>
      <c r="E192" s="84"/>
      <c r="F192" s="85"/>
      <c r="G192" s="112"/>
    </row>
    <row r="193" spans="1:7" ht="13.5" thickTop="1">
      <c r="A193" s="95"/>
      <c r="B193" s="808"/>
      <c r="C193" s="809"/>
      <c r="D193" s="801" t="s">
        <v>856</v>
      </c>
      <c r="E193" s="802"/>
      <c r="F193" s="9"/>
      <c r="G193" s="113">
        <f>SUM(G184:G192)</f>
        <v>12089</v>
      </c>
    </row>
    <row r="194" spans="1:7">
      <c r="A194" s="95"/>
      <c r="B194" s="819"/>
      <c r="C194" s="820"/>
      <c r="D194" s="801" t="s">
        <v>857</v>
      </c>
      <c r="E194" s="802"/>
      <c r="F194" s="79">
        <f>'MANO DE OBRA'!D60</f>
        <v>0.05</v>
      </c>
      <c r="G194" s="113">
        <f>ROUND(G193*F194,0)</f>
        <v>604</v>
      </c>
    </row>
    <row r="195" spans="1:7" ht="13.5" thickBot="1">
      <c r="A195" s="95"/>
      <c r="B195" s="819"/>
      <c r="C195" s="820"/>
      <c r="D195" s="803" t="s">
        <v>320</v>
      </c>
      <c r="E195" s="804"/>
      <c r="F195" s="114"/>
      <c r="G195" s="118">
        <f>+G193+G194</f>
        <v>12693</v>
      </c>
    </row>
    <row r="196" spans="1:7" ht="14.25" thickTop="1" thickBot="1">
      <c r="A196" s="95"/>
      <c r="B196" s="830"/>
      <c r="C196" s="830"/>
      <c r="D196" s="830"/>
      <c r="E196" s="830"/>
      <c r="F196" s="830"/>
      <c r="G196" s="830"/>
    </row>
    <row r="197" spans="1:7" ht="13.5" thickTop="1">
      <c r="A197" s="95"/>
      <c r="B197" s="811" t="s">
        <v>858</v>
      </c>
      <c r="C197" s="812"/>
      <c r="D197" s="812"/>
      <c r="E197" s="812"/>
      <c r="F197" s="812"/>
      <c r="G197" s="825"/>
    </row>
    <row r="198" spans="1:7">
      <c r="A198" s="95"/>
      <c r="B198" s="817"/>
      <c r="C198" s="818"/>
      <c r="D198" s="98" t="s">
        <v>301</v>
      </c>
      <c r="E198" s="98" t="s">
        <v>859</v>
      </c>
      <c r="F198" s="99" t="s">
        <v>839</v>
      </c>
      <c r="G198" s="107" t="s">
        <v>840</v>
      </c>
    </row>
    <row r="199" spans="1:7">
      <c r="A199" s="95"/>
      <c r="B199" s="821" t="s">
        <v>838</v>
      </c>
      <c r="C199" s="822"/>
      <c r="D199" s="100" t="s">
        <v>316</v>
      </c>
      <c r="E199" s="100" t="s">
        <v>315</v>
      </c>
      <c r="F199" s="101" t="s">
        <v>306</v>
      </c>
      <c r="G199" s="108" t="s">
        <v>319</v>
      </c>
    </row>
    <row r="200" spans="1:7">
      <c r="A200" s="95"/>
      <c r="B200" s="115"/>
      <c r="C200" s="102"/>
      <c r="D200" s="103"/>
      <c r="E200" s="103" t="s">
        <v>317</v>
      </c>
      <c r="F200" s="104" t="s">
        <v>318</v>
      </c>
      <c r="G200" s="109"/>
    </row>
    <row r="201" spans="1:7">
      <c r="A201" s="95"/>
      <c r="B201" s="823" t="str">
        <f>'MANO DE OBRA'!B11</f>
        <v>AYUDANTE CUAD. TIPO BB</v>
      </c>
      <c r="C201" s="824"/>
      <c r="D201" s="87">
        <v>1</v>
      </c>
      <c r="E201" s="80">
        <f>'MANO DE OBRA'!E11</f>
        <v>43077</v>
      </c>
      <c r="F201" s="81">
        <v>16</v>
      </c>
      <c r="G201" s="110">
        <f>ROUND(D201*E201/F201,0)</f>
        <v>2692</v>
      </c>
    </row>
    <row r="202" spans="1:7">
      <c r="A202" s="95"/>
      <c r="B202" s="835" t="str">
        <f>'MANO DE OBRA'!B16</f>
        <v>OFICIAL CUAD. TIPO BB</v>
      </c>
      <c r="C202" s="836"/>
      <c r="D202" s="37">
        <v>1</v>
      </c>
      <c r="E202" s="82">
        <f>'MANO DE OBRA'!E16</f>
        <v>78577</v>
      </c>
      <c r="F202" s="83">
        <v>16</v>
      </c>
      <c r="G202" s="111">
        <f>ROUND(D202*E202/F202,0)</f>
        <v>4911</v>
      </c>
    </row>
    <row r="203" spans="1:7">
      <c r="A203" s="95"/>
      <c r="B203" s="835"/>
      <c r="C203" s="836"/>
      <c r="D203" s="89"/>
      <c r="E203" s="82"/>
      <c r="F203" s="83"/>
      <c r="G203" s="111"/>
    </row>
    <row r="204" spans="1:7">
      <c r="A204" s="95"/>
      <c r="B204" s="835" t="s">
        <v>841</v>
      </c>
      <c r="C204" s="836"/>
      <c r="D204" s="37"/>
      <c r="E204" s="82"/>
      <c r="F204" s="83"/>
      <c r="G204" s="111"/>
    </row>
    <row r="205" spans="1:7" ht="13.5" thickBot="1">
      <c r="A205" s="95"/>
      <c r="B205" s="828" t="s">
        <v>841</v>
      </c>
      <c r="C205" s="829"/>
      <c r="D205" s="77"/>
      <c r="E205" s="82"/>
      <c r="F205" s="86"/>
      <c r="G205" s="112"/>
    </row>
    <row r="206" spans="1:7" ht="14.25" thickTop="1" thickBot="1">
      <c r="A206" s="95"/>
      <c r="B206" s="808"/>
      <c r="C206" s="808"/>
      <c r="D206" s="808"/>
      <c r="E206" s="809"/>
      <c r="F206" s="120" t="s">
        <v>856</v>
      </c>
      <c r="G206" s="118">
        <f>SUM(G201:G205)</f>
        <v>7603</v>
      </c>
    </row>
    <row r="207" spans="1:7" ht="14.25" thickTop="1" thickBot="1">
      <c r="A207" s="95"/>
      <c r="B207" s="810"/>
      <c r="C207" s="810"/>
      <c r="D207" s="810"/>
      <c r="E207" s="810"/>
      <c r="F207" s="810"/>
      <c r="G207" s="810"/>
    </row>
    <row r="208" spans="1:7" ht="13.5" thickTop="1">
      <c r="A208" s="95"/>
      <c r="B208" s="811" t="s">
        <v>321</v>
      </c>
      <c r="C208" s="812"/>
      <c r="D208" s="812"/>
      <c r="E208" s="812"/>
      <c r="F208" s="812"/>
      <c r="G208" s="825"/>
    </row>
    <row r="209" spans="1:8">
      <c r="A209" s="95"/>
      <c r="B209" s="817" t="s">
        <v>838</v>
      </c>
      <c r="C209" s="818"/>
      <c r="D209" s="98" t="s">
        <v>301</v>
      </c>
      <c r="E209" s="98" t="s">
        <v>297</v>
      </c>
      <c r="F209" s="99" t="s">
        <v>839</v>
      </c>
      <c r="G209" s="107" t="s">
        <v>840</v>
      </c>
    </row>
    <row r="210" spans="1:8">
      <c r="A210" s="95"/>
      <c r="B210" s="115"/>
      <c r="C210" s="102"/>
      <c r="D210" s="103" t="s">
        <v>322</v>
      </c>
      <c r="E210" s="103" t="s">
        <v>323</v>
      </c>
      <c r="F210" s="104" t="s">
        <v>324</v>
      </c>
      <c r="G210" s="109" t="s">
        <v>325</v>
      </c>
    </row>
    <row r="211" spans="1:8">
      <c r="A211" s="95"/>
      <c r="B211" s="826"/>
      <c r="C211" s="827"/>
      <c r="D211" s="96"/>
      <c r="E211" s="96"/>
      <c r="F211" s="96"/>
      <c r="G211" s="116"/>
    </row>
    <row r="212" spans="1:8" ht="13.5" thickBot="1">
      <c r="A212" s="95"/>
      <c r="B212" s="828" t="s">
        <v>841</v>
      </c>
      <c r="C212" s="829"/>
      <c r="D212" s="77"/>
      <c r="E212" s="82"/>
      <c r="F212" s="86"/>
      <c r="G212" s="112"/>
    </row>
    <row r="213" spans="1:8" ht="14.25" thickTop="1" thickBot="1">
      <c r="A213" s="95"/>
      <c r="B213" s="808"/>
      <c r="C213" s="808"/>
      <c r="D213" s="808"/>
      <c r="E213" s="809"/>
      <c r="F213" s="120" t="s">
        <v>856</v>
      </c>
      <c r="G213" s="118">
        <f>SUM(G208:G212)</f>
        <v>0</v>
      </c>
    </row>
    <row r="214" spans="1:8" ht="14.25" thickTop="1" thickBot="1">
      <c r="A214" s="95"/>
      <c r="B214" s="810"/>
      <c r="C214" s="810"/>
      <c r="D214" s="810"/>
      <c r="E214" s="810"/>
      <c r="F214" s="810"/>
      <c r="G214" s="834"/>
    </row>
    <row r="215" spans="1:8" ht="13.5" thickTop="1">
      <c r="A215" s="95"/>
      <c r="B215" s="811" t="s">
        <v>326</v>
      </c>
      <c r="C215" s="812"/>
      <c r="D215" s="812"/>
      <c r="E215" s="812"/>
      <c r="F215" s="813"/>
      <c r="G215" s="121">
        <f>+G179+G195+G206</f>
        <v>20676</v>
      </c>
    </row>
    <row r="216" spans="1:8">
      <c r="A216" s="95"/>
      <c r="B216" s="814" t="s">
        <v>861</v>
      </c>
      <c r="C216" s="815"/>
      <c r="D216" s="815"/>
      <c r="E216" s="816"/>
      <c r="F216" s="128">
        <f>'MANO DE OBRA'!D59</f>
        <v>0</v>
      </c>
      <c r="G216" s="122">
        <f>ROUND(G215*F216,0)</f>
        <v>0</v>
      </c>
    </row>
    <row r="217" spans="1:8" ht="13.5" thickBot="1">
      <c r="A217" s="95"/>
      <c r="B217" s="805" t="s">
        <v>1049</v>
      </c>
      <c r="C217" s="806"/>
      <c r="D217" s="806"/>
      <c r="E217" s="806"/>
      <c r="F217" s="807"/>
      <c r="G217" s="118">
        <f>ROUND(G215+G216,-2)</f>
        <v>20700</v>
      </c>
      <c r="H217" s="505" t="s">
        <v>1670</v>
      </c>
    </row>
    <row r="218" spans="1:8" ht="13.5" thickTop="1">
      <c r="A218" s="95"/>
      <c r="B218" s="90" t="s">
        <v>303</v>
      </c>
      <c r="C218" s="843"/>
      <c r="D218" s="843"/>
      <c r="E218" s="843"/>
      <c r="F218" s="92" t="s">
        <v>781</v>
      </c>
      <c r="G218" s="93" t="s">
        <v>831</v>
      </c>
    </row>
    <row r="219" spans="1:8">
      <c r="A219" s="95"/>
      <c r="B219" s="91" t="s">
        <v>834</v>
      </c>
      <c r="C219" s="844" t="s">
        <v>382</v>
      </c>
      <c r="D219" s="844"/>
      <c r="E219" s="844"/>
      <c r="F219" s="15" t="s">
        <v>833</v>
      </c>
      <c r="G219" s="165" t="str">
        <f>'MANO DE OBRA'!D61</f>
        <v>Agosto de 2010</v>
      </c>
    </row>
    <row r="220" spans="1:8" ht="13.5" thickBot="1">
      <c r="A220" s="127"/>
      <c r="B220" s="94" t="s">
        <v>835</v>
      </c>
      <c r="C220" s="845" t="s">
        <v>1503</v>
      </c>
      <c r="D220" s="845"/>
      <c r="E220" s="845"/>
      <c r="F220" s="845"/>
      <c r="G220" s="846"/>
    </row>
    <row r="221" spans="1:8" ht="14.25" thickTop="1" thickBot="1">
      <c r="A221" s="95"/>
      <c r="B221" s="847"/>
      <c r="C221" s="847"/>
      <c r="D221" s="847"/>
      <c r="E221" s="847"/>
      <c r="F221" s="847"/>
      <c r="G221" s="847"/>
    </row>
    <row r="222" spans="1:8" ht="13.5" thickTop="1">
      <c r="A222" s="95"/>
      <c r="B222" s="811" t="s">
        <v>304</v>
      </c>
      <c r="C222" s="812"/>
      <c r="D222" s="812"/>
      <c r="E222" s="812"/>
      <c r="F222" s="812"/>
      <c r="G222" s="825"/>
    </row>
    <row r="223" spans="1:8">
      <c r="A223" s="95"/>
      <c r="B223" s="105"/>
      <c r="C223" s="97"/>
      <c r="D223" s="98" t="s">
        <v>301</v>
      </c>
      <c r="E223" s="98" t="s">
        <v>1072</v>
      </c>
      <c r="F223" s="99" t="s">
        <v>839</v>
      </c>
      <c r="G223" s="107" t="s">
        <v>840</v>
      </c>
    </row>
    <row r="224" spans="1:8">
      <c r="A224" s="95"/>
      <c r="B224" s="821" t="s">
        <v>838</v>
      </c>
      <c r="C224" s="822"/>
      <c r="D224" s="100" t="s">
        <v>308</v>
      </c>
      <c r="E224" s="100" t="s">
        <v>305</v>
      </c>
      <c r="F224" s="101" t="s">
        <v>306</v>
      </c>
      <c r="G224" s="108" t="s">
        <v>310</v>
      </c>
    </row>
    <row r="225" spans="1:7">
      <c r="A225" s="95"/>
      <c r="B225" s="115"/>
      <c r="C225" s="102"/>
      <c r="D225" s="103"/>
      <c r="E225" s="103" t="s">
        <v>309</v>
      </c>
      <c r="F225" s="104" t="s">
        <v>307</v>
      </c>
      <c r="G225" s="109"/>
    </row>
    <row r="226" spans="1:7">
      <c r="A226" s="127"/>
      <c r="B226" s="823" t="str">
        <f>'MAQUINARIA Y EQUIPOS'!C28</f>
        <v>HERRAMIENTAS MENORES</v>
      </c>
      <c r="C226" s="824"/>
      <c r="D226" s="87">
        <v>1</v>
      </c>
      <c r="E226" s="82">
        <f>ROUND(G259*0.05,0)</f>
        <v>507</v>
      </c>
      <c r="F226" s="81">
        <v>1</v>
      </c>
      <c r="G226" s="110">
        <f>ROUND(D226*E226/F226,0)</f>
        <v>507</v>
      </c>
    </row>
    <row r="227" spans="1:7">
      <c r="A227" s="95"/>
      <c r="B227" s="835"/>
      <c r="C227" s="836"/>
      <c r="D227" s="37"/>
      <c r="E227" s="82"/>
      <c r="F227" s="83"/>
      <c r="G227" s="111"/>
    </row>
    <row r="228" spans="1:7">
      <c r="A228" s="95"/>
      <c r="B228" s="835"/>
      <c r="C228" s="836"/>
      <c r="D228" s="37"/>
      <c r="E228" s="82"/>
      <c r="F228" s="83"/>
      <c r="G228" s="111"/>
    </row>
    <row r="229" spans="1:7">
      <c r="A229" s="95"/>
      <c r="B229" s="835"/>
      <c r="C229" s="836"/>
      <c r="D229" s="37"/>
      <c r="E229" s="82"/>
      <c r="F229" s="83"/>
      <c r="G229" s="111"/>
    </row>
    <row r="230" spans="1:7">
      <c r="A230" s="95"/>
      <c r="B230" s="835"/>
      <c r="C230" s="836"/>
      <c r="D230" s="37"/>
      <c r="E230" s="82"/>
      <c r="F230" s="83"/>
      <c r="G230" s="111"/>
    </row>
    <row r="231" spans="1:7" ht="13.5" thickBot="1">
      <c r="A231" s="95"/>
      <c r="B231" s="835"/>
      <c r="C231" s="836"/>
      <c r="D231" s="77"/>
      <c r="E231" s="82"/>
      <c r="F231" s="86"/>
      <c r="G231" s="111"/>
    </row>
    <row r="232" spans="1:7" ht="14.25" thickTop="1" thickBot="1">
      <c r="A232" s="95"/>
      <c r="B232" s="808"/>
      <c r="C232" s="808"/>
      <c r="D232" s="808"/>
      <c r="E232" s="809"/>
      <c r="F232" s="119" t="s">
        <v>856</v>
      </c>
      <c r="G232" s="118">
        <f>SUM(G226:G231)</f>
        <v>507</v>
      </c>
    </row>
    <row r="233" spans="1:7" ht="14.25" thickTop="1" thickBot="1">
      <c r="A233" s="95"/>
      <c r="B233" s="830"/>
      <c r="C233" s="830"/>
      <c r="D233" s="830"/>
      <c r="E233" s="830"/>
      <c r="F233" s="830"/>
      <c r="G233" s="830"/>
    </row>
    <row r="234" spans="1:7" ht="13.5" thickTop="1">
      <c r="A234" s="95"/>
      <c r="B234" s="811" t="s">
        <v>311</v>
      </c>
      <c r="C234" s="812"/>
      <c r="D234" s="812"/>
      <c r="E234" s="812"/>
      <c r="F234" s="812"/>
      <c r="G234" s="825"/>
    </row>
    <row r="235" spans="1:7">
      <c r="A235" s="95"/>
      <c r="B235" s="817" t="s">
        <v>838</v>
      </c>
      <c r="C235" s="818"/>
      <c r="D235" s="98" t="s">
        <v>842</v>
      </c>
      <c r="E235" s="98" t="s">
        <v>853</v>
      </c>
      <c r="F235" s="99" t="s">
        <v>1047</v>
      </c>
      <c r="G235" s="107" t="s">
        <v>840</v>
      </c>
    </row>
    <row r="236" spans="1:7">
      <c r="A236" s="95"/>
      <c r="B236" s="115"/>
      <c r="C236" s="102"/>
      <c r="D236" s="100"/>
      <c r="E236" s="100" t="s">
        <v>312</v>
      </c>
      <c r="F236" s="101" t="s">
        <v>313</v>
      </c>
      <c r="G236" s="108" t="s">
        <v>314</v>
      </c>
    </row>
    <row r="237" spans="1:7">
      <c r="A237" s="125"/>
      <c r="B237" s="841" t="str">
        <f>MATERIALES2!C603</f>
        <v>TUBO PVC SANITARIO 6"x 6.0 M Pesada</v>
      </c>
      <c r="C237" s="842"/>
      <c r="D237" s="87" t="s">
        <v>865</v>
      </c>
      <c r="E237" s="142">
        <v>0.2</v>
      </c>
      <c r="F237" s="80">
        <f>MATERIALES2!E603</f>
        <v>107000</v>
      </c>
      <c r="G237" s="110">
        <f>ROUND(E237*F237,0)</f>
        <v>21400</v>
      </c>
    </row>
    <row r="238" spans="1:7">
      <c r="A238" s="123"/>
      <c r="B238" s="854" t="str">
        <f>MATERIALES2!C795</f>
        <v>CODO SANITARIO 90ºx6"</v>
      </c>
      <c r="C238" s="855"/>
      <c r="D238" s="37" t="s">
        <v>865</v>
      </c>
      <c r="E238" s="83">
        <v>0.1</v>
      </c>
      <c r="F238" s="82">
        <f>MATERIALES2!E795</f>
        <v>39000</v>
      </c>
      <c r="G238" s="111">
        <f>ROUND(E238*F238,0)</f>
        <v>3900</v>
      </c>
    </row>
    <row r="239" spans="1:7">
      <c r="A239" s="95"/>
      <c r="B239" s="854" t="str">
        <f>MATERIALES2!C704</f>
        <v>SOLDADURA PVC ¼</v>
      </c>
      <c r="C239" s="855"/>
      <c r="D239" s="37" t="s">
        <v>865</v>
      </c>
      <c r="E239" s="83">
        <v>0.05</v>
      </c>
      <c r="F239" s="82">
        <f>MATERIALES2!E704</f>
        <v>56298</v>
      </c>
      <c r="G239" s="111">
        <f>ROUND(E239*F239,0)</f>
        <v>2815</v>
      </c>
    </row>
    <row r="240" spans="1:7">
      <c r="A240" s="95"/>
      <c r="B240" s="854"/>
      <c r="C240" s="855"/>
      <c r="D240" s="37"/>
      <c r="E240" s="83"/>
      <c r="F240" s="82"/>
      <c r="G240" s="111"/>
    </row>
    <row r="241" spans="1:8">
      <c r="A241" s="95"/>
      <c r="B241" s="854"/>
      <c r="C241" s="855"/>
      <c r="D241" s="37"/>
      <c r="E241" s="83"/>
      <c r="F241" s="82"/>
      <c r="G241" s="111"/>
    </row>
    <row r="242" spans="1:8">
      <c r="A242" s="95"/>
      <c r="B242" s="938"/>
      <c r="C242" s="939"/>
      <c r="D242" s="53" t="s">
        <v>841</v>
      </c>
      <c r="E242" s="53"/>
      <c r="F242" s="82"/>
      <c r="G242" s="111"/>
    </row>
    <row r="243" spans="1:8">
      <c r="A243" s="95"/>
      <c r="B243" s="938" t="s">
        <v>841</v>
      </c>
      <c r="C243" s="939"/>
      <c r="D243" s="53" t="s">
        <v>841</v>
      </c>
      <c r="E243" s="53"/>
      <c r="F243" s="82"/>
      <c r="G243" s="111"/>
    </row>
    <row r="244" spans="1:8">
      <c r="A244" s="95"/>
      <c r="B244" s="938" t="s">
        <v>841</v>
      </c>
      <c r="C244" s="939"/>
      <c r="D244" s="53" t="s">
        <v>841</v>
      </c>
      <c r="E244" s="53"/>
      <c r="F244" s="82"/>
      <c r="G244" s="111"/>
      <c r="H244" s="505" t="s">
        <v>1670</v>
      </c>
    </row>
    <row r="245" spans="1:8" ht="13.5" thickBot="1">
      <c r="A245" s="95"/>
      <c r="B245" s="839" t="s">
        <v>841</v>
      </c>
      <c r="C245" s="840"/>
      <c r="D245" s="84" t="s">
        <v>841</v>
      </c>
      <c r="E245" s="84"/>
      <c r="F245" s="85"/>
      <c r="G245" s="112"/>
    </row>
    <row r="246" spans="1:8" ht="13.5" thickTop="1">
      <c r="A246" s="95"/>
      <c r="B246" s="808"/>
      <c r="C246" s="809"/>
      <c r="D246" s="801" t="s">
        <v>856</v>
      </c>
      <c r="E246" s="802"/>
      <c r="F246" s="9"/>
      <c r="G246" s="113">
        <f>SUM(G237:G245)</f>
        <v>28115</v>
      </c>
    </row>
    <row r="247" spans="1:8">
      <c r="A247" s="95"/>
      <c r="B247" s="819"/>
      <c r="C247" s="820"/>
      <c r="D247" s="801" t="s">
        <v>857</v>
      </c>
      <c r="E247" s="802"/>
      <c r="F247" s="79">
        <f>'MANO DE OBRA'!D60</f>
        <v>0.05</v>
      </c>
      <c r="G247" s="113">
        <f>ROUND(G246*F247,0)</f>
        <v>1406</v>
      </c>
    </row>
    <row r="248" spans="1:8" ht="13.5" thickBot="1">
      <c r="A248" s="95"/>
      <c r="B248" s="819"/>
      <c r="C248" s="820"/>
      <c r="D248" s="803" t="s">
        <v>320</v>
      </c>
      <c r="E248" s="804"/>
      <c r="F248" s="114"/>
      <c r="G248" s="118">
        <f>+G246+G247</f>
        <v>29521</v>
      </c>
    </row>
    <row r="249" spans="1:8" ht="14.25" thickTop="1" thickBot="1">
      <c r="A249" s="95"/>
      <c r="B249" s="830"/>
      <c r="C249" s="830"/>
      <c r="D249" s="830"/>
      <c r="E249" s="830"/>
      <c r="F249" s="830"/>
      <c r="G249" s="830"/>
    </row>
    <row r="250" spans="1:8" ht="13.5" thickTop="1">
      <c r="A250" s="95"/>
      <c r="B250" s="811" t="s">
        <v>858</v>
      </c>
      <c r="C250" s="812"/>
      <c r="D250" s="812"/>
      <c r="E250" s="812"/>
      <c r="F250" s="812"/>
      <c r="G250" s="825"/>
    </row>
    <row r="251" spans="1:8">
      <c r="A251" s="95"/>
      <c r="B251" s="817"/>
      <c r="C251" s="818"/>
      <c r="D251" s="98" t="s">
        <v>301</v>
      </c>
      <c r="E251" s="98" t="s">
        <v>859</v>
      </c>
      <c r="F251" s="99" t="s">
        <v>839</v>
      </c>
      <c r="G251" s="107" t="s">
        <v>840</v>
      </c>
    </row>
    <row r="252" spans="1:8">
      <c r="A252" s="95"/>
      <c r="B252" s="821" t="s">
        <v>838</v>
      </c>
      <c r="C252" s="822"/>
      <c r="D252" s="100" t="s">
        <v>316</v>
      </c>
      <c r="E252" s="100" t="s">
        <v>315</v>
      </c>
      <c r="F252" s="101" t="s">
        <v>306</v>
      </c>
      <c r="G252" s="108" t="s">
        <v>319</v>
      </c>
    </row>
    <row r="253" spans="1:8">
      <c r="A253" s="95"/>
      <c r="B253" s="115"/>
      <c r="C253" s="102"/>
      <c r="D253" s="103"/>
      <c r="E253" s="103" t="s">
        <v>317</v>
      </c>
      <c r="F253" s="104" t="s">
        <v>318</v>
      </c>
      <c r="G253" s="109"/>
    </row>
    <row r="254" spans="1:8">
      <c r="A254" s="95"/>
      <c r="B254" s="823" t="str">
        <f>'MANO DE OBRA'!B11</f>
        <v>AYUDANTE CUAD. TIPO BB</v>
      </c>
      <c r="C254" s="824"/>
      <c r="D254" s="87">
        <v>1</v>
      </c>
      <c r="E254" s="80">
        <f>'MANO DE OBRA'!E11</f>
        <v>43077</v>
      </c>
      <c r="F254" s="81">
        <v>12</v>
      </c>
      <c r="G254" s="110">
        <f>ROUND(D254*E254/F254,0)</f>
        <v>3590</v>
      </c>
    </row>
    <row r="255" spans="1:8">
      <c r="A255" s="95"/>
      <c r="B255" s="835" t="str">
        <f>'MANO DE OBRA'!B16</f>
        <v>OFICIAL CUAD. TIPO BB</v>
      </c>
      <c r="C255" s="836"/>
      <c r="D255" s="37">
        <v>1</v>
      </c>
      <c r="E255" s="82">
        <f>'MANO DE OBRA'!E16</f>
        <v>78577</v>
      </c>
      <c r="F255" s="83">
        <v>12</v>
      </c>
      <c r="G255" s="111">
        <f>ROUND(D255*E255/F255,0)</f>
        <v>6548</v>
      </c>
    </row>
    <row r="256" spans="1:8">
      <c r="A256" s="95"/>
      <c r="B256" s="835"/>
      <c r="C256" s="836"/>
      <c r="D256" s="89"/>
      <c r="E256" s="82"/>
      <c r="F256" s="83"/>
      <c r="G256" s="111"/>
    </row>
    <row r="257" spans="1:8">
      <c r="A257" s="95"/>
      <c r="B257" s="835" t="s">
        <v>841</v>
      </c>
      <c r="C257" s="836"/>
      <c r="D257" s="37"/>
      <c r="E257" s="82"/>
      <c r="F257" s="83"/>
      <c r="G257" s="111"/>
    </row>
    <row r="258" spans="1:8" ht="13.5" thickBot="1">
      <c r="A258" s="95"/>
      <c r="B258" s="828" t="s">
        <v>841</v>
      </c>
      <c r="C258" s="829"/>
      <c r="D258" s="77"/>
      <c r="E258" s="82"/>
      <c r="F258" s="86"/>
      <c r="G258" s="112"/>
    </row>
    <row r="259" spans="1:8" ht="14.25" thickTop="1" thickBot="1">
      <c r="A259" s="95"/>
      <c r="B259" s="808"/>
      <c r="C259" s="808"/>
      <c r="D259" s="808"/>
      <c r="E259" s="809"/>
      <c r="F259" s="120" t="s">
        <v>856</v>
      </c>
      <c r="G259" s="118">
        <f>SUM(G254:G258)</f>
        <v>10138</v>
      </c>
    </row>
    <row r="260" spans="1:8" ht="14.25" thickTop="1" thickBot="1">
      <c r="A260" s="95"/>
      <c r="B260" s="810"/>
      <c r="C260" s="810"/>
      <c r="D260" s="810"/>
      <c r="E260" s="810"/>
      <c r="F260" s="810"/>
      <c r="G260" s="810"/>
    </row>
    <row r="261" spans="1:8" ht="13.5" thickTop="1">
      <c r="A261" s="95"/>
      <c r="B261" s="811" t="s">
        <v>321</v>
      </c>
      <c r="C261" s="812"/>
      <c r="D261" s="812"/>
      <c r="E261" s="812"/>
      <c r="F261" s="812"/>
      <c r="G261" s="825"/>
    </row>
    <row r="262" spans="1:8">
      <c r="A262" s="95"/>
      <c r="B262" s="817" t="s">
        <v>838</v>
      </c>
      <c r="C262" s="818"/>
      <c r="D262" s="98" t="s">
        <v>301</v>
      </c>
      <c r="E262" s="98" t="s">
        <v>297</v>
      </c>
      <c r="F262" s="99" t="s">
        <v>839</v>
      </c>
      <c r="G262" s="107" t="s">
        <v>840</v>
      </c>
    </row>
    <row r="263" spans="1:8">
      <c r="A263" s="95"/>
      <c r="B263" s="115"/>
      <c r="C263" s="102"/>
      <c r="D263" s="103" t="s">
        <v>322</v>
      </c>
      <c r="E263" s="103" t="s">
        <v>323</v>
      </c>
      <c r="F263" s="104" t="s">
        <v>324</v>
      </c>
      <c r="G263" s="109" t="s">
        <v>325</v>
      </c>
    </row>
    <row r="264" spans="1:8">
      <c r="A264" s="95"/>
      <c r="B264" s="826"/>
      <c r="C264" s="827"/>
      <c r="D264" s="96"/>
      <c r="E264" s="96"/>
      <c r="F264" s="96"/>
      <c r="G264" s="116"/>
    </row>
    <row r="265" spans="1:8" ht="13.5" thickBot="1">
      <c r="A265" s="95"/>
      <c r="B265" s="828" t="s">
        <v>841</v>
      </c>
      <c r="C265" s="829"/>
      <c r="D265" s="77"/>
      <c r="E265" s="82"/>
      <c r="F265" s="86"/>
      <c r="G265" s="112"/>
    </row>
    <row r="266" spans="1:8" ht="14.25" thickTop="1" thickBot="1">
      <c r="A266" s="95"/>
      <c r="B266" s="808"/>
      <c r="C266" s="808"/>
      <c r="D266" s="808"/>
      <c r="E266" s="809"/>
      <c r="F266" s="120" t="s">
        <v>856</v>
      </c>
      <c r="G266" s="118">
        <f>SUM(G261:G265)</f>
        <v>0</v>
      </c>
    </row>
    <row r="267" spans="1:8" ht="14.25" thickTop="1" thickBot="1">
      <c r="A267" s="95"/>
      <c r="B267" s="810"/>
      <c r="C267" s="810"/>
      <c r="D267" s="810"/>
      <c r="E267" s="810"/>
      <c r="F267" s="810"/>
      <c r="G267" s="834"/>
    </row>
    <row r="268" spans="1:8" ht="13.5" thickTop="1">
      <c r="A268" s="95"/>
      <c r="B268" s="811" t="s">
        <v>326</v>
      </c>
      <c r="C268" s="812"/>
      <c r="D268" s="812"/>
      <c r="E268" s="812"/>
      <c r="F268" s="813"/>
      <c r="G268" s="121">
        <f>+G232+G248+G259</f>
        <v>40166</v>
      </c>
    </row>
    <row r="269" spans="1:8">
      <c r="A269" s="95"/>
      <c r="B269" s="814" t="s">
        <v>861</v>
      </c>
      <c r="C269" s="815"/>
      <c r="D269" s="815"/>
      <c r="E269" s="816"/>
      <c r="F269" s="128">
        <f>'MANO DE OBRA'!D59</f>
        <v>0</v>
      </c>
      <c r="G269" s="122">
        <f>ROUND(G268*F269,0)</f>
        <v>0</v>
      </c>
    </row>
    <row r="270" spans="1:8" ht="13.5" thickBot="1">
      <c r="A270" s="95"/>
      <c r="B270" s="805" t="s">
        <v>1049</v>
      </c>
      <c r="C270" s="806"/>
      <c r="D270" s="806"/>
      <c r="E270" s="806"/>
      <c r="F270" s="807"/>
      <c r="G270" s="118">
        <f>ROUND(G268+G269,-2)</f>
        <v>40200</v>
      </c>
      <c r="H270" s="505" t="s">
        <v>1670</v>
      </c>
    </row>
    <row r="271" spans="1:8" ht="13.5" thickTop="1">
      <c r="A271" s="95"/>
      <c r="B271" s="90" t="s">
        <v>303</v>
      </c>
      <c r="C271" s="843"/>
      <c r="D271" s="843"/>
      <c r="E271" s="843"/>
      <c r="F271" s="92" t="s">
        <v>781</v>
      </c>
      <c r="G271" s="93" t="s">
        <v>831</v>
      </c>
    </row>
    <row r="272" spans="1:8">
      <c r="A272" s="95"/>
      <c r="B272" s="91" t="s">
        <v>834</v>
      </c>
      <c r="C272" s="844" t="s">
        <v>369</v>
      </c>
      <c r="D272" s="844"/>
      <c r="E272" s="844"/>
      <c r="F272" s="15" t="s">
        <v>833</v>
      </c>
      <c r="G272" s="165" t="str">
        <f>'MANO DE OBRA'!D61</f>
        <v>Agosto de 2010</v>
      </c>
    </row>
    <row r="273" spans="1:7" ht="13.5" thickBot="1">
      <c r="A273" s="127"/>
      <c r="B273" s="94" t="s">
        <v>835</v>
      </c>
      <c r="C273" s="845" t="s">
        <v>1289</v>
      </c>
      <c r="D273" s="845"/>
      <c r="E273" s="845"/>
      <c r="F273" s="845"/>
      <c r="G273" s="846"/>
    </row>
    <row r="274" spans="1:7" ht="14.25" thickTop="1" thickBot="1">
      <c r="A274" s="95"/>
      <c r="B274" s="847"/>
      <c r="C274" s="847"/>
      <c r="D274" s="847"/>
      <c r="E274" s="847"/>
      <c r="F274" s="847"/>
      <c r="G274" s="847"/>
    </row>
    <row r="275" spans="1:7" ht="13.5" thickTop="1">
      <c r="A275" s="95"/>
      <c r="B275" s="811" t="s">
        <v>304</v>
      </c>
      <c r="C275" s="812"/>
      <c r="D275" s="812"/>
      <c r="E275" s="812"/>
      <c r="F275" s="812"/>
      <c r="G275" s="825"/>
    </row>
    <row r="276" spans="1:7">
      <c r="A276" s="95"/>
      <c r="B276" s="105"/>
      <c r="C276" s="97"/>
      <c r="D276" s="98" t="s">
        <v>301</v>
      </c>
      <c r="E276" s="98" t="s">
        <v>1072</v>
      </c>
      <c r="F276" s="99" t="s">
        <v>839</v>
      </c>
      <c r="G276" s="107" t="s">
        <v>840</v>
      </c>
    </row>
    <row r="277" spans="1:7">
      <c r="A277" s="95"/>
      <c r="B277" s="821" t="s">
        <v>838</v>
      </c>
      <c r="C277" s="822"/>
      <c r="D277" s="100" t="s">
        <v>308</v>
      </c>
      <c r="E277" s="100" t="s">
        <v>305</v>
      </c>
      <c r="F277" s="101" t="s">
        <v>306</v>
      </c>
      <c r="G277" s="108" t="s">
        <v>310</v>
      </c>
    </row>
    <row r="278" spans="1:7">
      <c r="A278" s="95"/>
      <c r="B278" s="115"/>
      <c r="C278" s="102"/>
      <c r="D278" s="103"/>
      <c r="E278" s="103" t="s">
        <v>309</v>
      </c>
      <c r="F278" s="104" t="s">
        <v>307</v>
      </c>
      <c r="G278" s="109"/>
    </row>
    <row r="279" spans="1:7">
      <c r="A279" s="127"/>
      <c r="B279" s="823" t="str">
        <f>'MAQUINARIA Y EQUIPOS'!C28</f>
        <v>HERRAMIENTAS MENORES</v>
      </c>
      <c r="C279" s="824"/>
      <c r="D279" s="87">
        <v>1</v>
      </c>
      <c r="E279" s="82">
        <f>ROUND(G312*0.05,0)</f>
        <v>380</v>
      </c>
      <c r="F279" s="81">
        <v>1</v>
      </c>
      <c r="G279" s="110">
        <f>ROUND(D279*E279/F279,0)</f>
        <v>380</v>
      </c>
    </row>
    <row r="280" spans="1:7">
      <c r="A280" s="95"/>
      <c r="B280" s="835"/>
      <c r="C280" s="836"/>
      <c r="D280" s="37"/>
      <c r="E280" s="82"/>
      <c r="F280" s="83"/>
      <c r="G280" s="111"/>
    </row>
    <row r="281" spans="1:7">
      <c r="A281" s="95"/>
      <c r="B281" s="835"/>
      <c r="C281" s="836"/>
      <c r="D281" s="89"/>
      <c r="E281" s="82"/>
      <c r="F281" s="83"/>
      <c r="G281" s="111"/>
    </row>
    <row r="282" spans="1:7">
      <c r="A282" s="95"/>
      <c r="B282" s="835"/>
      <c r="C282" s="836"/>
      <c r="D282" s="89"/>
      <c r="E282" s="82"/>
      <c r="F282" s="83"/>
      <c r="G282" s="111"/>
    </row>
    <row r="283" spans="1:7">
      <c r="A283" s="95"/>
      <c r="B283" s="835" t="s">
        <v>841</v>
      </c>
      <c r="C283" s="836"/>
      <c r="D283" s="37"/>
      <c r="E283" s="82"/>
      <c r="F283" s="83"/>
      <c r="G283" s="111"/>
    </row>
    <row r="284" spans="1:7" ht="13.5" thickBot="1">
      <c r="A284" s="95"/>
      <c r="B284" s="839" t="s">
        <v>841</v>
      </c>
      <c r="C284" s="840"/>
      <c r="D284" s="77"/>
      <c r="E284" s="106"/>
      <c r="F284" s="86"/>
      <c r="G284" s="112"/>
    </row>
    <row r="285" spans="1:7" ht="14.25" thickTop="1" thickBot="1">
      <c r="A285" s="95"/>
      <c r="B285" s="808"/>
      <c r="C285" s="808"/>
      <c r="D285" s="808"/>
      <c r="E285" s="809"/>
      <c r="F285" s="119" t="s">
        <v>856</v>
      </c>
      <c r="G285" s="118">
        <f>SUM(G279:G284)</f>
        <v>380</v>
      </c>
    </row>
    <row r="286" spans="1:7" ht="14.25" thickTop="1" thickBot="1">
      <c r="A286" s="95"/>
      <c r="B286" s="830"/>
      <c r="C286" s="830"/>
      <c r="D286" s="830"/>
      <c r="E286" s="830"/>
      <c r="F286" s="830"/>
      <c r="G286" s="830"/>
    </row>
    <row r="287" spans="1:7" ht="13.5" thickTop="1">
      <c r="A287" s="95"/>
      <c r="B287" s="811" t="s">
        <v>311</v>
      </c>
      <c r="C287" s="812"/>
      <c r="D287" s="812"/>
      <c r="E287" s="812"/>
      <c r="F287" s="812"/>
      <c r="G287" s="825"/>
    </row>
    <row r="288" spans="1:7">
      <c r="A288" s="95"/>
      <c r="B288" s="817" t="s">
        <v>838</v>
      </c>
      <c r="C288" s="818"/>
      <c r="D288" s="98" t="s">
        <v>842</v>
      </c>
      <c r="E288" s="98" t="s">
        <v>853</v>
      </c>
      <c r="F288" s="99" t="s">
        <v>1047</v>
      </c>
      <c r="G288" s="107" t="s">
        <v>840</v>
      </c>
    </row>
    <row r="289" spans="1:8">
      <c r="A289" s="95"/>
      <c r="B289" s="115"/>
      <c r="C289" s="102"/>
      <c r="D289" s="100"/>
      <c r="E289" s="100" t="s">
        <v>312</v>
      </c>
      <c r="F289" s="101" t="s">
        <v>313</v>
      </c>
      <c r="G289" s="108" t="s">
        <v>314</v>
      </c>
    </row>
    <row r="290" spans="1:8">
      <c r="A290" s="125"/>
      <c r="B290" s="841" t="str">
        <f>MATERIALES2!C609</f>
        <v>TUBO PVC LLUVIAS 2"x 6.0 M</v>
      </c>
      <c r="C290" s="842"/>
      <c r="D290" s="87" t="s">
        <v>865</v>
      </c>
      <c r="E290" s="142">
        <v>0.2</v>
      </c>
      <c r="F290" s="80">
        <f>MATERIALES2!E609</f>
        <v>22205</v>
      </c>
      <c r="G290" s="110">
        <f>ROUND(E290*F290,0)</f>
        <v>4441</v>
      </c>
    </row>
    <row r="291" spans="1:8">
      <c r="A291" s="123"/>
      <c r="B291" s="854" t="str">
        <f>MATERIALES2!C784</f>
        <v>CODO REVENTILADO 3x2"</v>
      </c>
      <c r="C291" s="855"/>
      <c r="D291" s="37" t="s">
        <v>865</v>
      </c>
      <c r="E291" s="83">
        <v>0.1</v>
      </c>
      <c r="F291" s="82">
        <f>MATERIALES2!E784</f>
        <v>14681</v>
      </c>
      <c r="G291" s="111">
        <f>ROUND(E291*F291,0)</f>
        <v>1468</v>
      </c>
    </row>
    <row r="292" spans="1:8">
      <c r="A292" s="95"/>
      <c r="B292" s="854" t="str">
        <f>MATERIALES2!C704</f>
        <v>SOLDADURA PVC ¼</v>
      </c>
      <c r="C292" s="855"/>
      <c r="D292" s="37" t="s">
        <v>865</v>
      </c>
      <c r="E292" s="83">
        <v>0.01</v>
      </c>
      <c r="F292" s="82">
        <f>MATERIALES2!E704</f>
        <v>56298</v>
      </c>
      <c r="G292" s="111">
        <f>ROUND(E292*F292,0)</f>
        <v>563</v>
      </c>
    </row>
    <row r="293" spans="1:8">
      <c r="A293" s="95"/>
      <c r="B293" s="854"/>
      <c r="C293" s="855"/>
      <c r="D293" s="37"/>
      <c r="E293" s="83"/>
      <c r="F293" s="82"/>
      <c r="G293" s="111"/>
    </row>
    <row r="294" spans="1:8">
      <c r="A294" s="95"/>
      <c r="B294" s="854"/>
      <c r="C294" s="855"/>
      <c r="D294" s="37"/>
      <c r="E294" s="83"/>
      <c r="F294" s="82"/>
      <c r="G294" s="111"/>
    </row>
    <row r="295" spans="1:8">
      <c r="A295" s="95"/>
      <c r="B295" s="854"/>
      <c r="C295" s="855"/>
      <c r="D295" s="37"/>
      <c r="E295" s="83"/>
      <c r="F295" s="82"/>
      <c r="G295" s="111"/>
    </row>
    <row r="296" spans="1:8">
      <c r="A296" s="95"/>
      <c r="B296" s="837" t="s">
        <v>841</v>
      </c>
      <c r="C296" s="838"/>
      <c r="D296" s="53" t="s">
        <v>841</v>
      </c>
      <c r="E296" s="53"/>
      <c r="F296" s="82"/>
      <c r="G296" s="111"/>
    </row>
    <row r="297" spans="1:8">
      <c r="A297" s="95"/>
      <c r="B297" s="837" t="s">
        <v>841</v>
      </c>
      <c r="C297" s="838"/>
      <c r="D297" s="53" t="s">
        <v>841</v>
      </c>
      <c r="E297" s="53"/>
      <c r="F297" s="82"/>
      <c r="G297" s="111"/>
      <c r="H297" s="505" t="s">
        <v>1670</v>
      </c>
    </row>
    <row r="298" spans="1:8" ht="13.5" thickBot="1">
      <c r="A298" s="95"/>
      <c r="B298" s="839" t="s">
        <v>841</v>
      </c>
      <c r="C298" s="840"/>
      <c r="D298" s="84" t="s">
        <v>841</v>
      </c>
      <c r="E298" s="84"/>
      <c r="F298" s="85"/>
      <c r="G298" s="112"/>
    </row>
    <row r="299" spans="1:8" ht="13.5" thickTop="1">
      <c r="A299" s="95"/>
      <c r="B299" s="808"/>
      <c r="C299" s="809"/>
      <c r="D299" s="801" t="s">
        <v>856</v>
      </c>
      <c r="E299" s="802"/>
      <c r="F299" s="9"/>
      <c r="G299" s="113">
        <f>SUM(G290:G298)</f>
        <v>6472</v>
      </c>
    </row>
    <row r="300" spans="1:8">
      <c r="A300" s="95"/>
      <c r="B300" s="819"/>
      <c r="C300" s="820"/>
      <c r="D300" s="801" t="s">
        <v>857</v>
      </c>
      <c r="E300" s="802"/>
      <c r="F300" s="79">
        <f>'MANO DE OBRA'!D60</f>
        <v>0.05</v>
      </c>
      <c r="G300" s="113">
        <f>ROUND(G299*F300,0)</f>
        <v>324</v>
      </c>
    </row>
    <row r="301" spans="1:8" ht="13.5" thickBot="1">
      <c r="A301" s="95"/>
      <c r="B301" s="819"/>
      <c r="C301" s="820"/>
      <c r="D301" s="803" t="s">
        <v>320</v>
      </c>
      <c r="E301" s="804"/>
      <c r="F301" s="114"/>
      <c r="G301" s="118">
        <f>+G299+G300</f>
        <v>6796</v>
      </c>
    </row>
    <row r="302" spans="1:8" ht="14.25" thickTop="1" thickBot="1">
      <c r="A302" s="95"/>
      <c r="B302" s="830"/>
      <c r="C302" s="830"/>
      <c r="D302" s="830"/>
      <c r="E302" s="830"/>
      <c r="F302" s="830"/>
      <c r="G302" s="830"/>
    </row>
    <row r="303" spans="1:8" ht="13.5" thickTop="1">
      <c r="A303" s="95"/>
      <c r="B303" s="811" t="s">
        <v>858</v>
      </c>
      <c r="C303" s="812"/>
      <c r="D303" s="812"/>
      <c r="E303" s="812"/>
      <c r="F303" s="812"/>
      <c r="G303" s="825"/>
    </row>
    <row r="304" spans="1:8">
      <c r="A304" s="95"/>
      <c r="B304" s="817"/>
      <c r="C304" s="818"/>
      <c r="D304" s="98" t="s">
        <v>301</v>
      </c>
      <c r="E304" s="98" t="s">
        <v>859</v>
      </c>
      <c r="F304" s="99" t="s">
        <v>839</v>
      </c>
      <c r="G304" s="107" t="s">
        <v>840</v>
      </c>
    </row>
    <row r="305" spans="1:7">
      <c r="A305" s="95"/>
      <c r="B305" s="821" t="s">
        <v>838</v>
      </c>
      <c r="C305" s="822"/>
      <c r="D305" s="100" t="s">
        <v>316</v>
      </c>
      <c r="E305" s="100" t="s">
        <v>315</v>
      </c>
      <c r="F305" s="101" t="s">
        <v>306</v>
      </c>
      <c r="G305" s="108" t="s">
        <v>319</v>
      </c>
    </row>
    <row r="306" spans="1:7">
      <c r="A306" s="95"/>
      <c r="B306" s="115"/>
      <c r="C306" s="102"/>
      <c r="D306" s="103"/>
      <c r="E306" s="103" t="s">
        <v>317</v>
      </c>
      <c r="F306" s="104" t="s">
        <v>318</v>
      </c>
      <c r="G306" s="109"/>
    </row>
    <row r="307" spans="1:7">
      <c r="A307" s="95"/>
      <c r="B307" s="823" t="str">
        <f>'MANO DE OBRA'!B11</f>
        <v>AYUDANTE CUAD. TIPO BB</v>
      </c>
      <c r="C307" s="824"/>
      <c r="D307" s="87">
        <v>1</v>
      </c>
      <c r="E307" s="80">
        <f>'MANO DE OBRA'!E11</f>
        <v>43077</v>
      </c>
      <c r="F307" s="81">
        <v>16</v>
      </c>
      <c r="G307" s="110">
        <f>ROUND(D307*E307/F307,0)</f>
        <v>2692</v>
      </c>
    </row>
    <row r="308" spans="1:7">
      <c r="A308" s="95"/>
      <c r="B308" s="835" t="str">
        <f>'MANO DE OBRA'!B16</f>
        <v>OFICIAL CUAD. TIPO BB</v>
      </c>
      <c r="C308" s="836"/>
      <c r="D308" s="37">
        <v>1</v>
      </c>
      <c r="E308" s="82">
        <f>'MANO DE OBRA'!E16</f>
        <v>78577</v>
      </c>
      <c r="F308" s="83">
        <v>16</v>
      </c>
      <c r="G308" s="111">
        <f>ROUND(D308*E308/F308,0)</f>
        <v>4911</v>
      </c>
    </row>
    <row r="309" spans="1:7">
      <c r="A309" s="95"/>
      <c r="B309" s="835"/>
      <c r="C309" s="836"/>
      <c r="D309" s="89"/>
      <c r="E309" s="82"/>
      <c r="F309" s="83"/>
      <c r="G309" s="111"/>
    </row>
    <row r="310" spans="1:7">
      <c r="A310" s="95"/>
      <c r="B310" s="835" t="s">
        <v>841</v>
      </c>
      <c r="C310" s="836"/>
      <c r="D310" s="37"/>
      <c r="E310" s="82"/>
      <c r="F310" s="83"/>
      <c r="G310" s="111"/>
    </row>
    <row r="311" spans="1:7" ht="13.5" thickBot="1">
      <c r="A311" s="95"/>
      <c r="B311" s="828" t="s">
        <v>841</v>
      </c>
      <c r="C311" s="829"/>
      <c r="D311" s="77"/>
      <c r="E311" s="82"/>
      <c r="F311" s="86"/>
      <c r="G311" s="112"/>
    </row>
    <row r="312" spans="1:7" ht="14.25" thickTop="1" thickBot="1">
      <c r="A312" s="95"/>
      <c r="B312" s="808"/>
      <c r="C312" s="808"/>
      <c r="D312" s="808"/>
      <c r="E312" s="809"/>
      <c r="F312" s="120" t="s">
        <v>856</v>
      </c>
      <c r="G312" s="118">
        <f>SUM(G307:G311)</f>
        <v>7603</v>
      </c>
    </row>
    <row r="313" spans="1:7" ht="14.25" thickTop="1" thickBot="1">
      <c r="A313" s="95"/>
      <c r="B313" s="810"/>
      <c r="C313" s="810"/>
      <c r="D313" s="810"/>
      <c r="E313" s="810"/>
      <c r="F313" s="810"/>
      <c r="G313" s="810"/>
    </row>
    <row r="314" spans="1:7" ht="13.5" thickTop="1">
      <c r="A314" s="95"/>
      <c r="B314" s="811" t="s">
        <v>321</v>
      </c>
      <c r="C314" s="812"/>
      <c r="D314" s="812"/>
      <c r="E314" s="812"/>
      <c r="F314" s="812"/>
      <c r="G314" s="825"/>
    </row>
    <row r="315" spans="1:7">
      <c r="A315" s="95"/>
      <c r="B315" s="817" t="s">
        <v>838</v>
      </c>
      <c r="C315" s="818"/>
      <c r="D315" s="98" t="s">
        <v>301</v>
      </c>
      <c r="E315" s="98" t="s">
        <v>297</v>
      </c>
      <c r="F315" s="99" t="s">
        <v>839</v>
      </c>
      <c r="G315" s="107" t="s">
        <v>840</v>
      </c>
    </row>
    <row r="316" spans="1:7">
      <c r="A316" s="95"/>
      <c r="B316" s="115"/>
      <c r="C316" s="102"/>
      <c r="D316" s="103" t="s">
        <v>322</v>
      </c>
      <c r="E316" s="103" t="s">
        <v>323</v>
      </c>
      <c r="F316" s="104" t="s">
        <v>324</v>
      </c>
      <c r="G316" s="109" t="s">
        <v>325</v>
      </c>
    </row>
    <row r="317" spans="1:7">
      <c r="A317" s="95"/>
      <c r="B317" s="826"/>
      <c r="C317" s="827"/>
      <c r="D317" s="96"/>
      <c r="E317" s="96"/>
      <c r="F317" s="96"/>
      <c r="G317" s="116"/>
    </row>
    <row r="318" spans="1:7" ht="13.5" thickBot="1">
      <c r="A318" s="95"/>
      <c r="B318" s="828" t="s">
        <v>841</v>
      </c>
      <c r="C318" s="829"/>
      <c r="D318" s="77"/>
      <c r="E318" s="82"/>
      <c r="F318" s="86"/>
      <c r="G318" s="112"/>
    </row>
    <row r="319" spans="1:7" ht="14.25" thickTop="1" thickBot="1">
      <c r="A319" s="95"/>
      <c r="B319" s="808"/>
      <c r="C319" s="808"/>
      <c r="D319" s="808"/>
      <c r="E319" s="809"/>
      <c r="F319" s="120" t="s">
        <v>856</v>
      </c>
      <c r="G319" s="118">
        <f>SUM(G314:G318)</f>
        <v>0</v>
      </c>
    </row>
    <row r="320" spans="1:7" ht="14.25" thickTop="1" thickBot="1">
      <c r="A320" s="95"/>
      <c r="B320" s="810"/>
      <c r="C320" s="810"/>
      <c r="D320" s="810"/>
      <c r="E320" s="810"/>
      <c r="F320" s="810"/>
      <c r="G320" s="834"/>
    </row>
    <row r="321" spans="1:8" ht="13.5" thickTop="1">
      <c r="A321" s="95"/>
      <c r="B321" s="811" t="s">
        <v>326</v>
      </c>
      <c r="C321" s="812"/>
      <c r="D321" s="812"/>
      <c r="E321" s="812"/>
      <c r="F321" s="813"/>
      <c r="G321" s="121">
        <f>+G285+G301+G312</f>
        <v>14779</v>
      </c>
    </row>
    <row r="322" spans="1:8">
      <c r="A322" s="95"/>
      <c r="B322" s="814" t="s">
        <v>861</v>
      </c>
      <c r="C322" s="815"/>
      <c r="D322" s="815"/>
      <c r="E322" s="816"/>
      <c r="F322" s="128">
        <f>'MANO DE OBRA'!D59</f>
        <v>0</v>
      </c>
      <c r="G322" s="122">
        <f>ROUND(G321*F322,0)</f>
        <v>0</v>
      </c>
    </row>
    <row r="323" spans="1:8" ht="13.5" thickBot="1">
      <c r="A323" s="95"/>
      <c r="B323" s="805" t="s">
        <v>1049</v>
      </c>
      <c r="C323" s="806"/>
      <c r="D323" s="806"/>
      <c r="E323" s="806"/>
      <c r="F323" s="807"/>
      <c r="G323" s="118">
        <f>ROUND(G321+G322,-2)</f>
        <v>14800</v>
      </c>
      <c r="H323" s="505" t="s">
        <v>1670</v>
      </c>
    </row>
    <row r="324" spans="1:8" ht="13.5" thickTop="1">
      <c r="A324" s="95"/>
      <c r="B324" s="90" t="s">
        <v>303</v>
      </c>
      <c r="C324" s="843"/>
      <c r="D324" s="843"/>
      <c r="E324" s="843"/>
      <c r="F324" s="92" t="s">
        <v>781</v>
      </c>
      <c r="G324" s="93" t="s">
        <v>831</v>
      </c>
    </row>
    <row r="325" spans="1:8">
      <c r="A325" s="95"/>
      <c r="B325" s="91" t="s">
        <v>834</v>
      </c>
      <c r="C325" s="844" t="s">
        <v>369</v>
      </c>
      <c r="D325" s="844"/>
      <c r="E325" s="844"/>
      <c r="F325" s="15" t="s">
        <v>833</v>
      </c>
      <c r="G325" s="165" t="str">
        <f>'MANO DE OBRA'!D61</f>
        <v>Agosto de 2010</v>
      </c>
    </row>
    <row r="326" spans="1:8" ht="13.5" thickBot="1">
      <c r="A326" s="127"/>
      <c r="B326" s="94" t="s">
        <v>835</v>
      </c>
      <c r="C326" s="845" t="s">
        <v>1290</v>
      </c>
      <c r="D326" s="845"/>
      <c r="E326" s="845"/>
      <c r="F326" s="845"/>
      <c r="G326" s="846"/>
    </row>
    <row r="327" spans="1:8" ht="14.25" thickTop="1" thickBot="1">
      <c r="A327" s="95"/>
      <c r="B327" s="847"/>
      <c r="C327" s="847"/>
      <c r="D327" s="847"/>
      <c r="E327" s="847"/>
      <c r="F327" s="847"/>
      <c r="G327" s="847"/>
    </row>
    <row r="328" spans="1:8" ht="13.5" thickTop="1">
      <c r="A328" s="95"/>
      <c r="B328" s="811" t="s">
        <v>304</v>
      </c>
      <c r="C328" s="812"/>
      <c r="D328" s="812"/>
      <c r="E328" s="812"/>
      <c r="F328" s="812"/>
      <c r="G328" s="825"/>
    </row>
    <row r="329" spans="1:8">
      <c r="A329" s="95"/>
      <c r="B329" s="105"/>
      <c r="C329" s="97"/>
      <c r="D329" s="98" t="s">
        <v>301</v>
      </c>
      <c r="E329" s="98" t="s">
        <v>1072</v>
      </c>
      <c r="F329" s="99" t="s">
        <v>839</v>
      </c>
      <c r="G329" s="107" t="s">
        <v>840</v>
      </c>
    </row>
    <row r="330" spans="1:8">
      <c r="A330" s="95"/>
      <c r="B330" s="821" t="s">
        <v>838</v>
      </c>
      <c r="C330" s="822"/>
      <c r="D330" s="100" t="s">
        <v>308</v>
      </c>
      <c r="E330" s="100" t="s">
        <v>305</v>
      </c>
      <c r="F330" s="101" t="s">
        <v>306</v>
      </c>
      <c r="G330" s="108" t="s">
        <v>310</v>
      </c>
    </row>
    <row r="331" spans="1:8">
      <c r="A331" s="95"/>
      <c r="B331" s="115"/>
      <c r="C331" s="102"/>
      <c r="D331" s="103"/>
      <c r="E331" s="103" t="s">
        <v>309</v>
      </c>
      <c r="F331" s="104" t="s">
        <v>307</v>
      </c>
      <c r="G331" s="109"/>
    </row>
    <row r="332" spans="1:8">
      <c r="A332" s="127"/>
      <c r="B332" s="823" t="str">
        <f>'MAQUINARIA Y EQUIPOS'!C28</f>
        <v>HERRAMIENTAS MENORES</v>
      </c>
      <c r="C332" s="824"/>
      <c r="D332" s="87">
        <v>1</v>
      </c>
      <c r="E332" s="82">
        <f>ROUND(G365*0.05,0)</f>
        <v>380</v>
      </c>
      <c r="F332" s="81">
        <v>1</v>
      </c>
      <c r="G332" s="110">
        <f>ROUND(D332*E332/F332,0)</f>
        <v>380</v>
      </c>
    </row>
    <row r="333" spans="1:8">
      <c r="A333" s="95"/>
      <c r="B333" s="835"/>
      <c r="C333" s="836"/>
      <c r="D333" s="37"/>
      <c r="E333" s="82"/>
      <c r="F333" s="83"/>
      <c r="G333" s="111"/>
    </row>
    <row r="334" spans="1:8">
      <c r="A334" s="95"/>
      <c r="B334" s="835"/>
      <c r="C334" s="836"/>
      <c r="D334" s="89"/>
      <c r="E334" s="82"/>
      <c r="F334" s="83"/>
      <c r="G334" s="111"/>
    </row>
    <row r="335" spans="1:8">
      <c r="A335" s="95"/>
      <c r="B335" s="835"/>
      <c r="C335" s="836"/>
      <c r="D335" s="89"/>
      <c r="E335" s="82"/>
      <c r="F335" s="83"/>
      <c r="G335" s="111"/>
    </row>
    <row r="336" spans="1:8">
      <c r="A336" s="95"/>
      <c r="B336" s="835" t="s">
        <v>841</v>
      </c>
      <c r="C336" s="836"/>
      <c r="D336" s="37"/>
      <c r="E336" s="82"/>
      <c r="F336" s="83"/>
      <c r="G336" s="111"/>
    </row>
    <row r="337" spans="1:8" ht="13.5" thickBot="1">
      <c r="A337" s="95"/>
      <c r="B337" s="839" t="s">
        <v>841</v>
      </c>
      <c r="C337" s="840"/>
      <c r="D337" s="77"/>
      <c r="E337" s="106"/>
      <c r="F337" s="86"/>
      <c r="G337" s="112"/>
    </row>
    <row r="338" spans="1:8" ht="14.25" thickTop="1" thickBot="1">
      <c r="A338" s="95"/>
      <c r="B338" s="808"/>
      <c r="C338" s="808"/>
      <c r="D338" s="808"/>
      <c r="E338" s="809"/>
      <c r="F338" s="119" t="s">
        <v>856</v>
      </c>
      <c r="G338" s="118">
        <f>SUM(G332:G337)</f>
        <v>380</v>
      </c>
    </row>
    <row r="339" spans="1:8" ht="14.25" thickTop="1" thickBot="1">
      <c r="A339" s="95"/>
      <c r="B339" s="830"/>
      <c r="C339" s="830"/>
      <c r="D339" s="830"/>
      <c r="E339" s="830"/>
      <c r="F339" s="830"/>
      <c r="G339" s="830"/>
    </row>
    <row r="340" spans="1:8" ht="13.5" thickTop="1">
      <c r="A340" s="95"/>
      <c r="B340" s="811" t="s">
        <v>311</v>
      </c>
      <c r="C340" s="812"/>
      <c r="D340" s="812"/>
      <c r="E340" s="812"/>
      <c r="F340" s="812"/>
      <c r="G340" s="825"/>
    </row>
    <row r="341" spans="1:8">
      <c r="A341" s="95"/>
      <c r="B341" s="817" t="s">
        <v>838</v>
      </c>
      <c r="C341" s="818"/>
      <c r="D341" s="98" t="s">
        <v>842</v>
      </c>
      <c r="E341" s="98" t="s">
        <v>853</v>
      </c>
      <c r="F341" s="99" t="s">
        <v>1047</v>
      </c>
      <c r="G341" s="107" t="s">
        <v>840</v>
      </c>
    </row>
    <row r="342" spans="1:8">
      <c r="A342" s="95"/>
      <c r="B342" s="115"/>
      <c r="C342" s="102"/>
      <c r="D342" s="100"/>
      <c r="E342" s="100" t="s">
        <v>312</v>
      </c>
      <c r="F342" s="101" t="s">
        <v>313</v>
      </c>
      <c r="G342" s="108" t="s">
        <v>314</v>
      </c>
    </row>
    <row r="343" spans="1:8">
      <c r="A343" s="125"/>
      <c r="B343" s="841" t="str">
        <f>MATERIALES2!C609</f>
        <v>TUBO PVC LLUVIAS 2"x 6.0 M</v>
      </c>
      <c r="C343" s="842"/>
      <c r="D343" s="87" t="s">
        <v>865</v>
      </c>
      <c r="E343" s="142">
        <v>0.2</v>
      </c>
      <c r="F343" s="80">
        <f>MATERIALES2!E609</f>
        <v>22205</v>
      </c>
      <c r="G343" s="110">
        <f>ROUND(E343*F343,0)</f>
        <v>4441</v>
      </c>
    </row>
    <row r="344" spans="1:8">
      <c r="A344" s="123"/>
      <c r="B344" s="854" t="str">
        <f>MATERIALES2!C785</f>
        <v>CODO REVENTILADO 4x2"</v>
      </c>
      <c r="C344" s="855"/>
      <c r="D344" s="37" t="s">
        <v>865</v>
      </c>
      <c r="E344" s="83">
        <v>0.1</v>
      </c>
      <c r="F344" s="82">
        <f>MATERIALES2!E785</f>
        <v>20674</v>
      </c>
      <c r="G344" s="111">
        <f>ROUND(E344*F344,0)</f>
        <v>2067</v>
      </c>
    </row>
    <row r="345" spans="1:8">
      <c r="A345" s="123"/>
      <c r="B345" s="854" t="str">
        <f>MATERIALES2!C704</f>
        <v>SOLDADURA PVC ¼</v>
      </c>
      <c r="C345" s="855"/>
      <c r="D345" s="37" t="s">
        <v>865</v>
      </c>
      <c r="E345" s="83">
        <v>0.01</v>
      </c>
      <c r="F345" s="82">
        <f>MATERIALES2!E704</f>
        <v>56298</v>
      </c>
      <c r="G345" s="111">
        <f>ROUND(E345*F345,0)</f>
        <v>563</v>
      </c>
    </row>
    <row r="346" spans="1:8">
      <c r="A346" s="95"/>
      <c r="B346" s="854"/>
      <c r="C346" s="855"/>
      <c r="D346" s="37"/>
      <c r="E346" s="83"/>
      <c r="F346" s="82"/>
      <c r="G346" s="111"/>
    </row>
    <row r="347" spans="1:8">
      <c r="A347" s="95"/>
      <c r="B347" s="854"/>
      <c r="C347" s="855"/>
      <c r="D347" s="37"/>
      <c r="E347" s="83"/>
      <c r="F347" s="82"/>
      <c r="G347" s="111"/>
    </row>
    <row r="348" spans="1:8">
      <c r="A348" s="95"/>
      <c r="B348" s="938"/>
      <c r="C348" s="939"/>
      <c r="D348" s="53" t="s">
        <v>841</v>
      </c>
      <c r="E348" s="53"/>
      <c r="F348" s="82"/>
      <c r="G348" s="111"/>
    </row>
    <row r="349" spans="1:8">
      <c r="A349" s="95"/>
      <c r="B349" s="938" t="s">
        <v>841</v>
      </c>
      <c r="C349" s="939"/>
      <c r="D349" s="53" t="s">
        <v>841</v>
      </c>
      <c r="E349" s="53"/>
      <c r="F349" s="82"/>
      <c r="G349" s="111"/>
    </row>
    <row r="350" spans="1:8">
      <c r="A350" s="95"/>
      <c r="B350" s="938" t="s">
        <v>841</v>
      </c>
      <c r="C350" s="939"/>
      <c r="D350" s="53" t="s">
        <v>841</v>
      </c>
      <c r="E350" s="53"/>
      <c r="F350" s="82"/>
      <c r="G350" s="111"/>
      <c r="H350" s="505" t="s">
        <v>1670</v>
      </c>
    </row>
    <row r="351" spans="1:8" ht="13.5" thickBot="1">
      <c r="A351" s="95"/>
      <c r="B351" s="942" t="s">
        <v>841</v>
      </c>
      <c r="C351" s="943"/>
      <c r="D351" s="84" t="s">
        <v>841</v>
      </c>
      <c r="E351" s="84"/>
      <c r="F351" s="85"/>
      <c r="G351" s="112"/>
    </row>
    <row r="352" spans="1:8" ht="13.5" thickTop="1">
      <c r="A352" s="95"/>
      <c r="B352" s="946"/>
      <c r="C352" s="947"/>
      <c r="D352" s="801" t="s">
        <v>856</v>
      </c>
      <c r="E352" s="802"/>
      <c r="F352" s="9"/>
      <c r="G352" s="113">
        <f>SUM(G343:G351)</f>
        <v>7071</v>
      </c>
    </row>
    <row r="353" spans="1:7">
      <c r="A353" s="95"/>
      <c r="B353" s="948"/>
      <c r="C353" s="949"/>
      <c r="D353" s="801" t="s">
        <v>857</v>
      </c>
      <c r="E353" s="802"/>
      <c r="F353" s="79">
        <f>'MANO DE OBRA'!D60</f>
        <v>0.05</v>
      </c>
      <c r="G353" s="113">
        <f>ROUND(G352*F353,0)</f>
        <v>354</v>
      </c>
    </row>
    <row r="354" spans="1:7" ht="13.5" thickBot="1">
      <c r="A354" s="95"/>
      <c r="B354" s="948"/>
      <c r="C354" s="949"/>
      <c r="D354" s="803" t="s">
        <v>320</v>
      </c>
      <c r="E354" s="804"/>
      <c r="F354" s="114"/>
      <c r="G354" s="118">
        <f>+G352+G353</f>
        <v>7425</v>
      </c>
    </row>
    <row r="355" spans="1:7" ht="14.25" thickTop="1" thickBot="1">
      <c r="A355" s="95"/>
      <c r="B355" s="830"/>
      <c r="C355" s="830"/>
      <c r="D355" s="830"/>
      <c r="E355" s="830"/>
      <c r="F355" s="830"/>
      <c r="G355" s="830"/>
    </row>
    <row r="356" spans="1:7" ht="13.5" thickTop="1">
      <c r="A356" s="95"/>
      <c r="B356" s="811" t="s">
        <v>858</v>
      </c>
      <c r="C356" s="812"/>
      <c r="D356" s="812"/>
      <c r="E356" s="812"/>
      <c r="F356" s="812"/>
      <c r="G356" s="825"/>
    </row>
    <row r="357" spans="1:7">
      <c r="A357" s="95"/>
      <c r="B357" s="817"/>
      <c r="C357" s="818"/>
      <c r="D357" s="98" t="s">
        <v>301</v>
      </c>
      <c r="E357" s="98" t="s">
        <v>859</v>
      </c>
      <c r="F357" s="99" t="s">
        <v>839</v>
      </c>
      <c r="G357" s="107" t="s">
        <v>840</v>
      </c>
    </row>
    <row r="358" spans="1:7">
      <c r="A358" s="95"/>
      <c r="B358" s="821" t="s">
        <v>838</v>
      </c>
      <c r="C358" s="822"/>
      <c r="D358" s="100" t="s">
        <v>316</v>
      </c>
      <c r="E358" s="100" t="s">
        <v>315</v>
      </c>
      <c r="F358" s="101" t="s">
        <v>306</v>
      </c>
      <c r="G358" s="108" t="s">
        <v>319</v>
      </c>
    </row>
    <row r="359" spans="1:7">
      <c r="A359" s="95"/>
      <c r="B359" s="115"/>
      <c r="C359" s="102"/>
      <c r="D359" s="103"/>
      <c r="E359" s="103" t="s">
        <v>317</v>
      </c>
      <c r="F359" s="104" t="s">
        <v>318</v>
      </c>
      <c r="G359" s="109"/>
    </row>
    <row r="360" spans="1:7">
      <c r="A360" s="95"/>
      <c r="B360" s="823" t="str">
        <f>'MANO DE OBRA'!B11</f>
        <v>AYUDANTE CUAD. TIPO BB</v>
      </c>
      <c r="C360" s="824"/>
      <c r="D360" s="87">
        <v>1</v>
      </c>
      <c r="E360" s="80">
        <f>'MANO DE OBRA'!E11</f>
        <v>43077</v>
      </c>
      <c r="F360" s="81">
        <v>16</v>
      </c>
      <c r="G360" s="110">
        <f>ROUND(D360*E360/F360,0)</f>
        <v>2692</v>
      </c>
    </row>
    <row r="361" spans="1:7">
      <c r="A361" s="95"/>
      <c r="B361" s="835" t="str">
        <f>'MANO DE OBRA'!B16</f>
        <v>OFICIAL CUAD. TIPO BB</v>
      </c>
      <c r="C361" s="836"/>
      <c r="D361" s="37">
        <v>1</v>
      </c>
      <c r="E361" s="82">
        <f>'MANO DE OBRA'!E16</f>
        <v>78577</v>
      </c>
      <c r="F361" s="83">
        <v>16</v>
      </c>
      <c r="G361" s="111">
        <f>ROUND(D361*E361/F361,0)</f>
        <v>4911</v>
      </c>
    </row>
    <row r="362" spans="1:7">
      <c r="A362" s="95"/>
      <c r="B362" s="835"/>
      <c r="C362" s="836"/>
      <c r="D362" s="89"/>
      <c r="E362" s="82"/>
      <c r="F362" s="83"/>
      <c r="G362" s="111"/>
    </row>
    <row r="363" spans="1:7">
      <c r="A363" s="95"/>
      <c r="B363" s="835" t="s">
        <v>841</v>
      </c>
      <c r="C363" s="836"/>
      <c r="D363" s="37"/>
      <c r="E363" s="82"/>
      <c r="F363" s="83"/>
      <c r="G363" s="111"/>
    </row>
    <row r="364" spans="1:7" ht="13.5" thickBot="1">
      <c r="A364" s="95"/>
      <c r="B364" s="828" t="s">
        <v>841</v>
      </c>
      <c r="C364" s="829"/>
      <c r="D364" s="77"/>
      <c r="E364" s="82"/>
      <c r="F364" s="86"/>
      <c r="G364" s="112"/>
    </row>
    <row r="365" spans="1:7" ht="14.25" thickTop="1" thickBot="1">
      <c r="A365" s="95"/>
      <c r="B365" s="808"/>
      <c r="C365" s="808"/>
      <c r="D365" s="808"/>
      <c r="E365" s="809"/>
      <c r="F365" s="120" t="s">
        <v>856</v>
      </c>
      <c r="G365" s="118">
        <f>SUM(G360:G364)</f>
        <v>7603</v>
      </c>
    </row>
    <row r="366" spans="1:7" ht="14.25" thickTop="1" thickBot="1">
      <c r="A366" s="95"/>
      <c r="B366" s="810"/>
      <c r="C366" s="810"/>
      <c r="D366" s="810"/>
      <c r="E366" s="810"/>
      <c r="F366" s="810"/>
      <c r="G366" s="810"/>
    </row>
    <row r="367" spans="1:7" ht="13.5" thickTop="1">
      <c r="A367" s="95"/>
      <c r="B367" s="811" t="s">
        <v>321</v>
      </c>
      <c r="C367" s="812"/>
      <c r="D367" s="812"/>
      <c r="E367" s="812"/>
      <c r="F367" s="812"/>
      <c r="G367" s="825"/>
    </row>
    <row r="368" spans="1:7">
      <c r="A368" s="95"/>
      <c r="B368" s="817" t="s">
        <v>838</v>
      </c>
      <c r="C368" s="818"/>
      <c r="D368" s="98" t="s">
        <v>301</v>
      </c>
      <c r="E368" s="98" t="s">
        <v>297</v>
      </c>
      <c r="F368" s="99" t="s">
        <v>839</v>
      </c>
      <c r="G368" s="107" t="s">
        <v>840</v>
      </c>
    </row>
    <row r="369" spans="1:8">
      <c r="A369" s="95"/>
      <c r="B369" s="115"/>
      <c r="C369" s="102"/>
      <c r="D369" s="103" t="s">
        <v>322</v>
      </c>
      <c r="E369" s="103" t="s">
        <v>323</v>
      </c>
      <c r="F369" s="104" t="s">
        <v>324</v>
      </c>
      <c r="G369" s="109" t="s">
        <v>325</v>
      </c>
    </row>
    <row r="370" spans="1:8">
      <c r="A370" s="95"/>
      <c r="B370" s="826"/>
      <c r="C370" s="827"/>
      <c r="D370" s="96"/>
      <c r="E370" s="96"/>
      <c r="F370" s="96"/>
      <c r="G370" s="116"/>
    </row>
    <row r="371" spans="1:8" ht="13.5" thickBot="1">
      <c r="A371" s="95"/>
      <c r="B371" s="828" t="s">
        <v>841</v>
      </c>
      <c r="C371" s="829"/>
      <c r="D371" s="77"/>
      <c r="E371" s="82"/>
      <c r="F371" s="86"/>
      <c r="G371" s="112"/>
    </row>
    <row r="372" spans="1:8" ht="14.25" thickTop="1" thickBot="1">
      <c r="A372" s="95"/>
      <c r="B372" s="808"/>
      <c r="C372" s="808"/>
      <c r="D372" s="808"/>
      <c r="E372" s="809"/>
      <c r="F372" s="120" t="s">
        <v>856</v>
      </c>
      <c r="G372" s="118">
        <f>SUM(G367:G371)</f>
        <v>0</v>
      </c>
    </row>
    <row r="373" spans="1:8" ht="14.25" thickTop="1" thickBot="1">
      <c r="A373" s="95"/>
      <c r="B373" s="810"/>
      <c r="C373" s="810"/>
      <c r="D373" s="810"/>
      <c r="E373" s="810"/>
      <c r="F373" s="810"/>
      <c r="G373" s="834"/>
    </row>
    <row r="374" spans="1:8" ht="13.5" thickTop="1">
      <c r="A374" s="95"/>
      <c r="B374" s="811" t="s">
        <v>326</v>
      </c>
      <c r="C374" s="812"/>
      <c r="D374" s="812"/>
      <c r="E374" s="812"/>
      <c r="F374" s="813"/>
      <c r="G374" s="121">
        <f>+G338+G354+G365</f>
        <v>15408</v>
      </c>
    </row>
    <row r="375" spans="1:8">
      <c r="A375" s="95"/>
      <c r="B375" s="814" t="s">
        <v>861</v>
      </c>
      <c r="C375" s="815"/>
      <c r="D375" s="815"/>
      <c r="E375" s="816"/>
      <c r="F375" s="128">
        <f>'MANO DE OBRA'!D59</f>
        <v>0</v>
      </c>
      <c r="G375" s="122">
        <f>ROUND(G374*F375,0)</f>
        <v>0</v>
      </c>
    </row>
    <row r="376" spans="1:8" ht="13.5" thickBot="1">
      <c r="A376" s="95"/>
      <c r="B376" s="805" t="s">
        <v>1049</v>
      </c>
      <c r="C376" s="806"/>
      <c r="D376" s="806"/>
      <c r="E376" s="806"/>
      <c r="F376" s="807"/>
      <c r="G376" s="118">
        <f>ROUND(G374+G375,-2)</f>
        <v>15400</v>
      </c>
      <c r="H376" s="505" t="s">
        <v>1670</v>
      </c>
    </row>
    <row r="377" spans="1:8" ht="13.5" thickTop="1">
      <c r="A377" s="95"/>
      <c r="B377" s="90" t="s">
        <v>303</v>
      </c>
      <c r="C377" s="843"/>
      <c r="D377" s="843"/>
      <c r="E377" s="843"/>
      <c r="F377" s="92" t="s">
        <v>781</v>
      </c>
      <c r="G377" s="93" t="s">
        <v>370</v>
      </c>
    </row>
    <row r="378" spans="1:8">
      <c r="A378" s="95"/>
      <c r="B378" s="91" t="s">
        <v>834</v>
      </c>
      <c r="C378" s="844" t="s">
        <v>369</v>
      </c>
      <c r="D378" s="844"/>
      <c r="E378" s="844"/>
      <c r="F378" s="15" t="s">
        <v>833</v>
      </c>
      <c r="G378" s="165" t="str">
        <f>'MANO DE OBRA'!D61</f>
        <v>Agosto de 2010</v>
      </c>
    </row>
    <row r="379" spans="1:8" ht="13.5" thickBot="1">
      <c r="A379" s="127"/>
      <c r="B379" s="94" t="s">
        <v>835</v>
      </c>
      <c r="C379" s="845" t="s">
        <v>1492</v>
      </c>
      <c r="D379" s="845"/>
      <c r="E379" s="845"/>
      <c r="F379" s="845"/>
      <c r="G379" s="846"/>
    </row>
    <row r="380" spans="1:8" ht="14.25" thickTop="1" thickBot="1">
      <c r="A380" s="95"/>
      <c r="B380" s="847"/>
      <c r="C380" s="847"/>
      <c r="D380" s="847"/>
      <c r="E380" s="847"/>
      <c r="F380" s="847"/>
      <c r="G380" s="847"/>
    </row>
    <row r="381" spans="1:8" ht="13.5" thickTop="1">
      <c r="A381" s="95"/>
      <c r="B381" s="811" t="s">
        <v>304</v>
      </c>
      <c r="C381" s="812"/>
      <c r="D381" s="812"/>
      <c r="E381" s="812"/>
      <c r="F381" s="812"/>
      <c r="G381" s="825"/>
    </row>
    <row r="382" spans="1:8">
      <c r="A382" s="95"/>
      <c r="B382" s="105"/>
      <c r="C382" s="97"/>
      <c r="D382" s="98" t="s">
        <v>301</v>
      </c>
      <c r="E382" s="98" t="s">
        <v>1072</v>
      </c>
      <c r="F382" s="99" t="s">
        <v>839</v>
      </c>
      <c r="G382" s="107" t="s">
        <v>840</v>
      </c>
    </row>
    <row r="383" spans="1:8">
      <c r="A383" s="95"/>
      <c r="B383" s="821" t="s">
        <v>838</v>
      </c>
      <c r="C383" s="822"/>
      <c r="D383" s="100" t="s">
        <v>308</v>
      </c>
      <c r="E383" s="100" t="s">
        <v>305</v>
      </c>
      <c r="F383" s="101" t="s">
        <v>306</v>
      </c>
      <c r="G383" s="108" t="s">
        <v>310</v>
      </c>
    </row>
    <row r="384" spans="1:8">
      <c r="A384" s="95"/>
      <c r="B384" s="115"/>
      <c r="C384" s="102"/>
      <c r="D384" s="103"/>
      <c r="E384" s="103" t="s">
        <v>309</v>
      </c>
      <c r="F384" s="104" t="s">
        <v>307</v>
      </c>
      <c r="G384" s="109"/>
    </row>
    <row r="385" spans="1:7">
      <c r="A385" s="127"/>
      <c r="B385" s="823" t="str">
        <f>'MAQUINARIA Y EQUIPOS'!C28</f>
        <v>HERRAMIENTAS MENORES</v>
      </c>
      <c r="C385" s="824"/>
      <c r="D385" s="87">
        <v>1</v>
      </c>
      <c r="E385" s="82">
        <f>ROUND(G418*0.05,0)</f>
        <v>921</v>
      </c>
      <c r="F385" s="81">
        <v>1</v>
      </c>
      <c r="G385" s="110">
        <f>ROUND(D385*E385/F385,0)</f>
        <v>921</v>
      </c>
    </row>
    <row r="386" spans="1:7">
      <c r="A386" s="95"/>
      <c r="B386" s="835"/>
      <c r="C386" s="836"/>
      <c r="D386" s="37"/>
      <c r="E386" s="82"/>
      <c r="F386" s="83"/>
      <c r="G386" s="111"/>
    </row>
    <row r="387" spans="1:7">
      <c r="A387" s="95"/>
      <c r="B387" s="835"/>
      <c r="C387" s="836"/>
      <c r="D387" s="89"/>
      <c r="E387" s="82"/>
      <c r="F387" s="83"/>
      <c r="G387" s="111"/>
    </row>
    <row r="388" spans="1:7">
      <c r="A388" s="95"/>
      <c r="B388" s="835"/>
      <c r="C388" s="836"/>
      <c r="D388" s="89"/>
      <c r="E388" s="82"/>
      <c r="F388" s="83"/>
      <c r="G388" s="111"/>
    </row>
    <row r="389" spans="1:7">
      <c r="A389" s="95"/>
      <c r="B389" s="835" t="s">
        <v>841</v>
      </c>
      <c r="C389" s="836"/>
      <c r="D389" s="37"/>
      <c r="E389" s="82"/>
      <c r="F389" s="83"/>
      <c r="G389" s="111"/>
    </row>
    <row r="390" spans="1:7" ht="13.5" thickBot="1">
      <c r="A390" s="95"/>
      <c r="B390" s="839" t="s">
        <v>841</v>
      </c>
      <c r="C390" s="840"/>
      <c r="D390" s="77"/>
      <c r="E390" s="106"/>
      <c r="F390" s="86"/>
      <c r="G390" s="112"/>
    </row>
    <row r="391" spans="1:7" ht="14.25" thickTop="1" thickBot="1">
      <c r="A391" s="95"/>
      <c r="B391" s="808"/>
      <c r="C391" s="808"/>
      <c r="D391" s="808"/>
      <c r="E391" s="809"/>
      <c r="F391" s="119" t="s">
        <v>856</v>
      </c>
      <c r="G391" s="118">
        <f>SUM(G385:G390)</f>
        <v>921</v>
      </c>
    </row>
    <row r="392" spans="1:7" ht="14.25" thickTop="1" thickBot="1">
      <c r="A392" s="95"/>
      <c r="B392" s="830"/>
      <c r="C392" s="830"/>
      <c r="D392" s="830"/>
      <c r="E392" s="830"/>
      <c r="F392" s="830"/>
      <c r="G392" s="830"/>
    </row>
    <row r="393" spans="1:7" ht="13.5" thickTop="1">
      <c r="A393" s="95"/>
      <c r="B393" s="811" t="s">
        <v>311</v>
      </c>
      <c r="C393" s="812"/>
      <c r="D393" s="812"/>
      <c r="E393" s="812"/>
      <c r="F393" s="812"/>
      <c r="G393" s="825"/>
    </row>
    <row r="394" spans="1:7">
      <c r="A394" s="95"/>
      <c r="B394" s="817" t="s">
        <v>838</v>
      </c>
      <c r="C394" s="818"/>
      <c r="D394" s="98" t="s">
        <v>842</v>
      </c>
      <c r="E394" s="98" t="s">
        <v>853</v>
      </c>
      <c r="F394" s="99" t="s">
        <v>1047</v>
      </c>
      <c r="G394" s="107" t="s">
        <v>840</v>
      </c>
    </row>
    <row r="395" spans="1:7">
      <c r="A395" s="95"/>
      <c r="B395" s="115"/>
      <c r="C395" s="102"/>
      <c r="D395" s="100"/>
      <c r="E395" s="100" t="s">
        <v>312</v>
      </c>
      <c r="F395" s="101" t="s">
        <v>313</v>
      </c>
      <c r="G395" s="108" t="s">
        <v>314</v>
      </c>
    </row>
    <row r="396" spans="1:7">
      <c r="A396" s="125"/>
      <c r="B396" s="841" t="str">
        <f>MATERIALES2!C704</f>
        <v>SOLDADURA PVC ¼</v>
      </c>
      <c r="C396" s="842"/>
      <c r="D396" s="87" t="s">
        <v>865</v>
      </c>
      <c r="E396" s="142">
        <v>0.1</v>
      </c>
      <c r="F396" s="80">
        <f>MATERIALES2!E704</f>
        <v>56298</v>
      </c>
      <c r="G396" s="110">
        <f>ROUND(E396*F396,0)</f>
        <v>5630</v>
      </c>
    </row>
    <row r="397" spans="1:7">
      <c r="A397" s="123"/>
      <c r="B397" s="854" t="str">
        <f>MATERIALES2!C601</f>
        <v>TUBO PVC SANITARIO 3"x 6.0 M Pesada</v>
      </c>
      <c r="C397" s="855"/>
      <c r="D397" s="37" t="s">
        <v>865</v>
      </c>
      <c r="E397" s="83">
        <v>0.19</v>
      </c>
      <c r="F397" s="82">
        <f>MATERIALES2!E601</f>
        <v>38000</v>
      </c>
      <c r="G397" s="111">
        <f>ROUND(E397*F397,0)</f>
        <v>7220</v>
      </c>
    </row>
    <row r="398" spans="1:7">
      <c r="A398" s="123"/>
      <c r="B398" s="854" t="str">
        <f>MATERIALES2!C793</f>
        <v>CODO SANITARIO 90ºx3"</v>
      </c>
      <c r="C398" s="855"/>
      <c r="D398" s="37" t="s">
        <v>865</v>
      </c>
      <c r="E398" s="83">
        <v>2.77</v>
      </c>
      <c r="F398" s="82">
        <f>MATERIALES2!E793</f>
        <v>5060</v>
      </c>
      <c r="G398" s="111">
        <f>ROUND(E398*F398,0)</f>
        <v>14016</v>
      </c>
    </row>
    <row r="399" spans="1:7">
      <c r="A399" s="123"/>
      <c r="B399" s="854" t="str">
        <f>MATERIALES2!C602</f>
        <v>TUBO PVC SANITARIO 4"x 6.0 M Pesada</v>
      </c>
      <c r="C399" s="855"/>
      <c r="D399" s="37" t="s">
        <v>865</v>
      </c>
      <c r="E399" s="83">
        <v>0.05</v>
      </c>
      <c r="F399" s="82">
        <f>MATERIALES2!E602</f>
        <v>50000</v>
      </c>
      <c r="G399" s="111">
        <f>ROUND(E399*F399,0)</f>
        <v>2500</v>
      </c>
    </row>
    <row r="400" spans="1:7">
      <c r="A400" s="123"/>
      <c r="B400" s="854" t="str">
        <f>MATERIALES2!C794</f>
        <v>CODO SANITARIO 90ºx4"</v>
      </c>
      <c r="C400" s="855"/>
      <c r="D400" s="37" t="s">
        <v>865</v>
      </c>
      <c r="E400" s="83">
        <v>1.37</v>
      </c>
      <c r="F400" s="82">
        <f>MATERIALES2!E794</f>
        <v>4000</v>
      </c>
      <c r="G400" s="111">
        <f>ROUND(E400*F400,0)</f>
        <v>5480</v>
      </c>
    </row>
    <row r="401" spans="1:8">
      <c r="A401" s="95"/>
      <c r="B401" s="938"/>
      <c r="C401" s="939"/>
      <c r="D401" s="53" t="s">
        <v>841</v>
      </c>
      <c r="E401" s="53"/>
      <c r="F401" s="82"/>
      <c r="G401" s="111"/>
    </row>
    <row r="402" spans="1:8">
      <c r="A402" s="95"/>
      <c r="B402" s="837" t="s">
        <v>841</v>
      </c>
      <c r="C402" s="838"/>
      <c r="D402" s="53" t="s">
        <v>841</v>
      </c>
      <c r="E402" s="53"/>
      <c r="F402" s="82"/>
      <c r="G402" s="111"/>
    </row>
    <row r="403" spans="1:8">
      <c r="A403" s="95"/>
      <c r="B403" s="837" t="s">
        <v>841</v>
      </c>
      <c r="C403" s="838"/>
      <c r="D403" s="53" t="s">
        <v>841</v>
      </c>
      <c r="E403" s="53"/>
      <c r="F403" s="82"/>
      <c r="G403" s="111"/>
      <c r="H403" s="505" t="s">
        <v>1670</v>
      </c>
    </row>
    <row r="404" spans="1:8" ht="13.5" thickBot="1">
      <c r="A404" s="95"/>
      <c r="B404" s="839" t="s">
        <v>841</v>
      </c>
      <c r="C404" s="840"/>
      <c r="D404" s="84" t="s">
        <v>841</v>
      </c>
      <c r="E404" s="84"/>
      <c r="F404" s="85"/>
      <c r="G404" s="112"/>
    </row>
    <row r="405" spans="1:8" ht="13.5" thickTop="1">
      <c r="A405" s="95"/>
      <c r="B405" s="808"/>
      <c r="C405" s="809"/>
      <c r="D405" s="801" t="s">
        <v>856</v>
      </c>
      <c r="E405" s="802"/>
      <c r="F405" s="9"/>
      <c r="G405" s="113">
        <f>SUM(G396:G404)</f>
        <v>34846</v>
      </c>
    </row>
    <row r="406" spans="1:8">
      <c r="A406" s="95"/>
      <c r="B406" s="819"/>
      <c r="C406" s="820"/>
      <c r="D406" s="801" t="s">
        <v>857</v>
      </c>
      <c r="E406" s="802"/>
      <c r="F406" s="79">
        <f>'MANO DE OBRA'!D60</f>
        <v>0.05</v>
      </c>
      <c r="G406" s="113">
        <f>ROUND(G405*F406,0)</f>
        <v>1742</v>
      </c>
    </row>
    <row r="407" spans="1:8" ht="13.5" thickBot="1">
      <c r="A407" s="95"/>
      <c r="B407" s="819"/>
      <c r="C407" s="820"/>
      <c r="D407" s="803" t="s">
        <v>320</v>
      </c>
      <c r="E407" s="804"/>
      <c r="F407" s="114"/>
      <c r="G407" s="118">
        <f>+G405+G406</f>
        <v>36588</v>
      </c>
    </row>
    <row r="408" spans="1:8" ht="14.25" thickTop="1" thickBot="1">
      <c r="A408" s="95"/>
      <c r="B408" s="830"/>
      <c r="C408" s="830"/>
      <c r="D408" s="830"/>
      <c r="E408" s="830"/>
      <c r="F408" s="830"/>
      <c r="G408" s="830"/>
    </row>
    <row r="409" spans="1:8" ht="13.5" thickTop="1">
      <c r="A409" s="95"/>
      <c r="B409" s="811" t="s">
        <v>858</v>
      </c>
      <c r="C409" s="812"/>
      <c r="D409" s="812"/>
      <c r="E409" s="812"/>
      <c r="F409" s="812"/>
      <c r="G409" s="825"/>
    </row>
    <row r="410" spans="1:8">
      <c r="A410" s="95"/>
      <c r="B410" s="817"/>
      <c r="C410" s="818"/>
      <c r="D410" s="98" t="s">
        <v>301</v>
      </c>
      <c r="E410" s="98" t="s">
        <v>859</v>
      </c>
      <c r="F410" s="99" t="s">
        <v>839</v>
      </c>
      <c r="G410" s="107" t="s">
        <v>840</v>
      </c>
    </row>
    <row r="411" spans="1:8">
      <c r="A411" s="95"/>
      <c r="B411" s="821" t="s">
        <v>838</v>
      </c>
      <c r="C411" s="822"/>
      <c r="D411" s="100" t="s">
        <v>316</v>
      </c>
      <c r="E411" s="100" t="s">
        <v>315</v>
      </c>
      <c r="F411" s="101" t="s">
        <v>306</v>
      </c>
      <c r="G411" s="108" t="s">
        <v>319</v>
      </c>
    </row>
    <row r="412" spans="1:8">
      <c r="A412" s="95"/>
      <c r="B412" s="115"/>
      <c r="C412" s="102"/>
      <c r="D412" s="103"/>
      <c r="E412" s="103" t="s">
        <v>317</v>
      </c>
      <c r="F412" s="104" t="s">
        <v>318</v>
      </c>
      <c r="G412" s="109"/>
    </row>
    <row r="413" spans="1:8">
      <c r="A413" s="95"/>
      <c r="B413" s="823" t="str">
        <f>'MANO DE OBRA'!B11</f>
        <v>AYUDANTE CUAD. TIPO BB</v>
      </c>
      <c r="C413" s="824"/>
      <c r="D413" s="87">
        <v>1</v>
      </c>
      <c r="E413" s="80">
        <f>'MANO DE OBRA'!E11</f>
        <v>43077</v>
      </c>
      <c r="F413" s="81">
        <v>45</v>
      </c>
      <c r="G413" s="110">
        <f>ROUND(D413*E413/F413,0)</f>
        <v>957</v>
      </c>
    </row>
    <row r="414" spans="1:8">
      <c r="A414" s="95"/>
      <c r="B414" s="835" t="str">
        <f>'MANO DE OBRA'!B16</f>
        <v>OFICIAL CUAD. TIPO BB</v>
      </c>
      <c r="C414" s="836"/>
      <c r="D414" s="37">
        <v>1</v>
      </c>
      <c r="E414" s="82">
        <f>'MANO DE OBRA'!E16</f>
        <v>78577</v>
      </c>
      <c r="F414" s="83">
        <v>4.5</v>
      </c>
      <c r="G414" s="111">
        <f>ROUND(D414*E414/F414,0)</f>
        <v>17462</v>
      </c>
    </row>
    <row r="415" spans="1:8">
      <c r="A415" s="95"/>
      <c r="B415" s="835"/>
      <c r="C415" s="836"/>
      <c r="D415" s="89"/>
      <c r="E415" s="82"/>
      <c r="F415" s="83"/>
      <c r="G415" s="111"/>
    </row>
    <row r="416" spans="1:8">
      <c r="A416" s="95"/>
      <c r="B416" s="835" t="s">
        <v>841</v>
      </c>
      <c r="C416" s="836"/>
      <c r="D416" s="37"/>
      <c r="E416" s="82"/>
      <c r="F416" s="83"/>
      <c r="G416" s="111"/>
    </row>
    <row r="417" spans="1:8" ht="13.5" thickBot="1">
      <c r="A417" s="95"/>
      <c r="B417" s="828" t="s">
        <v>841</v>
      </c>
      <c r="C417" s="829"/>
      <c r="D417" s="77"/>
      <c r="E417" s="82"/>
      <c r="F417" s="86"/>
      <c r="G417" s="112"/>
    </row>
    <row r="418" spans="1:8" ht="14.25" thickTop="1" thickBot="1">
      <c r="A418" s="95"/>
      <c r="B418" s="808"/>
      <c r="C418" s="808"/>
      <c r="D418" s="808"/>
      <c r="E418" s="809"/>
      <c r="F418" s="120" t="s">
        <v>856</v>
      </c>
      <c r="G418" s="118">
        <f>SUM(G413:G417)</f>
        <v>18419</v>
      </c>
    </row>
    <row r="419" spans="1:8" ht="14.25" thickTop="1" thickBot="1">
      <c r="A419" s="95"/>
      <c r="B419" s="810"/>
      <c r="C419" s="810"/>
      <c r="D419" s="810"/>
      <c r="E419" s="810"/>
      <c r="F419" s="810"/>
      <c r="G419" s="810"/>
    </row>
    <row r="420" spans="1:8" ht="13.5" thickTop="1">
      <c r="A420" s="95"/>
      <c r="B420" s="811" t="s">
        <v>321</v>
      </c>
      <c r="C420" s="812"/>
      <c r="D420" s="812"/>
      <c r="E420" s="812"/>
      <c r="F420" s="812"/>
      <c r="G420" s="825"/>
    </row>
    <row r="421" spans="1:8">
      <c r="A421" s="95"/>
      <c r="B421" s="817" t="s">
        <v>838</v>
      </c>
      <c r="C421" s="818"/>
      <c r="D421" s="98" t="s">
        <v>301</v>
      </c>
      <c r="E421" s="98" t="s">
        <v>297</v>
      </c>
      <c r="F421" s="99" t="s">
        <v>839</v>
      </c>
      <c r="G421" s="107" t="s">
        <v>840</v>
      </c>
    </row>
    <row r="422" spans="1:8">
      <c r="A422" s="95"/>
      <c r="B422" s="115"/>
      <c r="C422" s="102"/>
      <c r="D422" s="103" t="s">
        <v>322</v>
      </c>
      <c r="E422" s="103" t="s">
        <v>323</v>
      </c>
      <c r="F422" s="104" t="s">
        <v>324</v>
      </c>
      <c r="G422" s="109" t="s">
        <v>325</v>
      </c>
    </row>
    <row r="423" spans="1:8">
      <c r="A423" s="95"/>
      <c r="B423" s="826"/>
      <c r="C423" s="827"/>
      <c r="D423" s="96"/>
      <c r="E423" s="96"/>
      <c r="F423" s="96"/>
      <c r="G423" s="116"/>
    </row>
    <row r="424" spans="1:8" ht="13.5" thickBot="1">
      <c r="A424" s="95"/>
      <c r="B424" s="828" t="s">
        <v>841</v>
      </c>
      <c r="C424" s="829"/>
      <c r="D424" s="77"/>
      <c r="E424" s="82"/>
      <c r="F424" s="86"/>
      <c r="G424" s="112"/>
    </row>
    <row r="425" spans="1:8" ht="14.25" thickTop="1" thickBot="1">
      <c r="A425" s="95"/>
      <c r="B425" s="808"/>
      <c r="C425" s="808"/>
      <c r="D425" s="808"/>
      <c r="E425" s="809"/>
      <c r="F425" s="120" t="s">
        <v>856</v>
      </c>
      <c r="G425" s="118">
        <f>SUM(G420:G424)</f>
        <v>0</v>
      </c>
    </row>
    <row r="426" spans="1:8" ht="14.25" thickTop="1" thickBot="1">
      <c r="A426" s="95"/>
      <c r="B426" s="810"/>
      <c r="C426" s="810"/>
      <c r="D426" s="810"/>
      <c r="E426" s="810"/>
      <c r="F426" s="810"/>
      <c r="G426" s="834"/>
    </row>
    <row r="427" spans="1:8" ht="13.5" thickTop="1">
      <c r="A427" s="95"/>
      <c r="B427" s="811" t="s">
        <v>326</v>
      </c>
      <c r="C427" s="812"/>
      <c r="D427" s="812"/>
      <c r="E427" s="812"/>
      <c r="F427" s="813"/>
      <c r="G427" s="121">
        <f>+G391+G407+G418</f>
        <v>55928</v>
      </c>
    </row>
    <row r="428" spans="1:8">
      <c r="A428" s="95"/>
      <c r="B428" s="814" t="s">
        <v>861</v>
      </c>
      <c r="C428" s="815"/>
      <c r="D428" s="815"/>
      <c r="E428" s="816"/>
      <c r="F428" s="128">
        <f>'MANO DE OBRA'!D59</f>
        <v>0</v>
      </c>
      <c r="G428" s="122">
        <f>ROUND(G427*F428,0)</f>
        <v>0</v>
      </c>
    </row>
    <row r="429" spans="1:8" ht="13.5" thickBot="1">
      <c r="A429" s="95"/>
      <c r="B429" s="805" t="s">
        <v>1049</v>
      </c>
      <c r="C429" s="806"/>
      <c r="D429" s="806"/>
      <c r="E429" s="806"/>
      <c r="F429" s="807"/>
      <c r="G429" s="118">
        <f>ROUND(G427+G428,-2)</f>
        <v>55900</v>
      </c>
      <c r="H429" s="505" t="s">
        <v>1670</v>
      </c>
    </row>
    <row r="430" spans="1:8" ht="13.5" thickTop="1">
      <c r="A430" s="95"/>
      <c r="B430" s="90" t="s">
        <v>303</v>
      </c>
      <c r="C430" s="843"/>
      <c r="D430" s="843"/>
      <c r="E430" s="843"/>
      <c r="F430" s="92" t="s">
        <v>781</v>
      </c>
      <c r="G430" s="93" t="s">
        <v>370</v>
      </c>
    </row>
    <row r="431" spans="1:8">
      <c r="A431" s="95"/>
      <c r="B431" s="91" t="s">
        <v>834</v>
      </c>
      <c r="C431" s="844" t="s">
        <v>390</v>
      </c>
      <c r="D431" s="844"/>
      <c r="E431" s="844"/>
      <c r="F431" s="15" t="s">
        <v>833</v>
      </c>
      <c r="G431" s="165" t="str">
        <f>'MANO DE OBRA'!D61</f>
        <v>Agosto de 2010</v>
      </c>
    </row>
    <row r="432" spans="1:8" ht="13.5" thickBot="1">
      <c r="A432" s="127"/>
      <c r="B432" s="94" t="s">
        <v>835</v>
      </c>
      <c r="C432" s="845" t="s">
        <v>389</v>
      </c>
      <c r="D432" s="845"/>
      <c r="E432" s="845"/>
      <c r="F432" s="845"/>
      <c r="G432" s="846"/>
    </row>
    <row r="433" spans="1:8" ht="14.25" thickTop="1" thickBot="1">
      <c r="A433" s="95"/>
      <c r="B433" s="847"/>
      <c r="C433" s="847"/>
      <c r="D433" s="847"/>
      <c r="E433" s="847"/>
      <c r="F433" s="847"/>
      <c r="G433" s="847"/>
    </row>
    <row r="434" spans="1:8" ht="13.5" thickTop="1">
      <c r="A434" s="95"/>
      <c r="B434" s="811" t="s">
        <v>304</v>
      </c>
      <c r="C434" s="812"/>
      <c r="D434" s="812"/>
      <c r="E434" s="812"/>
      <c r="F434" s="812"/>
      <c r="G434" s="825"/>
    </row>
    <row r="435" spans="1:8">
      <c r="A435" s="95"/>
      <c r="B435" s="105"/>
      <c r="C435" s="97"/>
      <c r="D435" s="98" t="s">
        <v>301</v>
      </c>
      <c r="E435" s="98" t="s">
        <v>1072</v>
      </c>
      <c r="F435" s="99" t="s">
        <v>839</v>
      </c>
      <c r="G435" s="107" t="s">
        <v>840</v>
      </c>
    </row>
    <row r="436" spans="1:8">
      <c r="A436" s="95"/>
      <c r="B436" s="821" t="s">
        <v>838</v>
      </c>
      <c r="C436" s="822"/>
      <c r="D436" s="100" t="s">
        <v>308</v>
      </c>
      <c r="E436" s="100" t="s">
        <v>305</v>
      </c>
      <c r="F436" s="101" t="s">
        <v>306</v>
      </c>
      <c r="G436" s="108" t="s">
        <v>310</v>
      </c>
    </row>
    <row r="437" spans="1:8">
      <c r="A437" s="95"/>
      <c r="B437" s="115"/>
      <c r="C437" s="102"/>
      <c r="D437" s="103"/>
      <c r="E437" s="103" t="s">
        <v>309</v>
      </c>
      <c r="F437" s="104" t="s">
        <v>307</v>
      </c>
      <c r="G437" s="109"/>
    </row>
    <row r="438" spans="1:8">
      <c r="A438" s="127"/>
      <c r="B438" s="823" t="str">
        <f>'MAQUINARIA Y EQUIPOS'!C28</f>
        <v>HERRAMIENTAS MENORES</v>
      </c>
      <c r="C438" s="824"/>
      <c r="D438" s="87">
        <v>1</v>
      </c>
      <c r="E438" s="82">
        <f>ROUND(G471*0.05,0)</f>
        <v>1036</v>
      </c>
      <c r="F438" s="81">
        <v>1</v>
      </c>
      <c r="G438" s="110">
        <f>ROUND(D438*E438/F438,0)</f>
        <v>1036</v>
      </c>
    </row>
    <row r="439" spans="1:8">
      <c r="A439" s="95"/>
      <c r="B439" s="835"/>
      <c r="C439" s="836"/>
      <c r="D439" s="37"/>
      <c r="E439" s="82"/>
      <c r="F439" s="83"/>
      <c r="G439" s="111"/>
    </row>
    <row r="440" spans="1:8">
      <c r="A440" s="95"/>
      <c r="B440" s="835"/>
      <c r="C440" s="836"/>
      <c r="D440" s="89"/>
      <c r="E440" s="82"/>
      <c r="F440" s="83"/>
      <c r="G440" s="111"/>
    </row>
    <row r="441" spans="1:8">
      <c r="A441" s="95"/>
      <c r="B441" s="835"/>
      <c r="C441" s="836"/>
      <c r="D441" s="89"/>
      <c r="E441" s="82"/>
      <c r="F441" s="83"/>
      <c r="G441" s="111"/>
    </row>
    <row r="442" spans="1:8">
      <c r="A442" s="95"/>
      <c r="B442" s="835" t="s">
        <v>841</v>
      </c>
      <c r="C442" s="836"/>
      <c r="D442" s="37"/>
      <c r="E442" s="82"/>
      <c r="F442" s="83"/>
      <c r="G442" s="111"/>
      <c r="H442" s="505" t="s">
        <v>1670</v>
      </c>
    </row>
    <row r="443" spans="1:8" ht="13.5" thickBot="1">
      <c r="A443" s="95"/>
      <c r="B443" s="839" t="s">
        <v>841</v>
      </c>
      <c r="C443" s="840"/>
      <c r="D443" s="77"/>
      <c r="E443" s="106"/>
      <c r="F443" s="86"/>
      <c r="G443" s="112"/>
    </row>
    <row r="444" spans="1:8" ht="14.25" thickTop="1" thickBot="1">
      <c r="A444" s="95"/>
      <c r="B444" s="808"/>
      <c r="C444" s="808"/>
      <c r="D444" s="808"/>
      <c r="E444" s="809"/>
      <c r="F444" s="119" t="s">
        <v>856</v>
      </c>
      <c r="G444" s="118">
        <f>SUM(G438:G443)</f>
        <v>1036</v>
      </c>
    </row>
    <row r="445" spans="1:8" ht="14.25" thickTop="1" thickBot="1">
      <c r="A445" s="95"/>
      <c r="B445" s="830"/>
      <c r="C445" s="830"/>
      <c r="D445" s="830"/>
      <c r="E445" s="830"/>
      <c r="F445" s="830"/>
      <c r="G445" s="830"/>
    </row>
    <row r="446" spans="1:8" ht="13.5" thickTop="1">
      <c r="A446" s="95"/>
      <c r="B446" s="811" t="s">
        <v>311</v>
      </c>
      <c r="C446" s="812"/>
      <c r="D446" s="812"/>
      <c r="E446" s="812"/>
      <c r="F446" s="812"/>
      <c r="G446" s="825"/>
    </row>
    <row r="447" spans="1:8">
      <c r="A447" s="95"/>
      <c r="B447" s="817" t="s">
        <v>838</v>
      </c>
      <c r="C447" s="818"/>
      <c r="D447" s="98" t="s">
        <v>842</v>
      </c>
      <c r="E447" s="98" t="s">
        <v>853</v>
      </c>
      <c r="F447" s="99" t="s">
        <v>1047</v>
      </c>
      <c r="G447" s="107" t="s">
        <v>840</v>
      </c>
    </row>
    <row r="448" spans="1:8">
      <c r="A448" s="95"/>
      <c r="B448" s="115"/>
      <c r="C448" s="102"/>
      <c r="D448" s="100"/>
      <c r="E448" s="100" t="s">
        <v>312</v>
      </c>
      <c r="F448" s="101" t="s">
        <v>313</v>
      </c>
      <c r="G448" s="108" t="s">
        <v>314</v>
      </c>
    </row>
    <row r="449" spans="1:7">
      <c r="A449" s="125"/>
      <c r="B449" s="841" t="str">
        <f>MATERIALES2!C704</f>
        <v>SOLDADURA PVC ¼</v>
      </c>
      <c r="C449" s="842"/>
      <c r="D449" s="87" t="s">
        <v>865</v>
      </c>
      <c r="E449" s="142">
        <v>0.05</v>
      </c>
      <c r="F449" s="80">
        <f>MATERIALES2!E704</f>
        <v>56298</v>
      </c>
      <c r="G449" s="110">
        <f>ROUND(E449*F449,0)</f>
        <v>2815</v>
      </c>
    </row>
    <row r="450" spans="1:7">
      <c r="A450" s="123"/>
      <c r="B450" s="854" t="str">
        <f>MATERIALES2!C601</f>
        <v>TUBO PVC SANITARIO 3"x 6.0 M Pesada</v>
      </c>
      <c r="C450" s="855"/>
      <c r="D450" s="37" t="s">
        <v>865</v>
      </c>
      <c r="E450" s="83">
        <v>0.4</v>
      </c>
      <c r="F450" s="82">
        <f>MATERIALES2!E601</f>
        <v>38000</v>
      </c>
      <c r="G450" s="111">
        <f>ROUND(E450*F450,0)</f>
        <v>15200</v>
      </c>
    </row>
    <row r="451" spans="1:7">
      <c r="A451" s="123"/>
      <c r="B451" s="854" t="str">
        <f>MATERIALES2!C800</f>
        <v>SIFON SANITARIO 3"</v>
      </c>
      <c r="C451" s="855"/>
      <c r="D451" s="37" t="s">
        <v>865</v>
      </c>
      <c r="E451" s="83">
        <v>1</v>
      </c>
      <c r="F451" s="82">
        <f>MATERIALES2!E800</f>
        <v>7292</v>
      </c>
      <c r="G451" s="111">
        <f>ROUND(E451*F451,0)</f>
        <v>7292</v>
      </c>
    </row>
    <row r="452" spans="1:7">
      <c r="A452" s="123"/>
      <c r="B452" s="854"/>
      <c r="C452" s="855"/>
      <c r="D452" s="37"/>
      <c r="E452" s="83"/>
      <c r="F452" s="82"/>
      <c r="G452" s="111"/>
    </row>
    <row r="453" spans="1:7">
      <c r="A453" s="123"/>
      <c r="B453" s="854"/>
      <c r="C453" s="855"/>
      <c r="D453" s="37"/>
      <c r="E453" s="83"/>
      <c r="F453" s="82"/>
      <c r="G453" s="111"/>
    </row>
    <row r="454" spans="1:7">
      <c r="A454" s="95"/>
      <c r="B454" s="938"/>
      <c r="C454" s="939"/>
      <c r="D454" s="53" t="s">
        <v>841</v>
      </c>
      <c r="E454" s="53"/>
      <c r="F454" s="82"/>
      <c r="G454" s="111"/>
    </row>
    <row r="455" spans="1:7">
      <c r="A455" s="95"/>
      <c r="B455" s="837" t="s">
        <v>841</v>
      </c>
      <c r="C455" s="838"/>
      <c r="D455" s="53" t="s">
        <v>841</v>
      </c>
      <c r="E455" s="53"/>
      <c r="F455" s="82"/>
      <c r="G455" s="111"/>
    </row>
    <row r="456" spans="1:7">
      <c r="A456" s="95"/>
      <c r="B456" s="837" t="s">
        <v>841</v>
      </c>
      <c r="C456" s="838"/>
      <c r="D456" s="53" t="s">
        <v>841</v>
      </c>
      <c r="E456" s="53"/>
      <c r="F456" s="82"/>
      <c r="G456" s="111"/>
    </row>
    <row r="457" spans="1:7" ht="13.5" thickBot="1">
      <c r="A457" s="95"/>
      <c r="B457" s="839" t="s">
        <v>841</v>
      </c>
      <c r="C457" s="840"/>
      <c r="D457" s="84" t="s">
        <v>841</v>
      </c>
      <c r="E457" s="84"/>
      <c r="F457" s="85"/>
      <c r="G457" s="112"/>
    </row>
    <row r="458" spans="1:7" ht="13.5" thickTop="1">
      <c r="A458" s="95"/>
      <c r="B458" s="808"/>
      <c r="C458" s="809"/>
      <c r="D458" s="801" t="s">
        <v>856</v>
      </c>
      <c r="E458" s="802"/>
      <c r="F458" s="9"/>
      <c r="G458" s="113">
        <f>SUM(G449:G457)</f>
        <v>25307</v>
      </c>
    </row>
    <row r="459" spans="1:7">
      <c r="A459" s="95"/>
      <c r="B459" s="819"/>
      <c r="C459" s="820"/>
      <c r="D459" s="801" t="s">
        <v>857</v>
      </c>
      <c r="E459" s="802"/>
      <c r="F459" s="79">
        <f>'MANO DE OBRA'!D60</f>
        <v>0.05</v>
      </c>
      <c r="G459" s="113">
        <f>ROUND(G458*F459,0)</f>
        <v>1265</v>
      </c>
    </row>
    <row r="460" spans="1:7" ht="13.5" thickBot="1">
      <c r="A460" s="95"/>
      <c r="B460" s="819"/>
      <c r="C460" s="820"/>
      <c r="D460" s="803" t="s">
        <v>320</v>
      </c>
      <c r="E460" s="804"/>
      <c r="F460" s="114"/>
      <c r="G460" s="118">
        <f>+G458+G459</f>
        <v>26572</v>
      </c>
    </row>
    <row r="461" spans="1:7" ht="14.25" thickTop="1" thickBot="1">
      <c r="A461" s="95"/>
      <c r="B461" s="830"/>
      <c r="C461" s="830"/>
      <c r="D461" s="830"/>
      <c r="E461" s="830"/>
      <c r="F461" s="830"/>
      <c r="G461" s="830"/>
    </row>
    <row r="462" spans="1:7" ht="13.5" thickTop="1">
      <c r="A462" s="95"/>
      <c r="B462" s="811" t="s">
        <v>858</v>
      </c>
      <c r="C462" s="812"/>
      <c r="D462" s="812"/>
      <c r="E462" s="812"/>
      <c r="F462" s="812"/>
      <c r="G462" s="825"/>
    </row>
    <row r="463" spans="1:7">
      <c r="A463" s="95"/>
      <c r="B463" s="817"/>
      <c r="C463" s="818"/>
      <c r="D463" s="98" t="s">
        <v>301</v>
      </c>
      <c r="E463" s="98" t="s">
        <v>859</v>
      </c>
      <c r="F463" s="99" t="s">
        <v>839</v>
      </c>
      <c r="G463" s="107" t="s">
        <v>840</v>
      </c>
    </row>
    <row r="464" spans="1:7">
      <c r="A464" s="95"/>
      <c r="B464" s="821" t="s">
        <v>838</v>
      </c>
      <c r="C464" s="822"/>
      <c r="D464" s="100" t="s">
        <v>316</v>
      </c>
      <c r="E464" s="100" t="s">
        <v>315</v>
      </c>
      <c r="F464" s="101" t="s">
        <v>306</v>
      </c>
      <c r="G464" s="108" t="s">
        <v>319</v>
      </c>
    </row>
    <row r="465" spans="1:7">
      <c r="A465" s="95"/>
      <c r="B465" s="115"/>
      <c r="C465" s="102"/>
      <c r="D465" s="103"/>
      <c r="E465" s="103" t="s">
        <v>317</v>
      </c>
      <c r="F465" s="104" t="s">
        <v>318</v>
      </c>
      <c r="G465" s="109"/>
    </row>
    <row r="466" spans="1:7">
      <c r="A466" s="95"/>
      <c r="B466" s="823" t="str">
        <f>'MANO DE OBRA'!B11</f>
        <v>AYUDANTE CUAD. TIPO BB</v>
      </c>
      <c r="C466" s="824"/>
      <c r="D466" s="87">
        <v>1</v>
      </c>
      <c r="E466" s="80">
        <f>'MANO DE OBRA'!E11</f>
        <v>43077</v>
      </c>
      <c r="F466" s="81">
        <v>40</v>
      </c>
      <c r="G466" s="110">
        <f>ROUND(D466*E466/F466,0)</f>
        <v>1077</v>
      </c>
    </row>
    <row r="467" spans="1:7">
      <c r="A467" s="95"/>
      <c r="B467" s="835" t="str">
        <f>'MANO DE OBRA'!B16</f>
        <v>OFICIAL CUAD. TIPO BB</v>
      </c>
      <c r="C467" s="836"/>
      <c r="D467" s="37">
        <v>1</v>
      </c>
      <c r="E467" s="82">
        <f>'MANO DE OBRA'!E16</f>
        <v>78577</v>
      </c>
      <c r="F467" s="83">
        <v>4</v>
      </c>
      <c r="G467" s="111">
        <f>ROUND(D467*E467/F467,0)</f>
        <v>19644</v>
      </c>
    </row>
    <row r="468" spans="1:7">
      <c r="A468" s="95"/>
      <c r="B468" s="835"/>
      <c r="C468" s="836"/>
      <c r="D468" s="89"/>
      <c r="E468" s="82"/>
      <c r="F468" s="83"/>
      <c r="G468" s="111"/>
    </row>
    <row r="469" spans="1:7">
      <c r="A469" s="95"/>
      <c r="B469" s="835" t="s">
        <v>841</v>
      </c>
      <c r="C469" s="836"/>
      <c r="D469" s="37"/>
      <c r="E469" s="82"/>
      <c r="F469" s="83"/>
      <c r="G469" s="111"/>
    </row>
    <row r="470" spans="1:7" ht="13.5" thickBot="1">
      <c r="A470" s="95"/>
      <c r="B470" s="828" t="s">
        <v>841</v>
      </c>
      <c r="C470" s="829"/>
      <c r="D470" s="77"/>
      <c r="E470" s="82"/>
      <c r="F470" s="86"/>
      <c r="G470" s="112"/>
    </row>
    <row r="471" spans="1:7" ht="14.25" thickTop="1" thickBot="1">
      <c r="A471" s="95"/>
      <c r="B471" s="808"/>
      <c r="C471" s="808"/>
      <c r="D471" s="808"/>
      <c r="E471" s="809"/>
      <c r="F471" s="120" t="s">
        <v>856</v>
      </c>
      <c r="G471" s="118">
        <f>SUM(G466:G470)</f>
        <v>20721</v>
      </c>
    </row>
    <row r="472" spans="1:7" ht="14.25" thickTop="1" thickBot="1">
      <c r="A472" s="95"/>
      <c r="B472" s="810"/>
      <c r="C472" s="810"/>
      <c r="D472" s="810"/>
      <c r="E472" s="810"/>
      <c r="F472" s="810"/>
      <c r="G472" s="810"/>
    </row>
    <row r="473" spans="1:7" ht="13.5" thickTop="1">
      <c r="A473" s="95"/>
      <c r="B473" s="811" t="s">
        <v>321</v>
      </c>
      <c r="C473" s="812"/>
      <c r="D473" s="812"/>
      <c r="E473" s="812"/>
      <c r="F473" s="812"/>
      <c r="G473" s="825"/>
    </row>
    <row r="474" spans="1:7">
      <c r="A474" s="95"/>
      <c r="B474" s="817" t="s">
        <v>838</v>
      </c>
      <c r="C474" s="818"/>
      <c r="D474" s="98" t="s">
        <v>301</v>
      </c>
      <c r="E474" s="98" t="s">
        <v>297</v>
      </c>
      <c r="F474" s="99" t="s">
        <v>839</v>
      </c>
      <c r="G474" s="107" t="s">
        <v>840</v>
      </c>
    </row>
    <row r="475" spans="1:7">
      <c r="A475" s="95"/>
      <c r="B475" s="115"/>
      <c r="C475" s="102"/>
      <c r="D475" s="103" t="s">
        <v>322</v>
      </c>
      <c r="E475" s="103" t="s">
        <v>323</v>
      </c>
      <c r="F475" s="104" t="s">
        <v>324</v>
      </c>
      <c r="G475" s="109" t="s">
        <v>325</v>
      </c>
    </row>
    <row r="476" spans="1:7">
      <c r="A476" s="95"/>
      <c r="B476" s="826"/>
      <c r="C476" s="827"/>
      <c r="D476" s="96"/>
      <c r="E476" s="96"/>
      <c r="F476" s="96"/>
      <c r="G476" s="116"/>
    </row>
    <row r="477" spans="1:7" ht="13.5" thickBot="1">
      <c r="A477" s="95"/>
      <c r="B477" s="828" t="s">
        <v>841</v>
      </c>
      <c r="C477" s="829"/>
      <c r="D477" s="77"/>
      <c r="E477" s="82"/>
      <c r="F477" s="86"/>
      <c r="G477" s="112"/>
    </row>
    <row r="478" spans="1:7" ht="14.25" thickTop="1" thickBot="1">
      <c r="A478" s="95"/>
      <c r="B478" s="808"/>
      <c r="C478" s="808"/>
      <c r="D478" s="808"/>
      <c r="E478" s="809"/>
      <c r="F478" s="120" t="s">
        <v>856</v>
      </c>
      <c r="G478" s="118">
        <f>SUM(G473:G477)</f>
        <v>0</v>
      </c>
    </row>
    <row r="479" spans="1:7" ht="14.25" thickTop="1" thickBot="1">
      <c r="A479" s="95"/>
      <c r="B479" s="810"/>
      <c r="C479" s="810"/>
      <c r="D479" s="810"/>
      <c r="E479" s="810"/>
      <c r="F479" s="810"/>
      <c r="G479" s="834"/>
    </row>
    <row r="480" spans="1:7" ht="13.5" thickTop="1">
      <c r="A480" s="95"/>
      <c r="B480" s="811" t="s">
        <v>326</v>
      </c>
      <c r="C480" s="812"/>
      <c r="D480" s="812"/>
      <c r="E480" s="812"/>
      <c r="F480" s="813"/>
      <c r="G480" s="121">
        <f>+G444+G460+G471</f>
        <v>48329</v>
      </c>
    </row>
    <row r="481" spans="1:8">
      <c r="A481" s="95"/>
      <c r="B481" s="814" t="s">
        <v>861</v>
      </c>
      <c r="C481" s="815"/>
      <c r="D481" s="815"/>
      <c r="E481" s="816"/>
      <c r="F481" s="128">
        <f>'MANO DE OBRA'!D112</f>
        <v>0</v>
      </c>
      <c r="G481" s="122">
        <f>ROUND(G480*F481,0)</f>
        <v>0</v>
      </c>
    </row>
    <row r="482" spans="1:8" ht="13.5" thickBot="1">
      <c r="A482" s="95"/>
      <c r="B482" s="805" t="s">
        <v>1049</v>
      </c>
      <c r="C482" s="806"/>
      <c r="D482" s="806"/>
      <c r="E482" s="806"/>
      <c r="F482" s="807"/>
      <c r="G482" s="118">
        <f>ROUND(G480+G481,-2)</f>
        <v>48300</v>
      </c>
      <c r="H482" s="505" t="s">
        <v>1670</v>
      </c>
    </row>
    <row r="483" spans="1:8" ht="13.5" thickTop="1">
      <c r="A483" s="95"/>
      <c r="B483" s="90" t="s">
        <v>303</v>
      </c>
      <c r="C483" s="843"/>
      <c r="D483" s="843"/>
      <c r="E483" s="843"/>
      <c r="F483" s="92" t="s">
        <v>781</v>
      </c>
      <c r="G483" s="93" t="s">
        <v>370</v>
      </c>
    </row>
    <row r="484" spans="1:8">
      <c r="A484" s="95"/>
      <c r="B484" s="91" t="s">
        <v>834</v>
      </c>
      <c r="C484" s="844" t="s">
        <v>387</v>
      </c>
      <c r="D484" s="844"/>
      <c r="E484" s="844"/>
      <c r="F484" s="15" t="s">
        <v>833</v>
      </c>
      <c r="G484" s="165" t="str">
        <f>'MANO DE OBRA'!D61</f>
        <v>Agosto de 2010</v>
      </c>
    </row>
    <row r="485" spans="1:8" ht="13.5" thickBot="1">
      <c r="A485" s="127"/>
      <c r="B485" s="94" t="s">
        <v>835</v>
      </c>
      <c r="C485" s="845" t="s">
        <v>391</v>
      </c>
      <c r="D485" s="845"/>
      <c r="E485" s="845"/>
      <c r="F485" s="845"/>
      <c r="G485" s="846"/>
    </row>
    <row r="486" spans="1:8" ht="14.25" thickTop="1" thickBot="1">
      <c r="A486" s="95"/>
      <c r="B486" s="847"/>
      <c r="C486" s="847"/>
      <c r="D486" s="847"/>
      <c r="E486" s="847"/>
      <c r="F486" s="847"/>
      <c r="G486" s="847"/>
    </row>
    <row r="487" spans="1:8" ht="13.5" thickTop="1">
      <c r="A487" s="95"/>
      <c r="B487" s="811" t="s">
        <v>304</v>
      </c>
      <c r="C487" s="812"/>
      <c r="D487" s="812"/>
      <c r="E487" s="812"/>
      <c r="F487" s="812"/>
      <c r="G487" s="825"/>
    </row>
    <row r="488" spans="1:8">
      <c r="A488" s="95"/>
      <c r="B488" s="105"/>
      <c r="C488" s="97"/>
      <c r="D488" s="98" t="s">
        <v>301</v>
      </c>
      <c r="E488" s="98" t="s">
        <v>1072</v>
      </c>
      <c r="F488" s="99" t="s">
        <v>839</v>
      </c>
      <c r="G488" s="107" t="s">
        <v>840</v>
      </c>
    </row>
    <row r="489" spans="1:8">
      <c r="A489" s="95"/>
      <c r="B489" s="821" t="s">
        <v>838</v>
      </c>
      <c r="C489" s="822"/>
      <c r="D489" s="100" t="s">
        <v>308</v>
      </c>
      <c r="E489" s="100" t="s">
        <v>305</v>
      </c>
      <c r="F489" s="101" t="s">
        <v>306</v>
      </c>
      <c r="G489" s="108" t="s">
        <v>310</v>
      </c>
    </row>
    <row r="490" spans="1:8">
      <c r="A490" s="95"/>
      <c r="B490" s="115"/>
      <c r="C490" s="102"/>
      <c r="D490" s="103"/>
      <c r="E490" s="103" t="s">
        <v>309</v>
      </c>
      <c r="F490" s="104" t="s">
        <v>307</v>
      </c>
      <c r="G490" s="109"/>
    </row>
    <row r="491" spans="1:8">
      <c r="A491" s="127"/>
      <c r="B491" s="823" t="str">
        <f>'MAQUINARIA Y EQUIPOS'!C28</f>
        <v>HERRAMIENTAS MENORES</v>
      </c>
      <c r="C491" s="824"/>
      <c r="D491" s="87">
        <v>1</v>
      </c>
      <c r="E491" s="82">
        <f>ROUND(G524*0.05,0)</f>
        <v>1036</v>
      </c>
      <c r="F491" s="81">
        <v>1</v>
      </c>
      <c r="G491" s="110">
        <f>ROUND(D491*E491/F491,0)</f>
        <v>1036</v>
      </c>
    </row>
    <row r="492" spans="1:8">
      <c r="A492" s="95"/>
      <c r="B492" s="835"/>
      <c r="C492" s="836"/>
      <c r="D492" s="37"/>
      <c r="E492" s="82"/>
      <c r="F492" s="83"/>
      <c r="G492" s="111"/>
    </row>
    <row r="493" spans="1:8">
      <c r="A493" s="95"/>
      <c r="B493" s="835"/>
      <c r="C493" s="836"/>
      <c r="D493" s="89"/>
      <c r="E493" s="82"/>
      <c r="F493" s="83"/>
      <c r="G493" s="111"/>
    </row>
    <row r="494" spans="1:8">
      <c r="A494" s="95"/>
      <c r="B494" s="835"/>
      <c r="C494" s="836"/>
      <c r="D494" s="89"/>
      <c r="E494" s="82"/>
      <c r="F494" s="83"/>
      <c r="G494" s="111"/>
    </row>
    <row r="495" spans="1:8">
      <c r="A495" s="95"/>
      <c r="B495" s="835" t="s">
        <v>841</v>
      </c>
      <c r="C495" s="836"/>
      <c r="D495" s="37"/>
      <c r="E495" s="82"/>
      <c r="F495" s="83"/>
      <c r="G495" s="111"/>
    </row>
    <row r="496" spans="1:8" ht="13.5" thickBot="1">
      <c r="A496" s="95"/>
      <c r="B496" s="839" t="s">
        <v>841</v>
      </c>
      <c r="C496" s="840"/>
      <c r="D496" s="77"/>
      <c r="E496" s="106"/>
      <c r="F496" s="86"/>
      <c r="G496" s="112"/>
    </row>
    <row r="497" spans="1:8" ht="14.25" thickTop="1" thickBot="1">
      <c r="A497" s="95"/>
      <c r="B497" s="808"/>
      <c r="C497" s="808"/>
      <c r="D497" s="808"/>
      <c r="E497" s="809"/>
      <c r="F497" s="119" t="s">
        <v>856</v>
      </c>
      <c r="G497" s="118">
        <f>SUM(G491:G496)</f>
        <v>1036</v>
      </c>
    </row>
    <row r="498" spans="1:8" ht="14.25" thickTop="1" thickBot="1">
      <c r="A498" s="95"/>
      <c r="B498" s="830"/>
      <c r="C498" s="830"/>
      <c r="D498" s="830"/>
      <c r="E498" s="830"/>
      <c r="F498" s="830"/>
      <c r="G498" s="830"/>
    </row>
    <row r="499" spans="1:8" ht="13.5" thickTop="1">
      <c r="A499" s="95"/>
      <c r="B499" s="811" t="s">
        <v>311</v>
      </c>
      <c r="C499" s="812"/>
      <c r="D499" s="812"/>
      <c r="E499" s="812"/>
      <c r="F499" s="812"/>
      <c r="G499" s="825"/>
    </row>
    <row r="500" spans="1:8">
      <c r="A500" s="95"/>
      <c r="B500" s="817" t="s">
        <v>838</v>
      </c>
      <c r="C500" s="818"/>
      <c r="D500" s="98" t="s">
        <v>842</v>
      </c>
      <c r="E500" s="98" t="s">
        <v>853</v>
      </c>
      <c r="F500" s="99" t="s">
        <v>1047</v>
      </c>
      <c r="G500" s="107" t="s">
        <v>840</v>
      </c>
    </row>
    <row r="501" spans="1:8">
      <c r="A501" s="95"/>
      <c r="B501" s="115"/>
      <c r="C501" s="102"/>
      <c r="D501" s="100"/>
      <c r="E501" s="100" t="s">
        <v>312</v>
      </c>
      <c r="F501" s="101" t="s">
        <v>313</v>
      </c>
      <c r="G501" s="108" t="s">
        <v>314</v>
      </c>
    </row>
    <row r="502" spans="1:8">
      <c r="A502" s="125"/>
      <c r="B502" s="841" t="str">
        <f>MATERIALES2!C704</f>
        <v>SOLDADURA PVC ¼</v>
      </c>
      <c r="C502" s="842"/>
      <c r="D502" s="87" t="s">
        <v>865</v>
      </c>
      <c r="E502" s="142">
        <v>0.05</v>
      </c>
      <c r="F502" s="80">
        <f>MATERIALES2!E704</f>
        <v>56298</v>
      </c>
      <c r="G502" s="110">
        <f>ROUND(E502*F502,0)</f>
        <v>2815</v>
      </c>
    </row>
    <row r="503" spans="1:8">
      <c r="A503" s="123"/>
      <c r="B503" s="854" t="str">
        <f>MATERIALES2!C602</f>
        <v>TUBO PVC SANITARIO 4"x 6.0 M Pesada</v>
      </c>
      <c r="C503" s="855"/>
      <c r="D503" s="37" t="s">
        <v>865</v>
      </c>
      <c r="E503" s="83">
        <v>0.4</v>
      </c>
      <c r="F503" s="82">
        <f>MATERIALES2!E602</f>
        <v>50000</v>
      </c>
      <c r="G503" s="111">
        <f>ROUND(E503*F503,0)</f>
        <v>20000</v>
      </c>
    </row>
    <row r="504" spans="1:8">
      <c r="A504" s="123"/>
      <c r="B504" s="854" t="str">
        <f>MATERIALES2!C794</f>
        <v>CODO SANITARIO 90ºx4"</v>
      </c>
      <c r="C504" s="855"/>
      <c r="D504" s="37" t="s">
        <v>865</v>
      </c>
      <c r="E504" s="83">
        <v>1</v>
      </c>
      <c r="F504" s="82">
        <f>MATERIALES2!E794</f>
        <v>4000</v>
      </c>
      <c r="G504" s="111">
        <f>ROUND(E504*F504,0)</f>
        <v>4000</v>
      </c>
    </row>
    <row r="505" spans="1:8">
      <c r="A505" s="123"/>
      <c r="B505" s="854"/>
      <c r="C505" s="855"/>
      <c r="D505" s="37"/>
      <c r="E505" s="83"/>
      <c r="F505" s="82"/>
      <c r="G505" s="111"/>
    </row>
    <row r="506" spans="1:8">
      <c r="A506" s="123"/>
      <c r="B506" s="854"/>
      <c r="C506" s="855"/>
      <c r="D506" s="37"/>
      <c r="E506" s="83"/>
      <c r="F506" s="82"/>
      <c r="G506" s="111"/>
    </row>
    <row r="507" spans="1:8">
      <c r="A507" s="95"/>
      <c r="B507" s="938"/>
      <c r="C507" s="939"/>
      <c r="D507" s="53" t="s">
        <v>841</v>
      </c>
      <c r="E507" s="53"/>
      <c r="F507" s="82"/>
      <c r="G507" s="111"/>
    </row>
    <row r="508" spans="1:8">
      <c r="A508" s="95"/>
      <c r="B508" s="837" t="s">
        <v>841</v>
      </c>
      <c r="C508" s="838"/>
      <c r="D508" s="53" t="s">
        <v>841</v>
      </c>
      <c r="E508" s="53"/>
      <c r="F508" s="82"/>
      <c r="G508" s="111"/>
    </row>
    <row r="509" spans="1:8">
      <c r="A509" s="95"/>
      <c r="B509" s="837" t="s">
        <v>841</v>
      </c>
      <c r="C509" s="838"/>
      <c r="D509" s="53" t="s">
        <v>841</v>
      </c>
      <c r="E509" s="53"/>
      <c r="F509" s="82"/>
      <c r="G509" s="111"/>
      <c r="H509" s="505" t="s">
        <v>1670</v>
      </c>
    </row>
    <row r="510" spans="1:8" ht="13.5" thickBot="1">
      <c r="A510" s="95"/>
      <c r="B510" s="839" t="s">
        <v>841</v>
      </c>
      <c r="C510" s="840"/>
      <c r="D510" s="84" t="s">
        <v>841</v>
      </c>
      <c r="E510" s="84"/>
      <c r="F510" s="85"/>
      <c r="G510" s="112"/>
    </row>
    <row r="511" spans="1:8" ht="13.5" thickTop="1">
      <c r="A511" s="95"/>
      <c r="B511" s="808"/>
      <c r="C511" s="809"/>
      <c r="D511" s="801" t="s">
        <v>856</v>
      </c>
      <c r="E511" s="802"/>
      <c r="F511" s="9"/>
      <c r="G511" s="113">
        <f>SUM(G502:G510)</f>
        <v>26815</v>
      </c>
    </row>
    <row r="512" spans="1:8">
      <c r="A512" s="95"/>
      <c r="B512" s="819"/>
      <c r="C512" s="820"/>
      <c r="D512" s="801" t="s">
        <v>857</v>
      </c>
      <c r="E512" s="802"/>
      <c r="F512" s="79">
        <f>'MANO DE OBRA'!D60</f>
        <v>0.05</v>
      </c>
      <c r="G512" s="113">
        <f>ROUND(G511*F512,0)</f>
        <v>1341</v>
      </c>
    </row>
    <row r="513" spans="1:7" ht="13.5" thickBot="1">
      <c r="A513" s="95"/>
      <c r="B513" s="819"/>
      <c r="C513" s="820"/>
      <c r="D513" s="803" t="s">
        <v>320</v>
      </c>
      <c r="E513" s="804"/>
      <c r="F513" s="114"/>
      <c r="G513" s="118">
        <f>+G511+G512</f>
        <v>28156</v>
      </c>
    </row>
    <row r="514" spans="1:7" ht="14.25" thickTop="1" thickBot="1">
      <c r="A514" s="95"/>
      <c r="B514" s="830"/>
      <c r="C514" s="830"/>
      <c r="D514" s="830"/>
      <c r="E514" s="830"/>
      <c r="F514" s="830"/>
      <c r="G514" s="830"/>
    </row>
    <row r="515" spans="1:7" ht="13.5" thickTop="1">
      <c r="A515" s="95"/>
      <c r="B515" s="811" t="s">
        <v>858</v>
      </c>
      <c r="C515" s="812"/>
      <c r="D515" s="812"/>
      <c r="E515" s="812"/>
      <c r="F515" s="812"/>
      <c r="G515" s="825"/>
    </row>
    <row r="516" spans="1:7">
      <c r="A516" s="95"/>
      <c r="B516" s="817"/>
      <c r="C516" s="818"/>
      <c r="D516" s="98" t="s">
        <v>301</v>
      </c>
      <c r="E516" s="98" t="s">
        <v>859</v>
      </c>
      <c r="F516" s="99" t="s">
        <v>839</v>
      </c>
      <c r="G516" s="107" t="s">
        <v>840</v>
      </c>
    </row>
    <row r="517" spans="1:7">
      <c r="A517" s="95"/>
      <c r="B517" s="821" t="s">
        <v>838</v>
      </c>
      <c r="C517" s="822"/>
      <c r="D517" s="100" t="s">
        <v>316</v>
      </c>
      <c r="E517" s="100" t="s">
        <v>315</v>
      </c>
      <c r="F517" s="101" t="s">
        <v>306</v>
      </c>
      <c r="G517" s="108" t="s">
        <v>319</v>
      </c>
    </row>
    <row r="518" spans="1:7">
      <c r="A518" s="95"/>
      <c r="B518" s="115"/>
      <c r="C518" s="102"/>
      <c r="D518" s="103"/>
      <c r="E518" s="103" t="s">
        <v>317</v>
      </c>
      <c r="F518" s="104" t="s">
        <v>318</v>
      </c>
      <c r="G518" s="109"/>
    </row>
    <row r="519" spans="1:7">
      <c r="A519" s="95"/>
      <c r="B519" s="823" t="str">
        <f>'MANO DE OBRA'!B11</f>
        <v>AYUDANTE CUAD. TIPO BB</v>
      </c>
      <c r="C519" s="824"/>
      <c r="D519" s="87">
        <v>1</v>
      </c>
      <c r="E519" s="80">
        <f>'MANO DE OBRA'!E11</f>
        <v>43077</v>
      </c>
      <c r="F519" s="81">
        <v>40</v>
      </c>
      <c r="G519" s="110">
        <f>ROUND(D519*E519/F519,0)</f>
        <v>1077</v>
      </c>
    </row>
    <row r="520" spans="1:7">
      <c r="A520" s="95"/>
      <c r="B520" s="835" t="str">
        <f>'MANO DE OBRA'!B16</f>
        <v>OFICIAL CUAD. TIPO BB</v>
      </c>
      <c r="C520" s="836"/>
      <c r="D520" s="37">
        <v>1</v>
      </c>
      <c r="E520" s="82">
        <f>'MANO DE OBRA'!E16</f>
        <v>78577</v>
      </c>
      <c r="F520" s="83">
        <v>4</v>
      </c>
      <c r="G520" s="111">
        <f>ROUND(D520*E520/F520,0)</f>
        <v>19644</v>
      </c>
    </row>
    <row r="521" spans="1:7">
      <c r="A521" s="95"/>
      <c r="B521" s="835"/>
      <c r="C521" s="836"/>
      <c r="D521" s="89"/>
      <c r="E521" s="82"/>
      <c r="F521" s="83"/>
      <c r="G521" s="111"/>
    </row>
    <row r="522" spans="1:7">
      <c r="A522" s="95"/>
      <c r="B522" s="835" t="s">
        <v>841</v>
      </c>
      <c r="C522" s="836"/>
      <c r="D522" s="37"/>
      <c r="E522" s="82"/>
      <c r="F522" s="83"/>
      <c r="G522" s="111"/>
    </row>
    <row r="523" spans="1:7" ht="13.5" thickBot="1">
      <c r="A523" s="95"/>
      <c r="B523" s="828" t="s">
        <v>841</v>
      </c>
      <c r="C523" s="829"/>
      <c r="D523" s="77"/>
      <c r="E523" s="82"/>
      <c r="F523" s="86"/>
      <c r="G523" s="112"/>
    </row>
    <row r="524" spans="1:7" ht="14.25" thickTop="1" thickBot="1">
      <c r="A524" s="95"/>
      <c r="B524" s="808"/>
      <c r="C524" s="808"/>
      <c r="D524" s="808"/>
      <c r="E524" s="809"/>
      <c r="F524" s="120" t="s">
        <v>856</v>
      </c>
      <c r="G524" s="118">
        <f>SUM(G519:G523)</f>
        <v>20721</v>
      </c>
    </row>
    <row r="525" spans="1:7" ht="14.25" thickTop="1" thickBot="1">
      <c r="A525" s="95"/>
      <c r="B525" s="810"/>
      <c r="C525" s="810"/>
      <c r="D525" s="810"/>
      <c r="E525" s="810"/>
      <c r="F525" s="810"/>
      <c r="G525" s="810"/>
    </row>
    <row r="526" spans="1:7" ht="13.5" thickTop="1">
      <c r="A526" s="95"/>
      <c r="B526" s="811" t="s">
        <v>321</v>
      </c>
      <c r="C526" s="812"/>
      <c r="D526" s="812"/>
      <c r="E526" s="812"/>
      <c r="F526" s="812"/>
      <c r="G526" s="825"/>
    </row>
    <row r="527" spans="1:7">
      <c r="A527" s="95"/>
      <c r="B527" s="817" t="s">
        <v>838</v>
      </c>
      <c r="C527" s="818"/>
      <c r="D527" s="98" t="s">
        <v>301</v>
      </c>
      <c r="E527" s="98" t="s">
        <v>297</v>
      </c>
      <c r="F527" s="99" t="s">
        <v>839</v>
      </c>
      <c r="G527" s="107" t="s">
        <v>840</v>
      </c>
    </row>
    <row r="528" spans="1:7">
      <c r="A528" s="95"/>
      <c r="B528" s="115"/>
      <c r="C528" s="102"/>
      <c r="D528" s="103" t="s">
        <v>322</v>
      </c>
      <c r="E528" s="103" t="s">
        <v>323</v>
      </c>
      <c r="F528" s="104" t="s">
        <v>324</v>
      </c>
      <c r="G528" s="109" t="s">
        <v>325</v>
      </c>
    </row>
    <row r="529" spans="1:8">
      <c r="A529" s="95"/>
      <c r="B529" s="826"/>
      <c r="C529" s="827"/>
      <c r="D529" s="96"/>
      <c r="E529" s="96"/>
      <c r="F529" s="96"/>
      <c r="G529" s="116"/>
    </row>
    <row r="530" spans="1:8" ht="13.5" thickBot="1">
      <c r="A530" s="95"/>
      <c r="B530" s="828" t="s">
        <v>841</v>
      </c>
      <c r="C530" s="829"/>
      <c r="D530" s="77"/>
      <c r="E530" s="82"/>
      <c r="F530" s="86"/>
      <c r="G530" s="112"/>
    </row>
    <row r="531" spans="1:8" ht="14.25" thickTop="1" thickBot="1">
      <c r="A531" s="95"/>
      <c r="B531" s="808"/>
      <c r="C531" s="808"/>
      <c r="D531" s="808"/>
      <c r="E531" s="809"/>
      <c r="F531" s="120" t="s">
        <v>856</v>
      </c>
      <c r="G531" s="118">
        <f>SUM(G526:G530)</f>
        <v>0</v>
      </c>
    </row>
    <row r="532" spans="1:8" ht="14.25" thickTop="1" thickBot="1">
      <c r="A532" s="95"/>
      <c r="B532" s="810"/>
      <c r="C532" s="810"/>
      <c r="D532" s="810"/>
      <c r="E532" s="810"/>
      <c r="F532" s="810"/>
      <c r="G532" s="834"/>
    </row>
    <row r="533" spans="1:8" ht="13.5" thickTop="1">
      <c r="A533" s="95"/>
      <c r="B533" s="811" t="s">
        <v>326</v>
      </c>
      <c r="C533" s="812"/>
      <c r="D533" s="812"/>
      <c r="E533" s="812"/>
      <c r="F533" s="813"/>
      <c r="G533" s="121">
        <f>+G497+G513+G524</f>
        <v>49913</v>
      </c>
    </row>
    <row r="534" spans="1:8">
      <c r="A534" s="95"/>
      <c r="B534" s="814" t="s">
        <v>861</v>
      </c>
      <c r="C534" s="815"/>
      <c r="D534" s="815"/>
      <c r="E534" s="816"/>
      <c r="F534" s="128">
        <f>'MANO DE OBRA'!D165</f>
        <v>0</v>
      </c>
      <c r="G534" s="122">
        <f>ROUND(G533*F534,0)</f>
        <v>0</v>
      </c>
    </row>
    <row r="535" spans="1:8" ht="13.5" thickBot="1">
      <c r="A535" s="95"/>
      <c r="B535" s="805" t="s">
        <v>1049</v>
      </c>
      <c r="C535" s="806"/>
      <c r="D535" s="806"/>
      <c r="E535" s="806"/>
      <c r="F535" s="807"/>
      <c r="G535" s="118">
        <f>ROUND(G533+G534,-2)</f>
        <v>49900</v>
      </c>
      <c r="H535" s="505" t="s">
        <v>1670</v>
      </c>
    </row>
    <row r="536" spans="1:8" ht="13.5" thickTop="1">
      <c r="A536" s="95"/>
      <c r="B536" s="90" t="s">
        <v>303</v>
      </c>
      <c r="C536" s="843"/>
      <c r="D536" s="843"/>
      <c r="E536" s="843"/>
      <c r="F536" s="92" t="s">
        <v>781</v>
      </c>
      <c r="G536" s="93" t="s">
        <v>370</v>
      </c>
    </row>
    <row r="537" spans="1:8">
      <c r="A537" s="95"/>
      <c r="B537" s="91" t="s">
        <v>834</v>
      </c>
      <c r="C537" s="844" t="s">
        <v>387</v>
      </c>
      <c r="D537" s="844"/>
      <c r="E537" s="844"/>
      <c r="F537" s="15" t="s">
        <v>833</v>
      </c>
      <c r="G537" s="165" t="str">
        <f>'MANO DE OBRA'!D61</f>
        <v>Agosto de 2010</v>
      </c>
    </row>
    <row r="538" spans="1:8" ht="13.5" thickBot="1">
      <c r="A538" s="127"/>
      <c r="B538" s="94" t="s">
        <v>835</v>
      </c>
      <c r="C538" s="845" t="s">
        <v>388</v>
      </c>
      <c r="D538" s="845"/>
      <c r="E538" s="845"/>
      <c r="F538" s="845"/>
      <c r="G538" s="846"/>
    </row>
    <row r="539" spans="1:8" ht="14.25" thickTop="1" thickBot="1">
      <c r="A539" s="95"/>
      <c r="B539" s="847"/>
      <c r="C539" s="847"/>
      <c r="D539" s="847"/>
      <c r="E539" s="847"/>
      <c r="F539" s="847"/>
      <c r="G539" s="847"/>
    </row>
    <row r="540" spans="1:8" ht="13.5" thickTop="1">
      <c r="A540" s="95"/>
      <c r="B540" s="811" t="s">
        <v>304</v>
      </c>
      <c r="C540" s="812"/>
      <c r="D540" s="812"/>
      <c r="E540" s="812"/>
      <c r="F540" s="812"/>
      <c r="G540" s="825"/>
    </row>
    <row r="541" spans="1:8">
      <c r="A541" s="95"/>
      <c r="B541" s="105"/>
      <c r="C541" s="97"/>
      <c r="D541" s="98" t="s">
        <v>301</v>
      </c>
      <c r="E541" s="98" t="s">
        <v>1072</v>
      </c>
      <c r="F541" s="99" t="s">
        <v>839</v>
      </c>
      <c r="G541" s="107" t="s">
        <v>840</v>
      </c>
    </row>
    <row r="542" spans="1:8">
      <c r="A542" s="95"/>
      <c r="B542" s="821" t="s">
        <v>838</v>
      </c>
      <c r="C542" s="822"/>
      <c r="D542" s="100" t="s">
        <v>308</v>
      </c>
      <c r="E542" s="100" t="s">
        <v>305</v>
      </c>
      <c r="F542" s="101" t="s">
        <v>306</v>
      </c>
      <c r="G542" s="108" t="s">
        <v>310</v>
      </c>
    </row>
    <row r="543" spans="1:8">
      <c r="A543" s="95"/>
      <c r="B543" s="115"/>
      <c r="C543" s="102"/>
      <c r="D543" s="103"/>
      <c r="E543" s="103" t="s">
        <v>309</v>
      </c>
      <c r="F543" s="104" t="s">
        <v>307</v>
      </c>
      <c r="G543" s="109"/>
    </row>
    <row r="544" spans="1:8">
      <c r="A544" s="127"/>
      <c r="B544" s="823" t="str">
        <f>'MAQUINARIA Y EQUIPOS'!C28</f>
        <v>HERRAMIENTAS MENORES</v>
      </c>
      <c r="C544" s="824"/>
      <c r="D544" s="87">
        <v>1</v>
      </c>
      <c r="E544" s="82">
        <f>ROUND(G577*0.05,0)</f>
        <v>921</v>
      </c>
      <c r="F544" s="81">
        <v>1</v>
      </c>
      <c r="G544" s="110">
        <f>ROUND(D544*E544/F544,0)</f>
        <v>921</v>
      </c>
    </row>
    <row r="545" spans="1:7">
      <c r="A545" s="95"/>
      <c r="B545" s="835"/>
      <c r="C545" s="836"/>
      <c r="D545" s="37"/>
      <c r="E545" s="82"/>
      <c r="F545" s="83"/>
      <c r="G545" s="111"/>
    </row>
    <row r="546" spans="1:7">
      <c r="A546" s="95"/>
      <c r="B546" s="835"/>
      <c r="C546" s="836"/>
      <c r="D546" s="89"/>
      <c r="E546" s="82"/>
      <c r="F546" s="83"/>
      <c r="G546" s="111"/>
    </row>
    <row r="547" spans="1:7">
      <c r="A547" s="95"/>
      <c r="B547" s="835"/>
      <c r="C547" s="836"/>
      <c r="D547" s="89"/>
      <c r="E547" s="82"/>
      <c r="F547" s="83"/>
      <c r="G547" s="111"/>
    </row>
    <row r="548" spans="1:7">
      <c r="A548" s="95"/>
      <c r="B548" s="835" t="s">
        <v>841</v>
      </c>
      <c r="C548" s="836"/>
      <c r="D548" s="37"/>
      <c r="E548" s="82"/>
      <c r="F548" s="83"/>
      <c r="G548" s="111"/>
    </row>
    <row r="549" spans="1:7" ht="13.5" thickBot="1">
      <c r="A549" s="95"/>
      <c r="B549" s="839" t="s">
        <v>841</v>
      </c>
      <c r="C549" s="840"/>
      <c r="D549" s="77"/>
      <c r="E549" s="106"/>
      <c r="F549" s="86"/>
      <c r="G549" s="112"/>
    </row>
    <row r="550" spans="1:7" ht="14.25" thickTop="1" thickBot="1">
      <c r="A550" s="95"/>
      <c r="B550" s="808"/>
      <c r="C550" s="808"/>
      <c r="D550" s="808"/>
      <c r="E550" s="809"/>
      <c r="F550" s="119" t="s">
        <v>856</v>
      </c>
      <c r="G550" s="118">
        <f>SUM(G544:G549)</f>
        <v>921</v>
      </c>
    </row>
    <row r="551" spans="1:7" ht="14.25" thickTop="1" thickBot="1">
      <c r="A551" s="95"/>
      <c r="B551" s="830"/>
      <c r="C551" s="830"/>
      <c r="D551" s="830"/>
      <c r="E551" s="830"/>
      <c r="F551" s="830"/>
      <c r="G551" s="830"/>
    </row>
    <row r="552" spans="1:7" ht="13.5" thickTop="1">
      <c r="A552" s="95"/>
      <c r="B552" s="811" t="s">
        <v>311</v>
      </c>
      <c r="C552" s="812"/>
      <c r="D552" s="812"/>
      <c r="E552" s="812"/>
      <c r="F552" s="812"/>
      <c r="G552" s="825"/>
    </row>
    <row r="553" spans="1:7">
      <c r="A553" s="95"/>
      <c r="B553" s="817" t="s">
        <v>838</v>
      </c>
      <c r="C553" s="818"/>
      <c r="D553" s="98" t="s">
        <v>842</v>
      </c>
      <c r="E553" s="98" t="s">
        <v>853</v>
      </c>
      <c r="F553" s="99" t="s">
        <v>1047</v>
      </c>
      <c r="G553" s="107" t="s">
        <v>840</v>
      </c>
    </row>
    <row r="554" spans="1:7">
      <c r="A554" s="95"/>
      <c r="B554" s="115"/>
      <c r="C554" s="102"/>
      <c r="D554" s="100"/>
      <c r="E554" s="100" t="s">
        <v>312</v>
      </c>
      <c r="F554" s="101" t="s">
        <v>313</v>
      </c>
      <c r="G554" s="108" t="s">
        <v>314</v>
      </c>
    </row>
    <row r="555" spans="1:7">
      <c r="A555" s="125"/>
      <c r="B555" s="841" t="str">
        <f>MATERIALES2!C704</f>
        <v>SOLDADURA PVC ¼</v>
      </c>
      <c r="C555" s="842"/>
      <c r="D555" s="87" t="s">
        <v>865</v>
      </c>
      <c r="E555" s="142">
        <v>0.05</v>
      </c>
      <c r="F555" s="80">
        <f>MATERIALES2!E704</f>
        <v>56298</v>
      </c>
      <c r="G555" s="110">
        <f>ROUND(E555*F555,0)</f>
        <v>2815</v>
      </c>
    </row>
    <row r="556" spans="1:7">
      <c r="A556" s="123"/>
      <c r="B556" s="854" t="str">
        <f>MATERIALES2!C590</f>
        <v>TUBO PVC PRESION 2" x 6.0 M</v>
      </c>
      <c r="C556" s="855"/>
      <c r="D556" s="37" t="s">
        <v>865</v>
      </c>
      <c r="E556" s="83">
        <v>0.33</v>
      </c>
      <c r="F556" s="82">
        <f>MATERIALES2!E590</f>
        <v>35000</v>
      </c>
      <c r="G556" s="111">
        <f>ROUND(E556*F556,0)</f>
        <v>11550</v>
      </c>
    </row>
    <row r="557" spans="1:7">
      <c r="A557" s="123"/>
      <c r="B557" s="854" t="str">
        <f>MATERIALES2!C679</f>
        <v>CODO PRESION 2"</v>
      </c>
      <c r="C557" s="855"/>
      <c r="D557" s="37" t="s">
        <v>865</v>
      </c>
      <c r="E557" s="83">
        <v>2</v>
      </c>
      <c r="F557" s="82">
        <f>MATERIALES2!E679</f>
        <v>3600</v>
      </c>
      <c r="G557" s="111">
        <f>ROUND(E557*F557,0)</f>
        <v>7200</v>
      </c>
    </row>
    <row r="558" spans="1:7">
      <c r="A558" s="123"/>
      <c r="B558" s="854"/>
      <c r="C558" s="855"/>
      <c r="D558" s="37"/>
      <c r="E558" s="83"/>
      <c r="F558" s="82"/>
      <c r="G558" s="111"/>
    </row>
    <row r="559" spans="1:7">
      <c r="A559" s="123"/>
      <c r="B559" s="854"/>
      <c r="C559" s="855"/>
      <c r="D559" s="37"/>
      <c r="E559" s="83"/>
      <c r="F559" s="82"/>
      <c r="G559" s="111"/>
    </row>
    <row r="560" spans="1:7">
      <c r="A560" s="95"/>
      <c r="B560" s="938"/>
      <c r="C560" s="939"/>
      <c r="D560" s="53" t="s">
        <v>841</v>
      </c>
      <c r="E560" s="53"/>
      <c r="F560" s="82"/>
      <c r="G560" s="111"/>
    </row>
    <row r="561" spans="1:8">
      <c r="A561" s="95"/>
      <c r="B561" s="837" t="s">
        <v>841</v>
      </c>
      <c r="C561" s="838"/>
      <c r="D561" s="53" t="s">
        <v>841</v>
      </c>
      <c r="E561" s="53"/>
      <c r="F561" s="82"/>
      <c r="G561" s="111"/>
    </row>
    <row r="562" spans="1:8">
      <c r="A562" s="95"/>
      <c r="B562" s="837" t="s">
        <v>841</v>
      </c>
      <c r="C562" s="838"/>
      <c r="D562" s="53" t="s">
        <v>841</v>
      </c>
      <c r="E562" s="53"/>
      <c r="F562" s="82"/>
      <c r="G562" s="111"/>
      <c r="H562" s="505" t="s">
        <v>1670</v>
      </c>
    </row>
    <row r="563" spans="1:8" ht="13.5" thickBot="1">
      <c r="A563" s="95"/>
      <c r="B563" s="839" t="s">
        <v>841</v>
      </c>
      <c r="C563" s="840"/>
      <c r="D563" s="84" t="s">
        <v>841</v>
      </c>
      <c r="E563" s="84"/>
      <c r="F563" s="85"/>
      <c r="G563" s="112"/>
    </row>
    <row r="564" spans="1:8" ht="13.5" thickTop="1">
      <c r="A564" s="95"/>
      <c r="B564" s="808"/>
      <c r="C564" s="809"/>
      <c r="D564" s="801" t="s">
        <v>856</v>
      </c>
      <c r="E564" s="802"/>
      <c r="F564" s="9"/>
      <c r="G564" s="113">
        <f>SUM(G555:G563)</f>
        <v>21565</v>
      </c>
    </row>
    <row r="565" spans="1:8">
      <c r="A565" s="95"/>
      <c r="B565" s="819"/>
      <c r="C565" s="820"/>
      <c r="D565" s="801" t="s">
        <v>857</v>
      </c>
      <c r="E565" s="802"/>
      <c r="F565" s="79">
        <f>'MANO DE OBRA'!D60</f>
        <v>0.05</v>
      </c>
      <c r="G565" s="113">
        <f>ROUND(G564*F565,0)</f>
        <v>1078</v>
      </c>
    </row>
    <row r="566" spans="1:8" ht="13.5" thickBot="1">
      <c r="A566" s="95"/>
      <c r="B566" s="819"/>
      <c r="C566" s="820"/>
      <c r="D566" s="803" t="s">
        <v>320</v>
      </c>
      <c r="E566" s="804"/>
      <c r="F566" s="114"/>
      <c r="G566" s="118">
        <f>+G564+G565</f>
        <v>22643</v>
      </c>
    </row>
    <row r="567" spans="1:8" ht="14.25" thickTop="1" thickBot="1">
      <c r="A567" s="95"/>
      <c r="B567" s="830"/>
      <c r="C567" s="830"/>
      <c r="D567" s="830"/>
      <c r="E567" s="830"/>
      <c r="F567" s="830"/>
      <c r="G567" s="830"/>
    </row>
    <row r="568" spans="1:8" ht="13.5" thickTop="1">
      <c r="A568" s="95"/>
      <c r="B568" s="811" t="s">
        <v>858</v>
      </c>
      <c r="C568" s="812"/>
      <c r="D568" s="812"/>
      <c r="E568" s="812"/>
      <c r="F568" s="812"/>
      <c r="G568" s="825"/>
    </row>
    <row r="569" spans="1:8">
      <c r="A569" s="95"/>
      <c r="B569" s="817"/>
      <c r="C569" s="818"/>
      <c r="D569" s="98" t="s">
        <v>301</v>
      </c>
      <c r="E569" s="98" t="s">
        <v>859</v>
      </c>
      <c r="F569" s="99" t="s">
        <v>839</v>
      </c>
      <c r="G569" s="107" t="s">
        <v>840</v>
      </c>
    </row>
    <row r="570" spans="1:8">
      <c r="A570" s="95"/>
      <c r="B570" s="821" t="s">
        <v>838</v>
      </c>
      <c r="C570" s="822"/>
      <c r="D570" s="100" t="s">
        <v>316</v>
      </c>
      <c r="E570" s="100" t="s">
        <v>315</v>
      </c>
      <c r="F570" s="101" t="s">
        <v>306</v>
      </c>
      <c r="G570" s="108" t="s">
        <v>319</v>
      </c>
    </row>
    <row r="571" spans="1:8">
      <c r="A571" s="95"/>
      <c r="B571" s="115"/>
      <c r="C571" s="102"/>
      <c r="D571" s="103"/>
      <c r="E571" s="103" t="s">
        <v>317</v>
      </c>
      <c r="F571" s="104" t="s">
        <v>318</v>
      </c>
      <c r="G571" s="109"/>
    </row>
    <row r="572" spans="1:8">
      <c r="A572" s="95"/>
      <c r="B572" s="823" t="str">
        <f>'MANO DE OBRA'!B11</f>
        <v>AYUDANTE CUAD. TIPO BB</v>
      </c>
      <c r="C572" s="824"/>
      <c r="D572" s="87">
        <v>1</v>
      </c>
      <c r="E572" s="80">
        <f>'MANO DE OBRA'!E11</f>
        <v>43077</v>
      </c>
      <c r="F572" s="81">
        <v>45</v>
      </c>
      <c r="G572" s="110">
        <f>ROUND(D572*E572/F572,0)</f>
        <v>957</v>
      </c>
    </row>
    <row r="573" spans="1:8">
      <c r="A573" s="95"/>
      <c r="B573" s="835" t="str">
        <f>'MANO DE OBRA'!B16</f>
        <v>OFICIAL CUAD. TIPO BB</v>
      </c>
      <c r="C573" s="836"/>
      <c r="D573" s="37">
        <v>1</v>
      </c>
      <c r="E573" s="82">
        <f>'MANO DE OBRA'!E16</f>
        <v>78577</v>
      </c>
      <c r="F573" s="83">
        <v>4.5</v>
      </c>
      <c r="G573" s="111">
        <f>ROUND(D573*E573/F573,0)</f>
        <v>17462</v>
      </c>
    </row>
    <row r="574" spans="1:8">
      <c r="A574" s="95"/>
      <c r="B574" s="835"/>
      <c r="C574" s="836"/>
      <c r="D574" s="89"/>
      <c r="E574" s="82"/>
      <c r="F574" s="83"/>
      <c r="G574" s="111"/>
    </row>
    <row r="575" spans="1:8">
      <c r="A575" s="95"/>
      <c r="B575" s="835" t="s">
        <v>841</v>
      </c>
      <c r="C575" s="836"/>
      <c r="D575" s="37"/>
      <c r="E575" s="82"/>
      <c r="F575" s="83"/>
      <c r="G575" s="111"/>
    </row>
    <row r="576" spans="1:8" ht="13.5" thickBot="1">
      <c r="A576" s="95"/>
      <c r="B576" s="828" t="s">
        <v>841</v>
      </c>
      <c r="C576" s="829"/>
      <c r="D576" s="77"/>
      <c r="E576" s="82"/>
      <c r="F576" s="86"/>
      <c r="G576" s="112"/>
    </row>
    <row r="577" spans="1:8" ht="14.25" thickTop="1" thickBot="1">
      <c r="A577" s="95"/>
      <c r="B577" s="808"/>
      <c r="C577" s="808"/>
      <c r="D577" s="808"/>
      <c r="E577" s="809"/>
      <c r="F577" s="120" t="s">
        <v>856</v>
      </c>
      <c r="G577" s="118">
        <f>SUM(G572:G576)</f>
        <v>18419</v>
      </c>
    </row>
    <row r="578" spans="1:8" ht="14.25" thickTop="1" thickBot="1">
      <c r="A578" s="95"/>
      <c r="B578" s="810"/>
      <c r="C578" s="810"/>
      <c r="D578" s="810"/>
      <c r="E578" s="810"/>
      <c r="F578" s="810"/>
      <c r="G578" s="810"/>
    </row>
    <row r="579" spans="1:8" ht="13.5" thickTop="1">
      <c r="A579" s="95"/>
      <c r="B579" s="811" t="s">
        <v>321</v>
      </c>
      <c r="C579" s="812"/>
      <c r="D579" s="812"/>
      <c r="E579" s="812"/>
      <c r="F579" s="812"/>
      <c r="G579" s="825"/>
    </row>
    <row r="580" spans="1:8">
      <c r="A580" s="95"/>
      <c r="B580" s="817" t="s">
        <v>838</v>
      </c>
      <c r="C580" s="818"/>
      <c r="D580" s="98" t="s">
        <v>301</v>
      </c>
      <c r="E580" s="98" t="s">
        <v>297</v>
      </c>
      <c r="F580" s="99" t="s">
        <v>839</v>
      </c>
      <c r="G580" s="107" t="s">
        <v>840</v>
      </c>
    </row>
    <row r="581" spans="1:8">
      <c r="A581" s="95"/>
      <c r="B581" s="115"/>
      <c r="C581" s="102"/>
      <c r="D581" s="103" t="s">
        <v>322</v>
      </c>
      <c r="E581" s="103" t="s">
        <v>323</v>
      </c>
      <c r="F581" s="104" t="s">
        <v>324</v>
      </c>
      <c r="G581" s="109" t="s">
        <v>325</v>
      </c>
    </row>
    <row r="582" spans="1:8">
      <c r="A582" s="95"/>
      <c r="B582" s="826"/>
      <c r="C582" s="827"/>
      <c r="D582" s="96"/>
      <c r="E582" s="96"/>
      <c r="F582" s="96"/>
      <c r="G582" s="116"/>
    </row>
    <row r="583" spans="1:8" ht="13.5" thickBot="1">
      <c r="A583" s="95"/>
      <c r="B583" s="828" t="s">
        <v>841</v>
      </c>
      <c r="C583" s="829"/>
      <c r="D583" s="77"/>
      <c r="E583" s="82"/>
      <c r="F583" s="86"/>
      <c r="G583" s="112"/>
    </row>
    <row r="584" spans="1:8" ht="14.25" thickTop="1" thickBot="1">
      <c r="A584" s="95"/>
      <c r="B584" s="808"/>
      <c r="C584" s="808"/>
      <c r="D584" s="808"/>
      <c r="E584" s="809"/>
      <c r="F584" s="120" t="s">
        <v>856</v>
      </c>
      <c r="G584" s="118">
        <f>SUM(G579:G583)</f>
        <v>0</v>
      </c>
    </row>
    <row r="585" spans="1:8" ht="14.25" thickTop="1" thickBot="1">
      <c r="A585" s="95"/>
      <c r="B585" s="810"/>
      <c r="C585" s="810"/>
      <c r="D585" s="810"/>
      <c r="E585" s="810"/>
      <c r="F585" s="810"/>
      <c r="G585" s="834"/>
    </row>
    <row r="586" spans="1:8" ht="13.5" thickTop="1">
      <c r="A586" s="95"/>
      <c r="B586" s="811" t="s">
        <v>326</v>
      </c>
      <c r="C586" s="812"/>
      <c r="D586" s="812"/>
      <c r="E586" s="812"/>
      <c r="F586" s="813"/>
      <c r="G586" s="121">
        <f>+G550+G566+G577</f>
        <v>41983</v>
      </c>
    </row>
    <row r="587" spans="1:8">
      <c r="A587" s="95"/>
      <c r="B587" s="814" t="s">
        <v>861</v>
      </c>
      <c r="C587" s="815"/>
      <c r="D587" s="815"/>
      <c r="E587" s="816"/>
      <c r="F587" s="128">
        <f>'MANO DE OBRA'!D218</f>
        <v>0</v>
      </c>
      <c r="G587" s="122">
        <f>ROUND(G586*F587,0)</f>
        <v>0</v>
      </c>
    </row>
    <row r="588" spans="1:8" ht="13.5" thickBot="1">
      <c r="A588" s="95"/>
      <c r="B588" s="805" t="s">
        <v>1049</v>
      </c>
      <c r="C588" s="806"/>
      <c r="D588" s="806"/>
      <c r="E588" s="806"/>
      <c r="F588" s="807"/>
      <c r="G588" s="118">
        <f>ROUND(G586+G587,-2)</f>
        <v>42000</v>
      </c>
      <c r="H588" s="505" t="s">
        <v>1670</v>
      </c>
    </row>
    <row r="589" spans="1:8" ht="13.5" thickTop="1">
      <c r="A589" s="95"/>
      <c r="B589" s="90" t="s">
        <v>303</v>
      </c>
      <c r="C589" s="843"/>
      <c r="D589" s="843"/>
      <c r="E589" s="843"/>
      <c r="F589" s="92" t="s">
        <v>781</v>
      </c>
      <c r="G589" s="93" t="s">
        <v>831</v>
      </c>
    </row>
    <row r="590" spans="1:8">
      <c r="A590" s="95"/>
      <c r="B590" s="91" t="s">
        <v>834</v>
      </c>
      <c r="C590" s="844" t="s">
        <v>382</v>
      </c>
      <c r="D590" s="844"/>
      <c r="E590" s="844"/>
      <c r="F590" s="15" t="s">
        <v>833</v>
      </c>
      <c r="G590" s="165" t="str">
        <f>'MANO DE OBRA'!D61</f>
        <v>Agosto de 2010</v>
      </c>
    </row>
    <row r="591" spans="1:8" ht="13.5" thickBot="1">
      <c r="A591" s="127"/>
      <c r="B591" s="94" t="s">
        <v>835</v>
      </c>
      <c r="C591" s="845" t="s">
        <v>1501</v>
      </c>
      <c r="D591" s="845"/>
      <c r="E591" s="845"/>
      <c r="F591" s="845"/>
      <c r="G591" s="846"/>
    </row>
    <row r="592" spans="1:8" ht="14.25" thickTop="1" thickBot="1">
      <c r="A592" s="95"/>
      <c r="B592" s="847"/>
      <c r="C592" s="847"/>
      <c r="D592" s="847"/>
      <c r="E592" s="847"/>
      <c r="F592" s="847"/>
      <c r="G592" s="847"/>
    </row>
    <row r="593" spans="1:11" ht="13.5" thickTop="1">
      <c r="A593" s="95"/>
      <c r="B593" s="811" t="s">
        <v>304</v>
      </c>
      <c r="C593" s="812"/>
      <c r="D593" s="812"/>
      <c r="E593" s="812"/>
      <c r="F593" s="812"/>
      <c r="G593" s="825"/>
    </row>
    <row r="594" spans="1:11">
      <c r="A594" s="95"/>
      <c r="B594" s="105"/>
      <c r="C594" s="97"/>
      <c r="D594" s="98" t="s">
        <v>301</v>
      </c>
      <c r="E594" s="98" t="s">
        <v>1072</v>
      </c>
      <c r="F594" s="99" t="s">
        <v>839</v>
      </c>
      <c r="G594" s="107" t="s">
        <v>840</v>
      </c>
    </row>
    <row r="595" spans="1:11">
      <c r="A595" s="95"/>
      <c r="B595" s="821" t="s">
        <v>838</v>
      </c>
      <c r="C595" s="822"/>
      <c r="D595" s="100" t="s">
        <v>308</v>
      </c>
      <c r="E595" s="100" t="s">
        <v>305</v>
      </c>
      <c r="F595" s="101" t="s">
        <v>306</v>
      </c>
      <c r="G595" s="108" t="s">
        <v>310</v>
      </c>
    </row>
    <row r="596" spans="1:11">
      <c r="A596" s="95"/>
      <c r="B596" s="115"/>
      <c r="C596" s="102"/>
      <c r="D596" s="103"/>
      <c r="E596" s="103" t="s">
        <v>309</v>
      </c>
      <c r="F596" s="104" t="s">
        <v>307</v>
      </c>
      <c r="G596" s="109"/>
    </row>
    <row r="597" spans="1:11">
      <c r="A597" s="127"/>
      <c r="B597" s="823" t="str">
        <f>'MAQUINARIA Y EQUIPOS'!C28</f>
        <v>HERRAMIENTAS MENORES</v>
      </c>
      <c r="C597" s="824"/>
      <c r="D597" s="87">
        <v>1</v>
      </c>
      <c r="E597" s="82">
        <f>ROUND(G630*0.05,0)</f>
        <v>380</v>
      </c>
      <c r="F597" s="81">
        <v>1</v>
      </c>
      <c r="G597" s="110">
        <f>ROUND(D597*E597/F597,0)</f>
        <v>380</v>
      </c>
    </row>
    <row r="598" spans="1:11">
      <c r="A598" s="95"/>
      <c r="B598" s="835"/>
      <c r="C598" s="836"/>
      <c r="D598" s="37"/>
      <c r="E598" s="82"/>
      <c r="F598" s="83"/>
      <c r="G598" s="111"/>
    </row>
    <row r="599" spans="1:11">
      <c r="A599" s="95"/>
      <c r="B599" s="835"/>
      <c r="C599" s="836"/>
      <c r="D599" s="37"/>
      <c r="E599" s="82"/>
      <c r="F599" s="83"/>
      <c r="G599" s="111"/>
    </row>
    <row r="600" spans="1:11">
      <c r="A600" s="95"/>
      <c r="B600" s="835"/>
      <c r="C600" s="836"/>
      <c r="D600" s="37"/>
      <c r="E600" s="82"/>
      <c r="F600" s="83"/>
      <c r="G600" s="111"/>
    </row>
    <row r="601" spans="1:11">
      <c r="A601" s="95"/>
      <c r="B601" s="835"/>
      <c r="C601" s="836"/>
      <c r="D601" s="37"/>
      <c r="E601" s="82"/>
      <c r="F601" s="83"/>
      <c r="G601" s="111"/>
    </row>
    <row r="602" spans="1:11" ht="13.5" thickBot="1">
      <c r="A602" s="95"/>
      <c r="B602" s="835"/>
      <c r="C602" s="836"/>
      <c r="D602" s="77"/>
      <c r="E602" s="82"/>
      <c r="F602" s="86"/>
      <c r="G602" s="111"/>
    </row>
    <row r="603" spans="1:11" ht="14.25" thickTop="1" thickBot="1">
      <c r="A603" s="95"/>
      <c r="B603" s="808"/>
      <c r="C603" s="808"/>
      <c r="D603" s="808"/>
      <c r="E603" s="809"/>
      <c r="F603" s="119" t="s">
        <v>856</v>
      </c>
      <c r="G603" s="118">
        <f>SUM(G597:G602)</f>
        <v>380</v>
      </c>
    </row>
    <row r="604" spans="1:11" ht="14.25" thickTop="1" thickBot="1">
      <c r="A604" s="95"/>
      <c r="B604" s="830"/>
      <c r="C604" s="830"/>
      <c r="D604" s="830"/>
      <c r="E604" s="830"/>
      <c r="F604" s="830"/>
      <c r="G604" s="830"/>
    </row>
    <row r="605" spans="1:11" ht="13.5" thickTop="1">
      <c r="A605" s="95"/>
      <c r="B605" s="811" t="s">
        <v>311</v>
      </c>
      <c r="C605" s="812"/>
      <c r="D605" s="812"/>
      <c r="E605" s="812"/>
      <c r="F605" s="812"/>
      <c r="G605" s="825"/>
    </row>
    <row r="606" spans="1:11">
      <c r="A606" s="95"/>
      <c r="B606" s="817" t="s">
        <v>838</v>
      </c>
      <c r="C606" s="818"/>
      <c r="D606" s="98" t="s">
        <v>842</v>
      </c>
      <c r="E606" s="98" t="s">
        <v>853</v>
      </c>
      <c r="F606" s="99" t="s">
        <v>1047</v>
      </c>
      <c r="G606" s="107" t="s">
        <v>840</v>
      </c>
      <c r="I606" s="969"/>
      <c r="J606" s="969"/>
      <c r="K606" s="969"/>
    </row>
    <row r="607" spans="1:11">
      <c r="A607" s="95"/>
      <c r="B607" s="115"/>
      <c r="C607" s="102"/>
      <c r="D607" s="100"/>
      <c r="E607" s="100" t="s">
        <v>312</v>
      </c>
      <c r="F607" s="101" t="s">
        <v>313</v>
      </c>
      <c r="G607" s="108" t="s">
        <v>314</v>
      </c>
      <c r="I607" s="969"/>
      <c r="J607" s="969"/>
      <c r="K607" s="969"/>
    </row>
    <row r="608" spans="1:11">
      <c r="A608" s="125"/>
      <c r="B608" s="841" t="str">
        <f>MATERIALES2!C599</f>
        <v>TUBO PVC SANITARIO 2"x 6.0 M</v>
      </c>
      <c r="C608" s="842"/>
      <c r="D608" s="87" t="s">
        <v>865</v>
      </c>
      <c r="E608" s="81">
        <v>0.2</v>
      </c>
      <c r="F608" s="80">
        <f>MATERIALES2!E599</f>
        <v>53425</v>
      </c>
      <c r="G608" s="110">
        <f>ROUND(E608*F608,0)</f>
        <v>10685</v>
      </c>
      <c r="I608" s="969"/>
      <c r="J608" s="969"/>
      <c r="K608" s="969"/>
    </row>
    <row r="609" spans="1:11">
      <c r="A609" s="123"/>
      <c r="B609" s="854" t="str">
        <f>MATERIALES2!C793</f>
        <v>CODO SANITARIO 90ºx3"</v>
      </c>
      <c r="C609" s="855"/>
      <c r="D609" s="37" t="s">
        <v>865</v>
      </c>
      <c r="E609" s="83">
        <v>0.1</v>
      </c>
      <c r="F609" s="82">
        <f>MATERIALES2!E793</f>
        <v>5060</v>
      </c>
      <c r="G609" s="111">
        <f>ROUND(E609*F609,0)</f>
        <v>506</v>
      </c>
      <c r="I609" s="969"/>
      <c r="J609" s="969"/>
      <c r="K609" s="969"/>
    </row>
    <row r="610" spans="1:11">
      <c r="A610" s="95"/>
      <c r="B610" s="854" t="str">
        <f>MATERIALES2!C704</f>
        <v>SOLDADURA PVC ¼</v>
      </c>
      <c r="C610" s="855"/>
      <c r="D610" s="37" t="s">
        <v>865</v>
      </c>
      <c r="E610" s="83">
        <v>0.03</v>
      </c>
      <c r="F610" s="82">
        <f>MATERIALES2!E704</f>
        <v>56298</v>
      </c>
      <c r="G610" s="111">
        <f>ROUND(E610*F610,0)</f>
        <v>1689</v>
      </c>
      <c r="I610" s="969"/>
      <c r="J610" s="969"/>
      <c r="K610" s="969"/>
    </row>
    <row r="611" spans="1:11">
      <c r="A611" s="95"/>
      <c r="B611" s="854"/>
      <c r="C611" s="855"/>
      <c r="D611" s="37"/>
      <c r="E611" s="83"/>
      <c r="F611" s="82"/>
      <c r="G611" s="111"/>
    </row>
    <row r="612" spans="1:11">
      <c r="A612" s="95"/>
      <c r="B612" s="854"/>
      <c r="C612" s="855"/>
      <c r="D612" s="37"/>
      <c r="E612" s="83"/>
      <c r="F612" s="82"/>
      <c r="G612" s="111"/>
    </row>
    <row r="613" spans="1:11">
      <c r="A613" s="95"/>
      <c r="B613" s="938"/>
      <c r="C613" s="939"/>
      <c r="D613" s="53" t="s">
        <v>841</v>
      </c>
      <c r="E613" s="53"/>
      <c r="F613" s="82"/>
      <c r="G613" s="111"/>
    </row>
    <row r="614" spans="1:11">
      <c r="A614" s="95"/>
      <c r="B614" s="938" t="s">
        <v>841</v>
      </c>
      <c r="C614" s="939"/>
      <c r="D614" s="53" t="s">
        <v>841</v>
      </c>
      <c r="E614" s="53"/>
      <c r="F614" s="82"/>
      <c r="G614" s="111"/>
    </row>
    <row r="615" spans="1:11">
      <c r="A615" s="95"/>
      <c r="B615" s="938" t="s">
        <v>841</v>
      </c>
      <c r="C615" s="939"/>
      <c r="D615" s="53" t="s">
        <v>841</v>
      </c>
      <c r="E615" s="53"/>
      <c r="F615" s="82"/>
      <c r="G615" s="111"/>
      <c r="H615" s="505" t="s">
        <v>1670</v>
      </c>
    </row>
    <row r="616" spans="1:11" ht="13.5" thickBot="1">
      <c r="A616" s="95"/>
      <c r="B616" s="942" t="s">
        <v>841</v>
      </c>
      <c r="C616" s="943"/>
      <c r="D616" s="84" t="s">
        <v>841</v>
      </c>
      <c r="E616" s="84"/>
      <c r="F616" s="85"/>
      <c r="G616" s="112"/>
    </row>
    <row r="617" spans="1:11" ht="13.5" thickTop="1">
      <c r="A617" s="95"/>
      <c r="B617" s="808"/>
      <c r="C617" s="809"/>
      <c r="D617" s="801" t="s">
        <v>856</v>
      </c>
      <c r="E617" s="802"/>
      <c r="F617" s="9"/>
      <c r="G617" s="113">
        <f>SUM(G608:G616)</f>
        <v>12880</v>
      </c>
    </row>
    <row r="618" spans="1:11">
      <c r="A618" s="95"/>
      <c r="B618" s="819"/>
      <c r="C618" s="820"/>
      <c r="D618" s="801" t="s">
        <v>857</v>
      </c>
      <c r="E618" s="802"/>
      <c r="F618" s="79">
        <f>'MANO DE OBRA'!D537</f>
        <v>0</v>
      </c>
      <c r="G618" s="113">
        <f>ROUND(G617*F618,0)</f>
        <v>0</v>
      </c>
    </row>
    <row r="619" spans="1:11" ht="13.5" thickBot="1">
      <c r="A619" s="95"/>
      <c r="B619" s="819"/>
      <c r="C619" s="820"/>
      <c r="D619" s="803" t="s">
        <v>320</v>
      </c>
      <c r="E619" s="804"/>
      <c r="F619" s="114"/>
      <c r="G619" s="118">
        <f>+G617+G618</f>
        <v>12880</v>
      </c>
    </row>
    <row r="620" spans="1:11" ht="14.25" thickTop="1" thickBot="1">
      <c r="A620" s="95"/>
      <c r="B620" s="830"/>
      <c r="C620" s="830"/>
      <c r="D620" s="830"/>
      <c r="E620" s="830"/>
      <c r="F620" s="830"/>
      <c r="G620" s="830"/>
    </row>
    <row r="621" spans="1:11" ht="13.5" thickTop="1">
      <c r="A621" s="95"/>
      <c r="B621" s="811" t="s">
        <v>858</v>
      </c>
      <c r="C621" s="812"/>
      <c r="D621" s="812"/>
      <c r="E621" s="812"/>
      <c r="F621" s="812"/>
      <c r="G621" s="825"/>
    </row>
    <row r="622" spans="1:11">
      <c r="A622" s="95"/>
      <c r="B622" s="817"/>
      <c r="C622" s="818"/>
      <c r="D622" s="98" t="s">
        <v>301</v>
      </c>
      <c r="E622" s="98" t="s">
        <v>859</v>
      </c>
      <c r="F622" s="99" t="s">
        <v>839</v>
      </c>
      <c r="G622" s="107" t="s">
        <v>840</v>
      </c>
    </row>
    <row r="623" spans="1:11">
      <c r="A623" s="95"/>
      <c r="B623" s="821" t="s">
        <v>838</v>
      </c>
      <c r="C623" s="822"/>
      <c r="D623" s="100" t="s">
        <v>316</v>
      </c>
      <c r="E623" s="100" t="s">
        <v>315</v>
      </c>
      <c r="F623" s="101" t="s">
        <v>306</v>
      </c>
      <c r="G623" s="108" t="s">
        <v>319</v>
      </c>
    </row>
    <row r="624" spans="1:11">
      <c r="A624" s="95"/>
      <c r="B624" s="115"/>
      <c r="C624" s="102"/>
      <c r="D624" s="103"/>
      <c r="E624" s="103" t="s">
        <v>317</v>
      </c>
      <c r="F624" s="104" t="s">
        <v>318</v>
      </c>
      <c r="G624" s="109"/>
    </row>
    <row r="625" spans="1:7">
      <c r="A625" s="95"/>
      <c r="B625" s="823" t="str">
        <f>'MANO DE OBRA'!B11</f>
        <v>AYUDANTE CUAD. TIPO BB</v>
      </c>
      <c r="C625" s="824"/>
      <c r="D625" s="87">
        <v>1</v>
      </c>
      <c r="E625" s="80">
        <f>'MANO DE OBRA'!E11</f>
        <v>43077</v>
      </c>
      <c r="F625" s="81">
        <v>16</v>
      </c>
      <c r="G625" s="110">
        <f>ROUND(D625*E625/F625,0)</f>
        <v>2692</v>
      </c>
    </row>
    <row r="626" spans="1:7">
      <c r="A626" s="95"/>
      <c r="B626" s="835" t="str">
        <f>'MANO DE OBRA'!B16</f>
        <v>OFICIAL CUAD. TIPO BB</v>
      </c>
      <c r="C626" s="836"/>
      <c r="D626" s="37">
        <v>1</v>
      </c>
      <c r="E626" s="82">
        <f>'MANO DE OBRA'!E16</f>
        <v>78577</v>
      </c>
      <c r="F626" s="83">
        <v>16</v>
      </c>
      <c r="G626" s="111">
        <f>ROUND(D626*E626/F626,0)</f>
        <v>4911</v>
      </c>
    </row>
    <row r="627" spans="1:7">
      <c r="A627" s="95"/>
      <c r="B627" s="835"/>
      <c r="C627" s="836"/>
      <c r="D627" s="89"/>
      <c r="E627" s="82"/>
      <c r="F627" s="83"/>
      <c r="G627" s="111"/>
    </row>
    <row r="628" spans="1:7">
      <c r="A628" s="95"/>
      <c r="B628" s="835" t="s">
        <v>841</v>
      </c>
      <c r="C628" s="836"/>
      <c r="D628" s="37"/>
      <c r="E628" s="82"/>
      <c r="F628" s="83"/>
      <c r="G628" s="111"/>
    </row>
    <row r="629" spans="1:7" ht="13.5" thickBot="1">
      <c r="A629" s="95"/>
      <c r="B629" s="828" t="s">
        <v>841</v>
      </c>
      <c r="C629" s="829"/>
      <c r="D629" s="77"/>
      <c r="E629" s="82"/>
      <c r="F629" s="86"/>
      <c r="G629" s="112"/>
    </row>
    <row r="630" spans="1:7" ht="14.25" thickTop="1" thickBot="1">
      <c r="A630" s="95"/>
      <c r="B630" s="808"/>
      <c r="C630" s="808"/>
      <c r="D630" s="808"/>
      <c r="E630" s="809"/>
      <c r="F630" s="120" t="s">
        <v>856</v>
      </c>
      <c r="G630" s="118">
        <f>SUM(G625:G629)</f>
        <v>7603</v>
      </c>
    </row>
    <row r="631" spans="1:7" ht="14.25" thickTop="1" thickBot="1">
      <c r="A631" s="95"/>
      <c r="B631" s="810"/>
      <c r="C631" s="810"/>
      <c r="D631" s="810"/>
      <c r="E631" s="810"/>
      <c r="F631" s="810"/>
      <c r="G631" s="810"/>
    </row>
    <row r="632" spans="1:7" ht="13.5" thickTop="1">
      <c r="A632" s="95"/>
      <c r="B632" s="811" t="s">
        <v>321</v>
      </c>
      <c r="C632" s="812"/>
      <c r="D632" s="812"/>
      <c r="E632" s="812"/>
      <c r="F632" s="812"/>
      <c r="G632" s="825"/>
    </row>
    <row r="633" spans="1:7">
      <c r="A633" s="95"/>
      <c r="B633" s="817" t="s">
        <v>838</v>
      </c>
      <c r="C633" s="818"/>
      <c r="D633" s="98" t="s">
        <v>301</v>
      </c>
      <c r="E633" s="98" t="s">
        <v>297</v>
      </c>
      <c r="F633" s="99" t="s">
        <v>839</v>
      </c>
      <c r="G633" s="107" t="s">
        <v>840</v>
      </c>
    </row>
    <row r="634" spans="1:7">
      <c r="A634" s="95"/>
      <c r="B634" s="115"/>
      <c r="C634" s="102"/>
      <c r="D634" s="103" t="s">
        <v>322</v>
      </c>
      <c r="E634" s="103" t="s">
        <v>323</v>
      </c>
      <c r="F634" s="104" t="s">
        <v>324</v>
      </c>
      <c r="G634" s="109" t="s">
        <v>325</v>
      </c>
    </row>
    <row r="635" spans="1:7">
      <c r="A635" s="95"/>
      <c r="B635" s="826"/>
      <c r="C635" s="827"/>
      <c r="D635" s="96"/>
      <c r="E635" s="96"/>
      <c r="F635" s="96"/>
      <c r="G635" s="116"/>
    </row>
    <row r="636" spans="1:7" ht="13.5" thickBot="1">
      <c r="A636" s="95"/>
      <c r="B636" s="828" t="s">
        <v>841</v>
      </c>
      <c r="C636" s="829"/>
      <c r="D636" s="77"/>
      <c r="E636" s="82"/>
      <c r="F636" s="86"/>
      <c r="G636" s="112"/>
    </row>
    <row r="637" spans="1:7" ht="14.25" thickTop="1" thickBot="1">
      <c r="A637" s="95"/>
      <c r="B637" s="808"/>
      <c r="C637" s="808"/>
      <c r="D637" s="808"/>
      <c r="E637" s="809"/>
      <c r="F637" s="120" t="s">
        <v>856</v>
      </c>
      <c r="G637" s="118">
        <f>SUM(G632:G636)</f>
        <v>0</v>
      </c>
    </row>
    <row r="638" spans="1:7" ht="14.25" thickTop="1" thickBot="1">
      <c r="A638" s="95"/>
      <c r="B638" s="810"/>
      <c r="C638" s="810"/>
      <c r="D638" s="810"/>
      <c r="E638" s="810"/>
      <c r="F638" s="810"/>
      <c r="G638" s="834"/>
    </row>
    <row r="639" spans="1:7" ht="13.5" thickTop="1">
      <c r="A639" s="95"/>
      <c r="B639" s="811" t="s">
        <v>326</v>
      </c>
      <c r="C639" s="812"/>
      <c r="D639" s="812"/>
      <c r="E639" s="812"/>
      <c r="F639" s="813"/>
      <c r="G639" s="121">
        <f>+G603+G619+G630</f>
        <v>20863</v>
      </c>
    </row>
    <row r="640" spans="1:7">
      <c r="A640" s="95"/>
      <c r="B640" s="814" t="s">
        <v>861</v>
      </c>
      <c r="C640" s="815"/>
      <c r="D640" s="815"/>
      <c r="E640" s="816"/>
      <c r="F640" s="128">
        <f>'MANO DE OBRA'!D536</f>
        <v>0</v>
      </c>
      <c r="G640" s="122">
        <f>ROUND(G639*F640,0)</f>
        <v>0</v>
      </c>
    </row>
    <row r="641" spans="1:8" ht="13.5" thickBot="1">
      <c r="A641" s="95"/>
      <c r="B641" s="805" t="s">
        <v>1049</v>
      </c>
      <c r="C641" s="806"/>
      <c r="D641" s="806"/>
      <c r="E641" s="806"/>
      <c r="F641" s="807"/>
      <c r="G641" s="118">
        <f>ROUND(G639+G640,-2)</f>
        <v>20900</v>
      </c>
      <c r="H641" s="505" t="s">
        <v>1670</v>
      </c>
    </row>
    <row r="642" spans="1:8" ht="13.5" thickTop="1">
      <c r="A642" s="95"/>
      <c r="B642" s="90" t="s">
        <v>303</v>
      </c>
      <c r="C642" s="843"/>
      <c r="D642" s="843"/>
      <c r="E642" s="843"/>
      <c r="F642" s="92" t="s">
        <v>781</v>
      </c>
      <c r="G642" s="93" t="s">
        <v>831</v>
      </c>
    </row>
    <row r="643" spans="1:8">
      <c r="A643" s="95"/>
      <c r="B643" s="91" t="s">
        <v>834</v>
      </c>
      <c r="C643" s="844" t="s">
        <v>382</v>
      </c>
      <c r="D643" s="844"/>
      <c r="E643" s="844"/>
      <c r="F643" s="15" t="s">
        <v>833</v>
      </c>
      <c r="G643" s="165" t="str">
        <f>'MANO DE OBRA'!D61</f>
        <v>Agosto de 2010</v>
      </c>
    </row>
    <row r="644" spans="1:8" ht="13.5" thickBot="1">
      <c r="A644" s="127"/>
      <c r="B644" s="94" t="s">
        <v>835</v>
      </c>
      <c r="C644" s="845" t="s">
        <v>68</v>
      </c>
      <c r="D644" s="845"/>
      <c r="E644" s="845"/>
      <c r="F644" s="845"/>
      <c r="G644" s="846"/>
    </row>
    <row r="645" spans="1:8" ht="14.25" thickTop="1" thickBot="1">
      <c r="A645" s="95"/>
      <c r="B645" s="847"/>
      <c r="C645" s="847"/>
      <c r="D645" s="847"/>
      <c r="E645" s="847"/>
      <c r="F645" s="847"/>
      <c r="G645" s="847"/>
    </row>
    <row r="646" spans="1:8" ht="13.5" thickTop="1">
      <c r="A646" s="95"/>
      <c r="B646" s="811" t="s">
        <v>304</v>
      </c>
      <c r="C646" s="812"/>
      <c r="D646" s="812"/>
      <c r="E646" s="812"/>
      <c r="F646" s="812"/>
      <c r="G646" s="825"/>
    </row>
    <row r="647" spans="1:8">
      <c r="A647" s="95"/>
      <c r="B647" s="105"/>
      <c r="C647" s="97"/>
      <c r="D647" s="98" t="s">
        <v>301</v>
      </c>
      <c r="E647" s="98" t="s">
        <v>1072</v>
      </c>
      <c r="F647" s="99" t="s">
        <v>839</v>
      </c>
      <c r="G647" s="107" t="s">
        <v>840</v>
      </c>
    </row>
    <row r="648" spans="1:8">
      <c r="A648" s="95"/>
      <c r="B648" s="821" t="s">
        <v>838</v>
      </c>
      <c r="C648" s="822"/>
      <c r="D648" s="100" t="s">
        <v>308</v>
      </c>
      <c r="E648" s="100" t="s">
        <v>305</v>
      </c>
      <c r="F648" s="101" t="s">
        <v>306</v>
      </c>
      <c r="G648" s="108" t="s">
        <v>310</v>
      </c>
    </row>
    <row r="649" spans="1:8">
      <c r="A649" s="95"/>
      <c r="B649" s="115"/>
      <c r="C649" s="102"/>
      <c r="D649" s="103"/>
      <c r="E649" s="103" t="s">
        <v>309</v>
      </c>
      <c r="F649" s="104" t="s">
        <v>307</v>
      </c>
      <c r="G649" s="109"/>
    </row>
    <row r="650" spans="1:8">
      <c r="A650" s="127"/>
      <c r="B650" s="823" t="str">
        <f>'MAQUINARIA Y EQUIPOS'!$C$28</f>
        <v>HERRAMIENTAS MENORES</v>
      </c>
      <c r="C650" s="824"/>
      <c r="D650" s="87">
        <v>1</v>
      </c>
      <c r="E650" s="82">
        <f>ROUND(G683*0.05,0)</f>
        <v>174</v>
      </c>
      <c r="F650" s="81">
        <v>1</v>
      </c>
      <c r="G650" s="110">
        <f>ROUND(D650*E650/F650,0)</f>
        <v>174</v>
      </c>
    </row>
    <row r="651" spans="1:8">
      <c r="A651" s="95"/>
      <c r="B651" s="835"/>
      <c r="C651" s="836"/>
      <c r="D651" s="37"/>
      <c r="E651" s="82"/>
      <c r="F651" s="83"/>
      <c r="G651" s="111"/>
    </row>
    <row r="652" spans="1:8">
      <c r="A652" s="95"/>
      <c r="B652" s="835"/>
      <c r="C652" s="836"/>
      <c r="D652" s="37"/>
      <c r="E652" s="82"/>
      <c r="F652" s="83"/>
      <c r="G652" s="111"/>
    </row>
    <row r="653" spans="1:8">
      <c r="A653" s="95"/>
      <c r="B653" s="835"/>
      <c r="C653" s="836"/>
      <c r="D653" s="37"/>
      <c r="E653" s="82"/>
      <c r="F653" s="83"/>
      <c r="G653" s="111"/>
    </row>
    <row r="654" spans="1:8">
      <c r="A654" s="95"/>
      <c r="B654" s="835"/>
      <c r="C654" s="836"/>
      <c r="D654" s="37"/>
      <c r="E654" s="82"/>
      <c r="F654" s="83"/>
      <c r="G654" s="111"/>
    </row>
    <row r="655" spans="1:8" ht="13.5" thickBot="1">
      <c r="A655" s="95"/>
      <c r="B655" s="835"/>
      <c r="C655" s="836"/>
      <c r="D655" s="77"/>
      <c r="E655" s="82"/>
      <c r="F655" s="86"/>
      <c r="G655" s="111"/>
    </row>
    <row r="656" spans="1:8" ht="14.25" thickTop="1" thickBot="1">
      <c r="A656" s="95"/>
      <c r="B656" s="808"/>
      <c r="C656" s="808"/>
      <c r="D656" s="808"/>
      <c r="E656" s="809"/>
      <c r="F656" s="119" t="s">
        <v>856</v>
      </c>
      <c r="G656" s="118">
        <f>SUM(G650:G655)</f>
        <v>174</v>
      </c>
    </row>
    <row r="657" spans="1:8" ht="14.25" thickTop="1" thickBot="1">
      <c r="A657" s="95"/>
      <c r="B657" s="830"/>
      <c r="C657" s="830"/>
      <c r="D657" s="830"/>
      <c r="E657" s="830"/>
      <c r="F657" s="830"/>
      <c r="G657" s="830"/>
    </row>
    <row r="658" spans="1:8" ht="13.5" thickTop="1">
      <c r="A658" s="95"/>
      <c r="B658" s="811" t="s">
        <v>311</v>
      </c>
      <c r="C658" s="812"/>
      <c r="D658" s="812"/>
      <c r="E658" s="812"/>
      <c r="F658" s="812"/>
      <c r="G658" s="825"/>
    </row>
    <row r="659" spans="1:8">
      <c r="A659" s="95"/>
      <c r="B659" s="817" t="s">
        <v>838</v>
      </c>
      <c r="C659" s="818"/>
      <c r="D659" s="98" t="s">
        <v>842</v>
      </c>
      <c r="E659" s="98" t="s">
        <v>853</v>
      </c>
      <c r="F659" s="99" t="s">
        <v>1047</v>
      </c>
      <c r="G659" s="107" t="s">
        <v>840</v>
      </c>
    </row>
    <row r="660" spans="1:8">
      <c r="A660" s="95"/>
      <c r="B660" s="115"/>
      <c r="C660" s="102"/>
      <c r="D660" s="100"/>
      <c r="E660" s="100" t="s">
        <v>312</v>
      </c>
      <c r="F660" s="101" t="s">
        <v>313</v>
      </c>
      <c r="G660" s="108" t="s">
        <v>314</v>
      </c>
    </row>
    <row r="661" spans="1:8">
      <c r="A661" s="125"/>
      <c r="B661" s="841" t="str">
        <f>MATERIALES2!C893</f>
        <v>REJILLA PLASTICA PARA PISO</v>
      </c>
      <c r="C661" s="842"/>
      <c r="D661" s="87" t="s">
        <v>865</v>
      </c>
      <c r="E661" s="81">
        <v>1</v>
      </c>
      <c r="F661" s="80">
        <f>MATERIALES2!E893</f>
        <v>4700</v>
      </c>
      <c r="G661" s="110">
        <f>ROUND(E661*F661,0)</f>
        <v>4700</v>
      </c>
    </row>
    <row r="662" spans="1:8">
      <c r="A662" s="123"/>
      <c r="B662" s="854"/>
      <c r="C662" s="855"/>
      <c r="D662" s="37"/>
      <c r="E662" s="83"/>
      <c r="F662" s="82"/>
      <c r="G662" s="111"/>
    </row>
    <row r="663" spans="1:8">
      <c r="A663" s="95"/>
      <c r="B663" s="854"/>
      <c r="C663" s="855"/>
      <c r="D663" s="37"/>
      <c r="E663" s="83"/>
      <c r="F663" s="82"/>
      <c r="G663" s="111"/>
    </row>
    <row r="664" spans="1:8">
      <c r="A664" s="95"/>
      <c r="B664" s="854"/>
      <c r="C664" s="855"/>
      <c r="D664" s="37"/>
      <c r="E664" s="83"/>
      <c r="F664" s="82"/>
      <c r="G664" s="111"/>
    </row>
    <row r="665" spans="1:8">
      <c r="A665" s="95"/>
      <c r="B665" s="854"/>
      <c r="C665" s="855"/>
      <c r="D665" s="37"/>
      <c r="E665" s="83"/>
      <c r="F665" s="82"/>
      <c r="G665" s="111"/>
    </row>
    <row r="666" spans="1:8">
      <c r="A666" s="95"/>
      <c r="B666" s="938"/>
      <c r="C666" s="939"/>
      <c r="D666" s="53" t="s">
        <v>841</v>
      </c>
      <c r="E666" s="53"/>
      <c r="F666" s="82"/>
      <c r="G666" s="111"/>
    </row>
    <row r="667" spans="1:8">
      <c r="A667" s="95"/>
      <c r="B667" s="938" t="s">
        <v>841</v>
      </c>
      <c r="C667" s="939"/>
      <c r="D667" s="53" t="s">
        <v>841</v>
      </c>
      <c r="E667" s="53"/>
      <c r="F667" s="82"/>
      <c r="G667" s="111"/>
    </row>
    <row r="668" spans="1:8">
      <c r="A668" s="95"/>
      <c r="B668" s="938" t="s">
        <v>841</v>
      </c>
      <c r="C668" s="939"/>
      <c r="D668" s="53" t="s">
        <v>841</v>
      </c>
      <c r="E668" s="53"/>
      <c r="F668" s="82"/>
      <c r="G668" s="111"/>
      <c r="H668" s="505" t="s">
        <v>1670</v>
      </c>
    </row>
    <row r="669" spans="1:8" ht="13.5" thickBot="1">
      <c r="A669" s="95"/>
      <c r="B669" s="942" t="s">
        <v>841</v>
      </c>
      <c r="C669" s="943"/>
      <c r="D669" s="84" t="s">
        <v>841</v>
      </c>
      <c r="E669" s="84"/>
      <c r="F669" s="85"/>
      <c r="G669" s="112"/>
    </row>
    <row r="670" spans="1:8" ht="13.5" thickTop="1">
      <c r="A670" s="95"/>
      <c r="B670" s="808"/>
      <c r="C670" s="809"/>
      <c r="D670" s="801" t="s">
        <v>856</v>
      </c>
      <c r="E670" s="802"/>
      <c r="F670" s="9"/>
      <c r="G670" s="113">
        <f>SUM(G661:G669)</f>
        <v>4700</v>
      </c>
    </row>
    <row r="671" spans="1:8">
      <c r="A671" s="95"/>
      <c r="B671" s="819"/>
      <c r="C671" s="820"/>
      <c r="D671" s="801" t="s">
        <v>857</v>
      </c>
      <c r="E671" s="802"/>
      <c r="F671" s="79">
        <f>'MANO DE OBRA'!D590</f>
        <v>0</v>
      </c>
      <c r="G671" s="113">
        <f>ROUND(G670*F671,0)</f>
        <v>0</v>
      </c>
    </row>
    <row r="672" spans="1:8" ht="13.5" thickBot="1">
      <c r="A672" s="95"/>
      <c r="B672" s="819"/>
      <c r="C672" s="820"/>
      <c r="D672" s="803" t="s">
        <v>320</v>
      </c>
      <c r="E672" s="804"/>
      <c r="F672" s="114"/>
      <c r="G672" s="118">
        <f>+G670+G671</f>
        <v>4700</v>
      </c>
    </row>
    <row r="673" spans="1:7" ht="14.25" thickTop="1" thickBot="1">
      <c r="A673" s="95"/>
      <c r="B673" s="830"/>
      <c r="C673" s="830"/>
      <c r="D673" s="830"/>
      <c r="E673" s="830"/>
      <c r="F673" s="830"/>
      <c r="G673" s="830"/>
    </row>
    <row r="674" spans="1:7" ht="13.5" thickTop="1">
      <c r="A674" s="95"/>
      <c r="B674" s="811" t="s">
        <v>858</v>
      </c>
      <c r="C674" s="812"/>
      <c r="D674" s="812"/>
      <c r="E674" s="812"/>
      <c r="F674" s="812"/>
      <c r="G674" s="825"/>
    </row>
    <row r="675" spans="1:7">
      <c r="A675" s="95"/>
      <c r="B675" s="817"/>
      <c r="C675" s="818"/>
      <c r="D675" s="98" t="s">
        <v>301</v>
      </c>
      <c r="E675" s="98" t="s">
        <v>859</v>
      </c>
      <c r="F675" s="99" t="s">
        <v>839</v>
      </c>
      <c r="G675" s="107" t="s">
        <v>840</v>
      </c>
    </row>
    <row r="676" spans="1:7">
      <c r="A676" s="95"/>
      <c r="B676" s="821" t="s">
        <v>838</v>
      </c>
      <c r="C676" s="822"/>
      <c r="D676" s="100" t="s">
        <v>316</v>
      </c>
      <c r="E676" s="100" t="s">
        <v>315</v>
      </c>
      <c r="F676" s="101" t="s">
        <v>306</v>
      </c>
      <c r="G676" s="108" t="s">
        <v>319</v>
      </c>
    </row>
    <row r="677" spans="1:7">
      <c r="A677" s="95"/>
      <c r="B677" s="115"/>
      <c r="C677" s="102"/>
      <c r="D677" s="103"/>
      <c r="E677" s="103" t="s">
        <v>317</v>
      </c>
      <c r="F677" s="104" t="s">
        <v>318</v>
      </c>
      <c r="G677" s="109"/>
    </row>
    <row r="678" spans="1:7">
      <c r="A678" s="95"/>
      <c r="B678" s="823" t="str">
        <f>'MANO DE OBRA'!$B$11</f>
        <v>AYUDANTE CUAD. TIPO BB</v>
      </c>
      <c r="C678" s="824"/>
      <c r="D678" s="87">
        <v>1</v>
      </c>
      <c r="E678" s="80">
        <f>'MANO DE OBRA'!$E$11</f>
        <v>43077</v>
      </c>
      <c r="F678" s="81">
        <v>35</v>
      </c>
      <c r="G678" s="110">
        <f>ROUND(D678*E678/F678,0)</f>
        <v>1231</v>
      </c>
    </row>
    <row r="679" spans="1:7">
      <c r="A679" s="95"/>
      <c r="B679" s="835" t="str">
        <f>'MANO DE OBRA'!$B$16</f>
        <v>OFICIAL CUAD. TIPO BB</v>
      </c>
      <c r="C679" s="836"/>
      <c r="D679" s="37">
        <v>1</v>
      </c>
      <c r="E679" s="82">
        <f>'MANO DE OBRA'!$E$16</f>
        <v>78577</v>
      </c>
      <c r="F679" s="83">
        <v>35</v>
      </c>
      <c r="G679" s="111">
        <f>ROUND(D679*E679/F679,0)</f>
        <v>2245</v>
      </c>
    </row>
    <row r="680" spans="1:7">
      <c r="A680" s="95"/>
      <c r="B680" s="835"/>
      <c r="C680" s="836"/>
      <c r="D680" s="89"/>
      <c r="E680" s="82"/>
      <c r="F680" s="83"/>
      <c r="G680" s="111"/>
    </row>
    <row r="681" spans="1:7">
      <c r="A681" s="95"/>
      <c r="B681" s="835" t="s">
        <v>841</v>
      </c>
      <c r="C681" s="836"/>
      <c r="D681" s="37"/>
      <c r="E681" s="82"/>
      <c r="F681" s="83"/>
      <c r="G681" s="111"/>
    </row>
    <row r="682" spans="1:7" ht="13.5" thickBot="1">
      <c r="A682" s="95"/>
      <c r="B682" s="828" t="s">
        <v>841</v>
      </c>
      <c r="C682" s="829"/>
      <c r="D682" s="77"/>
      <c r="E682" s="82"/>
      <c r="F682" s="86"/>
      <c r="G682" s="112"/>
    </row>
    <row r="683" spans="1:7" ht="14.25" thickTop="1" thickBot="1">
      <c r="A683" s="95"/>
      <c r="B683" s="808"/>
      <c r="C683" s="808"/>
      <c r="D683" s="808"/>
      <c r="E683" s="809"/>
      <c r="F683" s="120" t="s">
        <v>856</v>
      </c>
      <c r="G683" s="118">
        <f>SUM(G678:G682)</f>
        <v>3476</v>
      </c>
    </row>
    <row r="684" spans="1:7" ht="14.25" thickTop="1" thickBot="1">
      <c r="A684" s="95"/>
      <c r="B684" s="810"/>
      <c r="C684" s="810"/>
      <c r="D684" s="810"/>
      <c r="E684" s="810"/>
      <c r="F684" s="810"/>
      <c r="G684" s="810"/>
    </row>
    <row r="685" spans="1:7" ht="13.5" thickTop="1">
      <c r="A685" s="95"/>
      <c r="B685" s="811" t="s">
        <v>321</v>
      </c>
      <c r="C685" s="812"/>
      <c r="D685" s="812"/>
      <c r="E685" s="812"/>
      <c r="F685" s="812"/>
      <c r="G685" s="825"/>
    </row>
    <row r="686" spans="1:7">
      <c r="A686" s="95"/>
      <c r="B686" s="817" t="s">
        <v>838</v>
      </c>
      <c r="C686" s="818"/>
      <c r="D686" s="98" t="s">
        <v>301</v>
      </c>
      <c r="E686" s="98" t="s">
        <v>297</v>
      </c>
      <c r="F686" s="99" t="s">
        <v>839</v>
      </c>
      <c r="G686" s="107" t="s">
        <v>840</v>
      </c>
    </row>
    <row r="687" spans="1:7">
      <c r="A687" s="95"/>
      <c r="B687" s="115"/>
      <c r="C687" s="102"/>
      <c r="D687" s="103" t="s">
        <v>322</v>
      </c>
      <c r="E687" s="103" t="s">
        <v>323</v>
      </c>
      <c r="F687" s="104" t="s">
        <v>324</v>
      </c>
      <c r="G687" s="109" t="s">
        <v>325</v>
      </c>
    </row>
    <row r="688" spans="1:7">
      <c r="A688" s="95"/>
      <c r="B688" s="826"/>
      <c r="C688" s="827"/>
      <c r="D688" s="96"/>
      <c r="E688" s="96"/>
      <c r="F688" s="96"/>
      <c r="G688" s="116"/>
    </row>
    <row r="689" spans="1:8" ht="13.5" thickBot="1">
      <c r="A689" s="95"/>
      <c r="B689" s="828" t="s">
        <v>841</v>
      </c>
      <c r="C689" s="829"/>
      <c r="D689" s="77"/>
      <c r="E689" s="82"/>
      <c r="F689" s="86"/>
      <c r="G689" s="112"/>
    </row>
    <row r="690" spans="1:8" ht="14.25" thickTop="1" thickBot="1">
      <c r="A690" s="95"/>
      <c r="B690" s="808"/>
      <c r="C690" s="808"/>
      <c r="D690" s="808"/>
      <c r="E690" s="809"/>
      <c r="F690" s="120" t="s">
        <v>856</v>
      </c>
      <c r="G690" s="118">
        <f>SUM(G685:G689)</f>
        <v>0</v>
      </c>
    </row>
    <row r="691" spans="1:8" ht="14.25" thickTop="1" thickBot="1">
      <c r="A691" s="95"/>
      <c r="B691" s="810"/>
      <c r="C691" s="810"/>
      <c r="D691" s="810"/>
      <c r="E691" s="810"/>
      <c r="F691" s="810"/>
      <c r="G691" s="834"/>
    </row>
    <row r="692" spans="1:8" ht="13.5" thickTop="1">
      <c r="A692" s="95"/>
      <c r="B692" s="811" t="s">
        <v>326</v>
      </c>
      <c r="C692" s="812"/>
      <c r="D692" s="812"/>
      <c r="E692" s="812"/>
      <c r="F692" s="813"/>
      <c r="G692" s="121">
        <f>+G656+G672+G683</f>
        <v>8350</v>
      </c>
    </row>
    <row r="693" spans="1:8">
      <c r="A693" s="95"/>
      <c r="B693" s="814" t="s">
        <v>861</v>
      </c>
      <c r="C693" s="815"/>
      <c r="D693" s="815"/>
      <c r="E693" s="816"/>
      <c r="F693" s="128">
        <f>'MANO DE OBRA'!D589</f>
        <v>0</v>
      </c>
      <c r="G693" s="122">
        <f>ROUND(G692*F693,0)</f>
        <v>0</v>
      </c>
    </row>
    <row r="694" spans="1:8" ht="13.5" thickBot="1">
      <c r="A694" s="95"/>
      <c r="B694" s="805" t="s">
        <v>1049</v>
      </c>
      <c r="C694" s="806"/>
      <c r="D694" s="806"/>
      <c r="E694" s="806"/>
      <c r="F694" s="807"/>
      <c r="G694" s="118">
        <f>ROUND(G692+G693,-2)</f>
        <v>8400</v>
      </c>
      <c r="H694" s="505" t="s">
        <v>1670</v>
      </c>
    </row>
    <row r="695" spans="1:8" ht="13.5" thickTop="1">
      <c r="B695" s="515" t="s">
        <v>303</v>
      </c>
      <c r="C695" s="885"/>
      <c r="D695" s="885"/>
      <c r="E695" s="885"/>
      <c r="F695" s="516" t="s">
        <v>781</v>
      </c>
      <c r="G695" s="441" t="s">
        <v>831</v>
      </c>
    </row>
    <row r="696" spans="1:8">
      <c r="B696" s="517" t="s">
        <v>834</v>
      </c>
      <c r="C696" s="886"/>
      <c r="D696" s="886"/>
      <c r="E696" s="886"/>
      <c r="F696" s="518" t="s">
        <v>833</v>
      </c>
      <c r="G696" s="569" t="s">
        <v>1702</v>
      </c>
    </row>
    <row r="697" spans="1:8" ht="13.5" thickBot="1">
      <c r="B697" s="519" t="s">
        <v>835</v>
      </c>
      <c r="C697" s="887" t="s">
        <v>1703</v>
      </c>
      <c r="D697" s="887"/>
      <c r="E697" s="887"/>
      <c r="F697" s="887"/>
      <c r="G697" s="888"/>
    </row>
    <row r="698" spans="1:8" ht="14.25" thickTop="1" thickBot="1">
      <c r="B698" s="889"/>
      <c r="C698" s="889"/>
      <c r="D698" s="889"/>
      <c r="E698" s="889"/>
      <c r="F698" s="889"/>
      <c r="G698" s="889"/>
    </row>
    <row r="699" spans="1:8" ht="13.5" thickTop="1">
      <c r="B699" s="890" t="s">
        <v>304</v>
      </c>
      <c r="C699" s="891"/>
      <c r="D699" s="891"/>
      <c r="E699" s="891"/>
      <c r="F699" s="891"/>
      <c r="G699" s="892"/>
    </row>
    <row r="700" spans="1:8">
      <c r="B700" s="893" t="s">
        <v>838</v>
      </c>
      <c r="C700" s="893"/>
      <c r="D700" s="520" t="s">
        <v>301</v>
      </c>
      <c r="E700" s="520" t="s">
        <v>1683</v>
      </c>
      <c r="F700" s="521" t="s">
        <v>839</v>
      </c>
      <c r="G700" s="522" t="s">
        <v>840</v>
      </c>
    </row>
    <row r="701" spans="1:8">
      <c r="B701" s="823" t="str">
        <f>'MAQUINARIA Y EQUIPOS'!$C$28</f>
        <v>HERRAMIENTAS MENORES</v>
      </c>
      <c r="C701" s="824"/>
      <c r="D701" s="523">
        <v>1</v>
      </c>
      <c r="E701" s="524">
        <v>1500</v>
      </c>
      <c r="F701" s="577">
        <v>0.5</v>
      </c>
      <c r="G701" s="526">
        <f>E701*F701</f>
        <v>750</v>
      </c>
    </row>
    <row r="702" spans="1:8" ht="14.25">
      <c r="B702" s="896"/>
      <c r="C702" s="897"/>
      <c r="D702" s="578"/>
      <c r="E702" s="579"/>
      <c r="F702" s="580"/>
      <c r="G702" s="581"/>
    </row>
    <row r="703" spans="1:8" ht="14.25">
      <c r="B703" s="896"/>
      <c r="C703" s="897"/>
      <c r="D703" s="578"/>
      <c r="E703" s="579"/>
      <c r="F703" s="580"/>
      <c r="G703" s="581"/>
    </row>
    <row r="704" spans="1:8" ht="14.25">
      <c r="B704" s="896" t="s">
        <v>841</v>
      </c>
      <c r="C704" s="897"/>
      <c r="D704" s="582"/>
      <c r="E704" s="579"/>
      <c r="F704" s="580"/>
      <c r="G704" s="581"/>
    </row>
    <row r="705" spans="2:8" ht="15" thickBot="1">
      <c r="B705" s="898" t="s">
        <v>841</v>
      </c>
      <c r="C705" s="899"/>
      <c r="D705" s="583"/>
      <c r="E705" s="584"/>
      <c r="F705" s="585"/>
      <c r="G705" s="586"/>
    </row>
    <row r="706" spans="2:8" ht="15.75" thickTop="1" thickBot="1">
      <c r="B706" s="900"/>
      <c r="C706" s="900"/>
      <c r="D706" s="900"/>
      <c r="E706" s="901"/>
      <c r="F706" s="534" t="s">
        <v>856</v>
      </c>
      <c r="G706" s="535">
        <f>SUM(G701:G705)</f>
        <v>750</v>
      </c>
    </row>
    <row r="707" spans="2:8" ht="15.75" thickTop="1" thickBot="1">
      <c r="B707" s="902"/>
      <c r="C707" s="902"/>
      <c r="D707" s="902"/>
      <c r="E707" s="902"/>
      <c r="F707" s="902"/>
      <c r="G707" s="902"/>
    </row>
    <row r="708" spans="2:8" ht="13.5" thickTop="1">
      <c r="B708" s="890" t="s">
        <v>311</v>
      </c>
      <c r="C708" s="891"/>
      <c r="D708" s="891"/>
      <c r="E708" s="891"/>
      <c r="F708" s="891"/>
      <c r="G708" s="892"/>
    </row>
    <row r="709" spans="2:8">
      <c r="B709" s="903" t="s">
        <v>838</v>
      </c>
      <c r="C709" s="904"/>
      <c r="D709" s="520" t="s">
        <v>842</v>
      </c>
      <c r="E709" s="520" t="s">
        <v>853</v>
      </c>
      <c r="F709" s="563" t="s">
        <v>1047</v>
      </c>
      <c r="G709" s="522" t="s">
        <v>840</v>
      </c>
    </row>
    <row r="710" spans="2:8">
      <c r="B710" s="894" t="str">
        <f>MATERIALES2!C940</f>
        <v>GEOTEXTIL NT 1600</v>
      </c>
      <c r="C710" s="895"/>
      <c r="D710" s="523" t="s">
        <v>868</v>
      </c>
      <c r="E710" s="577">
        <v>3.2</v>
      </c>
      <c r="F710" s="524">
        <f>MATERIALES2!E940</f>
        <v>3500</v>
      </c>
      <c r="G710" s="526">
        <f>+F710*E710</f>
        <v>11200</v>
      </c>
    </row>
    <row r="711" spans="2:8">
      <c r="B711" s="894" t="str">
        <f>MATERIALES2!C22</f>
        <v>BOLO DE RIO</v>
      </c>
      <c r="C711" s="895"/>
      <c r="D711" s="523" t="s">
        <v>669</v>
      </c>
      <c r="E711" s="587">
        <v>0.4</v>
      </c>
      <c r="F711" s="524">
        <f>MATERIALES2!E22</f>
        <v>77720</v>
      </c>
      <c r="G711" s="542">
        <f>+F711*E711</f>
        <v>31088</v>
      </c>
    </row>
    <row r="712" spans="2:8">
      <c r="B712" s="894" t="str">
        <f>MATERIALES2!C942</f>
        <v>TUBERIA PVC 4 " PERFORADA</v>
      </c>
      <c r="C712" s="895"/>
      <c r="D712" s="523" t="s">
        <v>831</v>
      </c>
      <c r="E712" s="587">
        <v>1</v>
      </c>
      <c r="F712" s="524">
        <f>MATERIALES2!E942</f>
        <v>29500</v>
      </c>
      <c r="G712" s="542">
        <f>+F712*E712</f>
        <v>29500</v>
      </c>
    </row>
    <row r="713" spans="2:8" ht="14.25">
      <c r="B713" s="896"/>
      <c r="C713" s="897"/>
      <c r="D713" s="582"/>
      <c r="E713" s="588"/>
      <c r="F713" s="579"/>
      <c r="G713" s="581"/>
    </row>
    <row r="714" spans="2:8" ht="14.25">
      <c r="B714" s="909"/>
      <c r="C714" s="910"/>
      <c r="D714" s="582"/>
      <c r="E714" s="589"/>
      <c r="F714" s="579"/>
      <c r="G714" s="581"/>
    </row>
    <row r="715" spans="2:8" ht="14.25">
      <c r="B715" s="909"/>
      <c r="C715" s="910"/>
      <c r="D715" s="590" t="s">
        <v>841</v>
      </c>
      <c r="E715" s="589"/>
      <c r="F715" s="579"/>
      <c r="G715" s="581"/>
    </row>
    <row r="716" spans="2:8" ht="14.25">
      <c r="B716" s="909" t="s">
        <v>841</v>
      </c>
      <c r="C716" s="910"/>
      <c r="D716" s="590" t="s">
        <v>841</v>
      </c>
      <c r="E716" s="589"/>
      <c r="F716" s="579"/>
      <c r="G716" s="581"/>
    </row>
    <row r="717" spans="2:8" ht="14.25">
      <c r="B717" s="909" t="s">
        <v>841</v>
      </c>
      <c r="C717" s="910"/>
      <c r="D717" s="590" t="s">
        <v>841</v>
      </c>
      <c r="E717" s="590"/>
      <c r="F717" s="579"/>
      <c r="G717" s="581"/>
      <c r="H717" s="505" t="s">
        <v>1670</v>
      </c>
    </row>
    <row r="718" spans="2:8" ht="15" thickBot="1">
      <c r="B718" s="898" t="s">
        <v>841</v>
      </c>
      <c r="C718" s="899"/>
      <c r="D718" s="591" t="s">
        <v>841</v>
      </c>
      <c r="E718" s="591"/>
      <c r="F718" s="592"/>
      <c r="G718" s="586"/>
    </row>
    <row r="719" spans="2:8" ht="13.5" thickTop="1">
      <c r="B719" s="900"/>
      <c r="C719" s="901"/>
      <c r="D719" s="915" t="s">
        <v>856</v>
      </c>
      <c r="E719" s="916"/>
      <c r="F719" s="593"/>
      <c r="G719" s="594">
        <f>SUM(G710:G718)</f>
        <v>71788</v>
      </c>
    </row>
    <row r="720" spans="2:8">
      <c r="B720" s="913"/>
      <c r="C720" s="914"/>
      <c r="D720" s="915" t="s">
        <v>857</v>
      </c>
      <c r="E720" s="916"/>
      <c r="F720" s="595">
        <v>0.05</v>
      </c>
      <c r="G720" s="594">
        <f>ROUND(G719*F720,0)</f>
        <v>3589</v>
      </c>
    </row>
    <row r="721" spans="2:7" ht="13.5" thickBot="1">
      <c r="B721" s="913"/>
      <c r="C721" s="914"/>
      <c r="D721" s="917" t="s">
        <v>320</v>
      </c>
      <c r="E721" s="918"/>
      <c r="F721" s="596"/>
      <c r="G721" s="535">
        <f>+G719+G720</f>
        <v>75377</v>
      </c>
    </row>
    <row r="722" spans="2:7" ht="15.75" thickTop="1" thickBot="1">
      <c r="B722" s="902"/>
      <c r="C722" s="902"/>
      <c r="D722" s="902"/>
      <c r="E722" s="902"/>
      <c r="F722" s="902"/>
      <c r="G722" s="902"/>
    </row>
    <row r="723" spans="2:7" ht="13.5" thickTop="1">
      <c r="B723" s="811" t="s">
        <v>858</v>
      </c>
      <c r="C723" s="812"/>
      <c r="D723" s="812"/>
      <c r="E723" s="812"/>
      <c r="F723" s="812"/>
      <c r="G723" s="825"/>
    </row>
    <row r="724" spans="2:7">
      <c r="B724" s="817"/>
      <c r="C724" s="818"/>
      <c r="D724" s="98" t="s">
        <v>301</v>
      </c>
      <c r="E724" s="98" t="s">
        <v>859</v>
      </c>
      <c r="F724" s="99" t="s">
        <v>839</v>
      </c>
      <c r="G724" s="107" t="s">
        <v>840</v>
      </c>
    </row>
    <row r="725" spans="2:7">
      <c r="B725" s="821" t="s">
        <v>838</v>
      </c>
      <c r="C725" s="822"/>
      <c r="D725" s="100" t="s">
        <v>316</v>
      </c>
      <c r="E725" s="100" t="s">
        <v>315</v>
      </c>
      <c r="F725" s="101" t="s">
        <v>306</v>
      </c>
      <c r="G725" s="108" t="s">
        <v>319</v>
      </c>
    </row>
    <row r="726" spans="2:7">
      <c r="B726" s="115"/>
      <c r="C726" s="102"/>
      <c r="D726" s="103"/>
      <c r="E726" s="103" t="s">
        <v>317</v>
      </c>
      <c r="F726" s="104" t="s">
        <v>318</v>
      </c>
      <c r="G726" s="109"/>
    </row>
    <row r="727" spans="2:7">
      <c r="B727" s="823" t="str">
        <f>'MANO DE OBRA'!$B$11</f>
        <v>AYUDANTE CUAD. TIPO BB</v>
      </c>
      <c r="C727" s="824"/>
      <c r="D727" s="87">
        <v>2</v>
      </c>
      <c r="E727" s="80">
        <f>'MANO DE OBRA'!$E$11</f>
        <v>43077</v>
      </c>
      <c r="F727" s="81">
        <v>30</v>
      </c>
      <c r="G727" s="110">
        <f>ROUND(D727*E727/F727,0)</f>
        <v>2872</v>
      </c>
    </row>
    <row r="728" spans="2:7">
      <c r="B728" s="835" t="str">
        <f>'MANO DE OBRA'!$B$16</f>
        <v>OFICIAL CUAD. TIPO BB</v>
      </c>
      <c r="C728" s="836"/>
      <c r="D728" s="37">
        <v>1</v>
      </c>
      <c r="E728" s="82">
        <f>'MANO DE OBRA'!$E$16</f>
        <v>78577</v>
      </c>
      <c r="F728" s="83">
        <v>60</v>
      </c>
      <c r="G728" s="111">
        <f>ROUND(D728*E728/F728,0)</f>
        <v>1310</v>
      </c>
    </row>
    <row r="729" spans="2:7">
      <c r="B729" s="835"/>
      <c r="C729" s="836"/>
      <c r="D729" s="89"/>
      <c r="E729" s="82"/>
      <c r="F729" s="83"/>
      <c r="G729" s="111"/>
    </row>
    <row r="730" spans="2:7">
      <c r="B730" s="835" t="s">
        <v>841</v>
      </c>
      <c r="C730" s="836"/>
      <c r="D730" s="37"/>
      <c r="E730" s="82"/>
      <c r="F730" s="83"/>
      <c r="G730" s="111"/>
    </row>
    <row r="731" spans="2:7" ht="13.5" thickBot="1">
      <c r="B731" s="828" t="s">
        <v>841</v>
      </c>
      <c r="C731" s="829"/>
      <c r="D731" s="77"/>
      <c r="E731" s="82"/>
      <c r="F731" s="86"/>
      <c r="G731" s="112"/>
    </row>
    <row r="732" spans="2:7" ht="14.25" thickTop="1" thickBot="1">
      <c r="B732" s="808"/>
      <c r="C732" s="808"/>
      <c r="D732" s="808"/>
      <c r="E732" s="809"/>
      <c r="F732" s="120" t="s">
        <v>856</v>
      </c>
      <c r="G732" s="118">
        <f>SUM(G727:G731)</f>
        <v>4182</v>
      </c>
    </row>
    <row r="733" spans="2:7" ht="15.75" thickTop="1" thickBot="1">
      <c r="B733" s="605"/>
      <c r="C733" s="605"/>
      <c r="D733" s="605"/>
      <c r="E733" s="605"/>
      <c r="F733" s="606"/>
      <c r="G733" s="607"/>
    </row>
    <row r="734" spans="2:7" ht="15.75" thickTop="1" thickBot="1">
      <c r="B734" s="911"/>
      <c r="C734" s="911"/>
      <c r="D734" s="911"/>
      <c r="E734" s="911"/>
      <c r="F734" s="911"/>
      <c r="G734" s="911"/>
    </row>
    <row r="735" spans="2:7" ht="13.5" thickTop="1">
      <c r="B735" s="890" t="s">
        <v>321</v>
      </c>
      <c r="C735" s="891"/>
      <c r="D735" s="891"/>
      <c r="E735" s="891"/>
      <c r="F735" s="891"/>
      <c r="G735" s="892"/>
    </row>
    <row r="736" spans="2:7">
      <c r="B736" s="550" t="s">
        <v>838</v>
      </c>
      <c r="C736" s="520" t="s">
        <v>1687</v>
      </c>
      <c r="D736" s="520" t="s">
        <v>1688</v>
      </c>
      <c r="E736" s="520" t="s">
        <v>1689</v>
      </c>
      <c r="F736" s="563" t="s">
        <v>297</v>
      </c>
      <c r="G736" s="568" t="s">
        <v>1690</v>
      </c>
    </row>
    <row r="737" spans="2:8">
      <c r="B737" s="601" t="s">
        <v>1705</v>
      </c>
      <c r="C737" s="602">
        <v>1.3</v>
      </c>
      <c r="D737" s="603">
        <v>45</v>
      </c>
      <c r="E737" s="602">
        <v>32</v>
      </c>
      <c r="F737" s="538">
        <v>780</v>
      </c>
      <c r="G737" s="604">
        <f>F737*E737</f>
        <v>24960</v>
      </c>
    </row>
    <row r="738" spans="2:8" ht="13.5" thickBot="1">
      <c r="B738" s="597" t="s">
        <v>841</v>
      </c>
      <c r="C738" s="598"/>
      <c r="D738" s="599"/>
      <c r="E738" s="524"/>
      <c r="F738" s="600"/>
      <c r="G738" s="574"/>
    </row>
    <row r="739" spans="2:8" ht="14.25" thickTop="1" thickBot="1">
      <c r="B739" s="967"/>
      <c r="C739" s="967"/>
      <c r="D739" s="967"/>
      <c r="E739" s="968"/>
      <c r="F739" s="553" t="s">
        <v>856</v>
      </c>
      <c r="G739" s="535">
        <f>SUM(G737:G738)</f>
        <v>24960</v>
      </c>
    </row>
    <row r="740" spans="2:8" ht="15.75" thickTop="1" thickBot="1">
      <c r="B740" s="911"/>
      <c r="C740" s="911"/>
      <c r="D740" s="911"/>
      <c r="E740" s="911"/>
      <c r="F740" s="911"/>
      <c r="G740" s="911"/>
    </row>
    <row r="741" spans="2:8" ht="13.5" thickTop="1">
      <c r="B741" s="890" t="s">
        <v>326</v>
      </c>
      <c r="C741" s="891"/>
      <c r="D741" s="891"/>
      <c r="E741" s="891"/>
      <c r="F741" s="912"/>
      <c r="G741" s="559">
        <f>+G706+G721+G729+G739</f>
        <v>101087</v>
      </c>
    </row>
    <row r="742" spans="2:8">
      <c r="B742" s="919" t="s">
        <v>861</v>
      </c>
      <c r="C742" s="920"/>
      <c r="D742" s="920"/>
      <c r="E742" s="921"/>
      <c r="F742" s="560">
        <f>'[1]MANO DE OBRA'!$D$59</f>
        <v>0</v>
      </c>
      <c r="G742" s="561">
        <f>ROUND(G741*F742,0)</f>
        <v>0</v>
      </c>
    </row>
    <row r="743" spans="2:8" ht="13.5" thickBot="1">
      <c r="B743" s="922" t="s">
        <v>1049</v>
      </c>
      <c r="C743" s="923"/>
      <c r="D743" s="923"/>
      <c r="E743" s="923"/>
      <c r="F743" s="924"/>
      <c r="G743" s="535">
        <f>G741</f>
        <v>101087</v>
      </c>
      <c r="H743" s="505" t="s">
        <v>1670</v>
      </c>
    </row>
    <row r="744" spans="2:8" ht="13.5" thickTop="1"/>
  </sheetData>
  <mergeCells count="688">
    <mergeCell ref="B683:E683"/>
    <mergeCell ref="B684:G684"/>
    <mergeCell ref="B685:G685"/>
    <mergeCell ref="B678:C678"/>
    <mergeCell ref="B679:C679"/>
    <mergeCell ref="B680:C680"/>
    <mergeCell ref="B681:C681"/>
    <mergeCell ref="B693:E693"/>
    <mergeCell ref="B694:F694"/>
    <mergeCell ref="B686:C686"/>
    <mergeCell ref="B688:C688"/>
    <mergeCell ref="B689:C689"/>
    <mergeCell ref="B690:E690"/>
    <mergeCell ref="B691:G691"/>
    <mergeCell ref="B692:F692"/>
    <mergeCell ref="B674:G674"/>
    <mergeCell ref="B675:C675"/>
    <mergeCell ref="B676:C676"/>
    <mergeCell ref="B669:C669"/>
    <mergeCell ref="B670:C672"/>
    <mergeCell ref="D670:E670"/>
    <mergeCell ref="D671:E671"/>
    <mergeCell ref="D672:E672"/>
    <mergeCell ref="B682:C682"/>
    <mergeCell ref="B665:C665"/>
    <mergeCell ref="B666:C666"/>
    <mergeCell ref="B667:C667"/>
    <mergeCell ref="B668:C668"/>
    <mergeCell ref="B661:C661"/>
    <mergeCell ref="B662:C662"/>
    <mergeCell ref="B663:C663"/>
    <mergeCell ref="B664:C664"/>
    <mergeCell ref="B673:G673"/>
    <mergeCell ref="B651:C651"/>
    <mergeCell ref="C642:E642"/>
    <mergeCell ref="C643:E643"/>
    <mergeCell ref="C644:G644"/>
    <mergeCell ref="B645:G645"/>
    <mergeCell ref="B656:E656"/>
    <mergeCell ref="B657:G657"/>
    <mergeCell ref="B658:G658"/>
    <mergeCell ref="B659:C659"/>
    <mergeCell ref="B652:C652"/>
    <mergeCell ref="B653:C653"/>
    <mergeCell ref="B654:C654"/>
    <mergeCell ref="B655:C655"/>
    <mergeCell ref="B640:E640"/>
    <mergeCell ref="B641:F641"/>
    <mergeCell ref="B633:C633"/>
    <mergeCell ref="B635:C635"/>
    <mergeCell ref="B636:C636"/>
    <mergeCell ref="B637:E637"/>
    <mergeCell ref="B646:G646"/>
    <mergeCell ref="B648:C648"/>
    <mergeCell ref="B650:C650"/>
    <mergeCell ref="B630:E630"/>
    <mergeCell ref="B631:G631"/>
    <mergeCell ref="B632:G632"/>
    <mergeCell ref="B625:C625"/>
    <mergeCell ref="B626:C626"/>
    <mergeCell ref="B627:C627"/>
    <mergeCell ref="B628:C628"/>
    <mergeCell ref="B638:G638"/>
    <mergeCell ref="B639:F639"/>
    <mergeCell ref="B621:G621"/>
    <mergeCell ref="B622:C622"/>
    <mergeCell ref="B623:C623"/>
    <mergeCell ref="B616:C616"/>
    <mergeCell ref="B617:C619"/>
    <mergeCell ref="D617:E617"/>
    <mergeCell ref="D618:E618"/>
    <mergeCell ref="D619:E619"/>
    <mergeCell ref="B629:C629"/>
    <mergeCell ref="B612:C612"/>
    <mergeCell ref="B613:C613"/>
    <mergeCell ref="B614:C614"/>
    <mergeCell ref="B615:C615"/>
    <mergeCell ref="B608:C608"/>
    <mergeCell ref="B609:C609"/>
    <mergeCell ref="B610:C610"/>
    <mergeCell ref="B611:C611"/>
    <mergeCell ref="B620:G620"/>
    <mergeCell ref="B598:C598"/>
    <mergeCell ref="C589:E589"/>
    <mergeCell ref="C590:E590"/>
    <mergeCell ref="C591:G591"/>
    <mergeCell ref="B592:G592"/>
    <mergeCell ref="B603:E603"/>
    <mergeCell ref="B604:G604"/>
    <mergeCell ref="B605:G605"/>
    <mergeCell ref="B606:C606"/>
    <mergeCell ref="B599:C599"/>
    <mergeCell ref="B600:C600"/>
    <mergeCell ref="B601:C601"/>
    <mergeCell ref="B602:C602"/>
    <mergeCell ref="B587:E587"/>
    <mergeCell ref="B588:F588"/>
    <mergeCell ref="B580:C580"/>
    <mergeCell ref="B582:C582"/>
    <mergeCell ref="B583:C583"/>
    <mergeCell ref="B584:E584"/>
    <mergeCell ref="B593:G593"/>
    <mergeCell ref="B595:C595"/>
    <mergeCell ref="B597:C597"/>
    <mergeCell ref="B577:E577"/>
    <mergeCell ref="B578:G578"/>
    <mergeCell ref="B579:G579"/>
    <mergeCell ref="B572:C572"/>
    <mergeCell ref="B573:C573"/>
    <mergeCell ref="B574:C574"/>
    <mergeCell ref="B575:C575"/>
    <mergeCell ref="B585:G585"/>
    <mergeCell ref="B586:F586"/>
    <mergeCell ref="B568:G568"/>
    <mergeCell ref="B569:C569"/>
    <mergeCell ref="B570:C570"/>
    <mergeCell ref="B563:C563"/>
    <mergeCell ref="B564:C566"/>
    <mergeCell ref="D564:E564"/>
    <mergeCell ref="D565:E565"/>
    <mergeCell ref="D566:E566"/>
    <mergeCell ref="B576:C576"/>
    <mergeCell ref="B559:C559"/>
    <mergeCell ref="B560:C560"/>
    <mergeCell ref="B561:C561"/>
    <mergeCell ref="B562:C562"/>
    <mergeCell ref="B555:C555"/>
    <mergeCell ref="B556:C556"/>
    <mergeCell ref="B557:C557"/>
    <mergeCell ref="B558:C558"/>
    <mergeCell ref="B567:G567"/>
    <mergeCell ref="C536:E536"/>
    <mergeCell ref="C537:E537"/>
    <mergeCell ref="C538:G538"/>
    <mergeCell ref="B539:G539"/>
    <mergeCell ref="B550:E550"/>
    <mergeCell ref="B551:G551"/>
    <mergeCell ref="B552:G552"/>
    <mergeCell ref="B553:C553"/>
    <mergeCell ref="B546:C546"/>
    <mergeCell ref="B547:C547"/>
    <mergeCell ref="B548:C548"/>
    <mergeCell ref="B549:C549"/>
    <mergeCell ref="B461:G461"/>
    <mergeCell ref="B521:C521"/>
    <mergeCell ref="B522:C522"/>
    <mergeCell ref="B532:G532"/>
    <mergeCell ref="B533:F533"/>
    <mergeCell ref="B534:E534"/>
    <mergeCell ref="B535:F535"/>
    <mergeCell ref="B527:C527"/>
    <mergeCell ref="B529:C529"/>
    <mergeCell ref="B530:C530"/>
    <mergeCell ref="B531:E531"/>
    <mergeCell ref="B462:G462"/>
    <mergeCell ref="B463:C463"/>
    <mergeCell ref="B464:C464"/>
    <mergeCell ref="B466:C466"/>
    <mergeCell ref="B467:C467"/>
    <mergeCell ref="B474:C474"/>
    <mergeCell ref="B476:C476"/>
    <mergeCell ref="B477:C477"/>
    <mergeCell ref="B478:E478"/>
    <mergeCell ref="B447:C447"/>
    <mergeCell ref="B451:C451"/>
    <mergeCell ref="B452:C452"/>
    <mergeCell ref="B453:C453"/>
    <mergeCell ref="B454:C454"/>
    <mergeCell ref="B500:C500"/>
    <mergeCell ref="B502:C502"/>
    <mergeCell ref="B494:C494"/>
    <mergeCell ref="B495:C495"/>
    <mergeCell ref="B496:C496"/>
    <mergeCell ref="B497:E497"/>
    <mergeCell ref="B455:C455"/>
    <mergeCell ref="B456:C456"/>
    <mergeCell ref="B457:C457"/>
    <mergeCell ref="B458:C460"/>
    <mergeCell ref="D458:E458"/>
    <mergeCell ref="D459:E459"/>
    <mergeCell ref="D460:E460"/>
    <mergeCell ref="B468:C468"/>
    <mergeCell ref="B469:C469"/>
    <mergeCell ref="B470:C470"/>
    <mergeCell ref="B471:E471"/>
    <mergeCell ref="B472:G472"/>
    <mergeCell ref="B473:G473"/>
    <mergeCell ref="B442:C442"/>
    <mergeCell ref="B443:C443"/>
    <mergeCell ref="C430:E430"/>
    <mergeCell ref="C431:E431"/>
    <mergeCell ref="C432:G432"/>
    <mergeCell ref="B433:G433"/>
    <mergeCell ref="B444:E444"/>
    <mergeCell ref="B445:G445"/>
    <mergeCell ref="B446:G446"/>
    <mergeCell ref="B427:F427"/>
    <mergeCell ref="B428:E428"/>
    <mergeCell ref="B429:F429"/>
    <mergeCell ref="B440:C440"/>
    <mergeCell ref="B441:C441"/>
    <mergeCell ref="B434:G434"/>
    <mergeCell ref="B436:C436"/>
    <mergeCell ref="B438:C438"/>
    <mergeCell ref="B439:C439"/>
    <mergeCell ref="B421:C421"/>
    <mergeCell ref="B423:C423"/>
    <mergeCell ref="B424:C424"/>
    <mergeCell ref="B425:E425"/>
    <mergeCell ref="B417:C417"/>
    <mergeCell ref="B418:E418"/>
    <mergeCell ref="B419:G419"/>
    <mergeCell ref="B420:G420"/>
    <mergeCell ref="B426:G426"/>
    <mergeCell ref="D407:E407"/>
    <mergeCell ref="B400:C400"/>
    <mergeCell ref="B401:C401"/>
    <mergeCell ref="B402:C402"/>
    <mergeCell ref="B403:C403"/>
    <mergeCell ref="B413:C413"/>
    <mergeCell ref="B414:C414"/>
    <mergeCell ref="B415:C415"/>
    <mergeCell ref="B416:C416"/>
    <mergeCell ref="B408:G408"/>
    <mergeCell ref="B409:G409"/>
    <mergeCell ref="B410:C410"/>
    <mergeCell ref="B411:C411"/>
    <mergeCell ref="B21:G21"/>
    <mergeCell ref="B22:G22"/>
    <mergeCell ref="B15:C15"/>
    <mergeCell ref="B16:C16"/>
    <mergeCell ref="B17:C17"/>
    <mergeCell ref="B18:C18"/>
    <mergeCell ref="B19:C19"/>
    <mergeCell ref="B20:E20"/>
    <mergeCell ref="C1:G1"/>
    <mergeCell ref="C2:G2"/>
    <mergeCell ref="C5:G5"/>
    <mergeCell ref="C6:E6"/>
    <mergeCell ref="C7:E7"/>
    <mergeCell ref="C8:G8"/>
    <mergeCell ref="B9:G9"/>
    <mergeCell ref="B10:G10"/>
    <mergeCell ref="B12:C12"/>
    <mergeCell ref="B14:C14"/>
    <mergeCell ref="C3:G3"/>
    <mergeCell ref="B4:G4"/>
    <mergeCell ref="B30:C30"/>
    <mergeCell ref="B31:C31"/>
    <mergeCell ref="B32:C32"/>
    <mergeCell ref="B33:C33"/>
    <mergeCell ref="B34:C36"/>
    <mergeCell ref="D34:E34"/>
    <mergeCell ref="D35:E35"/>
    <mergeCell ref="D36:E36"/>
    <mergeCell ref="B23:C23"/>
    <mergeCell ref="B25:C25"/>
    <mergeCell ref="B26:C26"/>
    <mergeCell ref="B27:C27"/>
    <mergeCell ref="B28:C28"/>
    <mergeCell ref="B29:C29"/>
    <mergeCell ref="B44:C44"/>
    <mergeCell ref="B45:C45"/>
    <mergeCell ref="B46:C46"/>
    <mergeCell ref="B47:E47"/>
    <mergeCell ref="B48:G48"/>
    <mergeCell ref="B49:G49"/>
    <mergeCell ref="B37:G37"/>
    <mergeCell ref="B38:G38"/>
    <mergeCell ref="B39:C39"/>
    <mergeCell ref="B40:C40"/>
    <mergeCell ref="B42:C42"/>
    <mergeCell ref="B43:C43"/>
    <mergeCell ref="B57:E57"/>
    <mergeCell ref="B58:F58"/>
    <mergeCell ref="C59:E59"/>
    <mergeCell ref="C60:E60"/>
    <mergeCell ref="C61:G61"/>
    <mergeCell ref="B62:G62"/>
    <mergeCell ref="B50:C50"/>
    <mergeCell ref="B52:C52"/>
    <mergeCell ref="B53:C53"/>
    <mergeCell ref="B54:E54"/>
    <mergeCell ref="B55:G55"/>
    <mergeCell ref="B56:F56"/>
    <mergeCell ref="B71:C71"/>
    <mergeCell ref="B72:C72"/>
    <mergeCell ref="B73:E73"/>
    <mergeCell ref="B74:G74"/>
    <mergeCell ref="B75:G75"/>
    <mergeCell ref="B76:C76"/>
    <mergeCell ref="B63:G63"/>
    <mergeCell ref="B65:C65"/>
    <mergeCell ref="B67:C67"/>
    <mergeCell ref="B68:C68"/>
    <mergeCell ref="B69:C69"/>
    <mergeCell ref="B70:C70"/>
    <mergeCell ref="B84:C84"/>
    <mergeCell ref="B85:C85"/>
    <mergeCell ref="B86:C86"/>
    <mergeCell ref="B87:C89"/>
    <mergeCell ref="D87:E87"/>
    <mergeCell ref="D88:E88"/>
    <mergeCell ref="D89:E89"/>
    <mergeCell ref="B78:C78"/>
    <mergeCell ref="B79:C79"/>
    <mergeCell ref="B80:C80"/>
    <mergeCell ref="B81:C81"/>
    <mergeCell ref="B82:C82"/>
    <mergeCell ref="B83:C83"/>
    <mergeCell ref="B97:C97"/>
    <mergeCell ref="B98:C98"/>
    <mergeCell ref="B99:C99"/>
    <mergeCell ref="B100:E100"/>
    <mergeCell ref="B101:G101"/>
    <mergeCell ref="B102:G102"/>
    <mergeCell ref="B90:G90"/>
    <mergeCell ref="B91:G91"/>
    <mergeCell ref="B92:C92"/>
    <mergeCell ref="B93:C93"/>
    <mergeCell ref="B95:C95"/>
    <mergeCell ref="B96:C96"/>
    <mergeCell ref="B110:E110"/>
    <mergeCell ref="B111:F111"/>
    <mergeCell ref="C112:E112"/>
    <mergeCell ref="C113:E113"/>
    <mergeCell ref="C114:G114"/>
    <mergeCell ref="B115:G115"/>
    <mergeCell ref="B103:C103"/>
    <mergeCell ref="B105:C105"/>
    <mergeCell ref="B106:C106"/>
    <mergeCell ref="B107:E107"/>
    <mergeCell ref="B108:G108"/>
    <mergeCell ref="B109:F109"/>
    <mergeCell ref="B124:C124"/>
    <mergeCell ref="B125:C125"/>
    <mergeCell ref="B126:E126"/>
    <mergeCell ref="B127:G127"/>
    <mergeCell ref="B128:G128"/>
    <mergeCell ref="B129:C129"/>
    <mergeCell ref="B116:G116"/>
    <mergeCell ref="B118:C118"/>
    <mergeCell ref="B120:C120"/>
    <mergeCell ref="B121:C121"/>
    <mergeCell ref="B122:C122"/>
    <mergeCell ref="B123:C123"/>
    <mergeCell ref="B137:C137"/>
    <mergeCell ref="B138:C138"/>
    <mergeCell ref="B139:C139"/>
    <mergeCell ref="B140:C142"/>
    <mergeCell ref="D140:E140"/>
    <mergeCell ref="D141:E141"/>
    <mergeCell ref="D142:E142"/>
    <mergeCell ref="B131:C131"/>
    <mergeCell ref="B132:C132"/>
    <mergeCell ref="B133:C133"/>
    <mergeCell ref="B134:C134"/>
    <mergeCell ref="B135:C135"/>
    <mergeCell ref="B136:C136"/>
    <mergeCell ref="B150:C150"/>
    <mergeCell ref="B151:C151"/>
    <mergeCell ref="B152:C152"/>
    <mergeCell ref="B153:E153"/>
    <mergeCell ref="B154:G154"/>
    <mergeCell ref="B155:G155"/>
    <mergeCell ref="B143:G143"/>
    <mergeCell ref="B144:G144"/>
    <mergeCell ref="B145:C145"/>
    <mergeCell ref="B146:C146"/>
    <mergeCell ref="B148:C148"/>
    <mergeCell ref="B149:C149"/>
    <mergeCell ref="B163:E163"/>
    <mergeCell ref="B164:F164"/>
    <mergeCell ref="C165:E165"/>
    <mergeCell ref="C166:E166"/>
    <mergeCell ref="C167:G167"/>
    <mergeCell ref="B168:G168"/>
    <mergeCell ref="B156:C156"/>
    <mergeCell ref="B158:C158"/>
    <mergeCell ref="B159:C159"/>
    <mergeCell ref="B160:E160"/>
    <mergeCell ref="B161:G161"/>
    <mergeCell ref="B162:F162"/>
    <mergeCell ref="B177:C177"/>
    <mergeCell ref="B178:C178"/>
    <mergeCell ref="B179:E179"/>
    <mergeCell ref="B180:G180"/>
    <mergeCell ref="B181:G181"/>
    <mergeCell ref="B182:C182"/>
    <mergeCell ref="B169:G169"/>
    <mergeCell ref="B171:C171"/>
    <mergeCell ref="B173:C173"/>
    <mergeCell ref="B174:C174"/>
    <mergeCell ref="B175:C175"/>
    <mergeCell ref="B176:C176"/>
    <mergeCell ref="B190:C190"/>
    <mergeCell ref="B191:C191"/>
    <mergeCell ref="B192:C192"/>
    <mergeCell ref="B193:C195"/>
    <mergeCell ref="D193:E193"/>
    <mergeCell ref="D194:E194"/>
    <mergeCell ref="D195:E195"/>
    <mergeCell ref="B184:C184"/>
    <mergeCell ref="B185:C185"/>
    <mergeCell ref="B186:C186"/>
    <mergeCell ref="B187:C187"/>
    <mergeCell ref="B188:C188"/>
    <mergeCell ref="B189:C189"/>
    <mergeCell ref="B203:C203"/>
    <mergeCell ref="B204:C204"/>
    <mergeCell ref="B205:C205"/>
    <mergeCell ref="B206:E206"/>
    <mergeCell ref="B207:G207"/>
    <mergeCell ref="B208:G208"/>
    <mergeCell ref="B196:G196"/>
    <mergeCell ref="B197:G197"/>
    <mergeCell ref="B198:C198"/>
    <mergeCell ref="B199:C199"/>
    <mergeCell ref="B201:C201"/>
    <mergeCell ref="B202:C202"/>
    <mergeCell ref="B216:E216"/>
    <mergeCell ref="B217:F217"/>
    <mergeCell ref="C218:E218"/>
    <mergeCell ref="C219:E219"/>
    <mergeCell ref="C220:G220"/>
    <mergeCell ref="B221:G221"/>
    <mergeCell ref="B209:C209"/>
    <mergeCell ref="B211:C211"/>
    <mergeCell ref="B212:C212"/>
    <mergeCell ref="B213:E213"/>
    <mergeCell ref="B214:G214"/>
    <mergeCell ref="B215:F215"/>
    <mergeCell ref="B230:C230"/>
    <mergeCell ref="B231:C231"/>
    <mergeCell ref="B232:E232"/>
    <mergeCell ref="B233:G233"/>
    <mergeCell ref="B234:G234"/>
    <mergeCell ref="B235:C235"/>
    <mergeCell ref="B222:G222"/>
    <mergeCell ref="B224:C224"/>
    <mergeCell ref="B226:C226"/>
    <mergeCell ref="B227:C227"/>
    <mergeCell ref="B228:C228"/>
    <mergeCell ref="B229:C229"/>
    <mergeCell ref="B243:C243"/>
    <mergeCell ref="B244:C244"/>
    <mergeCell ref="B245:C245"/>
    <mergeCell ref="B246:C248"/>
    <mergeCell ref="D246:E246"/>
    <mergeCell ref="D247:E247"/>
    <mergeCell ref="D248:E248"/>
    <mergeCell ref="B237:C237"/>
    <mergeCell ref="B238:C238"/>
    <mergeCell ref="B239:C239"/>
    <mergeCell ref="B240:C240"/>
    <mergeCell ref="B241:C241"/>
    <mergeCell ref="B242:C242"/>
    <mergeCell ref="B256:C256"/>
    <mergeCell ref="B257:C257"/>
    <mergeCell ref="B258:C258"/>
    <mergeCell ref="B259:E259"/>
    <mergeCell ref="B260:G260"/>
    <mergeCell ref="B261:G261"/>
    <mergeCell ref="B249:G249"/>
    <mergeCell ref="B250:G250"/>
    <mergeCell ref="B251:C251"/>
    <mergeCell ref="B252:C252"/>
    <mergeCell ref="B254:C254"/>
    <mergeCell ref="B255:C255"/>
    <mergeCell ref="B269:E269"/>
    <mergeCell ref="B270:F270"/>
    <mergeCell ref="C271:E271"/>
    <mergeCell ref="C272:E272"/>
    <mergeCell ref="C273:G273"/>
    <mergeCell ref="B274:G274"/>
    <mergeCell ref="B262:C262"/>
    <mergeCell ref="B264:C264"/>
    <mergeCell ref="B265:C265"/>
    <mergeCell ref="B266:E266"/>
    <mergeCell ref="B267:G267"/>
    <mergeCell ref="B268:F268"/>
    <mergeCell ref="B283:C283"/>
    <mergeCell ref="B284:C284"/>
    <mergeCell ref="B285:E285"/>
    <mergeCell ref="B286:G286"/>
    <mergeCell ref="B287:G287"/>
    <mergeCell ref="B288:C288"/>
    <mergeCell ref="B275:G275"/>
    <mergeCell ref="B277:C277"/>
    <mergeCell ref="B279:C279"/>
    <mergeCell ref="B280:C280"/>
    <mergeCell ref="B281:C281"/>
    <mergeCell ref="B282:C282"/>
    <mergeCell ref="B296:C296"/>
    <mergeCell ref="B297:C297"/>
    <mergeCell ref="B298:C298"/>
    <mergeCell ref="B299:C301"/>
    <mergeCell ref="D299:E299"/>
    <mergeCell ref="D300:E300"/>
    <mergeCell ref="D301:E301"/>
    <mergeCell ref="B290:C290"/>
    <mergeCell ref="B291:C291"/>
    <mergeCell ref="B292:C292"/>
    <mergeCell ref="B293:C293"/>
    <mergeCell ref="B294:C294"/>
    <mergeCell ref="B295:C295"/>
    <mergeCell ref="B309:C309"/>
    <mergeCell ref="B310:C310"/>
    <mergeCell ref="B311:C311"/>
    <mergeCell ref="B312:E312"/>
    <mergeCell ref="B313:G313"/>
    <mergeCell ref="B314:G314"/>
    <mergeCell ref="B302:G302"/>
    <mergeCell ref="B303:G303"/>
    <mergeCell ref="B304:C304"/>
    <mergeCell ref="B305:C305"/>
    <mergeCell ref="B307:C307"/>
    <mergeCell ref="B308:C308"/>
    <mergeCell ref="B322:E322"/>
    <mergeCell ref="B323:F323"/>
    <mergeCell ref="C324:E324"/>
    <mergeCell ref="C325:E325"/>
    <mergeCell ref="C326:G326"/>
    <mergeCell ref="B327:G327"/>
    <mergeCell ref="B315:C315"/>
    <mergeCell ref="B317:C317"/>
    <mergeCell ref="B318:C318"/>
    <mergeCell ref="B319:E319"/>
    <mergeCell ref="B320:G320"/>
    <mergeCell ref="B321:F321"/>
    <mergeCell ref="B336:C336"/>
    <mergeCell ref="B337:C337"/>
    <mergeCell ref="B338:E338"/>
    <mergeCell ref="B339:G339"/>
    <mergeCell ref="B340:G340"/>
    <mergeCell ref="B341:C341"/>
    <mergeCell ref="B328:G328"/>
    <mergeCell ref="B330:C330"/>
    <mergeCell ref="B332:C332"/>
    <mergeCell ref="B333:C333"/>
    <mergeCell ref="B334:C334"/>
    <mergeCell ref="B335:C335"/>
    <mergeCell ref="B349:C349"/>
    <mergeCell ref="B350:C350"/>
    <mergeCell ref="B351:C351"/>
    <mergeCell ref="B352:C354"/>
    <mergeCell ref="D352:E352"/>
    <mergeCell ref="D353:E353"/>
    <mergeCell ref="D354:E354"/>
    <mergeCell ref="B343:C343"/>
    <mergeCell ref="B344:C344"/>
    <mergeCell ref="B345:C345"/>
    <mergeCell ref="B346:C346"/>
    <mergeCell ref="B347:C347"/>
    <mergeCell ref="B348:C348"/>
    <mergeCell ref="B362:C362"/>
    <mergeCell ref="B363:C363"/>
    <mergeCell ref="B364:C364"/>
    <mergeCell ref="B365:E365"/>
    <mergeCell ref="B366:G366"/>
    <mergeCell ref="B367:G367"/>
    <mergeCell ref="B355:G355"/>
    <mergeCell ref="B356:G356"/>
    <mergeCell ref="B357:C357"/>
    <mergeCell ref="B358:C358"/>
    <mergeCell ref="B360:C360"/>
    <mergeCell ref="B361:C361"/>
    <mergeCell ref="B368:C368"/>
    <mergeCell ref="B370:C370"/>
    <mergeCell ref="B371:C371"/>
    <mergeCell ref="B372:E372"/>
    <mergeCell ref="C377:E377"/>
    <mergeCell ref="C378:E378"/>
    <mergeCell ref="B373:G373"/>
    <mergeCell ref="B374:F374"/>
    <mergeCell ref="B375:E375"/>
    <mergeCell ref="B376:F376"/>
    <mergeCell ref="C379:G379"/>
    <mergeCell ref="B380:G380"/>
    <mergeCell ref="B387:C387"/>
    <mergeCell ref="B388:C388"/>
    <mergeCell ref="B449:C449"/>
    <mergeCell ref="B450:C450"/>
    <mergeCell ref="B389:C389"/>
    <mergeCell ref="B390:C390"/>
    <mergeCell ref="B381:G381"/>
    <mergeCell ref="B383:C383"/>
    <mergeCell ref="B385:C385"/>
    <mergeCell ref="B386:C386"/>
    <mergeCell ref="B396:C396"/>
    <mergeCell ref="B397:C397"/>
    <mergeCell ref="B398:C398"/>
    <mergeCell ref="B399:C399"/>
    <mergeCell ref="B391:E391"/>
    <mergeCell ref="B392:G392"/>
    <mergeCell ref="B393:G393"/>
    <mergeCell ref="B394:C394"/>
    <mergeCell ref="B404:C404"/>
    <mergeCell ref="B405:C407"/>
    <mergeCell ref="D405:E405"/>
    <mergeCell ref="D406:E406"/>
    <mergeCell ref="I606:K610"/>
    <mergeCell ref="B479:G479"/>
    <mergeCell ref="B480:F480"/>
    <mergeCell ref="B481:E481"/>
    <mergeCell ref="B482:F482"/>
    <mergeCell ref="C483:E483"/>
    <mergeCell ref="B492:C492"/>
    <mergeCell ref="B493:C493"/>
    <mergeCell ref="B489:C489"/>
    <mergeCell ref="B491:C491"/>
    <mergeCell ref="B498:G498"/>
    <mergeCell ref="B499:G499"/>
    <mergeCell ref="B507:C507"/>
    <mergeCell ref="B508:C508"/>
    <mergeCell ref="B509:C509"/>
    <mergeCell ref="B510:C510"/>
    <mergeCell ref="B503:C503"/>
    <mergeCell ref="B504:C504"/>
    <mergeCell ref="B505:C505"/>
    <mergeCell ref="B506:C506"/>
    <mergeCell ref="B540:G540"/>
    <mergeCell ref="B542:C542"/>
    <mergeCell ref="B544:C544"/>
    <mergeCell ref="B545:C545"/>
    <mergeCell ref="C695:E695"/>
    <mergeCell ref="C696:E696"/>
    <mergeCell ref="C697:G697"/>
    <mergeCell ref="B698:G698"/>
    <mergeCell ref="B699:G699"/>
    <mergeCell ref="B700:C700"/>
    <mergeCell ref="C484:E484"/>
    <mergeCell ref="C485:G485"/>
    <mergeCell ref="B486:G486"/>
    <mergeCell ref="B487:G487"/>
    <mergeCell ref="B514:G514"/>
    <mergeCell ref="B515:G515"/>
    <mergeCell ref="B516:C516"/>
    <mergeCell ref="B517:C517"/>
    <mergeCell ref="B511:C513"/>
    <mergeCell ref="D511:E511"/>
    <mergeCell ref="D512:E512"/>
    <mergeCell ref="D513:E513"/>
    <mergeCell ref="B523:C523"/>
    <mergeCell ref="B524:E524"/>
    <mergeCell ref="B525:G525"/>
    <mergeCell ref="B526:G526"/>
    <mergeCell ref="B519:C519"/>
    <mergeCell ref="B520:C520"/>
    <mergeCell ref="B707:G707"/>
    <mergeCell ref="B708:G708"/>
    <mergeCell ref="B709:C709"/>
    <mergeCell ref="B710:C710"/>
    <mergeCell ref="B711:C711"/>
    <mergeCell ref="B712:C712"/>
    <mergeCell ref="B701:C701"/>
    <mergeCell ref="B702:C702"/>
    <mergeCell ref="B703:C703"/>
    <mergeCell ref="B704:C704"/>
    <mergeCell ref="B705:C705"/>
    <mergeCell ref="B706:E706"/>
    <mergeCell ref="B719:C721"/>
    <mergeCell ref="D719:E719"/>
    <mergeCell ref="D720:E720"/>
    <mergeCell ref="D721:E721"/>
    <mergeCell ref="B722:G722"/>
    <mergeCell ref="B723:G723"/>
    <mergeCell ref="B724:C724"/>
    <mergeCell ref="B725:C725"/>
    <mergeCell ref="B713:C713"/>
    <mergeCell ref="B714:C714"/>
    <mergeCell ref="B715:C715"/>
    <mergeCell ref="B716:C716"/>
    <mergeCell ref="B717:C717"/>
    <mergeCell ref="B718:C718"/>
    <mergeCell ref="B727:C727"/>
    <mergeCell ref="B728:C728"/>
    <mergeCell ref="B729:C729"/>
    <mergeCell ref="B730:C730"/>
    <mergeCell ref="B742:E742"/>
    <mergeCell ref="B743:F743"/>
    <mergeCell ref="B734:G734"/>
    <mergeCell ref="B735:G735"/>
    <mergeCell ref="B739:E739"/>
    <mergeCell ref="B740:G740"/>
    <mergeCell ref="B741:F741"/>
    <mergeCell ref="B731:C731"/>
    <mergeCell ref="B732:E732"/>
  </mergeCells>
  <phoneticPr fontId="0" type="noConversion"/>
  <hyperlinks>
    <hyperlink ref="H6" location="INSTALACIONES_SANITARIAS" display="volver"/>
    <hyperlink ref="H32" location="INSTALACIONES_SANITARIAS" display="volver"/>
    <hyperlink ref="H58" location="INSTALACIONES_SANITARIAS" display="volver"/>
    <hyperlink ref="H85" location="INSTALACIONES_SANITARIAS" display="volver"/>
    <hyperlink ref="H111" location="INSTALACIONES_SANITARIAS" display="volver"/>
    <hyperlink ref="H138" location="INSTALACIONES_SANITARIAS" display="volver"/>
    <hyperlink ref="H164" location="INSTALACIONES_SANITARIAS" display="volver"/>
    <hyperlink ref="H191" location="INSTALACIONES_SANITARIAS" display="volver"/>
    <hyperlink ref="H217" location="INSTALACIONES_SANITARIAS" display="volver"/>
    <hyperlink ref="H244" location="INSTALACIONES_SANITARIAS" display="volver"/>
    <hyperlink ref="H270" location="INSTALACIONES_SANITARIAS" display="volver"/>
    <hyperlink ref="H297" location="INSTALACIONES_SANITARIAS" display="volver"/>
    <hyperlink ref="H323" location="INSTALACIONES_SANITARIAS" display="volver"/>
    <hyperlink ref="H350" location="INSTALACIONES_SANITARIAS" display="volver"/>
    <hyperlink ref="H376" location="INSTALACIONES_SANITARIAS" display="volver"/>
    <hyperlink ref="H403" location="INSTALACIONES_SANITARIAS" display="volver"/>
    <hyperlink ref="H429" location="INSTALACIONES_SANITARIAS" display="volver"/>
    <hyperlink ref="H442" location="INSTALACIONES_SANITARIAS" display="volver"/>
    <hyperlink ref="H482" location="INSTALACIONES_SANITARIAS" display="volver"/>
    <hyperlink ref="H509" location="INSTALACIONES_SANITARIAS" display="volver"/>
    <hyperlink ref="H535" location="INSTALACIONES_SANITARIAS" display="volver"/>
    <hyperlink ref="H562" location="INSTALACIONES_SANITARIAS" display="volver"/>
    <hyperlink ref="H588" location="INSTALACIONES_SANITARIAS" display="volver"/>
    <hyperlink ref="H615" location="INSTALACIONES_SANITARIAS" display="volver"/>
    <hyperlink ref="H641" location="INSTALACIONES_SANITARIAS" display="volver"/>
    <hyperlink ref="H668" location="INSTALACIONES_SANITARIAS" display="volver"/>
    <hyperlink ref="H694" location="INSTALACIONES_SANITARIAS" display="volver"/>
    <hyperlink ref="H717" location="INSTALACIONES_SANITARIAS" display="volver"/>
    <hyperlink ref="H743" location="INSTALACIONES_SANITARIAS" display="volver"/>
  </hyperlinks>
  <pageMargins left="0.98425196850393704" right="0.78740157480314965" top="0.59055118110236227" bottom="0.59055118110236227" header="0" footer="0"/>
  <pageSetup scale="90" orientation="portrait" r:id="rId1"/>
  <headerFooter alignWithMargins="0"/>
  <rowBreaks count="12" manualBreakCount="12">
    <brk id="58" max="16383" man="1"/>
    <brk id="111" max="16383" man="1"/>
    <brk id="164" max="16383" man="1"/>
    <brk id="217" max="16383" man="1"/>
    <brk id="270" max="16383" man="1"/>
    <brk id="323" max="16383" man="1"/>
    <brk id="376" max="16383" man="1"/>
    <brk id="429" max="16383" man="1"/>
    <brk id="482" max="16383" man="1"/>
    <brk id="535" max="16383" man="1"/>
    <brk id="588" max="16383" man="1"/>
    <brk id="641" max="16383" man="1"/>
  </rowBreaks>
  <colBreaks count="1" manualBreakCount="1">
    <brk id="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3">
    <tabColor indexed="24"/>
  </sheetPr>
  <dimension ref="A1:H1385"/>
  <sheetViews>
    <sheetView topLeftCell="A619" zoomScaleNormal="100" zoomScaleSheetLayoutView="100" workbookViewId="0">
      <selection activeCell="H641" sqref="H641"/>
    </sheetView>
  </sheetViews>
  <sheetFormatPr baseColWidth="10" defaultRowHeight="12.75"/>
  <cols>
    <col min="2" max="2" width="12.7109375" customWidth="1"/>
    <col min="3" max="3" width="28.42578125" customWidth="1"/>
    <col min="4" max="4" width="12.7109375" customWidth="1"/>
    <col min="5" max="5" width="13.7109375" customWidth="1"/>
    <col min="6" max="6" width="14.7109375" customWidth="1"/>
    <col min="7" max="7" width="16.7109375" customWidth="1"/>
  </cols>
  <sheetData>
    <row r="1" spans="1:8" ht="19.5" thickTop="1">
      <c r="A1" s="95"/>
      <c r="B1" s="225"/>
      <c r="C1" s="848" t="s">
        <v>1054</v>
      </c>
      <c r="D1" s="848"/>
      <c r="E1" s="848"/>
      <c r="F1" s="848"/>
      <c r="G1" s="849"/>
    </row>
    <row r="2" spans="1:8" ht="18.75">
      <c r="A2" s="95"/>
      <c r="B2" s="226"/>
      <c r="C2" s="780" t="s">
        <v>1381</v>
      </c>
      <c r="D2" s="780"/>
      <c r="E2" s="780"/>
      <c r="F2" s="780"/>
      <c r="G2" s="850"/>
    </row>
    <row r="3" spans="1:8" ht="18.75">
      <c r="A3" s="95"/>
      <c r="B3" s="226"/>
      <c r="C3" s="781"/>
      <c r="D3" s="781"/>
      <c r="E3" s="781"/>
      <c r="F3" s="781"/>
      <c r="G3" s="851"/>
    </row>
    <row r="4" spans="1:8" ht="15.75">
      <c r="A4" s="95"/>
      <c r="B4" s="881" t="s">
        <v>780</v>
      </c>
      <c r="C4" s="852"/>
      <c r="D4" s="852"/>
      <c r="E4" s="852"/>
      <c r="F4" s="852"/>
      <c r="G4" s="853"/>
    </row>
    <row r="5" spans="1:8" ht="15.75" thickBot="1">
      <c r="A5" s="95"/>
      <c r="B5" s="227"/>
      <c r="C5" s="856"/>
      <c r="D5" s="856"/>
      <c r="E5" s="856"/>
      <c r="F5" s="856"/>
      <c r="G5" s="857"/>
    </row>
    <row r="6" spans="1:8" ht="13.5" thickTop="1">
      <c r="A6" s="95"/>
      <c r="B6" s="90" t="s">
        <v>303</v>
      </c>
      <c r="C6" s="843"/>
      <c r="D6" s="843"/>
      <c r="E6" s="843"/>
      <c r="F6" s="92" t="s">
        <v>781</v>
      </c>
      <c r="G6" s="93" t="s">
        <v>865</v>
      </c>
      <c r="H6" s="505" t="s">
        <v>1670</v>
      </c>
    </row>
    <row r="7" spans="1:8">
      <c r="A7" s="95"/>
      <c r="B7" s="91" t="s">
        <v>834</v>
      </c>
      <c r="C7" s="844" t="s">
        <v>371</v>
      </c>
      <c r="D7" s="844"/>
      <c r="E7" s="844"/>
      <c r="F7" s="15" t="s">
        <v>833</v>
      </c>
      <c r="G7" s="165" t="str">
        <f>'MANO DE OBRA'!$D$61</f>
        <v>Agosto de 2010</v>
      </c>
    </row>
    <row r="8" spans="1:8" ht="13.5" thickBot="1">
      <c r="A8" s="127"/>
      <c r="B8" s="94" t="s">
        <v>835</v>
      </c>
      <c r="C8" s="845" t="s">
        <v>201</v>
      </c>
      <c r="D8" s="845"/>
      <c r="E8" s="845"/>
      <c r="F8" s="845"/>
      <c r="G8" s="846"/>
    </row>
    <row r="9" spans="1:8" ht="14.25" thickTop="1" thickBot="1">
      <c r="A9" s="95"/>
      <c r="B9" s="847"/>
      <c r="C9" s="847"/>
      <c r="D9" s="847"/>
      <c r="E9" s="847"/>
      <c r="F9" s="847"/>
      <c r="G9" s="847"/>
    </row>
    <row r="10" spans="1:8" ht="13.5" thickTop="1">
      <c r="A10" s="95"/>
      <c r="B10" s="811" t="s">
        <v>304</v>
      </c>
      <c r="C10" s="812"/>
      <c r="D10" s="812"/>
      <c r="E10" s="812"/>
      <c r="F10" s="812"/>
      <c r="G10" s="825"/>
    </row>
    <row r="11" spans="1:8">
      <c r="A11" s="95"/>
      <c r="B11" s="105"/>
      <c r="C11" s="97"/>
      <c r="D11" s="98" t="s">
        <v>301</v>
      </c>
      <c r="E11" s="98" t="s">
        <v>1072</v>
      </c>
      <c r="F11" s="99" t="s">
        <v>839</v>
      </c>
      <c r="G11" s="107" t="s">
        <v>840</v>
      </c>
    </row>
    <row r="12" spans="1:8">
      <c r="A12" s="95"/>
      <c r="B12" s="821" t="s">
        <v>838</v>
      </c>
      <c r="C12" s="822"/>
      <c r="D12" s="100" t="s">
        <v>308</v>
      </c>
      <c r="E12" s="100" t="s">
        <v>305</v>
      </c>
      <c r="F12" s="101" t="s">
        <v>306</v>
      </c>
      <c r="G12" s="108" t="s">
        <v>310</v>
      </c>
    </row>
    <row r="13" spans="1:8">
      <c r="A13" s="95"/>
      <c r="B13" s="115"/>
      <c r="C13" s="102"/>
      <c r="D13" s="103"/>
      <c r="E13" s="103" t="s">
        <v>309</v>
      </c>
      <c r="F13" s="104" t="s">
        <v>307</v>
      </c>
      <c r="G13" s="109"/>
    </row>
    <row r="14" spans="1:8">
      <c r="A14" s="127"/>
      <c r="B14" s="823" t="str">
        <f>'MAQUINARIA Y EQUIPOS'!$C$28</f>
        <v>HERRAMIENTAS MENORES</v>
      </c>
      <c r="C14" s="824"/>
      <c r="D14" s="87">
        <v>1</v>
      </c>
      <c r="E14" s="82">
        <f>ROUND(G47*0.05,0)</f>
        <v>2278</v>
      </c>
      <c r="F14" s="81">
        <v>1</v>
      </c>
      <c r="G14" s="110">
        <f>ROUND(D14*E14/F14,0)</f>
        <v>2278</v>
      </c>
    </row>
    <row r="15" spans="1:8">
      <c r="A15" s="95"/>
      <c r="B15" s="835"/>
      <c r="C15" s="836"/>
      <c r="D15" s="37"/>
      <c r="E15" s="82"/>
      <c r="F15" s="83"/>
      <c r="G15" s="111"/>
    </row>
    <row r="16" spans="1:8">
      <c r="A16" s="95"/>
      <c r="B16" s="835"/>
      <c r="C16" s="836"/>
      <c r="D16" s="37"/>
      <c r="E16" s="82"/>
      <c r="F16" s="83"/>
      <c r="G16" s="111"/>
    </row>
    <row r="17" spans="1:8">
      <c r="A17" s="95"/>
      <c r="B17" s="835"/>
      <c r="C17" s="836"/>
      <c r="D17" s="37"/>
      <c r="E17" s="82"/>
      <c r="F17" s="83"/>
      <c r="G17" s="111"/>
    </row>
    <row r="18" spans="1:8">
      <c r="A18" s="95"/>
      <c r="B18" s="835" t="s">
        <v>841</v>
      </c>
      <c r="C18" s="836"/>
      <c r="D18" s="37"/>
      <c r="E18" s="82"/>
      <c r="F18" s="83"/>
      <c r="G18" s="111"/>
    </row>
    <row r="19" spans="1:8" ht="13.5" thickBot="1">
      <c r="A19" s="95"/>
      <c r="B19" s="839" t="s">
        <v>841</v>
      </c>
      <c r="C19" s="840"/>
      <c r="D19" s="77"/>
      <c r="E19" s="106"/>
      <c r="F19" s="86"/>
      <c r="G19" s="112"/>
    </row>
    <row r="20" spans="1:8" ht="14.25" thickTop="1" thickBot="1">
      <c r="A20" s="95"/>
      <c r="B20" s="808"/>
      <c r="C20" s="808"/>
      <c r="D20" s="808"/>
      <c r="E20" s="809"/>
      <c r="F20" s="119" t="s">
        <v>856</v>
      </c>
      <c r="G20" s="118">
        <f>SUM(G14:G19)</f>
        <v>2278</v>
      </c>
    </row>
    <row r="21" spans="1:8" ht="14.25" thickTop="1" thickBot="1">
      <c r="A21" s="95"/>
      <c r="B21" s="830"/>
      <c r="C21" s="830"/>
      <c r="D21" s="830"/>
      <c r="E21" s="830"/>
      <c r="F21" s="830"/>
      <c r="G21" s="830"/>
    </row>
    <row r="22" spans="1:8" ht="13.5" thickTop="1">
      <c r="A22" s="95"/>
      <c r="B22" s="811" t="s">
        <v>311</v>
      </c>
      <c r="C22" s="812"/>
      <c r="D22" s="812"/>
      <c r="E22" s="812"/>
      <c r="F22" s="812"/>
      <c r="G22" s="825"/>
    </row>
    <row r="23" spans="1:8">
      <c r="A23" s="95"/>
      <c r="B23" s="817" t="s">
        <v>838</v>
      </c>
      <c r="C23" s="818"/>
      <c r="D23" s="98" t="s">
        <v>842</v>
      </c>
      <c r="E23" s="98" t="s">
        <v>853</v>
      </c>
      <c r="F23" s="99" t="s">
        <v>1047</v>
      </c>
      <c r="G23" s="107" t="s">
        <v>840</v>
      </c>
    </row>
    <row r="24" spans="1:8">
      <c r="A24" s="95"/>
      <c r="B24" s="115"/>
      <c r="C24" s="102"/>
      <c r="D24" s="100"/>
      <c r="E24" s="100" t="s">
        <v>312</v>
      </c>
      <c r="F24" s="101" t="s">
        <v>313</v>
      </c>
      <c r="G24" s="108" t="s">
        <v>314</v>
      </c>
    </row>
    <row r="25" spans="1:8">
      <c r="A25" s="125"/>
      <c r="B25" s="841" t="str">
        <f>MATERIALES2!$C$704</f>
        <v>SOLDADURA PVC ¼</v>
      </c>
      <c r="C25" s="842"/>
      <c r="D25" s="87" t="s">
        <v>865</v>
      </c>
      <c r="E25" s="145">
        <v>0.05</v>
      </c>
      <c r="F25" s="80">
        <f>MATERIALES2!$E$704</f>
        <v>56298</v>
      </c>
      <c r="G25" s="110">
        <f t="shared" ref="G25:G30" si="0">ROUND(E25*F25,0)</f>
        <v>2815</v>
      </c>
    </row>
    <row r="26" spans="1:8">
      <c r="A26" s="123"/>
      <c r="B26" s="957" t="str">
        <f>MATERIALES2!$C$878</f>
        <v>CHEQUE BRONCE 1/2" RED WHITE</v>
      </c>
      <c r="C26" s="965"/>
      <c r="D26" s="154" t="s">
        <v>865</v>
      </c>
      <c r="E26" s="155">
        <v>1</v>
      </c>
      <c r="F26" s="156">
        <f>MATERIALES2!$E$878</f>
        <v>24377</v>
      </c>
      <c r="G26" s="157">
        <f t="shared" si="0"/>
        <v>24377</v>
      </c>
    </row>
    <row r="27" spans="1:8">
      <c r="A27" s="95"/>
      <c r="B27" s="854" t="str">
        <f>MATERIALES2!$C$874</f>
        <v>REGISTRO 1/2"</v>
      </c>
      <c r="C27" s="855"/>
      <c r="D27" s="37" t="s">
        <v>865</v>
      </c>
      <c r="E27" s="83">
        <v>1</v>
      </c>
      <c r="F27" s="82">
        <f>MATERIALES2!$E$874</f>
        <v>21000</v>
      </c>
      <c r="G27" s="111">
        <f t="shared" si="0"/>
        <v>21000</v>
      </c>
    </row>
    <row r="28" spans="1:8">
      <c r="A28" s="95"/>
      <c r="B28" s="854" t="str">
        <f>MATERIALES2!$C$594</f>
        <v>TUBO PVC PRESION LINEA 80 1/2" x 6.0 M</v>
      </c>
      <c r="C28" s="855"/>
      <c r="D28" s="37" t="s">
        <v>865</v>
      </c>
      <c r="E28" s="83">
        <v>0.83</v>
      </c>
      <c r="F28" s="82">
        <f>MATERIALES2!$E$594</f>
        <v>7500</v>
      </c>
      <c r="G28" s="111">
        <f t="shared" si="0"/>
        <v>6225</v>
      </c>
    </row>
    <row r="29" spans="1:8">
      <c r="A29" s="95"/>
      <c r="B29" s="854" t="str">
        <f>MATERIALES2!$C$674</f>
        <v>CODO PRESION ½"</v>
      </c>
      <c r="C29" s="855"/>
      <c r="D29" s="37" t="s">
        <v>865</v>
      </c>
      <c r="E29" s="146">
        <v>2</v>
      </c>
      <c r="F29" s="82">
        <f>MATERIALES2!$E$674</f>
        <v>200</v>
      </c>
      <c r="G29" s="111">
        <f t="shared" si="0"/>
        <v>400</v>
      </c>
    </row>
    <row r="30" spans="1:8">
      <c r="A30" s="95"/>
      <c r="B30" s="854" t="str">
        <f>MATERIALES2!$C$903</f>
        <v>LLAVE DE PASO 1/2"</v>
      </c>
      <c r="C30" s="855"/>
      <c r="D30" s="37" t="s">
        <v>865</v>
      </c>
      <c r="E30" s="146">
        <v>1</v>
      </c>
      <c r="F30" s="82">
        <f>MATERIALES2!$E$903</f>
        <v>10000</v>
      </c>
      <c r="G30" s="111">
        <f t="shared" si="0"/>
        <v>10000</v>
      </c>
    </row>
    <row r="31" spans="1:8">
      <c r="A31" s="95"/>
      <c r="B31" s="854" t="str">
        <f>MATERIALES2!$C$366</f>
        <v>MEDIDOR AGUA ½"</v>
      </c>
      <c r="C31" s="855"/>
      <c r="D31" s="37" t="s">
        <v>865</v>
      </c>
      <c r="E31" s="146">
        <v>1</v>
      </c>
      <c r="F31" s="82">
        <f>MATERIALES2!$E$366</f>
        <v>65000</v>
      </c>
      <c r="G31" s="111">
        <f>ROUND(E31*F31,0)</f>
        <v>65000</v>
      </c>
    </row>
    <row r="32" spans="1:8">
      <c r="A32" s="95"/>
      <c r="B32" s="854" t="str">
        <f>MATERIALES2!$C$362</f>
        <v>MATRICULA AGUA ESTRATO 1</v>
      </c>
      <c r="C32" s="855"/>
      <c r="D32" s="37" t="s">
        <v>865</v>
      </c>
      <c r="E32" s="146">
        <v>1</v>
      </c>
      <c r="F32" s="82">
        <f>MATERIALES2!$E$362</f>
        <v>7150</v>
      </c>
      <c r="G32" s="111">
        <f>ROUND(E32*F32,0)</f>
        <v>7150</v>
      </c>
      <c r="H32" s="505" t="s">
        <v>1670</v>
      </c>
    </row>
    <row r="33" spans="1:7" ht="13.5" thickBot="1">
      <c r="A33" s="95"/>
      <c r="B33" s="942" t="s">
        <v>841</v>
      </c>
      <c r="C33" s="943"/>
      <c r="D33" s="84" t="s">
        <v>841</v>
      </c>
      <c r="E33" s="84"/>
      <c r="F33" s="85"/>
      <c r="G33" s="112"/>
    </row>
    <row r="34" spans="1:7" ht="13.5" thickTop="1">
      <c r="A34" s="95"/>
      <c r="B34" s="808"/>
      <c r="C34" s="809"/>
      <c r="D34" s="801" t="s">
        <v>856</v>
      </c>
      <c r="E34" s="802"/>
      <c r="F34" s="9"/>
      <c r="G34" s="113">
        <f>SUM(G25:G33)</f>
        <v>136967</v>
      </c>
    </row>
    <row r="35" spans="1:7">
      <c r="A35" s="95"/>
      <c r="B35" s="819"/>
      <c r="C35" s="820"/>
      <c r="D35" s="801" t="s">
        <v>857</v>
      </c>
      <c r="E35" s="802"/>
      <c r="F35" s="79">
        <f>'MANO DE OBRA'!$D$60</f>
        <v>0.05</v>
      </c>
      <c r="G35" s="113">
        <f>ROUND(G34*F35,0)</f>
        <v>6848</v>
      </c>
    </row>
    <row r="36" spans="1:7" ht="13.5" thickBot="1">
      <c r="A36" s="95"/>
      <c r="B36" s="819"/>
      <c r="C36" s="820"/>
      <c r="D36" s="803" t="s">
        <v>320</v>
      </c>
      <c r="E36" s="804"/>
      <c r="F36" s="114"/>
      <c r="G36" s="118">
        <f>+G34+G35</f>
        <v>143815</v>
      </c>
    </row>
    <row r="37" spans="1:7" ht="14.25" thickTop="1" thickBot="1">
      <c r="A37" s="95"/>
      <c r="B37" s="830"/>
      <c r="C37" s="830"/>
      <c r="D37" s="830"/>
      <c r="E37" s="830"/>
      <c r="F37" s="830"/>
      <c r="G37" s="830"/>
    </row>
    <row r="38" spans="1:7" ht="13.5" thickTop="1">
      <c r="A38" s="95"/>
      <c r="B38" s="811" t="s">
        <v>858</v>
      </c>
      <c r="C38" s="812"/>
      <c r="D38" s="812"/>
      <c r="E38" s="812"/>
      <c r="F38" s="812"/>
      <c r="G38" s="825"/>
    </row>
    <row r="39" spans="1:7">
      <c r="A39" s="95"/>
      <c r="B39" s="817"/>
      <c r="C39" s="818"/>
      <c r="D39" s="98" t="s">
        <v>301</v>
      </c>
      <c r="E39" s="98" t="s">
        <v>859</v>
      </c>
      <c r="F39" s="99" t="s">
        <v>839</v>
      </c>
      <c r="G39" s="107" t="s">
        <v>840</v>
      </c>
    </row>
    <row r="40" spans="1:7">
      <c r="A40" s="95"/>
      <c r="B40" s="821" t="s">
        <v>838</v>
      </c>
      <c r="C40" s="822"/>
      <c r="D40" s="100" t="s">
        <v>316</v>
      </c>
      <c r="E40" s="100" t="s">
        <v>315</v>
      </c>
      <c r="F40" s="101" t="s">
        <v>306</v>
      </c>
      <c r="G40" s="108" t="s">
        <v>319</v>
      </c>
    </row>
    <row r="41" spans="1:7">
      <c r="A41" s="95"/>
      <c r="B41" s="115"/>
      <c r="C41" s="102"/>
      <c r="D41" s="103"/>
      <c r="E41" s="103" t="s">
        <v>317</v>
      </c>
      <c r="F41" s="104" t="s">
        <v>318</v>
      </c>
      <c r="G41" s="109"/>
    </row>
    <row r="42" spans="1:7">
      <c r="A42" s="95"/>
      <c r="B42" s="823" t="str">
        <f>'MANO DE OBRA'!$B$11</f>
        <v>AYUDANTE CUAD. TIPO BB</v>
      </c>
      <c r="C42" s="824"/>
      <c r="D42" s="87">
        <v>1</v>
      </c>
      <c r="E42" s="80">
        <f>'MANO DE OBRA'!$E$11</f>
        <v>43077</v>
      </c>
      <c r="F42" s="81">
        <v>2.67</v>
      </c>
      <c r="G42" s="110">
        <f>ROUND(D42*E42/F42,0)</f>
        <v>16134</v>
      </c>
    </row>
    <row r="43" spans="1:7">
      <c r="A43" s="95"/>
      <c r="B43" s="835" t="str">
        <f>'MANO DE OBRA'!$B$16</f>
        <v>OFICIAL CUAD. TIPO BB</v>
      </c>
      <c r="C43" s="836"/>
      <c r="D43" s="37">
        <v>1</v>
      </c>
      <c r="E43" s="82">
        <f>'MANO DE OBRA'!$E$16</f>
        <v>78577</v>
      </c>
      <c r="F43" s="83">
        <v>2.67</v>
      </c>
      <c r="G43" s="111">
        <f>ROUND(D43*E43/F43,0)</f>
        <v>29430</v>
      </c>
    </row>
    <row r="44" spans="1:7">
      <c r="A44" s="95"/>
      <c r="B44" s="835"/>
      <c r="C44" s="836"/>
      <c r="D44" s="89"/>
      <c r="E44" s="82"/>
      <c r="F44" s="83"/>
      <c r="G44" s="111"/>
    </row>
    <row r="45" spans="1:7">
      <c r="A45" s="95"/>
      <c r="B45" s="835" t="s">
        <v>841</v>
      </c>
      <c r="C45" s="836"/>
      <c r="D45" s="37"/>
      <c r="E45" s="82"/>
      <c r="F45" s="83"/>
      <c r="G45" s="111"/>
    </row>
    <row r="46" spans="1:7" ht="13.5" thickBot="1">
      <c r="A46" s="95"/>
      <c r="B46" s="828" t="s">
        <v>841</v>
      </c>
      <c r="C46" s="829"/>
      <c r="D46" s="77"/>
      <c r="E46" s="82"/>
      <c r="F46" s="86"/>
      <c r="G46" s="112"/>
    </row>
    <row r="47" spans="1:7" ht="14.25" thickTop="1" thickBot="1">
      <c r="A47" s="95"/>
      <c r="B47" s="808"/>
      <c r="C47" s="808"/>
      <c r="D47" s="808"/>
      <c r="E47" s="809"/>
      <c r="F47" s="120" t="s">
        <v>856</v>
      </c>
      <c r="G47" s="118">
        <f>SUM(G42:G46)</f>
        <v>45564</v>
      </c>
    </row>
    <row r="48" spans="1:7" ht="14.25" thickTop="1" thickBot="1">
      <c r="A48" s="95"/>
      <c r="B48" s="810"/>
      <c r="C48" s="810"/>
      <c r="D48" s="810"/>
      <c r="E48" s="810"/>
      <c r="F48" s="810"/>
      <c r="G48" s="810"/>
    </row>
    <row r="49" spans="1:8" ht="13.5" thickTop="1">
      <c r="A49" s="95"/>
      <c r="B49" s="811" t="s">
        <v>321</v>
      </c>
      <c r="C49" s="812"/>
      <c r="D49" s="812"/>
      <c r="E49" s="812"/>
      <c r="F49" s="812"/>
      <c r="G49" s="825"/>
    </row>
    <row r="50" spans="1:8">
      <c r="A50" s="95"/>
      <c r="B50" s="817" t="s">
        <v>838</v>
      </c>
      <c r="C50" s="818"/>
      <c r="D50" s="98" t="s">
        <v>301</v>
      </c>
      <c r="E50" s="98" t="s">
        <v>297</v>
      </c>
      <c r="F50" s="99" t="s">
        <v>839</v>
      </c>
      <c r="G50" s="107" t="s">
        <v>840</v>
      </c>
    </row>
    <row r="51" spans="1:8">
      <c r="A51" s="95"/>
      <c r="B51" s="115"/>
      <c r="C51" s="102"/>
      <c r="D51" s="103" t="s">
        <v>322</v>
      </c>
      <c r="E51" s="103" t="s">
        <v>323</v>
      </c>
      <c r="F51" s="104" t="s">
        <v>324</v>
      </c>
      <c r="G51" s="109" t="s">
        <v>325</v>
      </c>
    </row>
    <row r="52" spans="1:8">
      <c r="A52" s="95"/>
      <c r="B52" s="826"/>
      <c r="C52" s="827"/>
      <c r="D52" s="96"/>
      <c r="E52" s="96"/>
      <c r="F52" s="96"/>
      <c r="G52" s="116"/>
    </row>
    <row r="53" spans="1:8" ht="13.5" thickBot="1">
      <c r="A53" s="95"/>
      <c r="B53" s="828" t="s">
        <v>841</v>
      </c>
      <c r="C53" s="829"/>
      <c r="D53" s="77"/>
      <c r="E53" s="82"/>
      <c r="F53" s="86"/>
      <c r="G53" s="112"/>
    </row>
    <row r="54" spans="1:8" ht="14.25" thickTop="1" thickBot="1">
      <c r="A54" s="95"/>
      <c r="B54" s="808"/>
      <c r="C54" s="808"/>
      <c r="D54" s="808"/>
      <c r="E54" s="809"/>
      <c r="F54" s="120" t="s">
        <v>856</v>
      </c>
      <c r="G54" s="118">
        <f>SUM(G49:G53)</f>
        <v>0</v>
      </c>
    </row>
    <row r="55" spans="1:8" ht="14.25" thickTop="1" thickBot="1">
      <c r="A55" s="95"/>
      <c r="B55" s="810"/>
      <c r="C55" s="810"/>
      <c r="D55" s="810"/>
      <c r="E55" s="810"/>
      <c r="F55" s="810"/>
      <c r="G55" s="834"/>
    </row>
    <row r="56" spans="1:8" ht="13.5" thickTop="1">
      <c r="A56" s="95"/>
      <c r="B56" s="811" t="s">
        <v>326</v>
      </c>
      <c r="C56" s="812"/>
      <c r="D56" s="812"/>
      <c r="E56" s="812"/>
      <c r="F56" s="813"/>
      <c r="G56" s="121">
        <f>+G20+G36+G47</f>
        <v>191657</v>
      </c>
    </row>
    <row r="57" spans="1:8">
      <c r="A57" s="95"/>
      <c r="B57" s="814" t="s">
        <v>861</v>
      </c>
      <c r="C57" s="815"/>
      <c r="D57" s="815"/>
      <c r="E57" s="816"/>
      <c r="F57" s="128">
        <f>'MANO DE OBRA'!$D$59</f>
        <v>0</v>
      </c>
      <c r="G57" s="122">
        <f>ROUND(G56*F57,0)</f>
        <v>0</v>
      </c>
    </row>
    <row r="58" spans="1:8" ht="13.5" thickBot="1">
      <c r="A58" s="95"/>
      <c r="B58" s="805" t="s">
        <v>1049</v>
      </c>
      <c r="C58" s="806"/>
      <c r="D58" s="806"/>
      <c r="E58" s="806"/>
      <c r="F58" s="807"/>
      <c r="G58" s="118">
        <f>ROUND(G56+G57,-2)</f>
        <v>191700</v>
      </c>
      <c r="H58" s="505" t="s">
        <v>1670</v>
      </c>
    </row>
    <row r="59" spans="1:8" ht="13.5" thickTop="1">
      <c r="A59" s="95"/>
      <c r="B59" s="90" t="s">
        <v>303</v>
      </c>
      <c r="C59" s="843"/>
      <c r="D59" s="843"/>
      <c r="E59" s="843"/>
      <c r="F59" s="92" t="s">
        <v>781</v>
      </c>
      <c r="G59" s="93" t="s">
        <v>865</v>
      </c>
    </row>
    <row r="60" spans="1:8">
      <c r="A60" s="95"/>
      <c r="B60" s="91" t="s">
        <v>834</v>
      </c>
      <c r="C60" s="844" t="s">
        <v>371</v>
      </c>
      <c r="D60" s="844"/>
      <c r="E60" s="844"/>
      <c r="F60" s="15" t="s">
        <v>833</v>
      </c>
      <c r="G60" s="165" t="str">
        <f>'MANO DE OBRA'!$D$61</f>
        <v>Agosto de 2010</v>
      </c>
    </row>
    <row r="61" spans="1:8" ht="13.5" thickBot="1">
      <c r="A61" s="127"/>
      <c r="B61" s="94" t="s">
        <v>835</v>
      </c>
      <c r="C61" s="845" t="s">
        <v>202</v>
      </c>
      <c r="D61" s="845"/>
      <c r="E61" s="845"/>
      <c r="F61" s="845"/>
      <c r="G61" s="846"/>
    </row>
    <row r="62" spans="1:8" ht="14.25" thickTop="1" thickBot="1">
      <c r="A62" s="95"/>
      <c r="B62" s="847"/>
      <c r="C62" s="847"/>
      <c r="D62" s="847"/>
      <c r="E62" s="847"/>
      <c r="F62" s="847"/>
      <c r="G62" s="847"/>
    </row>
    <row r="63" spans="1:8" ht="13.5" thickTop="1">
      <c r="A63" s="95"/>
      <c r="B63" s="811" t="s">
        <v>304</v>
      </c>
      <c r="C63" s="812"/>
      <c r="D63" s="812"/>
      <c r="E63" s="812"/>
      <c r="F63" s="812"/>
      <c r="G63" s="825"/>
    </row>
    <row r="64" spans="1:8">
      <c r="A64" s="95"/>
      <c r="B64" s="105"/>
      <c r="C64" s="97"/>
      <c r="D64" s="98" t="s">
        <v>301</v>
      </c>
      <c r="E64" s="98" t="s">
        <v>1072</v>
      </c>
      <c r="F64" s="99" t="s">
        <v>839</v>
      </c>
      <c r="G64" s="107" t="s">
        <v>840</v>
      </c>
    </row>
    <row r="65" spans="1:7">
      <c r="A65" s="95"/>
      <c r="B65" s="821" t="s">
        <v>838</v>
      </c>
      <c r="C65" s="822"/>
      <c r="D65" s="100" t="s">
        <v>308</v>
      </c>
      <c r="E65" s="100" t="s">
        <v>305</v>
      </c>
      <c r="F65" s="101" t="s">
        <v>306</v>
      </c>
      <c r="G65" s="108" t="s">
        <v>310</v>
      </c>
    </row>
    <row r="66" spans="1:7">
      <c r="A66" s="95"/>
      <c r="B66" s="115"/>
      <c r="C66" s="102"/>
      <c r="D66" s="103"/>
      <c r="E66" s="103" t="s">
        <v>309</v>
      </c>
      <c r="F66" s="104" t="s">
        <v>307</v>
      </c>
      <c r="G66" s="109"/>
    </row>
    <row r="67" spans="1:7">
      <c r="A67" s="127"/>
      <c r="B67" s="823" t="str">
        <f>'MAQUINARIA Y EQUIPOS'!$C$28</f>
        <v>HERRAMIENTAS MENORES</v>
      </c>
      <c r="C67" s="824"/>
      <c r="D67" s="87">
        <v>1</v>
      </c>
      <c r="E67" s="82">
        <f>ROUND(G100*0.05,0)</f>
        <v>2278</v>
      </c>
      <c r="F67" s="81">
        <v>1</v>
      </c>
      <c r="G67" s="110">
        <f>ROUND(D67*E67/F67,0)</f>
        <v>2278</v>
      </c>
    </row>
    <row r="68" spans="1:7">
      <c r="A68" s="95"/>
      <c r="B68" s="835"/>
      <c r="C68" s="836"/>
      <c r="D68" s="37"/>
      <c r="E68" s="82"/>
      <c r="F68" s="83"/>
      <c r="G68" s="111"/>
    </row>
    <row r="69" spans="1:7">
      <c r="A69" s="95"/>
      <c r="B69" s="835"/>
      <c r="C69" s="836"/>
      <c r="D69" s="37"/>
      <c r="E69" s="82"/>
      <c r="F69" s="83"/>
      <c r="G69" s="111"/>
    </row>
    <row r="70" spans="1:7">
      <c r="A70" s="95"/>
      <c r="B70" s="835"/>
      <c r="C70" s="836"/>
      <c r="D70" s="37"/>
      <c r="E70" s="82"/>
      <c r="F70" s="83"/>
      <c r="G70" s="111"/>
    </row>
    <row r="71" spans="1:7">
      <c r="A71" s="95"/>
      <c r="B71" s="835" t="s">
        <v>841</v>
      </c>
      <c r="C71" s="836"/>
      <c r="D71" s="37"/>
      <c r="E71" s="82"/>
      <c r="F71" s="83"/>
      <c r="G71" s="111"/>
    </row>
    <row r="72" spans="1:7" ht="13.5" thickBot="1">
      <c r="A72" s="95"/>
      <c r="B72" s="839" t="s">
        <v>841</v>
      </c>
      <c r="C72" s="840"/>
      <c r="D72" s="77"/>
      <c r="E72" s="106"/>
      <c r="F72" s="86"/>
      <c r="G72" s="112"/>
    </row>
    <row r="73" spans="1:7" ht="14.25" thickTop="1" thickBot="1">
      <c r="A73" s="95"/>
      <c r="B73" s="808"/>
      <c r="C73" s="808"/>
      <c r="D73" s="808"/>
      <c r="E73" s="809"/>
      <c r="F73" s="119" t="s">
        <v>856</v>
      </c>
      <c r="G73" s="118">
        <f>SUM(G67:G72)</f>
        <v>2278</v>
      </c>
    </row>
    <row r="74" spans="1:7" ht="14.25" thickTop="1" thickBot="1">
      <c r="A74" s="95"/>
      <c r="B74" s="830"/>
      <c r="C74" s="830"/>
      <c r="D74" s="830"/>
      <c r="E74" s="830"/>
      <c r="F74" s="830"/>
      <c r="G74" s="830"/>
    </row>
    <row r="75" spans="1:7" ht="13.5" thickTop="1">
      <c r="A75" s="95"/>
      <c r="B75" s="811" t="s">
        <v>311</v>
      </c>
      <c r="C75" s="812"/>
      <c r="D75" s="812"/>
      <c r="E75" s="812"/>
      <c r="F75" s="812"/>
      <c r="G75" s="825"/>
    </row>
    <row r="76" spans="1:7">
      <c r="A76" s="95"/>
      <c r="B76" s="817" t="s">
        <v>838</v>
      </c>
      <c r="C76" s="818"/>
      <c r="D76" s="98" t="s">
        <v>842</v>
      </c>
      <c r="E76" s="98" t="s">
        <v>853</v>
      </c>
      <c r="F76" s="99" t="s">
        <v>1047</v>
      </c>
      <c r="G76" s="107" t="s">
        <v>840</v>
      </c>
    </row>
    <row r="77" spans="1:7">
      <c r="A77" s="95"/>
      <c r="B77" s="115"/>
      <c r="C77" s="102"/>
      <c r="D77" s="100"/>
      <c r="E77" s="100" t="s">
        <v>312</v>
      </c>
      <c r="F77" s="101" t="s">
        <v>313</v>
      </c>
      <c r="G77" s="108" t="s">
        <v>314</v>
      </c>
    </row>
    <row r="78" spans="1:7">
      <c r="A78" s="125"/>
      <c r="B78" s="841" t="str">
        <f>MATERIALES2!$C$704</f>
        <v>SOLDADURA PVC ¼</v>
      </c>
      <c r="C78" s="842"/>
      <c r="D78" s="87" t="s">
        <v>865</v>
      </c>
      <c r="E78" s="145">
        <v>0.05</v>
      </c>
      <c r="F78" s="80">
        <f>MATERIALES2!$E$704</f>
        <v>56298</v>
      </c>
      <c r="G78" s="110">
        <f t="shared" ref="G78:G85" si="1">ROUND(E78*F78,0)</f>
        <v>2815</v>
      </c>
    </row>
    <row r="79" spans="1:7">
      <c r="A79" s="123"/>
      <c r="B79" s="957" t="str">
        <f>MATERIALES2!$C$878</f>
        <v>CHEQUE BRONCE 1/2" RED WHITE</v>
      </c>
      <c r="C79" s="965"/>
      <c r="D79" s="154" t="s">
        <v>865</v>
      </c>
      <c r="E79" s="155">
        <v>1</v>
      </c>
      <c r="F79" s="156">
        <f>MATERIALES2!$E$878</f>
        <v>24377</v>
      </c>
      <c r="G79" s="157">
        <f t="shared" si="1"/>
        <v>24377</v>
      </c>
    </row>
    <row r="80" spans="1:7">
      <c r="A80" s="95"/>
      <c r="B80" s="854" t="str">
        <f>MATERIALES2!$C$874</f>
        <v>REGISTRO 1/2"</v>
      </c>
      <c r="C80" s="855"/>
      <c r="D80" s="37" t="s">
        <v>865</v>
      </c>
      <c r="E80" s="83">
        <v>1</v>
      </c>
      <c r="F80" s="82">
        <f>MATERIALES2!$E$874</f>
        <v>21000</v>
      </c>
      <c r="G80" s="111">
        <f t="shared" si="1"/>
        <v>21000</v>
      </c>
    </row>
    <row r="81" spans="1:8">
      <c r="A81" s="95"/>
      <c r="B81" s="854" t="str">
        <f>MATERIALES2!$C$594</f>
        <v>TUBO PVC PRESION LINEA 80 1/2" x 6.0 M</v>
      </c>
      <c r="C81" s="855"/>
      <c r="D81" s="37" t="s">
        <v>865</v>
      </c>
      <c r="E81" s="83">
        <v>0.83</v>
      </c>
      <c r="F81" s="82">
        <f>MATERIALES2!$E$594</f>
        <v>7500</v>
      </c>
      <c r="G81" s="111">
        <f t="shared" si="1"/>
        <v>6225</v>
      </c>
    </row>
    <row r="82" spans="1:8">
      <c r="A82" s="95"/>
      <c r="B82" s="854" t="str">
        <f>MATERIALES2!$C$674</f>
        <v>CODO PRESION ½"</v>
      </c>
      <c r="C82" s="855"/>
      <c r="D82" s="37" t="s">
        <v>865</v>
      </c>
      <c r="E82" s="146">
        <v>2</v>
      </c>
      <c r="F82" s="82">
        <f>MATERIALES2!$E$674</f>
        <v>200</v>
      </c>
      <c r="G82" s="111">
        <f t="shared" si="1"/>
        <v>400</v>
      </c>
    </row>
    <row r="83" spans="1:8">
      <c r="A83" s="95"/>
      <c r="B83" s="854" t="str">
        <f>MATERIALES2!$C$903</f>
        <v>LLAVE DE PASO 1/2"</v>
      </c>
      <c r="C83" s="855"/>
      <c r="D83" s="37" t="s">
        <v>865</v>
      </c>
      <c r="E83" s="146">
        <v>1</v>
      </c>
      <c r="F83" s="82">
        <f>MATERIALES2!$E$903</f>
        <v>10000</v>
      </c>
      <c r="G83" s="111">
        <f t="shared" si="1"/>
        <v>10000</v>
      </c>
    </row>
    <row r="84" spans="1:8">
      <c r="A84" s="95"/>
      <c r="B84" s="854" t="str">
        <f>MATERIALES2!$C$366</f>
        <v>MEDIDOR AGUA ½"</v>
      </c>
      <c r="C84" s="855"/>
      <c r="D84" s="37" t="s">
        <v>865</v>
      </c>
      <c r="E84" s="146">
        <v>1</v>
      </c>
      <c r="F84" s="82">
        <f>MATERIALES2!$E$366</f>
        <v>65000</v>
      </c>
      <c r="G84" s="111">
        <f t="shared" si="1"/>
        <v>65000</v>
      </c>
    </row>
    <row r="85" spans="1:8">
      <c r="A85" s="95"/>
      <c r="B85" s="854" t="str">
        <f>MATERIALES2!$C$363</f>
        <v>MATRICULA AGUA ESTRATO 2</v>
      </c>
      <c r="C85" s="855"/>
      <c r="D85" s="37" t="s">
        <v>865</v>
      </c>
      <c r="E85" s="146">
        <v>1</v>
      </c>
      <c r="F85" s="82">
        <f>MATERIALES2!$E$363</f>
        <v>56650</v>
      </c>
      <c r="G85" s="111">
        <f t="shared" si="1"/>
        <v>56650</v>
      </c>
      <c r="H85" s="505" t="s">
        <v>1670</v>
      </c>
    </row>
    <row r="86" spans="1:8" ht="13.5" thickBot="1">
      <c r="A86" s="95"/>
      <c r="B86" s="942" t="s">
        <v>841</v>
      </c>
      <c r="C86" s="943"/>
      <c r="D86" s="84" t="s">
        <v>841</v>
      </c>
      <c r="E86" s="84"/>
      <c r="F86" s="85"/>
      <c r="G86" s="112"/>
    </row>
    <row r="87" spans="1:8" ht="13.5" thickTop="1">
      <c r="A87" s="95"/>
      <c r="B87" s="808"/>
      <c r="C87" s="809"/>
      <c r="D87" s="801" t="s">
        <v>856</v>
      </c>
      <c r="E87" s="802"/>
      <c r="F87" s="9"/>
      <c r="G87" s="113">
        <f>SUM(G78:G86)</f>
        <v>186467</v>
      </c>
    </row>
    <row r="88" spans="1:8">
      <c r="A88" s="95"/>
      <c r="B88" s="819"/>
      <c r="C88" s="820"/>
      <c r="D88" s="801" t="s">
        <v>857</v>
      </c>
      <c r="E88" s="802"/>
      <c r="F88" s="79">
        <f>'MANO DE OBRA'!$D$60</f>
        <v>0.05</v>
      </c>
      <c r="G88" s="113">
        <f>ROUND(G87*F88,0)</f>
        <v>9323</v>
      </c>
    </row>
    <row r="89" spans="1:8" ht="13.5" thickBot="1">
      <c r="A89" s="95"/>
      <c r="B89" s="819"/>
      <c r="C89" s="820"/>
      <c r="D89" s="803" t="s">
        <v>320</v>
      </c>
      <c r="E89" s="804"/>
      <c r="F89" s="114"/>
      <c r="G89" s="118">
        <f>+G87+G88</f>
        <v>195790</v>
      </c>
    </row>
    <row r="90" spans="1:8" ht="14.25" thickTop="1" thickBot="1">
      <c r="A90" s="95"/>
      <c r="B90" s="830"/>
      <c r="C90" s="830"/>
      <c r="D90" s="830"/>
      <c r="E90" s="830"/>
      <c r="F90" s="830"/>
      <c r="G90" s="830"/>
    </row>
    <row r="91" spans="1:8" ht="13.5" thickTop="1">
      <c r="A91" s="95"/>
      <c r="B91" s="811" t="s">
        <v>858</v>
      </c>
      <c r="C91" s="812"/>
      <c r="D91" s="812"/>
      <c r="E91" s="812"/>
      <c r="F91" s="812"/>
      <c r="G91" s="825"/>
    </row>
    <row r="92" spans="1:8">
      <c r="A92" s="95"/>
      <c r="B92" s="817"/>
      <c r="C92" s="818"/>
      <c r="D92" s="98" t="s">
        <v>301</v>
      </c>
      <c r="E92" s="98" t="s">
        <v>859</v>
      </c>
      <c r="F92" s="99" t="s">
        <v>839</v>
      </c>
      <c r="G92" s="107" t="s">
        <v>840</v>
      </c>
    </row>
    <row r="93" spans="1:8">
      <c r="A93" s="95"/>
      <c r="B93" s="821" t="s">
        <v>838</v>
      </c>
      <c r="C93" s="822"/>
      <c r="D93" s="100" t="s">
        <v>316</v>
      </c>
      <c r="E93" s="100" t="s">
        <v>315</v>
      </c>
      <c r="F93" s="101" t="s">
        <v>306</v>
      </c>
      <c r="G93" s="108" t="s">
        <v>319</v>
      </c>
    </row>
    <row r="94" spans="1:8">
      <c r="A94" s="95"/>
      <c r="B94" s="115"/>
      <c r="C94" s="102"/>
      <c r="D94" s="103"/>
      <c r="E94" s="103" t="s">
        <v>317</v>
      </c>
      <c r="F94" s="104" t="s">
        <v>318</v>
      </c>
      <c r="G94" s="109"/>
    </row>
    <row r="95" spans="1:8">
      <c r="A95" s="95"/>
      <c r="B95" s="823" t="str">
        <f>'MANO DE OBRA'!$B$11</f>
        <v>AYUDANTE CUAD. TIPO BB</v>
      </c>
      <c r="C95" s="824"/>
      <c r="D95" s="87">
        <v>1</v>
      </c>
      <c r="E95" s="80">
        <f>'MANO DE OBRA'!$E$11</f>
        <v>43077</v>
      </c>
      <c r="F95" s="81">
        <v>2.67</v>
      </c>
      <c r="G95" s="110">
        <f>ROUND(D95*E95/F95,0)</f>
        <v>16134</v>
      </c>
    </row>
    <row r="96" spans="1:8">
      <c r="A96" s="95"/>
      <c r="B96" s="835" t="str">
        <f>'MANO DE OBRA'!$B$16</f>
        <v>OFICIAL CUAD. TIPO BB</v>
      </c>
      <c r="C96" s="836"/>
      <c r="D96" s="37">
        <v>1</v>
      </c>
      <c r="E96" s="82">
        <f>'MANO DE OBRA'!$E$16</f>
        <v>78577</v>
      </c>
      <c r="F96" s="83">
        <v>2.67</v>
      </c>
      <c r="G96" s="111">
        <f>ROUND(D96*E96/F96,0)</f>
        <v>29430</v>
      </c>
    </row>
    <row r="97" spans="1:8">
      <c r="A97" s="95"/>
      <c r="B97" s="835"/>
      <c r="C97" s="836"/>
      <c r="D97" s="89"/>
      <c r="E97" s="82"/>
      <c r="F97" s="83"/>
      <c r="G97" s="111"/>
    </row>
    <row r="98" spans="1:8">
      <c r="A98" s="95"/>
      <c r="B98" s="835" t="s">
        <v>841</v>
      </c>
      <c r="C98" s="836"/>
      <c r="D98" s="37"/>
      <c r="E98" s="82"/>
      <c r="F98" s="83"/>
      <c r="G98" s="111"/>
    </row>
    <row r="99" spans="1:8" ht="13.5" thickBot="1">
      <c r="A99" s="95"/>
      <c r="B99" s="828" t="s">
        <v>841</v>
      </c>
      <c r="C99" s="829"/>
      <c r="D99" s="77"/>
      <c r="E99" s="82"/>
      <c r="F99" s="86"/>
      <c r="G99" s="112"/>
    </row>
    <row r="100" spans="1:8" ht="14.25" thickTop="1" thickBot="1">
      <c r="A100" s="95"/>
      <c r="B100" s="808"/>
      <c r="C100" s="808"/>
      <c r="D100" s="808"/>
      <c r="E100" s="809"/>
      <c r="F100" s="120" t="s">
        <v>856</v>
      </c>
      <c r="G100" s="118">
        <f>SUM(G95:G99)</f>
        <v>45564</v>
      </c>
    </row>
    <row r="101" spans="1:8" ht="14.25" thickTop="1" thickBot="1">
      <c r="A101" s="95"/>
      <c r="B101" s="810"/>
      <c r="C101" s="810"/>
      <c r="D101" s="810"/>
      <c r="E101" s="810"/>
      <c r="F101" s="810"/>
      <c r="G101" s="810"/>
    </row>
    <row r="102" spans="1:8" ht="13.5" thickTop="1">
      <c r="A102" s="95"/>
      <c r="B102" s="811" t="s">
        <v>321</v>
      </c>
      <c r="C102" s="812"/>
      <c r="D102" s="812"/>
      <c r="E102" s="812"/>
      <c r="F102" s="812"/>
      <c r="G102" s="825"/>
    </row>
    <row r="103" spans="1:8">
      <c r="A103" s="95"/>
      <c r="B103" s="817" t="s">
        <v>838</v>
      </c>
      <c r="C103" s="818"/>
      <c r="D103" s="98" t="s">
        <v>301</v>
      </c>
      <c r="E103" s="98" t="s">
        <v>297</v>
      </c>
      <c r="F103" s="99" t="s">
        <v>839</v>
      </c>
      <c r="G103" s="107" t="s">
        <v>840</v>
      </c>
    </row>
    <row r="104" spans="1:8">
      <c r="A104" s="95"/>
      <c r="B104" s="115"/>
      <c r="C104" s="102"/>
      <c r="D104" s="103" t="s">
        <v>322</v>
      </c>
      <c r="E104" s="103" t="s">
        <v>323</v>
      </c>
      <c r="F104" s="104" t="s">
        <v>324</v>
      </c>
      <c r="G104" s="109" t="s">
        <v>325</v>
      </c>
    </row>
    <row r="105" spans="1:8">
      <c r="A105" s="95"/>
      <c r="B105" s="826"/>
      <c r="C105" s="827"/>
      <c r="D105" s="96"/>
      <c r="E105" s="96"/>
      <c r="F105" s="96"/>
      <c r="G105" s="116"/>
    </row>
    <row r="106" spans="1:8" ht="13.5" thickBot="1">
      <c r="A106" s="95"/>
      <c r="B106" s="828" t="s">
        <v>841</v>
      </c>
      <c r="C106" s="829"/>
      <c r="D106" s="77"/>
      <c r="E106" s="82"/>
      <c r="F106" s="86"/>
      <c r="G106" s="112"/>
    </row>
    <row r="107" spans="1:8" ht="14.25" thickTop="1" thickBot="1">
      <c r="A107" s="95"/>
      <c r="B107" s="808"/>
      <c r="C107" s="808"/>
      <c r="D107" s="808"/>
      <c r="E107" s="809"/>
      <c r="F107" s="120" t="s">
        <v>856</v>
      </c>
      <c r="G107" s="118">
        <f>SUM(G102:G106)</f>
        <v>0</v>
      </c>
    </row>
    <row r="108" spans="1:8" ht="14.25" thickTop="1" thickBot="1">
      <c r="A108" s="95"/>
      <c r="B108" s="810"/>
      <c r="C108" s="810"/>
      <c r="D108" s="810"/>
      <c r="E108" s="810"/>
      <c r="F108" s="810"/>
      <c r="G108" s="834"/>
    </row>
    <row r="109" spans="1:8" ht="13.5" thickTop="1">
      <c r="A109" s="95"/>
      <c r="B109" s="811" t="s">
        <v>326</v>
      </c>
      <c r="C109" s="812"/>
      <c r="D109" s="812"/>
      <c r="E109" s="812"/>
      <c r="F109" s="813"/>
      <c r="G109" s="121">
        <f>+G73+G89+G100</f>
        <v>243632</v>
      </c>
    </row>
    <row r="110" spans="1:8">
      <c r="A110" s="95"/>
      <c r="B110" s="814" t="s">
        <v>861</v>
      </c>
      <c r="C110" s="815"/>
      <c r="D110" s="815"/>
      <c r="E110" s="816"/>
      <c r="F110" s="128">
        <f>'MANO DE OBRA'!$D$59</f>
        <v>0</v>
      </c>
      <c r="G110" s="122">
        <f>ROUND(G109*F110,0)</f>
        <v>0</v>
      </c>
    </row>
    <row r="111" spans="1:8" ht="13.5" thickBot="1">
      <c r="A111" s="95"/>
      <c r="B111" s="805" t="s">
        <v>1049</v>
      </c>
      <c r="C111" s="806"/>
      <c r="D111" s="806"/>
      <c r="E111" s="806"/>
      <c r="F111" s="807"/>
      <c r="G111" s="118">
        <f>ROUND(G109+G110,-2)</f>
        <v>243600</v>
      </c>
      <c r="H111" s="505" t="s">
        <v>1670</v>
      </c>
    </row>
    <row r="112" spans="1:8" ht="13.5" thickTop="1">
      <c r="A112" s="95"/>
      <c r="B112" s="90" t="s">
        <v>303</v>
      </c>
      <c r="C112" s="843"/>
      <c r="D112" s="843"/>
      <c r="E112" s="843"/>
      <c r="F112" s="92" t="s">
        <v>781</v>
      </c>
      <c r="G112" s="93" t="s">
        <v>865</v>
      </c>
    </row>
    <row r="113" spans="1:7">
      <c r="A113" s="95"/>
      <c r="B113" s="91" t="s">
        <v>834</v>
      </c>
      <c r="C113" s="844" t="s">
        <v>371</v>
      </c>
      <c r="D113" s="844"/>
      <c r="E113" s="844"/>
      <c r="F113" s="15" t="s">
        <v>833</v>
      </c>
      <c r="G113" s="165" t="str">
        <f>'MANO DE OBRA'!$D$61</f>
        <v>Agosto de 2010</v>
      </c>
    </row>
    <row r="114" spans="1:7" ht="13.5" thickBot="1">
      <c r="A114" s="127"/>
      <c r="B114" s="94" t="s">
        <v>835</v>
      </c>
      <c r="C114" s="845" t="s">
        <v>203</v>
      </c>
      <c r="D114" s="845"/>
      <c r="E114" s="845"/>
      <c r="F114" s="845"/>
      <c r="G114" s="846"/>
    </row>
    <row r="115" spans="1:7" ht="14.25" thickTop="1" thickBot="1">
      <c r="A115" s="95"/>
      <c r="B115" s="847"/>
      <c r="C115" s="847"/>
      <c r="D115" s="847"/>
      <c r="E115" s="847"/>
      <c r="F115" s="847"/>
      <c r="G115" s="847"/>
    </row>
    <row r="116" spans="1:7" ht="13.5" thickTop="1">
      <c r="A116" s="95"/>
      <c r="B116" s="811" t="s">
        <v>304</v>
      </c>
      <c r="C116" s="812"/>
      <c r="D116" s="812"/>
      <c r="E116" s="812"/>
      <c r="F116" s="812"/>
      <c r="G116" s="825"/>
    </row>
    <row r="117" spans="1:7">
      <c r="A117" s="95"/>
      <c r="B117" s="105"/>
      <c r="C117" s="97"/>
      <c r="D117" s="98" t="s">
        <v>301</v>
      </c>
      <c r="E117" s="98" t="s">
        <v>1072</v>
      </c>
      <c r="F117" s="99" t="s">
        <v>839</v>
      </c>
      <c r="G117" s="107" t="s">
        <v>840</v>
      </c>
    </row>
    <row r="118" spans="1:7">
      <c r="A118" s="95"/>
      <c r="B118" s="821" t="s">
        <v>838</v>
      </c>
      <c r="C118" s="822"/>
      <c r="D118" s="100" t="s">
        <v>308</v>
      </c>
      <c r="E118" s="100" t="s">
        <v>305</v>
      </c>
      <c r="F118" s="101" t="s">
        <v>306</v>
      </c>
      <c r="G118" s="108" t="s">
        <v>310</v>
      </c>
    </row>
    <row r="119" spans="1:7">
      <c r="A119" s="95"/>
      <c r="B119" s="115"/>
      <c r="C119" s="102"/>
      <c r="D119" s="103"/>
      <c r="E119" s="103" t="s">
        <v>309</v>
      </c>
      <c r="F119" s="104" t="s">
        <v>307</v>
      </c>
      <c r="G119" s="109"/>
    </row>
    <row r="120" spans="1:7">
      <c r="A120" s="127"/>
      <c r="B120" s="823" t="str">
        <f>'MAQUINARIA Y EQUIPOS'!$C$28</f>
        <v>HERRAMIENTAS MENORES</v>
      </c>
      <c r="C120" s="824"/>
      <c r="D120" s="87">
        <v>1</v>
      </c>
      <c r="E120" s="82">
        <f>ROUND(G153*0.05,0)</f>
        <v>2278</v>
      </c>
      <c r="F120" s="81">
        <v>1</v>
      </c>
      <c r="G120" s="110">
        <f>ROUND(D120*E120/F120,0)</f>
        <v>2278</v>
      </c>
    </row>
    <row r="121" spans="1:7">
      <c r="A121" s="95"/>
      <c r="B121" s="835"/>
      <c r="C121" s="836"/>
      <c r="D121" s="37"/>
      <c r="E121" s="82"/>
      <c r="F121" s="83"/>
      <c r="G121" s="111"/>
    </row>
    <row r="122" spans="1:7">
      <c r="A122" s="95"/>
      <c r="B122" s="835"/>
      <c r="C122" s="836"/>
      <c r="D122" s="37"/>
      <c r="E122" s="82"/>
      <c r="F122" s="83"/>
      <c r="G122" s="111"/>
    </row>
    <row r="123" spans="1:7">
      <c r="A123" s="95"/>
      <c r="B123" s="835"/>
      <c r="C123" s="836"/>
      <c r="D123" s="37"/>
      <c r="E123" s="82"/>
      <c r="F123" s="83"/>
      <c r="G123" s="111"/>
    </row>
    <row r="124" spans="1:7">
      <c r="A124" s="95"/>
      <c r="B124" s="835" t="s">
        <v>841</v>
      </c>
      <c r="C124" s="836"/>
      <c r="D124" s="37"/>
      <c r="E124" s="82"/>
      <c r="F124" s="83"/>
      <c r="G124" s="111"/>
    </row>
    <row r="125" spans="1:7" ht="13.5" thickBot="1">
      <c r="A125" s="95"/>
      <c r="B125" s="839" t="s">
        <v>841</v>
      </c>
      <c r="C125" s="840"/>
      <c r="D125" s="77"/>
      <c r="E125" s="106"/>
      <c r="F125" s="86"/>
      <c r="G125" s="112"/>
    </row>
    <row r="126" spans="1:7" ht="14.25" thickTop="1" thickBot="1">
      <c r="A126" s="95"/>
      <c r="B126" s="808"/>
      <c r="C126" s="808"/>
      <c r="D126" s="808"/>
      <c r="E126" s="809"/>
      <c r="F126" s="119" t="s">
        <v>856</v>
      </c>
      <c r="G126" s="118">
        <f>SUM(G120:G125)</f>
        <v>2278</v>
      </c>
    </row>
    <row r="127" spans="1:7" ht="14.25" thickTop="1" thickBot="1">
      <c r="A127" s="95"/>
      <c r="B127" s="830"/>
      <c r="C127" s="830"/>
      <c r="D127" s="830"/>
      <c r="E127" s="830"/>
      <c r="F127" s="830"/>
      <c r="G127" s="830"/>
    </row>
    <row r="128" spans="1:7" ht="13.5" thickTop="1">
      <c r="A128" s="95"/>
      <c r="B128" s="811" t="s">
        <v>311</v>
      </c>
      <c r="C128" s="812"/>
      <c r="D128" s="812"/>
      <c r="E128" s="812"/>
      <c r="F128" s="812"/>
      <c r="G128" s="825"/>
    </row>
    <row r="129" spans="1:8">
      <c r="A129" s="95"/>
      <c r="B129" s="817" t="s">
        <v>838</v>
      </c>
      <c r="C129" s="818"/>
      <c r="D129" s="98" t="s">
        <v>842</v>
      </c>
      <c r="E129" s="98" t="s">
        <v>853</v>
      </c>
      <c r="F129" s="99" t="s">
        <v>1047</v>
      </c>
      <c r="G129" s="107" t="s">
        <v>840</v>
      </c>
    </row>
    <row r="130" spans="1:8">
      <c r="A130" s="95"/>
      <c r="B130" s="115"/>
      <c r="C130" s="102"/>
      <c r="D130" s="100"/>
      <c r="E130" s="100" t="s">
        <v>312</v>
      </c>
      <c r="F130" s="101" t="s">
        <v>313</v>
      </c>
      <c r="G130" s="108" t="s">
        <v>314</v>
      </c>
    </row>
    <row r="131" spans="1:8">
      <c r="A131" s="125"/>
      <c r="B131" s="841" t="str">
        <f>MATERIALES2!$C$704</f>
        <v>SOLDADURA PVC ¼</v>
      </c>
      <c r="C131" s="842"/>
      <c r="D131" s="87" t="s">
        <v>865</v>
      </c>
      <c r="E131" s="145">
        <v>0.05</v>
      </c>
      <c r="F131" s="80">
        <f>MATERIALES2!$E$704</f>
        <v>56298</v>
      </c>
      <c r="G131" s="110">
        <f t="shared" ref="G131:G138" si="2">ROUND(E131*F131,0)</f>
        <v>2815</v>
      </c>
    </row>
    <row r="132" spans="1:8">
      <c r="A132" s="123"/>
      <c r="B132" s="957" t="str">
        <f>MATERIALES2!$C$878</f>
        <v>CHEQUE BRONCE 1/2" RED WHITE</v>
      </c>
      <c r="C132" s="965"/>
      <c r="D132" s="154" t="s">
        <v>865</v>
      </c>
      <c r="E132" s="155">
        <v>1</v>
      </c>
      <c r="F132" s="156">
        <f>MATERIALES2!$E$878</f>
        <v>24377</v>
      </c>
      <c r="G132" s="157">
        <f t="shared" si="2"/>
        <v>24377</v>
      </c>
    </row>
    <row r="133" spans="1:8">
      <c r="A133" s="95"/>
      <c r="B133" s="854" t="str">
        <f>MATERIALES2!$C$874</f>
        <v>REGISTRO 1/2"</v>
      </c>
      <c r="C133" s="855"/>
      <c r="D133" s="37" t="s">
        <v>865</v>
      </c>
      <c r="E133" s="83">
        <v>1</v>
      </c>
      <c r="F133" s="82">
        <f>MATERIALES2!$E$874</f>
        <v>21000</v>
      </c>
      <c r="G133" s="111">
        <f t="shared" si="2"/>
        <v>21000</v>
      </c>
    </row>
    <row r="134" spans="1:8">
      <c r="A134" s="95"/>
      <c r="B134" s="854" t="str">
        <f>MATERIALES2!$C$594</f>
        <v>TUBO PVC PRESION LINEA 80 1/2" x 6.0 M</v>
      </c>
      <c r="C134" s="855"/>
      <c r="D134" s="37" t="s">
        <v>865</v>
      </c>
      <c r="E134" s="83">
        <v>0.83</v>
      </c>
      <c r="F134" s="82">
        <f>MATERIALES2!$E$594</f>
        <v>7500</v>
      </c>
      <c r="G134" s="111">
        <f t="shared" si="2"/>
        <v>6225</v>
      </c>
    </row>
    <row r="135" spans="1:8">
      <c r="A135" s="95"/>
      <c r="B135" s="854" t="str">
        <f>MATERIALES2!$C$674</f>
        <v>CODO PRESION ½"</v>
      </c>
      <c r="C135" s="855"/>
      <c r="D135" s="37" t="s">
        <v>865</v>
      </c>
      <c r="E135" s="146">
        <v>2</v>
      </c>
      <c r="F135" s="82">
        <f>MATERIALES2!$E$674</f>
        <v>200</v>
      </c>
      <c r="G135" s="111">
        <f t="shared" si="2"/>
        <v>400</v>
      </c>
    </row>
    <row r="136" spans="1:8">
      <c r="A136" s="95"/>
      <c r="B136" s="854" t="str">
        <f>MATERIALES2!$C$903</f>
        <v>LLAVE DE PASO 1/2"</v>
      </c>
      <c r="C136" s="855"/>
      <c r="D136" s="37" t="s">
        <v>865</v>
      </c>
      <c r="E136" s="146">
        <v>1</v>
      </c>
      <c r="F136" s="82">
        <f>MATERIALES2!$E$903</f>
        <v>10000</v>
      </c>
      <c r="G136" s="111">
        <f t="shared" si="2"/>
        <v>10000</v>
      </c>
    </row>
    <row r="137" spans="1:8">
      <c r="A137" s="95"/>
      <c r="B137" s="854" t="str">
        <f>MATERIALES2!$C$366</f>
        <v>MEDIDOR AGUA ½"</v>
      </c>
      <c r="C137" s="855"/>
      <c r="D137" s="37" t="s">
        <v>865</v>
      </c>
      <c r="E137" s="146">
        <v>1</v>
      </c>
      <c r="F137" s="82">
        <f>MATERIALES2!$E$366</f>
        <v>65000</v>
      </c>
      <c r="G137" s="111">
        <f t="shared" si="2"/>
        <v>65000</v>
      </c>
    </row>
    <row r="138" spans="1:8">
      <c r="A138" s="95"/>
      <c r="B138" s="854" t="str">
        <f>MATERIALES2!$C$364</f>
        <v>MATRICULA AGUA ESTRATO 3</v>
      </c>
      <c r="C138" s="855"/>
      <c r="D138" s="37" t="s">
        <v>865</v>
      </c>
      <c r="E138" s="146">
        <v>1</v>
      </c>
      <c r="F138" s="82">
        <f>MATERIALES2!$E$364</f>
        <v>131120</v>
      </c>
      <c r="G138" s="111">
        <f t="shared" si="2"/>
        <v>131120</v>
      </c>
      <c r="H138" s="505" t="s">
        <v>1670</v>
      </c>
    </row>
    <row r="139" spans="1:8" ht="13.5" thickBot="1">
      <c r="A139" s="95"/>
      <c r="B139" s="942" t="s">
        <v>841</v>
      </c>
      <c r="C139" s="943"/>
      <c r="D139" s="84" t="s">
        <v>841</v>
      </c>
      <c r="E139" s="84"/>
      <c r="F139" s="85"/>
      <c r="G139" s="112"/>
    </row>
    <row r="140" spans="1:8" ht="13.5" thickTop="1">
      <c r="A140" s="95"/>
      <c r="B140" s="808"/>
      <c r="C140" s="809"/>
      <c r="D140" s="801" t="s">
        <v>856</v>
      </c>
      <c r="E140" s="802"/>
      <c r="F140" s="9"/>
      <c r="G140" s="113">
        <f>SUM(G131:G139)</f>
        <v>260937</v>
      </c>
    </row>
    <row r="141" spans="1:8">
      <c r="A141" s="95"/>
      <c r="B141" s="819"/>
      <c r="C141" s="820"/>
      <c r="D141" s="801" t="s">
        <v>857</v>
      </c>
      <c r="E141" s="802"/>
      <c r="F141" s="79">
        <f>'MANO DE OBRA'!$D$60</f>
        <v>0.05</v>
      </c>
      <c r="G141" s="113">
        <f>ROUND(G140*F141,0)</f>
        <v>13047</v>
      </c>
    </row>
    <row r="142" spans="1:8" ht="13.5" thickBot="1">
      <c r="A142" s="95"/>
      <c r="B142" s="819"/>
      <c r="C142" s="820"/>
      <c r="D142" s="803" t="s">
        <v>320</v>
      </c>
      <c r="E142" s="804"/>
      <c r="F142" s="114"/>
      <c r="G142" s="118">
        <f>+G140+G141</f>
        <v>273984</v>
      </c>
    </row>
    <row r="143" spans="1:8" ht="14.25" thickTop="1" thickBot="1">
      <c r="A143" s="95"/>
      <c r="B143" s="830"/>
      <c r="C143" s="830"/>
      <c r="D143" s="830"/>
      <c r="E143" s="830"/>
      <c r="F143" s="830"/>
      <c r="G143" s="830"/>
    </row>
    <row r="144" spans="1:8" ht="13.5" thickTop="1">
      <c r="A144" s="95"/>
      <c r="B144" s="811" t="s">
        <v>858</v>
      </c>
      <c r="C144" s="812"/>
      <c r="D144" s="812"/>
      <c r="E144" s="812"/>
      <c r="F144" s="812"/>
      <c r="G144" s="825"/>
    </row>
    <row r="145" spans="1:7">
      <c r="A145" s="95"/>
      <c r="B145" s="817"/>
      <c r="C145" s="818"/>
      <c r="D145" s="98" t="s">
        <v>301</v>
      </c>
      <c r="E145" s="98" t="s">
        <v>859</v>
      </c>
      <c r="F145" s="99" t="s">
        <v>839</v>
      </c>
      <c r="G145" s="107" t="s">
        <v>840</v>
      </c>
    </row>
    <row r="146" spans="1:7">
      <c r="A146" s="95"/>
      <c r="B146" s="821" t="s">
        <v>838</v>
      </c>
      <c r="C146" s="822"/>
      <c r="D146" s="100" t="s">
        <v>316</v>
      </c>
      <c r="E146" s="100" t="s">
        <v>315</v>
      </c>
      <c r="F146" s="101" t="s">
        <v>306</v>
      </c>
      <c r="G146" s="108" t="s">
        <v>319</v>
      </c>
    </row>
    <row r="147" spans="1:7">
      <c r="A147" s="95"/>
      <c r="B147" s="115"/>
      <c r="C147" s="102"/>
      <c r="D147" s="103"/>
      <c r="E147" s="103" t="s">
        <v>317</v>
      </c>
      <c r="F147" s="104" t="s">
        <v>318</v>
      </c>
      <c r="G147" s="109"/>
    </row>
    <row r="148" spans="1:7">
      <c r="A148" s="95"/>
      <c r="B148" s="823" t="str">
        <f>'MANO DE OBRA'!$B$11</f>
        <v>AYUDANTE CUAD. TIPO BB</v>
      </c>
      <c r="C148" s="824"/>
      <c r="D148" s="87">
        <v>1</v>
      </c>
      <c r="E148" s="80">
        <f>'MANO DE OBRA'!$E$11</f>
        <v>43077</v>
      </c>
      <c r="F148" s="81">
        <v>2.67</v>
      </c>
      <c r="G148" s="110">
        <f>ROUND(D148*E148/F148,0)</f>
        <v>16134</v>
      </c>
    </row>
    <row r="149" spans="1:7">
      <c r="A149" s="95"/>
      <c r="B149" s="835" t="str">
        <f>'MANO DE OBRA'!$B$16</f>
        <v>OFICIAL CUAD. TIPO BB</v>
      </c>
      <c r="C149" s="836"/>
      <c r="D149" s="37">
        <v>1</v>
      </c>
      <c r="E149" s="82">
        <f>'MANO DE OBRA'!$E$16</f>
        <v>78577</v>
      </c>
      <c r="F149" s="83">
        <v>2.67</v>
      </c>
      <c r="G149" s="111">
        <f>ROUND(D149*E149/F149,0)</f>
        <v>29430</v>
      </c>
    </row>
    <row r="150" spans="1:7">
      <c r="A150" s="95"/>
      <c r="B150" s="835"/>
      <c r="C150" s="836"/>
      <c r="D150" s="89"/>
      <c r="E150" s="82"/>
      <c r="F150" s="83"/>
      <c r="G150" s="111"/>
    </row>
    <row r="151" spans="1:7">
      <c r="A151" s="95"/>
      <c r="B151" s="835" t="s">
        <v>841</v>
      </c>
      <c r="C151" s="836"/>
      <c r="D151" s="37"/>
      <c r="E151" s="82"/>
      <c r="F151" s="83"/>
      <c r="G151" s="111"/>
    </row>
    <row r="152" spans="1:7" ht="13.5" thickBot="1">
      <c r="A152" s="95"/>
      <c r="B152" s="828" t="s">
        <v>841</v>
      </c>
      <c r="C152" s="829"/>
      <c r="D152" s="77"/>
      <c r="E152" s="82"/>
      <c r="F152" s="86"/>
      <c r="G152" s="112"/>
    </row>
    <row r="153" spans="1:7" ht="14.25" thickTop="1" thickBot="1">
      <c r="A153" s="95"/>
      <c r="B153" s="808"/>
      <c r="C153" s="808"/>
      <c r="D153" s="808"/>
      <c r="E153" s="809"/>
      <c r="F153" s="120" t="s">
        <v>856</v>
      </c>
      <c r="G153" s="118">
        <f>SUM(G148:G152)</f>
        <v>45564</v>
      </c>
    </row>
    <row r="154" spans="1:7" ht="14.25" thickTop="1" thickBot="1">
      <c r="A154" s="95"/>
      <c r="B154" s="810"/>
      <c r="C154" s="810"/>
      <c r="D154" s="810"/>
      <c r="E154" s="810"/>
      <c r="F154" s="810"/>
      <c r="G154" s="810"/>
    </row>
    <row r="155" spans="1:7" ht="13.5" thickTop="1">
      <c r="A155" s="95"/>
      <c r="B155" s="811" t="s">
        <v>321</v>
      </c>
      <c r="C155" s="812"/>
      <c r="D155" s="812"/>
      <c r="E155" s="812"/>
      <c r="F155" s="812"/>
      <c r="G155" s="825"/>
    </row>
    <row r="156" spans="1:7">
      <c r="A156" s="95"/>
      <c r="B156" s="817" t="s">
        <v>838</v>
      </c>
      <c r="C156" s="818"/>
      <c r="D156" s="98" t="s">
        <v>301</v>
      </c>
      <c r="E156" s="98" t="s">
        <v>297</v>
      </c>
      <c r="F156" s="99" t="s">
        <v>839</v>
      </c>
      <c r="G156" s="107" t="s">
        <v>840</v>
      </c>
    </row>
    <row r="157" spans="1:7">
      <c r="A157" s="95"/>
      <c r="B157" s="115"/>
      <c r="C157" s="102"/>
      <c r="D157" s="103" t="s">
        <v>322</v>
      </c>
      <c r="E157" s="103" t="s">
        <v>323</v>
      </c>
      <c r="F157" s="104" t="s">
        <v>324</v>
      </c>
      <c r="G157" s="109" t="s">
        <v>325</v>
      </c>
    </row>
    <row r="158" spans="1:7">
      <c r="A158" s="95"/>
      <c r="B158" s="826"/>
      <c r="C158" s="827"/>
      <c r="D158" s="96"/>
      <c r="E158" s="96"/>
      <c r="F158" s="96"/>
      <c r="G158" s="116"/>
    </row>
    <row r="159" spans="1:7" ht="13.5" thickBot="1">
      <c r="A159" s="95"/>
      <c r="B159" s="828" t="s">
        <v>841</v>
      </c>
      <c r="C159" s="829"/>
      <c r="D159" s="77"/>
      <c r="E159" s="82"/>
      <c r="F159" s="86"/>
      <c r="G159" s="112"/>
    </row>
    <row r="160" spans="1:7" ht="14.25" thickTop="1" thickBot="1">
      <c r="A160" s="95"/>
      <c r="B160" s="808"/>
      <c r="C160" s="808"/>
      <c r="D160" s="808"/>
      <c r="E160" s="809"/>
      <c r="F160" s="120" t="s">
        <v>856</v>
      </c>
      <c r="G160" s="118">
        <f>SUM(G155:G159)</f>
        <v>0</v>
      </c>
    </row>
    <row r="161" spans="1:8" ht="14.25" thickTop="1" thickBot="1">
      <c r="A161" s="95"/>
      <c r="B161" s="810"/>
      <c r="C161" s="810"/>
      <c r="D161" s="810"/>
      <c r="E161" s="810"/>
      <c r="F161" s="810"/>
      <c r="G161" s="834"/>
    </row>
    <row r="162" spans="1:8" ht="13.5" thickTop="1">
      <c r="A162" s="95"/>
      <c r="B162" s="811" t="s">
        <v>326</v>
      </c>
      <c r="C162" s="812"/>
      <c r="D162" s="812"/>
      <c r="E162" s="812"/>
      <c r="F162" s="813"/>
      <c r="G162" s="121">
        <f>+G126+G142+G153</f>
        <v>321826</v>
      </c>
    </row>
    <row r="163" spans="1:8">
      <c r="A163" s="95"/>
      <c r="B163" s="814" t="s">
        <v>861</v>
      </c>
      <c r="C163" s="815"/>
      <c r="D163" s="815"/>
      <c r="E163" s="816"/>
      <c r="F163" s="128">
        <f>'MANO DE OBRA'!$D$59</f>
        <v>0</v>
      </c>
      <c r="G163" s="122">
        <f>ROUND(G162*F163,0)</f>
        <v>0</v>
      </c>
    </row>
    <row r="164" spans="1:8" ht="13.5" thickBot="1">
      <c r="A164" s="95"/>
      <c r="B164" s="805" t="s">
        <v>1049</v>
      </c>
      <c r="C164" s="806"/>
      <c r="D164" s="806"/>
      <c r="E164" s="806"/>
      <c r="F164" s="807"/>
      <c r="G164" s="118">
        <f>ROUND(G162+G163,-2)</f>
        <v>321800</v>
      </c>
      <c r="H164" s="505" t="s">
        <v>1670</v>
      </c>
    </row>
    <row r="165" spans="1:8" ht="13.5" thickTop="1">
      <c r="A165" s="95"/>
      <c r="B165" s="90" t="s">
        <v>303</v>
      </c>
      <c r="C165" s="843"/>
      <c r="D165" s="843"/>
      <c r="E165" s="843"/>
      <c r="F165" s="92" t="s">
        <v>781</v>
      </c>
      <c r="G165" s="93" t="s">
        <v>865</v>
      </c>
    </row>
    <row r="166" spans="1:8">
      <c r="A166" s="95"/>
      <c r="B166" s="91" t="s">
        <v>834</v>
      </c>
      <c r="C166" s="844" t="s">
        <v>371</v>
      </c>
      <c r="D166" s="844"/>
      <c r="E166" s="844"/>
      <c r="F166" s="15" t="s">
        <v>833</v>
      </c>
      <c r="G166" s="165" t="str">
        <f>'MANO DE OBRA'!$D$61</f>
        <v>Agosto de 2010</v>
      </c>
    </row>
    <row r="167" spans="1:8" ht="13.5" thickBot="1">
      <c r="A167" s="127"/>
      <c r="B167" s="94" t="s">
        <v>835</v>
      </c>
      <c r="C167" s="845" t="s">
        <v>204</v>
      </c>
      <c r="D167" s="845"/>
      <c r="E167" s="845"/>
      <c r="F167" s="845"/>
      <c r="G167" s="846"/>
    </row>
    <row r="168" spans="1:8" ht="14.25" thickTop="1" thickBot="1">
      <c r="A168" s="95"/>
      <c r="B168" s="847"/>
      <c r="C168" s="847"/>
      <c r="D168" s="847"/>
      <c r="E168" s="847"/>
      <c r="F168" s="847"/>
      <c r="G168" s="847"/>
    </row>
    <row r="169" spans="1:8" ht="13.5" thickTop="1">
      <c r="A169" s="95"/>
      <c r="B169" s="811" t="s">
        <v>304</v>
      </c>
      <c r="C169" s="812"/>
      <c r="D169" s="812"/>
      <c r="E169" s="812"/>
      <c r="F169" s="812"/>
      <c r="G169" s="825"/>
    </row>
    <row r="170" spans="1:8">
      <c r="A170" s="95"/>
      <c r="B170" s="105"/>
      <c r="C170" s="97"/>
      <c r="D170" s="98" t="s">
        <v>301</v>
      </c>
      <c r="E170" s="98" t="s">
        <v>1072</v>
      </c>
      <c r="F170" s="99" t="s">
        <v>839</v>
      </c>
      <c r="G170" s="107" t="s">
        <v>840</v>
      </c>
    </row>
    <row r="171" spans="1:8">
      <c r="A171" s="95"/>
      <c r="B171" s="821" t="s">
        <v>838</v>
      </c>
      <c r="C171" s="822"/>
      <c r="D171" s="100" t="s">
        <v>308</v>
      </c>
      <c r="E171" s="100" t="s">
        <v>305</v>
      </c>
      <c r="F171" s="101" t="s">
        <v>306</v>
      </c>
      <c r="G171" s="108" t="s">
        <v>310</v>
      </c>
    </row>
    <row r="172" spans="1:8">
      <c r="A172" s="95"/>
      <c r="B172" s="115"/>
      <c r="C172" s="102"/>
      <c r="D172" s="103"/>
      <c r="E172" s="103" t="s">
        <v>309</v>
      </c>
      <c r="F172" s="104" t="s">
        <v>307</v>
      </c>
      <c r="G172" s="109"/>
    </row>
    <row r="173" spans="1:8">
      <c r="A173" s="127"/>
      <c r="B173" s="823" t="str">
        <f>'MAQUINARIA Y EQUIPOS'!$C$28</f>
        <v>HERRAMIENTAS MENORES</v>
      </c>
      <c r="C173" s="824"/>
      <c r="D173" s="87">
        <v>1</v>
      </c>
      <c r="E173" s="82">
        <f>ROUND(G206*0.05,0)</f>
        <v>2278</v>
      </c>
      <c r="F173" s="81">
        <v>1</v>
      </c>
      <c r="G173" s="110">
        <f>ROUND(D173*E173/F173,0)</f>
        <v>2278</v>
      </c>
    </row>
    <row r="174" spans="1:8">
      <c r="A174" s="95"/>
      <c r="B174" s="835"/>
      <c r="C174" s="836"/>
      <c r="D174" s="37"/>
      <c r="E174" s="82"/>
      <c r="F174" s="83"/>
      <c r="G174" s="111"/>
    </row>
    <row r="175" spans="1:8">
      <c r="A175" s="95"/>
      <c r="B175" s="835"/>
      <c r="C175" s="836"/>
      <c r="D175" s="37"/>
      <c r="E175" s="82"/>
      <c r="F175" s="83"/>
      <c r="G175" s="111"/>
    </row>
    <row r="176" spans="1:8">
      <c r="A176" s="95"/>
      <c r="B176" s="835"/>
      <c r="C176" s="836"/>
      <c r="D176" s="37"/>
      <c r="E176" s="82"/>
      <c r="F176" s="83"/>
      <c r="G176" s="111"/>
    </row>
    <row r="177" spans="1:8">
      <c r="A177" s="95"/>
      <c r="B177" s="835" t="s">
        <v>841</v>
      </c>
      <c r="C177" s="836"/>
      <c r="D177" s="37"/>
      <c r="E177" s="82"/>
      <c r="F177" s="83"/>
      <c r="G177" s="111"/>
    </row>
    <row r="178" spans="1:8" ht="13.5" thickBot="1">
      <c r="A178" s="95"/>
      <c r="B178" s="839" t="s">
        <v>841</v>
      </c>
      <c r="C178" s="840"/>
      <c r="D178" s="77"/>
      <c r="E178" s="106"/>
      <c r="F178" s="86"/>
      <c r="G178" s="112"/>
    </row>
    <row r="179" spans="1:8" ht="14.25" thickTop="1" thickBot="1">
      <c r="A179" s="95"/>
      <c r="B179" s="808"/>
      <c r="C179" s="808"/>
      <c r="D179" s="808"/>
      <c r="E179" s="809"/>
      <c r="F179" s="119" t="s">
        <v>856</v>
      </c>
      <c r="G179" s="118">
        <f>SUM(G173:G178)</f>
        <v>2278</v>
      </c>
    </row>
    <row r="180" spans="1:8" ht="14.25" thickTop="1" thickBot="1">
      <c r="A180" s="95"/>
      <c r="B180" s="830"/>
      <c r="C180" s="830"/>
      <c r="D180" s="830"/>
      <c r="E180" s="830"/>
      <c r="F180" s="830"/>
      <c r="G180" s="830"/>
    </row>
    <row r="181" spans="1:8" ht="13.5" thickTop="1">
      <c r="A181" s="95"/>
      <c r="B181" s="811" t="s">
        <v>311</v>
      </c>
      <c r="C181" s="812"/>
      <c r="D181" s="812"/>
      <c r="E181" s="812"/>
      <c r="F181" s="812"/>
      <c r="G181" s="825"/>
    </row>
    <row r="182" spans="1:8">
      <c r="A182" s="95"/>
      <c r="B182" s="817" t="s">
        <v>838</v>
      </c>
      <c r="C182" s="818"/>
      <c r="D182" s="98" t="s">
        <v>842</v>
      </c>
      <c r="E182" s="98" t="s">
        <v>853</v>
      </c>
      <c r="F182" s="99" t="s">
        <v>1047</v>
      </c>
      <c r="G182" s="107" t="s">
        <v>840</v>
      </c>
    </row>
    <row r="183" spans="1:8">
      <c r="A183" s="95"/>
      <c r="B183" s="115"/>
      <c r="C183" s="102"/>
      <c r="D183" s="100"/>
      <c r="E183" s="100" t="s">
        <v>312</v>
      </c>
      <c r="F183" s="101" t="s">
        <v>313</v>
      </c>
      <c r="G183" s="108" t="s">
        <v>314</v>
      </c>
    </row>
    <row r="184" spans="1:8">
      <c r="A184" s="125"/>
      <c r="B184" s="841" t="str">
        <f>MATERIALES2!$C$704</f>
        <v>SOLDADURA PVC ¼</v>
      </c>
      <c r="C184" s="842"/>
      <c r="D184" s="87" t="s">
        <v>865</v>
      </c>
      <c r="E184" s="145">
        <v>0.05</v>
      </c>
      <c r="F184" s="80">
        <f>MATERIALES2!$E$704</f>
        <v>56298</v>
      </c>
      <c r="G184" s="110">
        <f t="shared" ref="G184:G191" si="3">ROUND(E184*F184,0)</f>
        <v>2815</v>
      </c>
    </row>
    <row r="185" spans="1:8">
      <c r="A185" s="123"/>
      <c r="B185" s="957" t="str">
        <f>MATERIALES2!$C$878</f>
        <v>CHEQUE BRONCE 1/2" RED WHITE</v>
      </c>
      <c r="C185" s="965"/>
      <c r="D185" s="154" t="s">
        <v>865</v>
      </c>
      <c r="E185" s="155">
        <v>1</v>
      </c>
      <c r="F185" s="156">
        <f>MATERIALES2!$E$878</f>
        <v>24377</v>
      </c>
      <c r="G185" s="157">
        <f t="shared" si="3"/>
        <v>24377</v>
      </c>
    </row>
    <row r="186" spans="1:8">
      <c r="A186" s="95"/>
      <c r="B186" s="854" t="str">
        <f>MATERIALES2!$C$874</f>
        <v>REGISTRO 1/2"</v>
      </c>
      <c r="C186" s="855"/>
      <c r="D186" s="37" t="s">
        <v>865</v>
      </c>
      <c r="E186" s="83">
        <v>1</v>
      </c>
      <c r="F186" s="82">
        <f>MATERIALES2!$E$874</f>
        <v>21000</v>
      </c>
      <c r="G186" s="111">
        <f t="shared" si="3"/>
        <v>21000</v>
      </c>
    </row>
    <row r="187" spans="1:8">
      <c r="A187" s="95"/>
      <c r="B187" s="854" t="str">
        <f>MATERIALES2!$C$594</f>
        <v>TUBO PVC PRESION LINEA 80 1/2" x 6.0 M</v>
      </c>
      <c r="C187" s="855"/>
      <c r="D187" s="37" t="s">
        <v>865</v>
      </c>
      <c r="E187" s="83">
        <v>0.83</v>
      </c>
      <c r="F187" s="82">
        <f>MATERIALES2!$E$594</f>
        <v>7500</v>
      </c>
      <c r="G187" s="111">
        <f t="shared" si="3"/>
        <v>6225</v>
      </c>
    </row>
    <row r="188" spans="1:8">
      <c r="A188" s="95"/>
      <c r="B188" s="854" t="str">
        <f>MATERIALES2!$C$674</f>
        <v>CODO PRESION ½"</v>
      </c>
      <c r="C188" s="855"/>
      <c r="D188" s="37" t="s">
        <v>865</v>
      </c>
      <c r="E188" s="146">
        <v>2</v>
      </c>
      <c r="F188" s="82">
        <f>MATERIALES2!$E$674</f>
        <v>200</v>
      </c>
      <c r="G188" s="111">
        <f t="shared" si="3"/>
        <v>400</v>
      </c>
    </row>
    <row r="189" spans="1:8">
      <c r="A189" s="95"/>
      <c r="B189" s="854" t="str">
        <f>MATERIALES2!$C$903</f>
        <v>LLAVE DE PASO 1/2"</v>
      </c>
      <c r="C189" s="855"/>
      <c r="D189" s="37" t="s">
        <v>865</v>
      </c>
      <c r="E189" s="146">
        <v>1</v>
      </c>
      <c r="F189" s="82">
        <f>MATERIALES2!$E$903</f>
        <v>10000</v>
      </c>
      <c r="G189" s="111">
        <f t="shared" si="3"/>
        <v>10000</v>
      </c>
    </row>
    <row r="190" spans="1:8">
      <c r="A190" s="95"/>
      <c r="B190" s="854" t="str">
        <f>MATERIALES2!$C$366</f>
        <v>MEDIDOR AGUA ½"</v>
      </c>
      <c r="C190" s="855"/>
      <c r="D190" s="37" t="s">
        <v>865</v>
      </c>
      <c r="E190" s="146">
        <v>1</v>
      </c>
      <c r="F190" s="82">
        <f>MATERIALES2!$E$366</f>
        <v>65000</v>
      </c>
      <c r="G190" s="111">
        <f t="shared" si="3"/>
        <v>65000</v>
      </c>
    </row>
    <row r="191" spans="1:8">
      <c r="A191" s="95"/>
      <c r="B191" s="854" t="str">
        <f>MATERIALES2!$C$365</f>
        <v>MATRICULA AGUA ESTRATO 4</v>
      </c>
      <c r="C191" s="855"/>
      <c r="D191" s="37" t="s">
        <v>865</v>
      </c>
      <c r="E191" s="146">
        <v>1</v>
      </c>
      <c r="F191" s="82">
        <f>MATERIALES2!$E$365</f>
        <v>193160</v>
      </c>
      <c r="G191" s="111">
        <f t="shared" si="3"/>
        <v>193160</v>
      </c>
      <c r="H191" s="505" t="s">
        <v>1670</v>
      </c>
    </row>
    <row r="192" spans="1:8" ht="13.5" thickBot="1">
      <c r="A192" s="95"/>
      <c r="B192" s="942" t="s">
        <v>841</v>
      </c>
      <c r="C192" s="943"/>
      <c r="D192" s="84" t="s">
        <v>841</v>
      </c>
      <c r="E192" s="84"/>
      <c r="F192" s="85"/>
      <c r="G192" s="112"/>
    </row>
    <row r="193" spans="1:7" ht="13.5" thickTop="1">
      <c r="A193" s="95"/>
      <c r="B193" s="808"/>
      <c r="C193" s="809"/>
      <c r="D193" s="801" t="s">
        <v>856</v>
      </c>
      <c r="E193" s="802"/>
      <c r="F193" s="9"/>
      <c r="G193" s="113">
        <f>SUM(G184:G192)</f>
        <v>322977</v>
      </c>
    </row>
    <row r="194" spans="1:7">
      <c r="A194" s="95"/>
      <c r="B194" s="819"/>
      <c r="C194" s="820"/>
      <c r="D194" s="801" t="s">
        <v>857</v>
      </c>
      <c r="E194" s="802"/>
      <c r="F194" s="79">
        <f>'MANO DE OBRA'!$D$60</f>
        <v>0.05</v>
      </c>
      <c r="G194" s="113">
        <f>ROUND(G193*F194,0)</f>
        <v>16149</v>
      </c>
    </row>
    <row r="195" spans="1:7" ht="13.5" thickBot="1">
      <c r="A195" s="95"/>
      <c r="B195" s="819"/>
      <c r="C195" s="820"/>
      <c r="D195" s="803" t="s">
        <v>320</v>
      </c>
      <c r="E195" s="804"/>
      <c r="F195" s="114"/>
      <c r="G195" s="118">
        <f>+G193+G194</f>
        <v>339126</v>
      </c>
    </row>
    <row r="196" spans="1:7" ht="14.25" thickTop="1" thickBot="1">
      <c r="A196" s="95"/>
      <c r="B196" s="830"/>
      <c r="C196" s="830"/>
      <c r="D196" s="830"/>
      <c r="E196" s="830"/>
      <c r="F196" s="830"/>
      <c r="G196" s="830"/>
    </row>
    <row r="197" spans="1:7" ht="13.5" thickTop="1">
      <c r="A197" s="95"/>
      <c r="B197" s="811" t="s">
        <v>858</v>
      </c>
      <c r="C197" s="812"/>
      <c r="D197" s="812"/>
      <c r="E197" s="812"/>
      <c r="F197" s="812"/>
      <c r="G197" s="825"/>
    </row>
    <row r="198" spans="1:7">
      <c r="A198" s="95"/>
      <c r="B198" s="817"/>
      <c r="C198" s="818"/>
      <c r="D198" s="98" t="s">
        <v>301</v>
      </c>
      <c r="E198" s="98" t="s">
        <v>859</v>
      </c>
      <c r="F198" s="99" t="s">
        <v>839</v>
      </c>
      <c r="G198" s="107" t="s">
        <v>840</v>
      </c>
    </row>
    <row r="199" spans="1:7">
      <c r="A199" s="95"/>
      <c r="B199" s="821" t="s">
        <v>838</v>
      </c>
      <c r="C199" s="822"/>
      <c r="D199" s="100" t="s">
        <v>316</v>
      </c>
      <c r="E199" s="100" t="s">
        <v>315</v>
      </c>
      <c r="F199" s="101" t="s">
        <v>306</v>
      </c>
      <c r="G199" s="108" t="s">
        <v>319</v>
      </c>
    </row>
    <row r="200" spans="1:7">
      <c r="A200" s="95"/>
      <c r="B200" s="115"/>
      <c r="C200" s="102"/>
      <c r="D200" s="103"/>
      <c r="E200" s="103" t="s">
        <v>317</v>
      </c>
      <c r="F200" s="104" t="s">
        <v>318</v>
      </c>
      <c r="G200" s="109"/>
    </row>
    <row r="201" spans="1:7">
      <c r="A201" s="95"/>
      <c r="B201" s="823" t="str">
        <f>'MANO DE OBRA'!$B$11</f>
        <v>AYUDANTE CUAD. TIPO BB</v>
      </c>
      <c r="C201" s="824"/>
      <c r="D201" s="87">
        <v>1</v>
      </c>
      <c r="E201" s="80">
        <f>'MANO DE OBRA'!$E$11</f>
        <v>43077</v>
      </c>
      <c r="F201" s="81">
        <v>2.67</v>
      </c>
      <c r="G201" s="110">
        <f>ROUND(D201*E201/F201,0)</f>
        <v>16134</v>
      </c>
    </row>
    <row r="202" spans="1:7">
      <c r="A202" s="95"/>
      <c r="B202" s="835" t="str">
        <f>'MANO DE OBRA'!$B$16</f>
        <v>OFICIAL CUAD. TIPO BB</v>
      </c>
      <c r="C202" s="836"/>
      <c r="D202" s="37">
        <v>1</v>
      </c>
      <c r="E202" s="82">
        <f>'MANO DE OBRA'!$E$16</f>
        <v>78577</v>
      </c>
      <c r="F202" s="83">
        <v>2.67</v>
      </c>
      <c r="G202" s="111">
        <f>ROUND(D202*E202/F202,0)</f>
        <v>29430</v>
      </c>
    </row>
    <row r="203" spans="1:7">
      <c r="A203" s="95"/>
      <c r="B203" s="835"/>
      <c r="C203" s="836"/>
      <c r="D203" s="89"/>
      <c r="E203" s="82"/>
      <c r="F203" s="83"/>
      <c r="G203" s="111"/>
    </row>
    <row r="204" spans="1:7">
      <c r="A204" s="95"/>
      <c r="B204" s="835" t="s">
        <v>841</v>
      </c>
      <c r="C204" s="836"/>
      <c r="D204" s="37"/>
      <c r="E204" s="82"/>
      <c r="F204" s="83"/>
      <c r="G204" s="111"/>
    </row>
    <row r="205" spans="1:7" ht="13.5" thickBot="1">
      <c r="A205" s="95"/>
      <c r="B205" s="828" t="s">
        <v>841</v>
      </c>
      <c r="C205" s="829"/>
      <c r="D205" s="77"/>
      <c r="E205" s="82"/>
      <c r="F205" s="86"/>
      <c r="G205" s="112"/>
    </row>
    <row r="206" spans="1:7" ht="14.25" thickTop="1" thickBot="1">
      <c r="A206" s="95"/>
      <c r="B206" s="808"/>
      <c r="C206" s="808"/>
      <c r="D206" s="808"/>
      <c r="E206" s="809"/>
      <c r="F206" s="120" t="s">
        <v>856</v>
      </c>
      <c r="G206" s="118">
        <f>SUM(G201:G205)</f>
        <v>45564</v>
      </c>
    </row>
    <row r="207" spans="1:7" ht="14.25" thickTop="1" thickBot="1">
      <c r="A207" s="95"/>
      <c r="B207" s="810"/>
      <c r="C207" s="810"/>
      <c r="D207" s="810"/>
      <c r="E207" s="810"/>
      <c r="F207" s="810"/>
      <c r="G207" s="810"/>
    </row>
    <row r="208" spans="1:7" ht="13.5" thickTop="1">
      <c r="A208" s="95"/>
      <c r="B208" s="811" t="s">
        <v>321</v>
      </c>
      <c r="C208" s="812"/>
      <c r="D208" s="812"/>
      <c r="E208" s="812"/>
      <c r="F208" s="812"/>
      <c r="G208" s="825"/>
    </row>
    <row r="209" spans="1:8">
      <c r="A209" s="95"/>
      <c r="B209" s="817" t="s">
        <v>838</v>
      </c>
      <c r="C209" s="818"/>
      <c r="D209" s="98" t="s">
        <v>301</v>
      </c>
      <c r="E209" s="98" t="s">
        <v>297</v>
      </c>
      <c r="F209" s="99" t="s">
        <v>839</v>
      </c>
      <c r="G209" s="107" t="s">
        <v>840</v>
      </c>
    </row>
    <row r="210" spans="1:8">
      <c r="A210" s="95"/>
      <c r="B210" s="115"/>
      <c r="C210" s="102"/>
      <c r="D210" s="103" t="s">
        <v>322</v>
      </c>
      <c r="E210" s="103" t="s">
        <v>323</v>
      </c>
      <c r="F210" s="104" t="s">
        <v>324</v>
      </c>
      <c r="G210" s="109" t="s">
        <v>325</v>
      </c>
    </row>
    <row r="211" spans="1:8">
      <c r="A211" s="95"/>
      <c r="B211" s="826"/>
      <c r="C211" s="827"/>
      <c r="D211" s="96"/>
      <c r="E211" s="96"/>
      <c r="F211" s="96"/>
      <c r="G211" s="116"/>
    </row>
    <row r="212" spans="1:8" ht="13.5" thickBot="1">
      <c r="A212" s="95"/>
      <c r="B212" s="828" t="s">
        <v>841</v>
      </c>
      <c r="C212" s="829"/>
      <c r="D212" s="77"/>
      <c r="E212" s="82"/>
      <c r="F212" s="86"/>
      <c r="G212" s="112"/>
    </row>
    <row r="213" spans="1:8" ht="14.25" thickTop="1" thickBot="1">
      <c r="A213" s="95"/>
      <c r="B213" s="808"/>
      <c r="C213" s="808"/>
      <c r="D213" s="808"/>
      <c r="E213" s="809"/>
      <c r="F213" s="120" t="s">
        <v>856</v>
      </c>
      <c r="G213" s="118">
        <f>SUM(G208:G212)</f>
        <v>0</v>
      </c>
    </row>
    <row r="214" spans="1:8" ht="14.25" thickTop="1" thickBot="1">
      <c r="A214" s="95"/>
      <c r="B214" s="810"/>
      <c r="C214" s="810"/>
      <c r="D214" s="810"/>
      <c r="E214" s="810"/>
      <c r="F214" s="810"/>
      <c r="G214" s="834"/>
    </row>
    <row r="215" spans="1:8" ht="13.5" thickTop="1">
      <c r="A215" s="95"/>
      <c r="B215" s="811" t="s">
        <v>326</v>
      </c>
      <c r="C215" s="812"/>
      <c r="D215" s="812"/>
      <c r="E215" s="812"/>
      <c r="F215" s="813"/>
      <c r="G215" s="121">
        <f>+G179+G195+G206</f>
        <v>386968</v>
      </c>
    </row>
    <row r="216" spans="1:8">
      <c r="A216" s="95"/>
      <c r="B216" s="814" t="s">
        <v>861</v>
      </c>
      <c r="C216" s="815"/>
      <c r="D216" s="815"/>
      <c r="E216" s="816"/>
      <c r="F216" s="128">
        <f>'MANO DE OBRA'!$D$59</f>
        <v>0</v>
      </c>
      <c r="G216" s="122">
        <f>ROUND(G215*F216,0)</f>
        <v>0</v>
      </c>
    </row>
    <row r="217" spans="1:8" ht="13.5" thickBot="1">
      <c r="A217" s="95"/>
      <c r="B217" s="805" t="s">
        <v>1049</v>
      </c>
      <c r="C217" s="806"/>
      <c r="D217" s="806"/>
      <c r="E217" s="806"/>
      <c r="F217" s="807"/>
      <c r="G217" s="118">
        <f>ROUND(G215+G216,-2)</f>
        <v>387000</v>
      </c>
      <c r="H217" s="505" t="s">
        <v>1670</v>
      </c>
    </row>
    <row r="218" spans="1:8" ht="13.5" thickTop="1">
      <c r="A218" s="95"/>
      <c r="B218" s="90" t="s">
        <v>303</v>
      </c>
      <c r="C218" s="843"/>
      <c r="D218" s="843"/>
      <c r="E218" s="843"/>
      <c r="F218" s="92" t="s">
        <v>781</v>
      </c>
      <c r="G218" s="93" t="s">
        <v>865</v>
      </c>
    </row>
    <row r="219" spans="1:8">
      <c r="A219" s="95"/>
      <c r="B219" s="91" t="s">
        <v>834</v>
      </c>
      <c r="C219" s="844" t="s">
        <v>371</v>
      </c>
      <c r="D219" s="844"/>
      <c r="E219" s="844"/>
      <c r="F219" s="15" t="s">
        <v>833</v>
      </c>
      <c r="G219" s="165" t="str">
        <f>'MANO DE OBRA'!$D$61</f>
        <v>Agosto de 2010</v>
      </c>
    </row>
    <row r="220" spans="1:8" ht="13.5" thickBot="1">
      <c r="A220" s="127"/>
      <c r="B220" s="94" t="s">
        <v>835</v>
      </c>
      <c r="C220" s="845" t="s">
        <v>205</v>
      </c>
      <c r="D220" s="845"/>
      <c r="E220" s="845"/>
      <c r="F220" s="845"/>
      <c r="G220" s="846"/>
    </row>
    <row r="221" spans="1:8" ht="14.25" thickTop="1" thickBot="1">
      <c r="A221" s="95"/>
      <c r="B221" s="847"/>
      <c r="C221" s="847"/>
      <c r="D221" s="847"/>
      <c r="E221" s="847"/>
      <c r="F221" s="847"/>
      <c r="G221" s="847"/>
    </row>
    <row r="222" spans="1:8" ht="13.5" thickTop="1">
      <c r="A222" s="95"/>
      <c r="B222" s="811" t="s">
        <v>304</v>
      </c>
      <c r="C222" s="812"/>
      <c r="D222" s="812"/>
      <c r="E222" s="812"/>
      <c r="F222" s="812"/>
      <c r="G222" s="825"/>
    </row>
    <row r="223" spans="1:8">
      <c r="A223" s="95"/>
      <c r="B223" s="105"/>
      <c r="C223" s="97"/>
      <c r="D223" s="98" t="s">
        <v>301</v>
      </c>
      <c r="E223" s="98" t="s">
        <v>1072</v>
      </c>
      <c r="F223" s="99" t="s">
        <v>839</v>
      </c>
      <c r="G223" s="107" t="s">
        <v>840</v>
      </c>
    </row>
    <row r="224" spans="1:8">
      <c r="A224" s="95"/>
      <c r="B224" s="821" t="s">
        <v>838</v>
      </c>
      <c r="C224" s="822"/>
      <c r="D224" s="100" t="s">
        <v>308</v>
      </c>
      <c r="E224" s="100" t="s">
        <v>305</v>
      </c>
      <c r="F224" s="101" t="s">
        <v>306</v>
      </c>
      <c r="G224" s="108" t="s">
        <v>310</v>
      </c>
    </row>
    <row r="225" spans="1:7">
      <c r="A225" s="95"/>
      <c r="B225" s="115"/>
      <c r="C225" s="102"/>
      <c r="D225" s="103"/>
      <c r="E225" s="103" t="s">
        <v>309</v>
      </c>
      <c r="F225" s="104" t="s">
        <v>307</v>
      </c>
      <c r="G225" s="109"/>
    </row>
    <row r="226" spans="1:7">
      <c r="A226" s="127"/>
      <c r="B226" s="823" t="str">
        <f>'MAQUINARIA Y EQUIPOS'!$C$28</f>
        <v>HERRAMIENTAS MENORES</v>
      </c>
      <c r="C226" s="824"/>
      <c r="D226" s="87">
        <v>1</v>
      </c>
      <c r="E226" s="82">
        <f>ROUND(G259*0.05,0)</f>
        <v>2278</v>
      </c>
      <c r="F226" s="81">
        <v>1</v>
      </c>
      <c r="G226" s="110">
        <f>ROUND(D226*E226/F226,0)</f>
        <v>2278</v>
      </c>
    </row>
    <row r="227" spans="1:7">
      <c r="A227" s="95"/>
      <c r="B227" s="835"/>
      <c r="C227" s="836"/>
      <c r="D227" s="37"/>
      <c r="E227" s="82"/>
      <c r="F227" s="83"/>
      <c r="G227" s="111"/>
    </row>
    <row r="228" spans="1:7">
      <c r="A228" s="95"/>
      <c r="B228" s="835"/>
      <c r="C228" s="836"/>
      <c r="D228" s="37"/>
      <c r="E228" s="82"/>
      <c r="F228" s="83"/>
      <c r="G228" s="111"/>
    </row>
    <row r="229" spans="1:7">
      <c r="A229" s="95"/>
      <c r="B229" s="835"/>
      <c r="C229" s="836"/>
      <c r="D229" s="37"/>
      <c r="E229" s="82"/>
      <c r="F229" s="83"/>
      <c r="G229" s="111"/>
    </row>
    <row r="230" spans="1:7">
      <c r="A230" s="95"/>
      <c r="B230" s="835" t="s">
        <v>841</v>
      </c>
      <c r="C230" s="836"/>
      <c r="D230" s="37"/>
      <c r="E230" s="82"/>
      <c r="F230" s="83"/>
      <c r="G230" s="111"/>
    </row>
    <row r="231" spans="1:7" ht="13.5" thickBot="1">
      <c r="A231" s="95"/>
      <c r="B231" s="839" t="s">
        <v>841</v>
      </c>
      <c r="C231" s="840"/>
      <c r="D231" s="77"/>
      <c r="E231" s="106"/>
      <c r="F231" s="86"/>
      <c r="G231" s="112"/>
    </row>
    <row r="232" spans="1:7" ht="14.25" thickTop="1" thickBot="1">
      <c r="A232" s="95"/>
      <c r="B232" s="808"/>
      <c r="C232" s="808"/>
      <c r="D232" s="808"/>
      <c r="E232" s="809"/>
      <c r="F232" s="119" t="s">
        <v>856</v>
      </c>
      <c r="G232" s="118">
        <f>SUM(G226:G231)</f>
        <v>2278</v>
      </c>
    </row>
    <row r="233" spans="1:7" ht="14.25" thickTop="1" thickBot="1">
      <c r="A233" s="95"/>
      <c r="B233" s="830"/>
      <c r="C233" s="830"/>
      <c r="D233" s="830"/>
      <c r="E233" s="830"/>
      <c r="F233" s="830"/>
      <c r="G233" s="830"/>
    </row>
    <row r="234" spans="1:7" ht="13.5" thickTop="1">
      <c r="A234" s="95"/>
      <c r="B234" s="811" t="s">
        <v>311</v>
      </c>
      <c r="C234" s="812"/>
      <c r="D234" s="812"/>
      <c r="E234" s="812"/>
      <c r="F234" s="812"/>
      <c r="G234" s="825"/>
    </row>
    <row r="235" spans="1:7">
      <c r="A235" s="95"/>
      <c r="B235" s="817" t="s">
        <v>838</v>
      </c>
      <c r="C235" s="818"/>
      <c r="D235" s="98" t="s">
        <v>842</v>
      </c>
      <c r="E235" s="98" t="s">
        <v>853</v>
      </c>
      <c r="F235" s="99" t="s">
        <v>1047</v>
      </c>
      <c r="G235" s="107" t="s">
        <v>840</v>
      </c>
    </row>
    <row r="236" spans="1:7">
      <c r="A236" s="95"/>
      <c r="B236" s="115"/>
      <c r="C236" s="102"/>
      <c r="D236" s="100"/>
      <c r="E236" s="100" t="s">
        <v>312</v>
      </c>
      <c r="F236" s="101" t="s">
        <v>313</v>
      </c>
      <c r="G236" s="108" t="s">
        <v>314</v>
      </c>
    </row>
    <row r="237" spans="1:7">
      <c r="A237" s="125"/>
      <c r="B237" s="841" t="str">
        <f>MATERIALES2!$C$704</f>
        <v>SOLDADURA PVC ¼</v>
      </c>
      <c r="C237" s="842"/>
      <c r="D237" s="87" t="s">
        <v>865</v>
      </c>
      <c r="E237" s="81">
        <v>0.05</v>
      </c>
      <c r="F237" s="80">
        <f>MATERIALES2!$E$704</f>
        <v>56298</v>
      </c>
      <c r="G237" s="110">
        <f t="shared" ref="G237:G244" si="4">ROUND(E237*F237,0)</f>
        <v>2815</v>
      </c>
    </row>
    <row r="238" spans="1:7">
      <c r="A238" s="123"/>
      <c r="B238" s="957" t="str">
        <f>MATERIALES2!$C$879</f>
        <v>CHEQUE BRONCE 3/4" RED WHITE</v>
      </c>
      <c r="C238" s="965"/>
      <c r="D238" s="154" t="s">
        <v>865</v>
      </c>
      <c r="E238" s="155">
        <v>1</v>
      </c>
      <c r="F238" s="156">
        <f>MATERIALES2!$E$879</f>
        <v>33242</v>
      </c>
      <c r="G238" s="157">
        <f t="shared" si="4"/>
        <v>33242</v>
      </c>
    </row>
    <row r="239" spans="1:7">
      <c r="A239" s="95"/>
      <c r="B239" s="957" t="str">
        <f>MATERIALES2!$C$875</f>
        <v xml:space="preserve">REGISTRO 3/4" </v>
      </c>
      <c r="C239" s="965"/>
      <c r="D239" s="154" t="s">
        <v>865</v>
      </c>
      <c r="E239" s="155">
        <v>1</v>
      </c>
      <c r="F239" s="156">
        <f>MATERIALES2!$E$875</f>
        <v>27500</v>
      </c>
      <c r="G239" s="157">
        <f t="shared" si="4"/>
        <v>27500</v>
      </c>
    </row>
    <row r="240" spans="1:7">
      <c r="A240" s="95"/>
      <c r="B240" s="854" t="str">
        <f>MATERIALES2!$C$595</f>
        <v>TUBO PVC PRESION LINEA 80 3/4" x 6.0 M</v>
      </c>
      <c r="C240" s="855"/>
      <c r="D240" s="37" t="s">
        <v>865</v>
      </c>
      <c r="E240" s="83">
        <v>0.83</v>
      </c>
      <c r="F240" s="82">
        <f>MATERIALES2!$E$595</f>
        <v>10000</v>
      </c>
      <c r="G240" s="111">
        <f t="shared" si="4"/>
        <v>8300</v>
      </c>
    </row>
    <row r="241" spans="1:8">
      <c r="A241" s="95"/>
      <c r="B241" s="854" t="str">
        <f>MATERIALES2!$C$681</f>
        <v>CODO PRESION 3/4"</v>
      </c>
      <c r="C241" s="855"/>
      <c r="D241" s="37" t="s">
        <v>865</v>
      </c>
      <c r="E241" s="146">
        <v>2</v>
      </c>
      <c r="F241" s="82">
        <f>MATERIALES2!$E$681</f>
        <v>300</v>
      </c>
      <c r="G241" s="111">
        <f t="shared" si="4"/>
        <v>600</v>
      </c>
    </row>
    <row r="242" spans="1:8">
      <c r="A242" s="95"/>
      <c r="B242" s="854" t="str">
        <f>MATERIALES2!$C$904</f>
        <v>LLAVE DE PASO 3/4"</v>
      </c>
      <c r="C242" s="855"/>
      <c r="D242" s="37" t="s">
        <v>865</v>
      </c>
      <c r="E242" s="146">
        <v>1</v>
      </c>
      <c r="F242" s="82">
        <f>MATERIALES2!$E$904</f>
        <v>9000</v>
      </c>
      <c r="G242" s="111">
        <f t="shared" si="4"/>
        <v>9000</v>
      </c>
    </row>
    <row r="243" spans="1:8">
      <c r="A243" s="95"/>
      <c r="B243" s="854" t="str">
        <f>MATERIALES2!$C$367</f>
        <v>MEDIDOR AGUA 3/4"</v>
      </c>
      <c r="C243" s="855"/>
      <c r="D243" s="37" t="s">
        <v>865</v>
      </c>
      <c r="E243" s="146">
        <v>1</v>
      </c>
      <c r="F243" s="82">
        <f>MATERIALES2!$E$367</f>
        <v>200000</v>
      </c>
      <c r="G243" s="111">
        <f t="shared" si="4"/>
        <v>200000</v>
      </c>
    </row>
    <row r="244" spans="1:8">
      <c r="A244" s="95"/>
      <c r="B244" s="854" t="str">
        <f>MATERIALES2!$C$362</f>
        <v>MATRICULA AGUA ESTRATO 1</v>
      </c>
      <c r="C244" s="855"/>
      <c r="D244" s="37" t="s">
        <v>865</v>
      </c>
      <c r="E244" s="146">
        <v>1</v>
      </c>
      <c r="F244" s="82">
        <f>MATERIALES2!$E$362</f>
        <v>7150</v>
      </c>
      <c r="G244" s="111">
        <f t="shared" si="4"/>
        <v>7150</v>
      </c>
      <c r="H244" s="505" t="s">
        <v>1670</v>
      </c>
    </row>
    <row r="245" spans="1:8" ht="13.5" thickBot="1">
      <c r="A245" s="95"/>
      <c r="B245" s="942" t="s">
        <v>841</v>
      </c>
      <c r="C245" s="943"/>
      <c r="D245" s="84" t="s">
        <v>841</v>
      </c>
      <c r="E245" s="84"/>
      <c r="F245" s="85"/>
      <c r="G245" s="112"/>
    </row>
    <row r="246" spans="1:8" ht="13.5" thickTop="1">
      <c r="A246" s="95"/>
      <c r="B246" s="808"/>
      <c r="C246" s="809"/>
      <c r="D246" s="801" t="s">
        <v>856</v>
      </c>
      <c r="E246" s="802"/>
      <c r="F246" s="9"/>
      <c r="G246" s="113">
        <f>SUM(G237:G245)</f>
        <v>288607</v>
      </c>
    </row>
    <row r="247" spans="1:8">
      <c r="A247" s="95"/>
      <c r="B247" s="819"/>
      <c r="C247" s="820"/>
      <c r="D247" s="801" t="s">
        <v>857</v>
      </c>
      <c r="E247" s="802"/>
      <c r="F247" s="79">
        <f>'MANO DE OBRA'!$D$60</f>
        <v>0.05</v>
      </c>
      <c r="G247" s="113">
        <f>ROUND(G246*F247,0)</f>
        <v>14430</v>
      </c>
    </row>
    <row r="248" spans="1:8" ht="13.5" thickBot="1">
      <c r="A248" s="95"/>
      <c r="B248" s="819"/>
      <c r="C248" s="820"/>
      <c r="D248" s="803" t="s">
        <v>320</v>
      </c>
      <c r="E248" s="804"/>
      <c r="F248" s="114"/>
      <c r="G248" s="118">
        <f>+G246+G247</f>
        <v>303037</v>
      </c>
    </row>
    <row r="249" spans="1:8" ht="14.25" thickTop="1" thickBot="1">
      <c r="A249" s="95"/>
      <c r="B249" s="830"/>
      <c r="C249" s="830"/>
      <c r="D249" s="830"/>
      <c r="E249" s="830"/>
      <c r="F249" s="830"/>
      <c r="G249" s="830"/>
    </row>
    <row r="250" spans="1:8" ht="13.5" thickTop="1">
      <c r="A250" s="95"/>
      <c r="B250" s="811" t="s">
        <v>858</v>
      </c>
      <c r="C250" s="812"/>
      <c r="D250" s="812"/>
      <c r="E250" s="812"/>
      <c r="F250" s="812"/>
      <c r="G250" s="825"/>
    </row>
    <row r="251" spans="1:8">
      <c r="A251" s="95"/>
      <c r="B251" s="817"/>
      <c r="C251" s="818"/>
      <c r="D251" s="98" t="s">
        <v>301</v>
      </c>
      <c r="E251" s="98" t="s">
        <v>859</v>
      </c>
      <c r="F251" s="99" t="s">
        <v>839</v>
      </c>
      <c r="G251" s="107" t="s">
        <v>840</v>
      </c>
    </row>
    <row r="252" spans="1:8">
      <c r="A252" s="95"/>
      <c r="B252" s="821" t="s">
        <v>838</v>
      </c>
      <c r="C252" s="822"/>
      <c r="D252" s="100" t="s">
        <v>316</v>
      </c>
      <c r="E252" s="100" t="s">
        <v>315</v>
      </c>
      <c r="F252" s="101" t="s">
        <v>306</v>
      </c>
      <c r="G252" s="108" t="s">
        <v>319</v>
      </c>
    </row>
    <row r="253" spans="1:8">
      <c r="A253" s="95"/>
      <c r="B253" s="115"/>
      <c r="C253" s="102"/>
      <c r="D253" s="103"/>
      <c r="E253" s="103" t="s">
        <v>317</v>
      </c>
      <c r="F253" s="104" t="s">
        <v>318</v>
      </c>
      <c r="G253" s="109"/>
    </row>
    <row r="254" spans="1:8">
      <c r="A254" s="95"/>
      <c r="B254" s="823" t="str">
        <f>'MANO DE OBRA'!$B$11</f>
        <v>AYUDANTE CUAD. TIPO BB</v>
      </c>
      <c r="C254" s="824"/>
      <c r="D254" s="87">
        <v>1</v>
      </c>
      <c r="E254" s="80">
        <f>'MANO DE OBRA'!$E$11</f>
        <v>43077</v>
      </c>
      <c r="F254" s="81">
        <v>2.67</v>
      </c>
      <c r="G254" s="110">
        <f>ROUND(D254*E254/F254,0)</f>
        <v>16134</v>
      </c>
    </row>
    <row r="255" spans="1:8">
      <c r="A255" s="95"/>
      <c r="B255" s="835" t="str">
        <f>'MANO DE OBRA'!$B$16</f>
        <v>OFICIAL CUAD. TIPO BB</v>
      </c>
      <c r="C255" s="836"/>
      <c r="D255" s="37">
        <v>1</v>
      </c>
      <c r="E255" s="82">
        <f>'MANO DE OBRA'!$E$16</f>
        <v>78577</v>
      </c>
      <c r="F255" s="83">
        <v>2.67</v>
      </c>
      <c r="G255" s="111">
        <f>ROUND(D255*E255/F255,0)</f>
        <v>29430</v>
      </c>
    </row>
    <row r="256" spans="1:8">
      <c r="A256" s="95"/>
      <c r="B256" s="835"/>
      <c r="C256" s="836"/>
      <c r="D256" s="89"/>
      <c r="E256" s="82"/>
      <c r="F256" s="83"/>
      <c r="G256" s="111"/>
    </row>
    <row r="257" spans="1:8">
      <c r="A257" s="95"/>
      <c r="B257" s="835" t="s">
        <v>841</v>
      </c>
      <c r="C257" s="836"/>
      <c r="D257" s="37"/>
      <c r="E257" s="82"/>
      <c r="F257" s="83"/>
      <c r="G257" s="111"/>
    </row>
    <row r="258" spans="1:8" ht="13.5" thickBot="1">
      <c r="A258" s="95"/>
      <c r="B258" s="828" t="s">
        <v>841</v>
      </c>
      <c r="C258" s="829"/>
      <c r="D258" s="77"/>
      <c r="E258" s="82"/>
      <c r="F258" s="86"/>
      <c r="G258" s="112"/>
    </row>
    <row r="259" spans="1:8" ht="14.25" thickTop="1" thickBot="1">
      <c r="A259" s="95"/>
      <c r="B259" s="808"/>
      <c r="C259" s="808"/>
      <c r="D259" s="808"/>
      <c r="E259" s="809"/>
      <c r="F259" s="120" t="s">
        <v>856</v>
      </c>
      <c r="G259" s="118">
        <f>SUM(G254:G258)</f>
        <v>45564</v>
      </c>
    </row>
    <row r="260" spans="1:8" ht="14.25" thickTop="1" thickBot="1">
      <c r="A260" s="95"/>
      <c r="B260" s="810"/>
      <c r="C260" s="810"/>
      <c r="D260" s="810"/>
      <c r="E260" s="810"/>
      <c r="F260" s="810"/>
      <c r="G260" s="810"/>
    </row>
    <row r="261" spans="1:8" ht="13.5" thickTop="1">
      <c r="A261" s="95"/>
      <c r="B261" s="811" t="s">
        <v>321</v>
      </c>
      <c r="C261" s="812"/>
      <c r="D261" s="812"/>
      <c r="E261" s="812"/>
      <c r="F261" s="812"/>
      <c r="G261" s="825"/>
    </row>
    <row r="262" spans="1:8">
      <c r="A262" s="95"/>
      <c r="B262" s="817" t="s">
        <v>838</v>
      </c>
      <c r="C262" s="818"/>
      <c r="D262" s="98" t="s">
        <v>301</v>
      </c>
      <c r="E262" s="98" t="s">
        <v>297</v>
      </c>
      <c r="F262" s="99" t="s">
        <v>839</v>
      </c>
      <c r="G262" s="107" t="s">
        <v>840</v>
      </c>
    </row>
    <row r="263" spans="1:8">
      <c r="A263" s="95"/>
      <c r="B263" s="115"/>
      <c r="C263" s="102"/>
      <c r="D263" s="103" t="s">
        <v>322</v>
      </c>
      <c r="E263" s="103" t="s">
        <v>323</v>
      </c>
      <c r="F263" s="104" t="s">
        <v>324</v>
      </c>
      <c r="G263" s="109" t="s">
        <v>325</v>
      </c>
    </row>
    <row r="264" spans="1:8">
      <c r="A264" s="95"/>
      <c r="B264" s="826"/>
      <c r="C264" s="827"/>
      <c r="D264" s="96"/>
      <c r="E264" s="96"/>
      <c r="F264" s="96"/>
      <c r="G264" s="116"/>
    </row>
    <row r="265" spans="1:8" ht="13.5" thickBot="1">
      <c r="A265" s="95"/>
      <c r="B265" s="828" t="s">
        <v>841</v>
      </c>
      <c r="C265" s="829"/>
      <c r="D265" s="77"/>
      <c r="E265" s="82"/>
      <c r="F265" s="86"/>
      <c r="G265" s="112"/>
    </row>
    <row r="266" spans="1:8" ht="14.25" thickTop="1" thickBot="1">
      <c r="A266" s="95"/>
      <c r="B266" s="808"/>
      <c r="C266" s="808"/>
      <c r="D266" s="808"/>
      <c r="E266" s="809"/>
      <c r="F266" s="120" t="s">
        <v>856</v>
      </c>
      <c r="G266" s="118">
        <f>SUM(G261:G265)</f>
        <v>0</v>
      </c>
    </row>
    <row r="267" spans="1:8" ht="14.25" thickTop="1" thickBot="1">
      <c r="A267" s="95"/>
      <c r="B267" s="810"/>
      <c r="C267" s="810"/>
      <c r="D267" s="810"/>
      <c r="E267" s="810"/>
      <c r="F267" s="810"/>
      <c r="G267" s="834"/>
    </row>
    <row r="268" spans="1:8" ht="13.5" thickTop="1">
      <c r="A268" s="95"/>
      <c r="B268" s="811" t="s">
        <v>326</v>
      </c>
      <c r="C268" s="812"/>
      <c r="D268" s="812"/>
      <c r="E268" s="812"/>
      <c r="F268" s="813"/>
      <c r="G268" s="121">
        <f>+G232+G248+G259</f>
        <v>350879</v>
      </c>
    </row>
    <row r="269" spans="1:8">
      <c r="A269" s="95"/>
      <c r="B269" s="814" t="s">
        <v>861</v>
      </c>
      <c r="C269" s="815"/>
      <c r="D269" s="815"/>
      <c r="E269" s="816"/>
      <c r="F269" s="128">
        <f>'MANO DE OBRA'!$D$59</f>
        <v>0</v>
      </c>
      <c r="G269" s="122">
        <f>ROUND(G268*F269,0)</f>
        <v>0</v>
      </c>
    </row>
    <row r="270" spans="1:8" ht="13.5" thickBot="1">
      <c r="A270" s="95"/>
      <c r="B270" s="805" t="s">
        <v>1049</v>
      </c>
      <c r="C270" s="806"/>
      <c r="D270" s="806"/>
      <c r="E270" s="806"/>
      <c r="F270" s="807"/>
      <c r="G270" s="118">
        <f>ROUND(G268+G269,-2)</f>
        <v>350900</v>
      </c>
      <c r="H270" s="505" t="s">
        <v>1670</v>
      </c>
    </row>
    <row r="271" spans="1:8" ht="13.5" thickTop="1">
      <c r="A271" s="95"/>
      <c r="B271" s="90" t="s">
        <v>303</v>
      </c>
      <c r="C271" s="843"/>
      <c r="D271" s="843"/>
      <c r="E271" s="843"/>
      <c r="F271" s="92" t="s">
        <v>781</v>
      </c>
      <c r="G271" s="93" t="s">
        <v>865</v>
      </c>
    </row>
    <row r="272" spans="1:8">
      <c r="A272" s="95"/>
      <c r="B272" s="91" t="s">
        <v>834</v>
      </c>
      <c r="C272" s="844" t="s">
        <v>371</v>
      </c>
      <c r="D272" s="844"/>
      <c r="E272" s="844"/>
      <c r="F272" s="15" t="s">
        <v>833</v>
      </c>
      <c r="G272" s="165" t="str">
        <f>'MANO DE OBRA'!$D$61</f>
        <v>Agosto de 2010</v>
      </c>
    </row>
    <row r="273" spans="1:7" ht="13.5" thickBot="1">
      <c r="A273" s="127"/>
      <c r="B273" s="94" t="s">
        <v>835</v>
      </c>
      <c r="C273" s="845" t="s">
        <v>206</v>
      </c>
      <c r="D273" s="845"/>
      <c r="E273" s="845"/>
      <c r="F273" s="845"/>
      <c r="G273" s="846"/>
    </row>
    <row r="274" spans="1:7" ht="14.25" thickTop="1" thickBot="1">
      <c r="A274" s="95"/>
      <c r="B274" s="847"/>
      <c r="C274" s="847"/>
      <c r="D274" s="847"/>
      <c r="E274" s="847"/>
      <c r="F274" s="847"/>
      <c r="G274" s="847"/>
    </row>
    <row r="275" spans="1:7" ht="13.5" thickTop="1">
      <c r="A275" s="95"/>
      <c r="B275" s="811" t="s">
        <v>304</v>
      </c>
      <c r="C275" s="812"/>
      <c r="D275" s="812"/>
      <c r="E275" s="812"/>
      <c r="F275" s="812"/>
      <c r="G275" s="825"/>
    </row>
    <row r="276" spans="1:7">
      <c r="A276" s="95"/>
      <c r="B276" s="105"/>
      <c r="C276" s="97"/>
      <c r="D276" s="98" t="s">
        <v>301</v>
      </c>
      <c r="E276" s="98" t="s">
        <v>1072</v>
      </c>
      <c r="F276" s="99" t="s">
        <v>839</v>
      </c>
      <c r="G276" s="107" t="s">
        <v>840</v>
      </c>
    </row>
    <row r="277" spans="1:7">
      <c r="A277" s="95"/>
      <c r="B277" s="821" t="s">
        <v>838</v>
      </c>
      <c r="C277" s="822"/>
      <c r="D277" s="100" t="s">
        <v>308</v>
      </c>
      <c r="E277" s="100" t="s">
        <v>305</v>
      </c>
      <c r="F277" s="101" t="s">
        <v>306</v>
      </c>
      <c r="G277" s="108" t="s">
        <v>310</v>
      </c>
    </row>
    <row r="278" spans="1:7">
      <c r="A278" s="95"/>
      <c r="B278" s="115"/>
      <c r="C278" s="102"/>
      <c r="D278" s="103"/>
      <c r="E278" s="103" t="s">
        <v>309</v>
      </c>
      <c r="F278" s="104" t="s">
        <v>307</v>
      </c>
      <c r="G278" s="109"/>
    </row>
    <row r="279" spans="1:7">
      <c r="A279" s="127"/>
      <c r="B279" s="823" t="str">
        <f>'MAQUINARIA Y EQUIPOS'!$C$28</f>
        <v>HERRAMIENTAS MENORES</v>
      </c>
      <c r="C279" s="824"/>
      <c r="D279" s="87">
        <v>1</v>
      </c>
      <c r="E279" s="82">
        <f>ROUND(G312*0.05,0)</f>
        <v>2278</v>
      </c>
      <c r="F279" s="81">
        <v>1</v>
      </c>
      <c r="G279" s="110">
        <f>ROUND(D279*E279/F279,0)</f>
        <v>2278</v>
      </c>
    </row>
    <row r="280" spans="1:7">
      <c r="A280" s="95"/>
      <c r="B280" s="835"/>
      <c r="C280" s="836"/>
      <c r="D280" s="37"/>
      <c r="E280" s="82"/>
      <c r="F280" s="83"/>
      <c r="G280" s="111"/>
    </row>
    <row r="281" spans="1:7">
      <c r="A281" s="95"/>
      <c r="B281" s="835"/>
      <c r="C281" s="836"/>
      <c r="D281" s="37"/>
      <c r="E281" s="82"/>
      <c r="F281" s="83"/>
      <c r="G281" s="111"/>
    </row>
    <row r="282" spans="1:7">
      <c r="A282" s="95"/>
      <c r="B282" s="835"/>
      <c r="C282" s="836"/>
      <c r="D282" s="37"/>
      <c r="E282" s="82"/>
      <c r="F282" s="83"/>
      <c r="G282" s="111"/>
    </row>
    <row r="283" spans="1:7">
      <c r="A283" s="95"/>
      <c r="B283" s="835" t="s">
        <v>841</v>
      </c>
      <c r="C283" s="836"/>
      <c r="D283" s="37"/>
      <c r="E283" s="82"/>
      <c r="F283" s="83"/>
      <c r="G283" s="111"/>
    </row>
    <row r="284" spans="1:7" ht="13.5" thickBot="1">
      <c r="A284" s="95"/>
      <c r="B284" s="839" t="s">
        <v>841</v>
      </c>
      <c r="C284" s="840"/>
      <c r="D284" s="77"/>
      <c r="E284" s="106"/>
      <c r="F284" s="86"/>
      <c r="G284" s="112"/>
    </row>
    <row r="285" spans="1:7" ht="14.25" thickTop="1" thickBot="1">
      <c r="A285" s="95"/>
      <c r="B285" s="808"/>
      <c r="C285" s="808"/>
      <c r="D285" s="808"/>
      <c r="E285" s="809"/>
      <c r="F285" s="119" t="s">
        <v>856</v>
      </c>
      <c r="G285" s="118">
        <f>SUM(G279:G284)</f>
        <v>2278</v>
      </c>
    </row>
    <row r="286" spans="1:7" ht="14.25" thickTop="1" thickBot="1">
      <c r="A286" s="95"/>
      <c r="B286" s="830"/>
      <c r="C286" s="830"/>
      <c r="D286" s="830"/>
      <c r="E286" s="830"/>
      <c r="F286" s="830"/>
      <c r="G286" s="830"/>
    </row>
    <row r="287" spans="1:7" ht="13.5" thickTop="1">
      <c r="A287" s="95"/>
      <c r="B287" s="811" t="s">
        <v>311</v>
      </c>
      <c r="C287" s="812"/>
      <c r="D287" s="812"/>
      <c r="E287" s="812"/>
      <c r="F287" s="812"/>
      <c r="G287" s="825"/>
    </row>
    <row r="288" spans="1:7">
      <c r="A288" s="95"/>
      <c r="B288" s="817" t="s">
        <v>838</v>
      </c>
      <c r="C288" s="818"/>
      <c r="D288" s="98" t="s">
        <v>842</v>
      </c>
      <c r="E288" s="98" t="s">
        <v>853</v>
      </c>
      <c r="F288" s="99" t="s">
        <v>1047</v>
      </c>
      <c r="G288" s="107" t="s">
        <v>840</v>
      </c>
    </row>
    <row r="289" spans="1:8">
      <c r="A289" s="95"/>
      <c r="B289" s="115"/>
      <c r="C289" s="102"/>
      <c r="D289" s="100"/>
      <c r="E289" s="100" t="s">
        <v>312</v>
      </c>
      <c r="F289" s="101" t="s">
        <v>313</v>
      </c>
      <c r="G289" s="108" t="s">
        <v>314</v>
      </c>
    </row>
    <row r="290" spans="1:8">
      <c r="A290" s="125"/>
      <c r="B290" s="841" t="str">
        <f>MATERIALES2!$C$704</f>
        <v>SOLDADURA PVC ¼</v>
      </c>
      <c r="C290" s="842"/>
      <c r="D290" s="87" t="s">
        <v>865</v>
      </c>
      <c r="E290" s="81">
        <v>0.05</v>
      </c>
      <c r="F290" s="80">
        <f>MATERIALES2!$E$704</f>
        <v>56298</v>
      </c>
      <c r="G290" s="110">
        <f t="shared" ref="G290:G297" si="5">ROUND(E290*F290,0)</f>
        <v>2815</v>
      </c>
    </row>
    <row r="291" spans="1:8">
      <c r="A291" s="123"/>
      <c r="B291" s="957" t="str">
        <f>MATERIALES2!$C$879</f>
        <v>CHEQUE BRONCE 3/4" RED WHITE</v>
      </c>
      <c r="C291" s="965"/>
      <c r="D291" s="154" t="s">
        <v>865</v>
      </c>
      <c r="E291" s="155">
        <v>1</v>
      </c>
      <c r="F291" s="156">
        <f>MATERIALES2!$E$879</f>
        <v>33242</v>
      </c>
      <c r="G291" s="157">
        <f t="shared" si="5"/>
        <v>33242</v>
      </c>
    </row>
    <row r="292" spans="1:8">
      <c r="A292" s="95"/>
      <c r="B292" s="957" t="str">
        <f>MATERIALES2!$C$875</f>
        <v xml:space="preserve">REGISTRO 3/4" </v>
      </c>
      <c r="C292" s="965"/>
      <c r="D292" s="154" t="s">
        <v>865</v>
      </c>
      <c r="E292" s="155">
        <v>1</v>
      </c>
      <c r="F292" s="156">
        <f>MATERIALES2!$E$875</f>
        <v>27500</v>
      </c>
      <c r="G292" s="157">
        <f t="shared" si="5"/>
        <v>27500</v>
      </c>
    </row>
    <row r="293" spans="1:8">
      <c r="A293" s="95"/>
      <c r="B293" s="854" t="str">
        <f>MATERIALES2!$C$595</f>
        <v>TUBO PVC PRESION LINEA 80 3/4" x 6.0 M</v>
      </c>
      <c r="C293" s="855"/>
      <c r="D293" s="37" t="s">
        <v>865</v>
      </c>
      <c r="E293" s="83">
        <v>0.83</v>
      </c>
      <c r="F293" s="82">
        <f>MATERIALES2!$E$595</f>
        <v>10000</v>
      </c>
      <c r="G293" s="111">
        <f t="shared" si="5"/>
        <v>8300</v>
      </c>
    </row>
    <row r="294" spans="1:8">
      <c r="A294" s="95"/>
      <c r="B294" s="854" t="str">
        <f>MATERIALES2!$C$681</f>
        <v>CODO PRESION 3/4"</v>
      </c>
      <c r="C294" s="855"/>
      <c r="D294" s="37" t="s">
        <v>865</v>
      </c>
      <c r="E294" s="146">
        <v>2</v>
      </c>
      <c r="F294" s="82">
        <f>MATERIALES2!$E$681</f>
        <v>300</v>
      </c>
      <c r="G294" s="111">
        <f t="shared" si="5"/>
        <v>600</v>
      </c>
    </row>
    <row r="295" spans="1:8">
      <c r="A295" s="95"/>
      <c r="B295" s="854" t="str">
        <f>MATERIALES2!$C$904</f>
        <v>LLAVE DE PASO 3/4"</v>
      </c>
      <c r="C295" s="855"/>
      <c r="D295" s="37" t="s">
        <v>865</v>
      </c>
      <c r="E295" s="146">
        <v>1</v>
      </c>
      <c r="F295" s="82">
        <f>MATERIALES2!$E$904</f>
        <v>9000</v>
      </c>
      <c r="G295" s="111">
        <f t="shared" si="5"/>
        <v>9000</v>
      </c>
    </row>
    <row r="296" spans="1:8">
      <c r="A296" s="95"/>
      <c r="B296" s="854" t="str">
        <f>MATERIALES2!$C$367</f>
        <v>MEDIDOR AGUA 3/4"</v>
      </c>
      <c r="C296" s="855"/>
      <c r="D296" s="37" t="s">
        <v>865</v>
      </c>
      <c r="E296" s="146">
        <v>1</v>
      </c>
      <c r="F296" s="82">
        <f>MATERIALES2!$E$367</f>
        <v>200000</v>
      </c>
      <c r="G296" s="111">
        <f t="shared" si="5"/>
        <v>200000</v>
      </c>
    </row>
    <row r="297" spans="1:8">
      <c r="A297" s="95"/>
      <c r="B297" s="854" t="str">
        <f>MATERIALES2!$C$363</f>
        <v>MATRICULA AGUA ESTRATO 2</v>
      </c>
      <c r="C297" s="855"/>
      <c r="D297" s="37" t="s">
        <v>865</v>
      </c>
      <c r="E297" s="146">
        <v>1</v>
      </c>
      <c r="F297" s="82">
        <f>MATERIALES2!$E$363</f>
        <v>56650</v>
      </c>
      <c r="G297" s="111">
        <f t="shared" si="5"/>
        <v>56650</v>
      </c>
      <c r="H297" s="505" t="s">
        <v>1670</v>
      </c>
    </row>
    <row r="298" spans="1:8" ht="13.5" thickBot="1">
      <c r="A298" s="95"/>
      <c r="B298" s="942" t="s">
        <v>841</v>
      </c>
      <c r="C298" s="943"/>
      <c r="D298" s="84" t="s">
        <v>841</v>
      </c>
      <c r="E298" s="84"/>
      <c r="F298" s="85"/>
      <c r="G298" s="112"/>
    </row>
    <row r="299" spans="1:8" ht="13.5" thickTop="1">
      <c r="A299" s="95"/>
      <c r="B299" s="808"/>
      <c r="C299" s="809"/>
      <c r="D299" s="801" t="s">
        <v>856</v>
      </c>
      <c r="E299" s="802"/>
      <c r="F299" s="9"/>
      <c r="G299" s="113">
        <f>SUM(G290:G298)</f>
        <v>338107</v>
      </c>
    </row>
    <row r="300" spans="1:8">
      <c r="A300" s="95"/>
      <c r="B300" s="819"/>
      <c r="C300" s="820"/>
      <c r="D300" s="801" t="s">
        <v>857</v>
      </c>
      <c r="E300" s="802"/>
      <c r="F300" s="79">
        <f>'MANO DE OBRA'!$D$60</f>
        <v>0.05</v>
      </c>
      <c r="G300" s="113">
        <f>ROUND(G299*F300,0)</f>
        <v>16905</v>
      </c>
    </row>
    <row r="301" spans="1:8" ht="13.5" thickBot="1">
      <c r="A301" s="95"/>
      <c r="B301" s="819"/>
      <c r="C301" s="820"/>
      <c r="D301" s="803" t="s">
        <v>320</v>
      </c>
      <c r="E301" s="804"/>
      <c r="F301" s="114"/>
      <c r="G301" s="118">
        <f>+G299+G300</f>
        <v>355012</v>
      </c>
    </row>
    <row r="302" spans="1:8" ht="14.25" thickTop="1" thickBot="1">
      <c r="A302" s="95"/>
      <c r="B302" s="830"/>
      <c r="C302" s="830"/>
      <c r="D302" s="830"/>
      <c r="E302" s="830"/>
      <c r="F302" s="830"/>
      <c r="G302" s="830"/>
    </row>
    <row r="303" spans="1:8" ht="13.5" thickTop="1">
      <c r="A303" s="95"/>
      <c r="B303" s="811" t="s">
        <v>858</v>
      </c>
      <c r="C303" s="812"/>
      <c r="D303" s="812"/>
      <c r="E303" s="812"/>
      <c r="F303" s="812"/>
      <c r="G303" s="825"/>
    </row>
    <row r="304" spans="1:8">
      <c r="A304" s="95"/>
      <c r="B304" s="817"/>
      <c r="C304" s="818"/>
      <c r="D304" s="98" t="s">
        <v>301</v>
      </c>
      <c r="E304" s="98" t="s">
        <v>859</v>
      </c>
      <c r="F304" s="99" t="s">
        <v>839</v>
      </c>
      <c r="G304" s="107" t="s">
        <v>840</v>
      </c>
    </row>
    <row r="305" spans="1:7">
      <c r="A305" s="95"/>
      <c r="B305" s="821" t="s">
        <v>838</v>
      </c>
      <c r="C305" s="822"/>
      <c r="D305" s="100" t="s">
        <v>316</v>
      </c>
      <c r="E305" s="100" t="s">
        <v>315</v>
      </c>
      <c r="F305" s="101" t="s">
        <v>306</v>
      </c>
      <c r="G305" s="108" t="s">
        <v>319</v>
      </c>
    </row>
    <row r="306" spans="1:7">
      <c r="A306" s="95"/>
      <c r="B306" s="115"/>
      <c r="C306" s="102"/>
      <c r="D306" s="103"/>
      <c r="E306" s="103" t="s">
        <v>317</v>
      </c>
      <c r="F306" s="104" t="s">
        <v>318</v>
      </c>
      <c r="G306" s="109"/>
    </row>
    <row r="307" spans="1:7">
      <c r="A307" s="95"/>
      <c r="B307" s="823" t="str">
        <f>'MANO DE OBRA'!$B$11</f>
        <v>AYUDANTE CUAD. TIPO BB</v>
      </c>
      <c r="C307" s="824"/>
      <c r="D307" s="87">
        <v>1</v>
      </c>
      <c r="E307" s="80">
        <f>'MANO DE OBRA'!$E$11</f>
        <v>43077</v>
      </c>
      <c r="F307" s="81">
        <v>2.67</v>
      </c>
      <c r="G307" s="110">
        <f>ROUND(D307*E307/F307,0)</f>
        <v>16134</v>
      </c>
    </row>
    <row r="308" spans="1:7">
      <c r="A308" s="95"/>
      <c r="B308" s="835" t="str">
        <f>'MANO DE OBRA'!$B$16</f>
        <v>OFICIAL CUAD. TIPO BB</v>
      </c>
      <c r="C308" s="836"/>
      <c r="D308" s="37">
        <v>1</v>
      </c>
      <c r="E308" s="82">
        <f>'MANO DE OBRA'!$E$16</f>
        <v>78577</v>
      </c>
      <c r="F308" s="83">
        <v>2.67</v>
      </c>
      <c r="G308" s="111">
        <f>ROUND(D308*E308/F308,0)</f>
        <v>29430</v>
      </c>
    </row>
    <row r="309" spans="1:7">
      <c r="A309" s="95"/>
      <c r="B309" s="835"/>
      <c r="C309" s="836"/>
      <c r="D309" s="89"/>
      <c r="E309" s="82"/>
      <c r="F309" s="83"/>
      <c r="G309" s="111"/>
    </row>
    <row r="310" spans="1:7">
      <c r="A310" s="95"/>
      <c r="B310" s="835" t="s">
        <v>841</v>
      </c>
      <c r="C310" s="836"/>
      <c r="D310" s="37"/>
      <c r="E310" s="82"/>
      <c r="F310" s="83"/>
      <c r="G310" s="111"/>
    </row>
    <row r="311" spans="1:7" ht="13.5" thickBot="1">
      <c r="A311" s="95"/>
      <c r="B311" s="828" t="s">
        <v>841</v>
      </c>
      <c r="C311" s="829"/>
      <c r="D311" s="77"/>
      <c r="E311" s="82"/>
      <c r="F311" s="86"/>
      <c r="G311" s="112"/>
    </row>
    <row r="312" spans="1:7" ht="14.25" thickTop="1" thickBot="1">
      <c r="A312" s="95"/>
      <c r="B312" s="808"/>
      <c r="C312" s="808"/>
      <c r="D312" s="808"/>
      <c r="E312" s="809"/>
      <c r="F312" s="120" t="s">
        <v>856</v>
      </c>
      <c r="G312" s="118">
        <f>SUM(G307:G311)</f>
        <v>45564</v>
      </c>
    </row>
    <row r="313" spans="1:7" ht="14.25" thickTop="1" thickBot="1">
      <c r="A313" s="95"/>
      <c r="B313" s="810"/>
      <c r="C313" s="810"/>
      <c r="D313" s="810"/>
      <c r="E313" s="810"/>
      <c r="F313" s="810"/>
      <c r="G313" s="810"/>
    </row>
    <row r="314" spans="1:7" ht="13.5" thickTop="1">
      <c r="A314" s="95"/>
      <c r="B314" s="811" t="s">
        <v>321</v>
      </c>
      <c r="C314" s="812"/>
      <c r="D314" s="812"/>
      <c r="E314" s="812"/>
      <c r="F314" s="812"/>
      <c r="G314" s="825"/>
    </row>
    <row r="315" spans="1:7">
      <c r="A315" s="95"/>
      <c r="B315" s="817" t="s">
        <v>838</v>
      </c>
      <c r="C315" s="818"/>
      <c r="D315" s="98" t="s">
        <v>301</v>
      </c>
      <c r="E315" s="98" t="s">
        <v>297</v>
      </c>
      <c r="F315" s="99" t="s">
        <v>839</v>
      </c>
      <c r="G315" s="107" t="s">
        <v>840</v>
      </c>
    </row>
    <row r="316" spans="1:7">
      <c r="A316" s="95"/>
      <c r="B316" s="115"/>
      <c r="C316" s="102"/>
      <c r="D316" s="103" t="s">
        <v>322</v>
      </c>
      <c r="E316" s="103" t="s">
        <v>323</v>
      </c>
      <c r="F316" s="104" t="s">
        <v>324</v>
      </c>
      <c r="G316" s="109" t="s">
        <v>325</v>
      </c>
    </row>
    <row r="317" spans="1:7">
      <c r="A317" s="95"/>
      <c r="B317" s="826"/>
      <c r="C317" s="827"/>
      <c r="D317" s="96"/>
      <c r="E317" s="96"/>
      <c r="F317" s="96"/>
      <c r="G317" s="116"/>
    </row>
    <row r="318" spans="1:7" ht="13.5" thickBot="1">
      <c r="A318" s="95"/>
      <c r="B318" s="828" t="s">
        <v>841</v>
      </c>
      <c r="C318" s="829"/>
      <c r="D318" s="77"/>
      <c r="E318" s="82"/>
      <c r="F318" s="86"/>
      <c r="G318" s="112"/>
    </row>
    <row r="319" spans="1:7" ht="14.25" thickTop="1" thickBot="1">
      <c r="A319" s="95"/>
      <c r="B319" s="808"/>
      <c r="C319" s="808"/>
      <c r="D319" s="808"/>
      <c r="E319" s="809"/>
      <c r="F319" s="120" t="s">
        <v>856</v>
      </c>
      <c r="G319" s="118">
        <f>SUM(G314:G318)</f>
        <v>0</v>
      </c>
    </row>
    <row r="320" spans="1:7" ht="14.25" thickTop="1" thickBot="1">
      <c r="A320" s="95"/>
      <c r="B320" s="810"/>
      <c r="C320" s="810"/>
      <c r="D320" s="810"/>
      <c r="E320" s="810"/>
      <c r="F320" s="810"/>
      <c r="G320" s="834"/>
    </row>
    <row r="321" spans="1:8" ht="13.5" thickTop="1">
      <c r="A321" s="95"/>
      <c r="B321" s="811" t="s">
        <v>326</v>
      </c>
      <c r="C321" s="812"/>
      <c r="D321" s="812"/>
      <c r="E321" s="812"/>
      <c r="F321" s="813"/>
      <c r="G321" s="121">
        <f>+G285+G301+G312</f>
        <v>402854</v>
      </c>
    </row>
    <row r="322" spans="1:8">
      <c r="A322" s="95"/>
      <c r="B322" s="814" t="s">
        <v>861</v>
      </c>
      <c r="C322" s="815"/>
      <c r="D322" s="815"/>
      <c r="E322" s="816"/>
      <c r="F322" s="128">
        <f>'MANO DE OBRA'!$D$59</f>
        <v>0</v>
      </c>
      <c r="G322" s="122">
        <f>ROUND(G321*F322,0)</f>
        <v>0</v>
      </c>
    </row>
    <row r="323" spans="1:8" ht="13.5" thickBot="1">
      <c r="A323" s="95"/>
      <c r="B323" s="805" t="s">
        <v>1049</v>
      </c>
      <c r="C323" s="806"/>
      <c r="D323" s="806"/>
      <c r="E323" s="806"/>
      <c r="F323" s="807"/>
      <c r="G323" s="118">
        <f>ROUND(G321+G322,-2)</f>
        <v>402900</v>
      </c>
      <c r="H323" s="505" t="s">
        <v>1670</v>
      </c>
    </row>
    <row r="324" spans="1:8" ht="13.5" thickTop="1">
      <c r="A324" s="95"/>
      <c r="B324" s="90" t="s">
        <v>303</v>
      </c>
      <c r="C324" s="843"/>
      <c r="D324" s="843"/>
      <c r="E324" s="843"/>
      <c r="F324" s="92" t="s">
        <v>781</v>
      </c>
      <c r="G324" s="93" t="s">
        <v>865</v>
      </c>
    </row>
    <row r="325" spans="1:8">
      <c r="A325" s="95"/>
      <c r="B325" s="91" t="s">
        <v>834</v>
      </c>
      <c r="C325" s="844" t="s">
        <v>371</v>
      </c>
      <c r="D325" s="844"/>
      <c r="E325" s="844"/>
      <c r="F325" s="15" t="s">
        <v>833</v>
      </c>
      <c r="G325" s="165" t="str">
        <f>'MANO DE OBRA'!$D$61</f>
        <v>Agosto de 2010</v>
      </c>
    </row>
    <row r="326" spans="1:8" ht="13.5" thickBot="1">
      <c r="A326" s="127"/>
      <c r="B326" s="94" t="s">
        <v>835</v>
      </c>
      <c r="C326" s="845" t="s">
        <v>207</v>
      </c>
      <c r="D326" s="845"/>
      <c r="E326" s="845"/>
      <c r="F326" s="845"/>
      <c r="G326" s="846"/>
    </row>
    <row r="327" spans="1:8" ht="14.25" thickTop="1" thickBot="1">
      <c r="A327" s="95"/>
      <c r="B327" s="847"/>
      <c r="C327" s="847"/>
      <c r="D327" s="847"/>
      <c r="E327" s="847"/>
      <c r="F327" s="847"/>
      <c r="G327" s="847"/>
    </row>
    <row r="328" spans="1:8" ht="13.5" thickTop="1">
      <c r="A328" s="95"/>
      <c r="B328" s="811" t="s">
        <v>304</v>
      </c>
      <c r="C328" s="812"/>
      <c r="D328" s="812"/>
      <c r="E328" s="812"/>
      <c r="F328" s="812"/>
      <c r="G328" s="825"/>
    </row>
    <row r="329" spans="1:8">
      <c r="A329" s="95"/>
      <c r="B329" s="105"/>
      <c r="C329" s="97"/>
      <c r="D329" s="98" t="s">
        <v>301</v>
      </c>
      <c r="E329" s="98" t="s">
        <v>1072</v>
      </c>
      <c r="F329" s="99" t="s">
        <v>839</v>
      </c>
      <c r="G329" s="107" t="s">
        <v>840</v>
      </c>
    </row>
    <row r="330" spans="1:8">
      <c r="A330" s="95"/>
      <c r="B330" s="821" t="s">
        <v>838</v>
      </c>
      <c r="C330" s="822"/>
      <c r="D330" s="100" t="s">
        <v>308</v>
      </c>
      <c r="E330" s="100" t="s">
        <v>305</v>
      </c>
      <c r="F330" s="101" t="s">
        <v>306</v>
      </c>
      <c r="G330" s="108" t="s">
        <v>310</v>
      </c>
    </row>
    <row r="331" spans="1:8">
      <c r="A331" s="95"/>
      <c r="B331" s="115"/>
      <c r="C331" s="102"/>
      <c r="D331" s="103"/>
      <c r="E331" s="103" t="s">
        <v>309</v>
      </c>
      <c r="F331" s="104" t="s">
        <v>307</v>
      </c>
      <c r="G331" s="109"/>
    </row>
    <row r="332" spans="1:8">
      <c r="A332" s="127"/>
      <c r="B332" s="823" t="str">
        <f>'MAQUINARIA Y EQUIPOS'!$C$28</f>
        <v>HERRAMIENTAS MENORES</v>
      </c>
      <c r="C332" s="824"/>
      <c r="D332" s="87">
        <v>1</v>
      </c>
      <c r="E332" s="82">
        <f>ROUND(G365*0.05,0)</f>
        <v>2278</v>
      </c>
      <c r="F332" s="81">
        <v>1</v>
      </c>
      <c r="G332" s="110">
        <f>ROUND(D332*E332/F332,0)</f>
        <v>2278</v>
      </c>
    </row>
    <row r="333" spans="1:8">
      <c r="A333" s="95"/>
      <c r="B333" s="835"/>
      <c r="C333" s="836"/>
      <c r="D333" s="37"/>
      <c r="E333" s="82"/>
      <c r="F333" s="83"/>
      <c r="G333" s="111"/>
    </row>
    <row r="334" spans="1:8">
      <c r="A334" s="95"/>
      <c r="B334" s="835"/>
      <c r="C334" s="836"/>
      <c r="D334" s="37"/>
      <c r="E334" s="82"/>
      <c r="F334" s="83"/>
      <c r="G334" s="111"/>
    </row>
    <row r="335" spans="1:8">
      <c r="A335" s="95"/>
      <c r="B335" s="835"/>
      <c r="C335" s="836"/>
      <c r="D335" s="37"/>
      <c r="E335" s="82"/>
      <c r="F335" s="83"/>
      <c r="G335" s="111"/>
    </row>
    <row r="336" spans="1:8">
      <c r="A336" s="95"/>
      <c r="B336" s="835" t="s">
        <v>841</v>
      </c>
      <c r="C336" s="836"/>
      <c r="D336" s="37"/>
      <c r="E336" s="82"/>
      <c r="F336" s="83"/>
      <c r="G336" s="111"/>
    </row>
    <row r="337" spans="1:8" ht="13.5" thickBot="1">
      <c r="A337" s="95"/>
      <c r="B337" s="839" t="s">
        <v>841</v>
      </c>
      <c r="C337" s="840"/>
      <c r="D337" s="77"/>
      <c r="E337" s="106"/>
      <c r="F337" s="86"/>
      <c r="G337" s="112"/>
    </row>
    <row r="338" spans="1:8" ht="14.25" thickTop="1" thickBot="1">
      <c r="A338" s="95"/>
      <c r="B338" s="808"/>
      <c r="C338" s="808"/>
      <c r="D338" s="808"/>
      <c r="E338" s="809"/>
      <c r="F338" s="119" t="s">
        <v>856</v>
      </c>
      <c r="G338" s="118">
        <f>SUM(G332:G337)</f>
        <v>2278</v>
      </c>
    </row>
    <row r="339" spans="1:8" ht="14.25" thickTop="1" thickBot="1">
      <c r="A339" s="95"/>
      <c r="B339" s="830"/>
      <c r="C339" s="830"/>
      <c r="D339" s="830"/>
      <c r="E339" s="830"/>
      <c r="F339" s="830"/>
      <c r="G339" s="830"/>
    </row>
    <row r="340" spans="1:8" ht="13.5" thickTop="1">
      <c r="A340" s="95"/>
      <c r="B340" s="811" t="s">
        <v>311</v>
      </c>
      <c r="C340" s="812"/>
      <c r="D340" s="812"/>
      <c r="E340" s="812"/>
      <c r="F340" s="812"/>
      <c r="G340" s="825"/>
    </row>
    <row r="341" spans="1:8">
      <c r="A341" s="95"/>
      <c r="B341" s="817" t="s">
        <v>838</v>
      </c>
      <c r="C341" s="818"/>
      <c r="D341" s="98" t="s">
        <v>842</v>
      </c>
      <c r="E341" s="98" t="s">
        <v>853</v>
      </c>
      <c r="F341" s="99" t="s">
        <v>1047</v>
      </c>
      <c r="G341" s="107" t="s">
        <v>840</v>
      </c>
    </row>
    <row r="342" spans="1:8">
      <c r="A342" s="95"/>
      <c r="B342" s="115"/>
      <c r="C342" s="102"/>
      <c r="D342" s="100"/>
      <c r="E342" s="100" t="s">
        <v>312</v>
      </c>
      <c r="F342" s="101" t="s">
        <v>313</v>
      </c>
      <c r="G342" s="108" t="s">
        <v>314</v>
      </c>
    </row>
    <row r="343" spans="1:8">
      <c r="A343" s="125"/>
      <c r="B343" s="841" t="str">
        <f>MATERIALES2!$C$704</f>
        <v>SOLDADURA PVC ¼</v>
      </c>
      <c r="C343" s="842"/>
      <c r="D343" s="87" t="s">
        <v>865</v>
      </c>
      <c r="E343" s="81">
        <v>0.05</v>
      </c>
      <c r="F343" s="80">
        <f>MATERIALES2!$E$704</f>
        <v>56298</v>
      </c>
      <c r="G343" s="110">
        <f t="shared" ref="G343:G350" si="6">ROUND(E343*F343,0)</f>
        <v>2815</v>
      </c>
    </row>
    <row r="344" spans="1:8">
      <c r="A344" s="123"/>
      <c r="B344" s="957" t="str">
        <f>MATERIALES2!$C$879</f>
        <v>CHEQUE BRONCE 3/4" RED WHITE</v>
      </c>
      <c r="C344" s="965"/>
      <c r="D344" s="154" t="s">
        <v>865</v>
      </c>
      <c r="E344" s="155">
        <v>1</v>
      </c>
      <c r="F344" s="156">
        <f>MATERIALES2!$E$879</f>
        <v>33242</v>
      </c>
      <c r="G344" s="157">
        <f t="shared" si="6"/>
        <v>33242</v>
      </c>
    </row>
    <row r="345" spans="1:8">
      <c r="A345" s="95"/>
      <c r="B345" s="957" t="str">
        <f>MATERIALES2!$C$875</f>
        <v xml:space="preserve">REGISTRO 3/4" </v>
      </c>
      <c r="C345" s="965"/>
      <c r="D345" s="154" t="s">
        <v>865</v>
      </c>
      <c r="E345" s="155">
        <v>1</v>
      </c>
      <c r="F345" s="156">
        <f>MATERIALES2!$E$875</f>
        <v>27500</v>
      </c>
      <c r="G345" s="157">
        <f t="shared" si="6"/>
        <v>27500</v>
      </c>
    </row>
    <row r="346" spans="1:8">
      <c r="A346" s="95"/>
      <c r="B346" s="854" t="str">
        <f>MATERIALES2!$C$595</f>
        <v>TUBO PVC PRESION LINEA 80 3/4" x 6.0 M</v>
      </c>
      <c r="C346" s="855"/>
      <c r="D346" s="37" t="s">
        <v>865</v>
      </c>
      <c r="E346" s="83">
        <v>0.83</v>
      </c>
      <c r="F346" s="82">
        <f>MATERIALES2!$E$595</f>
        <v>10000</v>
      </c>
      <c r="G346" s="111">
        <f t="shared" si="6"/>
        <v>8300</v>
      </c>
    </row>
    <row r="347" spans="1:8">
      <c r="A347" s="95"/>
      <c r="B347" s="854" t="str">
        <f>MATERIALES2!$C$681</f>
        <v>CODO PRESION 3/4"</v>
      </c>
      <c r="C347" s="855"/>
      <c r="D347" s="37" t="s">
        <v>865</v>
      </c>
      <c r="E347" s="146">
        <v>2</v>
      </c>
      <c r="F347" s="82">
        <f>MATERIALES2!$E$681</f>
        <v>300</v>
      </c>
      <c r="G347" s="111">
        <f t="shared" si="6"/>
        <v>600</v>
      </c>
    </row>
    <row r="348" spans="1:8">
      <c r="A348" s="95"/>
      <c r="B348" s="854" t="str">
        <f>MATERIALES2!$C$904</f>
        <v>LLAVE DE PASO 3/4"</v>
      </c>
      <c r="C348" s="855"/>
      <c r="D348" s="37" t="s">
        <v>865</v>
      </c>
      <c r="E348" s="146">
        <v>1</v>
      </c>
      <c r="F348" s="82">
        <f>MATERIALES2!$E$904</f>
        <v>9000</v>
      </c>
      <c r="G348" s="111">
        <f t="shared" si="6"/>
        <v>9000</v>
      </c>
    </row>
    <row r="349" spans="1:8">
      <c r="A349" s="95"/>
      <c r="B349" s="854" t="str">
        <f>MATERIALES2!$C$367</f>
        <v>MEDIDOR AGUA 3/4"</v>
      </c>
      <c r="C349" s="855"/>
      <c r="D349" s="37" t="s">
        <v>865</v>
      </c>
      <c r="E349" s="146">
        <v>1</v>
      </c>
      <c r="F349" s="82">
        <f>MATERIALES2!$E$367</f>
        <v>200000</v>
      </c>
      <c r="G349" s="111">
        <f t="shared" si="6"/>
        <v>200000</v>
      </c>
    </row>
    <row r="350" spans="1:8">
      <c r="A350" s="95"/>
      <c r="B350" s="854" t="str">
        <f>MATERIALES2!$C$364</f>
        <v>MATRICULA AGUA ESTRATO 3</v>
      </c>
      <c r="C350" s="855"/>
      <c r="D350" s="37" t="s">
        <v>865</v>
      </c>
      <c r="E350" s="146">
        <v>1</v>
      </c>
      <c r="F350" s="82">
        <f>MATERIALES2!$E$364</f>
        <v>131120</v>
      </c>
      <c r="G350" s="111">
        <f t="shared" si="6"/>
        <v>131120</v>
      </c>
      <c r="H350" s="505" t="s">
        <v>1670</v>
      </c>
    </row>
    <row r="351" spans="1:8" ht="13.5" thickBot="1">
      <c r="A351" s="95"/>
      <c r="B351" s="942" t="s">
        <v>841</v>
      </c>
      <c r="C351" s="943"/>
      <c r="D351" s="84" t="s">
        <v>841</v>
      </c>
      <c r="E351" s="84"/>
      <c r="F351" s="85"/>
      <c r="G351" s="112"/>
    </row>
    <row r="352" spans="1:8" ht="13.5" thickTop="1">
      <c r="A352" s="95"/>
      <c r="B352" s="808"/>
      <c r="C352" s="809"/>
      <c r="D352" s="801" t="s">
        <v>856</v>
      </c>
      <c r="E352" s="802"/>
      <c r="F352" s="9"/>
      <c r="G352" s="113">
        <f>SUM(G343:G351)</f>
        <v>412577</v>
      </c>
    </row>
    <row r="353" spans="1:7">
      <c r="A353" s="95"/>
      <c r="B353" s="819"/>
      <c r="C353" s="820"/>
      <c r="D353" s="801" t="s">
        <v>857</v>
      </c>
      <c r="E353" s="802"/>
      <c r="F353" s="79">
        <f>'MANO DE OBRA'!$D$60</f>
        <v>0.05</v>
      </c>
      <c r="G353" s="113">
        <f>ROUND(G352*F353,0)</f>
        <v>20629</v>
      </c>
    </row>
    <row r="354" spans="1:7" ht="13.5" thickBot="1">
      <c r="A354" s="95"/>
      <c r="B354" s="819"/>
      <c r="C354" s="820"/>
      <c r="D354" s="803" t="s">
        <v>320</v>
      </c>
      <c r="E354" s="804"/>
      <c r="F354" s="114"/>
      <c r="G354" s="118">
        <f>+G352+G353</f>
        <v>433206</v>
      </c>
    </row>
    <row r="355" spans="1:7" ht="14.25" thickTop="1" thickBot="1">
      <c r="A355" s="95"/>
      <c r="B355" s="830"/>
      <c r="C355" s="830"/>
      <c r="D355" s="830"/>
      <c r="E355" s="830"/>
      <c r="F355" s="830"/>
      <c r="G355" s="830"/>
    </row>
    <row r="356" spans="1:7" ht="13.5" thickTop="1">
      <c r="A356" s="95"/>
      <c r="B356" s="811" t="s">
        <v>858</v>
      </c>
      <c r="C356" s="812"/>
      <c r="D356" s="812"/>
      <c r="E356" s="812"/>
      <c r="F356" s="812"/>
      <c r="G356" s="825"/>
    </row>
    <row r="357" spans="1:7">
      <c r="A357" s="95"/>
      <c r="B357" s="817"/>
      <c r="C357" s="818"/>
      <c r="D357" s="98" t="s">
        <v>301</v>
      </c>
      <c r="E357" s="98" t="s">
        <v>859</v>
      </c>
      <c r="F357" s="99" t="s">
        <v>839</v>
      </c>
      <c r="G357" s="107" t="s">
        <v>840</v>
      </c>
    </row>
    <row r="358" spans="1:7">
      <c r="A358" s="95"/>
      <c r="B358" s="821" t="s">
        <v>838</v>
      </c>
      <c r="C358" s="822"/>
      <c r="D358" s="100" t="s">
        <v>316</v>
      </c>
      <c r="E358" s="100" t="s">
        <v>315</v>
      </c>
      <c r="F358" s="101" t="s">
        <v>306</v>
      </c>
      <c r="G358" s="108" t="s">
        <v>319</v>
      </c>
    </row>
    <row r="359" spans="1:7">
      <c r="A359" s="95"/>
      <c r="B359" s="115"/>
      <c r="C359" s="102"/>
      <c r="D359" s="103"/>
      <c r="E359" s="103" t="s">
        <v>317</v>
      </c>
      <c r="F359" s="104" t="s">
        <v>318</v>
      </c>
      <c r="G359" s="109"/>
    </row>
    <row r="360" spans="1:7">
      <c r="A360" s="95"/>
      <c r="B360" s="823" t="str">
        <f>'MANO DE OBRA'!$B$11</f>
        <v>AYUDANTE CUAD. TIPO BB</v>
      </c>
      <c r="C360" s="824"/>
      <c r="D360" s="87">
        <v>1</v>
      </c>
      <c r="E360" s="80">
        <f>'MANO DE OBRA'!$E$11</f>
        <v>43077</v>
      </c>
      <c r="F360" s="81">
        <v>2.67</v>
      </c>
      <c r="G360" s="110">
        <f>ROUND(D360*E360/F360,0)</f>
        <v>16134</v>
      </c>
    </row>
    <row r="361" spans="1:7">
      <c r="A361" s="95"/>
      <c r="B361" s="835" t="str">
        <f>'MANO DE OBRA'!$B$16</f>
        <v>OFICIAL CUAD. TIPO BB</v>
      </c>
      <c r="C361" s="836"/>
      <c r="D361" s="37">
        <v>1</v>
      </c>
      <c r="E361" s="82">
        <f>'MANO DE OBRA'!$E$16</f>
        <v>78577</v>
      </c>
      <c r="F361" s="83">
        <v>2.67</v>
      </c>
      <c r="G361" s="111">
        <f>ROUND(D361*E361/F361,0)</f>
        <v>29430</v>
      </c>
    </row>
    <row r="362" spans="1:7">
      <c r="A362" s="95"/>
      <c r="B362" s="835"/>
      <c r="C362" s="836"/>
      <c r="D362" s="89"/>
      <c r="E362" s="82"/>
      <c r="F362" s="83"/>
      <c r="G362" s="111"/>
    </row>
    <row r="363" spans="1:7">
      <c r="A363" s="95"/>
      <c r="B363" s="835" t="s">
        <v>841</v>
      </c>
      <c r="C363" s="836"/>
      <c r="D363" s="37"/>
      <c r="E363" s="82"/>
      <c r="F363" s="83"/>
      <c r="G363" s="111"/>
    </row>
    <row r="364" spans="1:7" ht="13.5" thickBot="1">
      <c r="A364" s="95"/>
      <c r="B364" s="828" t="s">
        <v>841</v>
      </c>
      <c r="C364" s="829"/>
      <c r="D364" s="77"/>
      <c r="E364" s="82"/>
      <c r="F364" s="86"/>
      <c r="G364" s="112"/>
    </row>
    <row r="365" spans="1:7" ht="14.25" thickTop="1" thickBot="1">
      <c r="A365" s="95"/>
      <c r="B365" s="808"/>
      <c r="C365" s="808"/>
      <c r="D365" s="808"/>
      <c r="E365" s="809"/>
      <c r="F365" s="120" t="s">
        <v>856</v>
      </c>
      <c r="G365" s="118">
        <f>SUM(G360:G364)</f>
        <v>45564</v>
      </c>
    </row>
    <row r="366" spans="1:7" ht="14.25" thickTop="1" thickBot="1">
      <c r="A366" s="95"/>
      <c r="B366" s="810"/>
      <c r="C366" s="810"/>
      <c r="D366" s="810"/>
      <c r="E366" s="810"/>
      <c r="F366" s="810"/>
      <c r="G366" s="810"/>
    </row>
    <row r="367" spans="1:7" ht="13.5" thickTop="1">
      <c r="A367" s="95"/>
      <c r="B367" s="811" t="s">
        <v>321</v>
      </c>
      <c r="C367" s="812"/>
      <c r="D367" s="812"/>
      <c r="E367" s="812"/>
      <c r="F367" s="812"/>
      <c r="G367" s="825"/>
    </row>
    <row r="368" spans="1:7">
      <c r="A368" s="95"/>
      <c r="B368" s="817" t="s">
        <v>838</v>
      </c>
      <c r="C368" s="818"/>
      <c r="D368" s="98" t="s">
        <v>301</v>
      </c>
      <c r="E368" s="98" t="s">
        <v>297</v>
      </c>
      <c r="F368" s="99" t="s">
        <v>839</v>
      </c>
      <c r="G368" s="107" t="s">
        <v>840</v>
      </c>
    </row>
    <row r="369" spans="1:8">
      <c r="A369" s="95"/>
      <c r="B369" s="115"/>
      <c r="C369" s="102"/>
      <c r="D369" s="103" t="s">
        <v>322</v>
      </c>
      <c r="E369" s="103" t="s">
        <v>323</v>
      </c>
      <c r="F369" s="104" t="s">
        <v>324</v>
      </c>
      <c r="G369" s="109" t="s">
        <v>325</v>
      </c>
    </row>
    <row r="370" spans="1:8">
      <c r="A370" s="95"/>
      <c r="B370" s="826"/>
      <c r="C370" s="827"/>
      <c r="D370" s="96"/>
      <c r="E370" s="96"/>
      <c r="F370" s="96"/>
      <c r="G370" s="116"/>
    </row>
    <row r="371" spans="1:8" ht="13.5" thickBot="1">
      <c r="A371" s="95"/>
      <c r="B371" s="828" t="s">
        <v>841</v>
      </c>
      <c r="C371" s="829"/>
      <c r="D371" s="77"/>
      <c r="E371" s="82"/>
      <c r="F371" s="86"/>
      <c r="G371" s="112"/>
    </row>
    <row r="372" spans="1:8" ht="14.25" thickTop="1" thickBot="1">
      <c r="A372" s="95"/>
      <c r="B372" s="808"/>
      <c r="C372" s="808"/>
      <c r="D372" s="808"/>
      <c r="E372" s="809"/>
      <c r="F372" s="120" t="s">
        <v>856</v>
      </c>
      <c r="G372" s="118">
        <f>SUM(G367:G371)</f>
        <v>0</v>
      </c>
    </row>
    <row r="373" spans="1:8" ht="14.25" thickTop="1" thickBot="1">
      <c r="A373" s="95"/>
      <c r="B373" s="810"/>
      <c r="C373" s="810"/>
      <c r="D373" s="810"/>
      <c r="E373" s="810"/>
      <c r="F373" s="810"/>
      <c r="G373" s="834"/>
    </row>
    <row r="374" spans="1:8" ht="13.5" thickTop="1">
      <c r="A374" s="95"/>
      <c r="B374" s="811" t="s">
        <v>326</v>
      </c>
      <c r="C374" s="812"/>
      <c r="D374" s="812"/>
      <c r="E374" s="812"/>
      <c r="F374" s="813"/>
      <c r="G374" s="121">
        <f>+G338+G354+G365</f>
        <v>481048</v>
      </c>
    </row>
    <row r="375" spans="1:8">
      <c r="A375" s="95"/>
      <c r="B375" s="814" t="s">
        <v>861</v>
      </c>
      <c r="C375" s="815"/>
      <c r="D375" s="815"/>
      <c r="E375" s="816"/>
      <c r="F375" s="128">
        <f>'MANO DE OBRA'!$D$59</f>
        <v>0</v>
      </c>
      <c r="G375" s="122">
        <f>ROUND(G374*F375,0)</f>
        <v>0</v>
      </c>
    </row>
    <row r="376" spans="1:8" ht="13.5" thickBot="1">
      <c r="A376" s="95"/>
      <c r="B376" s="805" t="s">
        <v>1049</v>
      </c>
      <c r="C376" s="806"/>
      <c r="D376" s="806"/>
      <c r="E376" s="806"/>
      <c r="F376" s="807"/>
      <c r="G376" s="118">
        <f>ROUND(G374+G375,-2)</f>
        <v>481000</v>
      </c>
      <c r="H376" s="505" t="s">
        <v>1670</v>
      </c>
    </row>
    <row r="377" spans="1:8" ht="13.5" thickTop="1">
      <c r="A377" s="95"/>
      <c r="B377" s="90" t="s">
        <v>303</v>
      </c>
      <c r="C377" s="843"/>
      <c r="D377" s="843"/>
      <c r="E377" s="843"/>
      <c r="F377" s="92" t="s">
        <v>781</v>
      </c>
      <c r="G377" s="93" t="s">
        <v>865</v>
      </c>
    </row>
    <row r="378" spans="1:8">
      <c r="A378" s="95"/>
      <c r="B378" s="91" t="s">
        <v>834</v>
      </c>
      <c r="C378" s="844" t="s">
        <v>371</v>
      </c>
      <c r="D378" s="844"/>
      <c r="E378" s="844"/>
      <c r="F378" s="15" t="s">
        <v>833</v>
      </c>
      <c r="G378" s="165" t="str">
        <f>'MANO DE OBRA'!$D$61</f>
        <v>Agosto de 2010</v>
      </c>
    </row>
    <row r="379" spans="1:8" ht="13.5" thickBot="1">
      <c r="A379" s="127"/>
      <c r="B379" s="94" t="s">
        <v>835</v>
      </c>
      <c r="C379" s="845" t="s">
        <v>208</v>
      </c>
      <c r="D379" s="845"/>
      <c r="E379" s="845"/>
      <c r="F379" s="845"/>
      <c r="G379" s="846"/>
    </row>
    <row r="380" spans="1:8" ht="14.25" thickTop="1" thickBot="1">
      <c r="A380" s="95"/>
      <c r="B380" s="847"/>
      <c r="C380" s="847"/>
      <c r="D380" s="847"/>
      <c r="E380" s="847"/>
      <c r="F380" s="847"/>
      <c r="G380" s="847"/>
    </row>
    <row r="381" spans="1:8" ht="13.5" thickTop="1">
      <c r="A381" s="95"/>
      <c r="B381" s="811" t="s">
        <v>304</v>
      </c>
      <c r="C381" s="812"/>
      <c r="D381" s="812"/>
      <c r="E381" s="812"/>
      <c r="F381" s="812"/>
      <c r="G381" s="825"/>
    </row>
    <row r="382" spans="1:8">
      <c r="A382" s="95"/>
      <c r="B382" s="105"/>
      <c r="C382" s="97"/>
      <c r="D382" s="98" t="s">
        <v>301</v>
      </c>
      <c r="E382" s="98" t="s">
        <v>1072</v>
      </c>
      <c r="F382" s="99" t="s">
        <v>839</v>
      </c>
      <c r="G382" s="107" t="s">
        <v>840</v>
      </c>
    </row>
    <row r="383" spans="1:8">
      <c r="A383" s="95"/>
      <c r="B383" s="821" t="s">
        <v>838</v>
      </c>
      <c r="C383" s="822"/>
      <c r="D383" s="100" t="s">
        <v>308</v>
      </c>
      <c r="E383" s="100" t="s">
        <v>305</v>
      </c>
      <c r="F383" s="101" t="s">
        <v>306</v>
      </c>
      <c r="G383" s="108" t="s">
        <v>310</v>
      </c>
    </row>
    <row r="384" spans="1:8">
      <c r="A384" s="95"/>
      <c r="B384" s="115"/>
      <c r="C384" s="102"/>
      <c r="D384" s="103"/>
      <c r="E384" s="103" t="s">
        <v>309</v>
      </c>
      <c r="F384" s="104" t="s">
        <v>307</v>
      </c>
      <c r="G384" s="109"/>
    </row>
    <row r="385" spans="1:7">
      <c r="A385" s="127"/>
      <c r="B385" s="823" t="str">
        <f>'MAQUINARIA Y EQUIPOS'!$C$28</f>
        <v>HERRAMIENTAS MENORES</v>
      </c>
      <c r="C385" s="824"/>
      <c r="D385" s="87">
        <v>1</v>
      </c>
      <c r="E385" s="82">
        <f>ROUND(G418*0.05,0)</f>
        <v>2278</v>
      </c>
      <c r="F385" s="81">
        <v>1</v>
      </c>
      <c r="G385" s="110">
        <f>ROUND(D385*E385/F385,0)</f>
        <v>2278</v>
      </c>
    </row>
    <row r="386" spans="1:7">
      <c r="A386" s="95"/>
      <c r="B386" s="835"/>
      <c r="C386" s="836"/>
      <c r="D386" s="37"/>
      <c r="E386" s="82"/>
      <c r="F386" s="83"/>
      <c r="G386" s="111"/>
    </row>
    <row r="387" spans="1:7">
      <c r="A387" s="95"/>
      <c r="B387" s="835"/>
      <c r="C387" s="836"/>
      <c r="D387" s="37"/>
      <c r="E387" s="82"/>
      <c r="F387" s="83"/>
      <c r="G387" s="111"/>
    </row>
    <row r="388" spans="1:7">
      <c r="A388" s="95"/>
      <c r="B388" s="835"/>
      <c r="C388" s="836"/>
      <c r="D388" s="37"/>
      <c r="E388" s="82"/>
      <c r="F388" s="83"/>
      <c r="G388" s="111"/>
    </row>
    <row r="389" spans="1:7">
      <c r="A389" s="95"/>
      <c r="B389" s="835" t="s">
        <v>841</v>
      </c>
      <c r="C389" s="836"/>
      <c r="D389" s="37"/>
      <c r="E389" s="82"/>
      <c r="F389" s="83"/>
      <c r="G389" s="111"/>
    </row>
    <row r="390" spans="1:7" ht="13.5" thickBot="1">
      <c r="A390" s="95"/>
      <c r="B390" s="839" t="s">
        <v>841</v>
      </c>
      <c r="C390" s="840"/>
      <c r="D390" s="77"/>
      <c r="E390" s="106"/>
      <c r="F390" s="86"/>
      <c r="G390" s="112"/>
    </row>
    <row r="391" spans="1:7" ht="14.25" thickTop="1" thickBot="1">
      <c r="A391" s="95"/>
      <c r="B391" s="808"/>
      <c r="C391" s="808"/>
      <c r="D391" s="808"/>
      <c r="E391" s="809"/>
      <c r="F391" s="119" t="s">
        <v>856</v>
      </c>
      <c r="G391" s="118">
        <f>SUM(G385:G390)</f>
        <v>2278</v>
      </c>
    </row>
    <row r="392" spans="1:7" ht="14.25" thickTop="1" thickBot="1">
      <c r="A392" s="95"/>
      <c r="B392" s="830"/>
      <c r="C392" s="830"/>
      <c r="D392" s="830"/>
      <c r="E392" s="830"/>
      <c r="F392" s="830"/>
      <c r="G392" s="830"/>
    </row>
    <row r="393" spans="1:7" ht="13.5" thickTop="1">
      <c r="A393" s="95"/>
      <c r="B393" s="811" t="s">
        <v>311</v>
      </c>
      <c r="C393" s="812"/>
      <c r="D393" s="812"/>
      <c r="E393" s="812"/>
      <c r="F393" s="812"/>
      <c r="G393" s="825"/>
    </row>
    <row r="394" spans="1:7">
      <c r="A394" s="95"/>
      <c r="B394" s="817" t="s">
        <v>838</v>
      </c>
      <c r="C394" s="818"/>
      <c r="D394" s="98" t="s">
        <v>842</v>
      </c>
      <c r="E394" s="98" t="s">
        <v>853</v>
      </c>
      <c r="F394" s="99" t="s">
        <v>1047</v>
      </c>
      <c r="G394" s="107" t="s">
        <v>840</v>
      </c>
    </row>
    <row r="395" spans="1:7">
      <c r="A395" s="95"/>
      <c r="B395" s="115"/>
      <c r="C395" s="102"/>
      <c r="D395" s="100"/>
      <c r="E395" s="100" t="s">
        <v>312</v>
      </c>
      <c r="F395" s="101" t="s">
        <v>313</v>
      </c>
      <c r="G395" s="108" t="s">
        <v>314</v>
      </c>
    </row>
    <row r="396" spans="1:7">
      <c r="A396" s="125"/>
      <c r="B396" s="841" t="str">
        <f>MATERIALES2!$C$704</f>
        <v>SOLDADURA PVC ¼</v>
      </c>
      <c r="C396" s="842"/>
      <c r="D396" s="87" t="s">
        <v>865</v>
      </c>
      <c r="E396" s="81">
        <v>0.05</v>
      </c>
      <c r="F396" s="80">
        <f>MATERIALES2!$E$704</f>
        <v>56298</v>
      </c>
      <c r="G396" s="110">
        <f t="shared" ref="G396:G403" si="7">ROUND(E396*F396,0)</f>
        <v>2815</v>
      </c>
    </row>
    <row r="397" spans="1:7">
      <c r="A397" s="123"/>
      <c r="B397" s="957" t="str">
        <f>MATERIALES2!$C$879</f>
        <v>CHEQUE BRONCE 3/4" RED WHITE</v>
      </c>
      <c r="C397" s="965"/>
      <c r="D397" s="154" t="s">
        <v>865</v>
      </c>
      <c r="E397" s="155">
        <v>1</v>
      </c>
      <c r="F397" s="156">
        <f>MATERIALES2!$E$879</f>
        <v>33242</v>
      </c>
      <c r="G397" s="157">
        <f t="shared" si="7"/>
        <v>33242</v>
      </c>
    </row>
    <row r="398" spans="1:7">
      <c r="A398" s="95"/>
      <c r="B398" s="957" t="str">
        <f>MATERIALES2!$C$875</f>
        <v xml:space="preserve">REGISTRO 3/4" </v>
      </c>
      <c r="C398" s="965"/>
      <c r="D398" s="154" t="s">
        <v>865</v>
      </c>
      <c r="E398" s="155">
        <v>1</v>
      </c>
      <c r="F398" s="156">
        <f>MATERIALES2!$E$875</f>
        <v>27500</v>
      </c>
      <c r="G398" s="157">
        <f t="shared" si="7"/>
        <v>27500</v>
      </c>
    </row>
    <row r="399" spans="1:7">
      <c r="A399" s="95"/>
      <c r="B399" s="854" t="str">
        <f>MATERIALES2!$C$595</f>
        <v>TUBO PVC PRESION LINEA 80 3/4" x 6.0 M</v>
      </c>
      <c r="C399" s="855"/>
      <c r="D399" s="37" t="s">
        <v>865</v>
      </c>
      <c r="E399" s="83">
        <v>0.83</v>
      </c>
      <c r="F399" s="82">
        <f>MATERIALES2!$E$595</f>
        <v>10000</v>
      </c>
      <c r="G399" s="111">
        <f t="shared" si="7"/>
        <v>8300</v>
      </c>
    </row>
    <row r="400" spans="1:7">
      <c r="A400" s="95"/>
      <c r="B400" s="854" t="str">
        <f>MATERIALES2!$C$681</f>
        <v>CODO PRESION 3/4"</v>
      </c>
      <c r="C400" s="855"/>
      <c r="D400" s="37" t="s">
        <v>865</v>
      </c>
      <c r="E400" s="146">
        <v>2</v>
      </c>
      <c r="F400" s="82">
        <f>MATERIALES2!$E$681</f>
        <v>300</v>
      </c>
      <c r="G400" s="111">
        <f t="shared" si="7"/>
        <v>600</v>
      </c>
    </row>
    <row r="401" spans="1:8">
      <c r="A401" s="95"/>
      <c r="B401" s="854" t="str">
        <f>MATERIALES2!$C$904</f>
        <v>LLAVE DE PASO 3/4"</v>
      </c>
      <c r="C401" s="855"/>
      <c r="D401" s="37" t="s">
        <v>865</v>
      </c>
      <c r="E401" s="146">
        <v>1</v>
      </c>
      <c r="F401" s="82">
        <f>MATERIALES2!$E$904</f>
        <v>9000</v>
      </c>
      <c r="G401" s="111">
        <f t="shared" si="7"/>
        <v>9000</v>
      </c>
    </row>
    <row r="402" spans="1:8">
      <c r="A402" s="95"/>
      <c r="B402" s="854" t="str">
        <f>MATERIALES2!$C$367</f>
        <v>MEDIDOR AGUA 3/4"</v>
      </c>
      <c r="C402" s="855"/>
      <c r="D402" s="37" t="s">
        <v>865</v>
      </c>
      <c r="E402" s="146">
        <v>1</v>
      </c>
      <c r="F402" s="82">
        <f>MATERIALES2!$E$367</f>
        <v>200000</v>
      </c>
      <c r="G402" s="111">
        <f t="shared" si="7"/>
        <v>200000</v>
      </c>
    </row>
    <row r="403" spans="1:8">
      <c r="A403" s="95"/>
      <c r="B403" s="854" t="str">
        <f>MATERIALES2!$C$365</f>
        <v>MATRICULA AGUA ESTRATO 4</v>
      </c>
      <c r="C403" s="855"/>
      <c r="D403" s="37" t="s">
        <v>865</v>
      </c>
      <c r="E403" s="146">
        <v>1</v>
      </c>
      <c r="F403" s="82">
        <f>MATERIALES2!$E$365</f>
        <v>193160</v>
      </c>
      <c r="G403" s="111">
        <f t="shared" si="7"/>
        <v>193160</v>
      </c>
      <c r="H403" s="505" t="s">
        <v>1670</v>
      </c>
    </row>
    <row r="404" spans="1:8" ht="13.5" thickBot="1">
      <c r="A404" s="95"/>
      <c r="B404" s="942" t="s">
        <v>841</v>
      </c>
      <c r="C404" s="943"/>
      <c r="D404" s="84" t="s">
        <v>841</v>
      </c>
      <c r="E404" s="84"/>
      <c r="F404" s="85"/>
      <c r="G404" s="112"/>
    </row>
    <row r="405" spans="1:8" ht="13.5" thickTop="1">
      <c r="A405" s="95"/>
      <c r="B405" s="808"/>
      <c r="C405" s="809"/>
      <c r="D405" s="801" t="s">
        <v>856</v>
      </c>
      <c r="E405" s="802"/>
      <c r="F405" s="9"/>
      <c r="G405" s="113">
        <f>SUM(G396:G404)</f>
        <v>474617</v>
      </c>
    </row>
    <row r="406" spans="1:8">
      <c r="A406" s="95"/>
      <c r="B406" s="819"/>
      <c r="C406" s="820"/>
      <c r="D406" s="801" t="s">
        <v>857</v>
      </c>
      <c r="E406" s="802"/>
      <c r="F406" s="79">
        <f>'MANO DE OBRA'!$D$60</f>
        <v>0.05</v>
      </c>
      <c r="G406" s="113">
        <f>ROUND(G405*F406,0)</f>
        <v>23731</v>
      </c>
    </row>
    <row r="407" spans="1:8" ht="13.5" thickBot="1">
      <c r="A407" s="95"/>
      <c r="B407" s="819"/>
      <c r="C407" s="820"/>
      <c r="D407" s="803" t="s">
        <v>320</v>
      </c>
      <c r="E407" s="804"/>
      <c r="F407" s="114"/>
      <c r="G407" s="118">
        <f>+G405+G406</f>
        <v>498348</v>
      </c>
    </row>
    <row r="408" spans="1:8" ht="14.25" thickTop="1" thickBot="1">
      <c r="A408" s="95"/>
      <c r="B408" s="830"/>
      <c r="C408" s="830"/>
      <c r="D408" s="830"/>
      <c r="E408" s="830"/>
      <c r="F408" s="830"/>
      <c r="G408" s="830"/>
    </row>
    <row r="409" spans="1:8" ht="13.5" thickTop="1">
      <c r="A409" s="95"/>
      <c r="B409" s="811" t="s">
        <v>858</v>
      </c>
      <c r="C409" s="812"/>
      <c r="D409" s="812"/>
      <c r="E409" s="812"/>
      <c r="F409" s="812"/>
      <c r="G409" s="825"/>
    </row>
    <row r="410" spans="1:8">
      <c r="A410" s="95"/>
      <c r="B410" s="817"/>
      <c r="C410" s="818"/>
      <c r="D410" s="98" t="s">
        <v>301</v>
      </c>
      <c r="E410" s="98" t="s">
        <v>859</v>
      </c>
      <c r="F410" s="99" t="s">
        <v>839</v>
      </c>
      <c r="G410" s="107" t="s">
        <v>840</v>
      </c>
    </row>
    <row r="411" spans="1:8">
      <c r="A411" s="95"/>
      <c r="B411" s="821" t="s">
        <v>838</v>
      </c>
      <c r="C411" s="822"/>
      <c r="D411" s="100" t="s">
        <v>316</v>
      </c>
      <c r="E411" s="100" t="s">
        <v>315</v>
      </c>
      <c r="F411" s="101" t="s">
        <v>306</v>
      </c>
      <c r="G411" s="108" t="s">
        <v>319</v>
      </c>
    </row>
    <row r="412" spans="1:8">
      <c r="A412" s="95"/>
      <c r="B412" s="115"/>
      <c r="C412" s="102"/>
      <c r="D412" s="103"/>
      <c r="E412" s="103" t="s">
        <v>317</v>
      </c>
      <c r="F412" s="104" t="s">
        <v>318</v>
      </c>
      <c r="G412" s="109"/>
    </row>
    <row r="413" spans="1:8">
      <c r="A413" s="95"/>
      <c r="B413" s="823" t="str">
        <f>'MANO DE OBRA'!$B$11</f>
        <v>AYUDANTE CUAD. TIPO BB</v>
      </c>
      <c r="C413" s="824"/>
      <c r="D413" s="87">
        <v>1</v>
      </c>
      <c r="E413" s="80">
        <f>'MANO DE OBRA'!$E$11</f>
        <v>43077</v>
      </c>
      <c r="F413" s="81">
        <v>2.67</v>
      </c>
      <c r="G413" s="110">
        <f>ROUND(D413*E413/F413,0)</f>
        <v>16134</v>
      </c>
    </row>
    <row r="414" spans="1:8">
      <c r="A414" s="95"/>
      <c r="B414" s="835" t="str">
        <f>'MANO DE OBRA'!$B$16</f>
        <v>OFICIAL CUAD. TIPO BB</v>
      </c>
      <c r="C414" s="836"/>
      <c r="D414" s="37">
        <v>1</v>
      </c>
      <c r="E414" s="82">
        <f>'MANO DE OBRA'!$E$16</f>
        <v>78577</v>
      </c>
      <c r="F414" s="83">
        <v>2.67</v>
      </c>
      <c r="G414" s="111">
        <f>ROUND(D414*E414/F414,0)</f>
        <v>29430</v>
      </c>
    </row>
    <row r="415" spans="1:8">
      <c r="A415" s="95"/>
      <c r="B415" s="835"/>
      <c r="C415" s="836"/>
      <c r="D415" s="89"/>
      <c r="E415" s="82"/>
      <c r="F415" s="83"/>
      <c r="G415" s="111"/>
    </row>
    <row r="416" spans="1:8">
      <c r="A416" s="95"/>
      <c r="B416" s="835" t="s">
        <v>841</v>
      </c>
      <c r="C416" s="836"/>
      <c r="D416" s="37"/>
      <c r="E416" s="82"/>
      <c r="F416" s="83"/>
      <c r="G416" s="111"/>
    </row>
    <row r="417" spans="1:8" ht="13.5" thickBot="1">
      <c r="A417" s="95"/>
      <c r="B417" s="828" t="s">
        <v>841</v>
      </c>
      <c r="C417" s="829"/>
      <c r="D417" s="77"/>
      <c r="E417" s="82"/>
      <c r="F417" s="86"/>
      <c r="G417" s="112"/>
    </row>
    <row r="418" spans="1:8" ht="14.25" thickTop="1" thickBot="1">
      <c r="A418" s="95"/>
      <c r="B418" s="808"/>
      <c r="C418" s="808"/>
      <c r="D418" s="808"/>
      <c r="E418" s="809"/>
      <c r="F418" s="120" t="s">
        <v>856</v>
      </c>
      <c r="G418" s="118">
        <f>SUM(G413:G417)</f>
        <v>45564</v>
      </c>
    </row>
    <row r="419" spans="1:8" ht="14.25" thickTop="1" thickBot="1">
      <c r="A419" s="95"/>
      <c r="B419" s="810"/>
      <c r="C419" s="810"/>
      <c r="D419" s="810"/>
      <c r="E419" s="810"/>
      <c r="F419" s="810"/>
      <c r="G419" s="810"/>
    </row>
    <row r="420" spans="1:8" ht="13.5" thickTop="1">
      <c r="A420" s="95"/>
      <c r="B420" s="811" t="s">
        <v>321</v>
      </c>
      <c r="C420" s="812"/>
      <c r="D420" s="812"/>
      <c r="E420" s="812"/>
      <c r="F420" s="812"/>
      <c r="G420" s="825"/>
    </row>
    <row r="421" spans="1:8">
      <c r="A421" s="95"/>
      <c r="B421" s="817" t="s">
        <v>838</v>
      </c>
      <c r="C421" s="818"/>
      <c r="D421" s="98" t="s">
        <v>301</v>
      </c>
      <c r="E421" s="98" t="s">
        <v>297</v>
      </c>
      <c r="F421" s="99" t="s">
        <v>839</v>
      </c>
      <c r="G421" s="107" t="s">
        <v>840</v>
      </c>
    </row>
    <row r="422" spans="1:8">
      <c r="A422" s="95"/>
      <c r="B422" s="115"/>
      <c r="C422" s="102"/>
      <c r="D422" s="103" t="s">
        <v>322</v>
      </c>
      <c r="E422" s="103" t="s">
        <v>323</v>
      </c>
      <c r="F422" s="104" t="s">
        <v>324</v>
      </c>
      <c r="G422" s="109" t="s">
        <v>325</v>
      </c>
    </row>
    <row r="423" spans="1:8">
      <c r="A423" s="95"/>
      <c r="B423" s="826"/>
      <c r="C423" s="827"/>
      <c r="D423" s="96"/>
      <c r="E423" s="96"/>
      <c r="F423" s="96"/>
      <c r="G423" s="116"/>
    </row>
    <row r="424" spans="1:8" ht="13.5" thickBot="1">
      <c r="A424" s="95"/>
      <c r="B424" s="828" t="s">
        <v>841</v>
      </c>
      <c r="C424" s="829"/>
      <c r="D424" s="77"/>
      <c r="E424" s="82"/>
      <c r="F424" s="86"/>
      <c r="G424" s="112"/>
    </row>
    <row r="425" spans="1:8" ht="14.25" thickTop="1" thickBot="1">
      <c r="A425" s="95"/>
      <c r="B425" s="808"/>
      <c r="C425" s="808"/>
      <c r="D425" s="808"/>
      <c r="E425" s="809"/>
      <c r="F425" s="120" t="s">
        <v>856</v>
      </c>
      <c r="G425" s="118">
        <f>SUM(G420:G424)</f>
        <v>0</v>
      </c>
    </row>
    <row r="426" spans="1:8" ht="14.25" thickTop="1" thickBot="1">
      <c r="A426" s="95"/>
      <c r="B426" s="810"/>
      <c r="C426" s="810"/>
      <c r="D426" s="810"/>
      <c r="E426" s="810"/>
      <c r="F426" s="810"/>
      <c r="G426" s="834"/>
    </row>
    <row r="427" spans="1:8" ht="13.5" thickTop="1">
      <c r="A427" s="95"/>
      <c r="B427" s="811" t="s">
        <v>326</v>
      </c>
      <c r="C427" s="812"/>
      <c r="D427" s="812"/>
      <c r="E427" s="812"/>
      <c r="F427" s="813"/>
      <c r="G427" s="121">
        <f>+G391+G407+G418</f>
        <v>546190</v>
      </c>
    </row>
    <row r="428" spans="1:8">
      <c r="A428" s="95"/>
      <c r="B428" s="814" t="s">
        <v>861</v>
      </c>
      <c r="C428" s="815"/>
      <c r="D428" s="815"/>
      <c r="E428" s="816"/>
      <c r="F428" s="128">
        <f>'MANO DE OBRA'!$D$59</f>
        <v>0</v>
      </c>
      <c r="G428" s="122">
        <f>ROUND(G427*F428,0)</f>
        <v>0</v>
      </c>
    </row>
    <row r="429" spans="1:8" ht="13.5" thickBot="1">
      <c r="A429" s="95"/>
      <c r="B429" s="805" t="s">
        <v>1049</v>
      </c>
      <c r="C429" s="806"/>
      <c r="D429" s="806"/>
      <c r="E429" s="806"/>
      <c r="F429" s="807"/>
      <c r="G429" s="118">
        <f>ROUND(G427+G428,-2)</f>
        <v>546200</v>
      </c>
      <c r="H429" s="505" t="s">
        <v>1670</v>
      </c>
    </row>
    <row r="430" spans="1:8" ht="13.5" thickTop="1">
      <c r="A430" s="95"/>
      <c r="B430" s="90" t="s">
        <v>303</v>
      </c>
      <c r="C430" s="843"/>
      <c r="D430" s="843"/>
      <c r="E430" s="843"/>
      <c r="F430" s="92" t="s">
        <v>781</v>
      </c>
      <c r="G430" s="93" t="s">
        <v>865</v>
      </c>
    </row>
    <row r="431" spans="1:8">
      <c r="A431" s="95"/>
      <c r="B431" s="91" t="s">
        <v>834</v>
      </c>
      <c r="C431" s="844" t="s">
        <v>371</v>
      </c>
      <c r="D431" s="844"/>
      <c r="E431" s="844"/>
      <c r="F431" s="15" t="s">
        <v>833</v>
      </c>
      <c r="G431" s="165" t="str">
        <f>'MANO DE OBRA'!D61</f>
        <v>Agosto de 2010</v>
      </c>
    </row>
    <row r="432" spans="1:8" ht="13.5" thickBot="1">
      <c r="A432" s="127"/>
      <c r="B432" s="94" t="s">
        <v>835</v>
      </c>
      <c r="C432" s="845" t="s">
        <v>372</v>
      </c>
      <c r="D432" s="845"/>
      <c r="E432" s="845"/>
      <c r="F432" s="845"/>
      <c r="G432" s="846"/>
    </row>
    <row r="433" spans="1:7" ht="14.25" thickTop="1" thickBot="1">
      <c r="A433" s="95"/>
      <c r="B433" s="847"/>
      <c r="C433" s="847"/>
      <c r="D433" s="847"/>
      <c r="E433" s="847"/>
      <c r="F433" s="847"/>
      <c r="G433" s="847"/>
    </row>
    <row r="434" spans="1:7" ht="13.5" thickTop="1">
      <c r="A434" s="95"/>
      <c r="B434" s="811" t="s">
        <v>304</v>
      </c>
      <c r="C434" s="812"/>
      <c r="D434" s="812"/>
      <c r="E434" s="812"/>
      <c r="F434" s="812"/>
      <c r="G434" s="825"/>
    </row>
    <row r="435" spans="1:7">
      <c r="A435" s="95"/>
      <c r="B435" s="105"/>
      <c r="C435" s="97"/>
      <c r="D435" s="98" t="s">
        <v>301</v>
      </c>
      <c r="E435" s="98" t="s">
        <v>1072</v>
      </c>
      <c r="F435" s="99" t="s">
        <v>839</v>
      </c>
      <c r="G435" s="107" t="s">
        <v>840</v>
      </c>
    </row>
    <row r="436" spans="1:7">
      <c r="A436" s="95"/>
      <c r="B436" s="821" t="s">
        <v>838</v>
      </c>
      <c r="C436" s="822"/>
      <c r="D436" s="100" t="s">
        <v>308</v>
      </c>
      <c r="E436" s="100" t="s">
        <v>305</v>
      </c>
      <c r="F436" s="101" t="s">
        <v>306</v>
      </c>
      <c r="G436" s="108" t="s">
        <v>310</v>
      </c>
    </row>
    <row r="437" spans="1:7">
      <c r="A437" s="95"/>
      <c r="B437" s="115"/>
      <c r="C437" s="102"/>
      <c r="D437" s="103"/>
      <c r="E437" s="103" t="s">
        <v>309</v>
      </c>
      <c r="F437" s="104" t="s">
        <v>307</v>
      </c>
      <c r="G437" s="109"/>
    </row>
    <row r="438" spans="1:7">
      <c r="A438" s="127"/>
      <c r="B438" s="823" t="str">
        <f>'MAQUINARIA Y EQUIPOS'!C28</f>
        <v>HERRAMIENTAS MENORES</v>
      </c>
      <c r="C438" s="824"/>
      <c r="D438" s="87">
        <v>1</v>
      </c>
      <c r="E438" s="82">
        <f>ROUND(G471*0.05,0)</f>
        <v>7603</v>
      </c>
      <c r="F438" s="81">
        <v>1</v>
      </c>
      <c r="G438" s="110">
        <f>ROUND(D438*E438/F438,0)</f>
        <v>7603</v>
      </c>
    </row>
    <row r="439" spans="1:7">
      <c r="A439" s="95"/>
      <c r="B439" s="835"/>
      <c r="C439" s="836"/>
      <c r="D439" s="37"/>
      <c r="E439" s="82"/>
      <c r="F439" s="83"/>
      <c r="G439" s="111"/>
    </row>
    <row r="440" spans="1:7">
      <c r="A440" s="95"/>
      <c r="B440" s="835"/>
      <c r="C440" s="836"/>
      <c r="D440" s="37"/>
      <c r="E440" s="82"/>
      <c r="F440" s="83"/>
      <c r="G440" s="111"/>
    </row>
    <row r="441" spans="1:7">
      <c r="A441" s="95"/>
      <c r="B441" s="835"/>
      <c r="C441" s="836"/>
      <c r="D441" s="37"/>
      <c r="E441" s="82"/>
      <c r="F441" s="83"/>
      <c r="G441" s="111"/>
    </row>
    <row r="442" spans="1:7">
      <c r="A442" s="95"/>
      <c r="B442" s="835"/>
      <c r="C442" s="836"/>
      <c r="D442" s="37"/>
      <c r="E442" s="82"/>
      <c r="F442" s="83"/>
      <c r="G442" s="111"/>
    </row>
    <row r="443" spans="1:7" ht="13.5" thickBot="1">
      <c r="A443" s="95"/>
      <c r="B443" s="835"/>
      <c r="C443" s="836"/>
      <c r="D443" s="77"/>
      <c r="E443" s="82"/>
      <c r="F443" s="86"/>
      <c r="G443" s="111"/>
    </row>
    <row r="444" spans="1:7" ht="14.25" thickTop="1" thickBot="1">
      <c r="A444" s="95"/>
      <c r="B444" s="808"/>
      <c r="C444" s="808"/>
      <c r="D444" s="808"/>
      <c r="E444" s="809"/>
      <c r="F444" s="119" t="s">
        <v>856</v>
      </c>
      <c r="G444" s="118">
        <f>SUM(G438:G443)</f>
        <v>7603</v>
      </c>
    </row>
    <row r="445" spans="1:7" ht="14.25" thickTop="1" thickBot="1">
      <c r="A445" s="95"/>
      <c r="B445" s="830"/>
      <c r="C445" s="830"/>
      <c r="D445" s="830"/>
      <c r="E445" s="830"/>
      <c r="F445" s="830"/>
      <c r="G445" s="830"/>
    </row>
    <row r="446" spans="1:7" ht="13.5" thickTop="1">
      <c r="A446" s="95"/>
      <c r="B446" s="811" t="s">
        <v>311</v>
      </c>
      <c r="C446" s="812"/>
      <c r="D446" s="812"/>
      <c r="E446" s="812"/>
      <c r="F446" s="812"/>
      <c r="G446" s="825"/>
    </row>
    <row r="447" spans="1:7">
      <c r="A447" s="95"/>
      <c r="B447" s="817" t="s">
        <v>838</v>
      </c>
      <c r="C447" s="818"/>
      <c r="D447" s="98" t="s">
        <v>842</v>
      </c>
      <c r="E447" s="98" t="s">
        <v>853</v>
      </c>
      <c r="F447" s="99" t="s">
        <v>1047</v>
      </c>
      <c r="G447" s="107" t="s">
        <v>840</v>
      </c>
    </row>
    <row r="448" spans="1:7">
      <c r="A448" s="95"/>
      <c r="B448" s="115"/>
      <c r="C448" s="102"/>
      <c r="D448" s="100"/>
      <c r="E448" s="100" t="s">
        <v>312</v>
      </c>
      <c r="F448" s="101" t="s">
        <v>313</v>
      </c>
      <c r="G448" s="108" t="s">
        <v>314</v>
      </c>
    </row>
    <row r="449" spans="1:8">
      <c r="A449" s="125"/>
      <c r="B449" s="841" t="str">
        <f>MATERIALES2!C704</f>
        <v>SOLDADURA PVC ¼</v>
      </c>
      <c r="C449" s="842"/>
      <c r="D449" s="87" t="s">
        <v>865</v>
      </c>
      <c r="E449" s="81">
        <v>0.05</v>
      </c>
      <c r="F449" s="80">
        <f>MATERIALES2!E704</f>
        <v>56298</v>
      </c>
      <c r="G449" s="110">
        <f t="shared" ref="G449:G454" si="8">ROUND(E449*F449,0)</f>
        <v>2815</v>
      </c>
    </row>
    <row r="450" spans="1:8">
      <c r="A450" s="125"/>
      <c r="B450" s="957" t="str">
        <f>MATERIALES2!C876</f>
        <v xml:space="preserve">REGISTRO 1" </v>
      </c>
      <c r="C450" s="965"/>
      <c r="D450" s="154" t="s">
        <v>865</v>
      </c>
      <c r="E450" s="155">
        <v>1</v>
      </c>
      <c r="F450" s="156">
        <f>MATERIALES2!E876</f>
        <v>34400</v>
      </c>
      <c r="G450" s="157">
        <f t="shared" si="8"/>
        <v>34400</v>
      </c>
    </row>
    <row r="451" spans="1:8">
      <c r="A451" s="95"/>
      <c r="B451" s="854" t="str">
        <f>MATERIALES2!C587</f>
        <v>TUBO PVC PRESION 1" x 6.0 M</v>
      </c>
      <c r="C451" s="855"/>
      <c r="D451" s="37" t="s">
        <v>865</v>
      </c>
      <c r="E451" s="83">
        <v>1</v>
      </c>
      <c r="F451" s="82">
        <f>MATERIALES2!E587</f>
        <v>9700</v>
      </c>
      <c r="G451" s="111">
        <f t="shared" si="8"/>
        <v>9700</v>
      </c>
    </row>
    <row r="452" spans="1:8">
      <c r="A452" s="95"/>
      <c r="B452" s="854" t="str">
        <f>MATERIALES2!C590</f>
        <v>TUBO PVC PRESION 2" x 6.0 M</v>
      </c>
      <c r="C452" s="855"/>
      <c r="D452" s="37" t="s">
        <v>865</v>
      </c>
      <c r="E452" s="83">
        <v>1</v>
      </c>
      <c r="F452" s="82">
        <f>MATERIALES2!E590</f>
        <v>35000</v>
      </c>
      <c r="G452" s="111">
        <f t="shared" si="8"/>
        <v>35000</v>
      </c>
    </row>
    <row r="453" spans="1:8">
      <c r="A453" s="95"/>
      <c r="B453" s="854" t="str">
        <f>MATERIALES2!C677</f>
        <v>CODO PRESION 1"</v>
      </c>
      <c r="C453" s="855"/>
      <c r="D453" s="37" t="s">
        <v>865</v>
      </c>
      <c r="E453" s="83">
        <v>2</v>
      </c>
      <c r="F453" s="82">
        <f>MATERIALES2!E677</f>
        <v>600</v>
      </c>
      <c r="G453" s="111">
        <f t="shared" si="8"/>
        <v>1200</v>
      </c>
    </row>
    <row r="454" spans="1:8">
      <c r="A454" s="95"/>
      <c r="B454" s="854" t="str">
        <f>MATERIALES2!C679</f>
        <v>CODO PRESION 2"</v>
      </c>
      <c r="C454" s="855"/>
      <c r="D454" s="37" t="s">
        <v>865</v>
      </c>
      <c r="E454" s="83">
        <v>2</v>
      </c>
      <c r="F454" s="82">
        <f>MATERIALES2!E679</f>
        <v>3600</v>
      </c>
      <c r="G454" s="111">
        <f t="shared" si="8"/>
        <v>7200</v>
      </c>
    </row>
    <row r="455" spans="1:8">
      <c r="A455" s="95"/>
      <c r="B455" s="938" t="s">
        <v>841</v>
      </c>
      <c r="C455" s="939"/>
      <c r="D455" s="53" t="s">
        <v>841</v>
      </c>
      <c r="E455" s="53"/>
      <c r="F455" s="82"/>
      <c r="G455" s="111"/>
    </row>
    <row r="456" spans="1:8">
      <c r="A456" s="95"/>
      <c r="B456" s="938" t="s">
        <v>841</v>
      </c>
      <c r="C456" s="939"/>
      <c r="D456" s="53" t="s">
        <v>841</v>
      </c>
      <c r="E456" s="53"/>
      <c r="F456" s="82"/>
      <c r="G456" s="111"/>
      <c r="H456" s="505" t="s">
        <v>1670</v>
      </c>
    </row>
    <row r="457" spans="1:8" ht="13.5" thickBot="1">
      <c r="A457" s="95"/>
      <c r="B457" s="942" t="s">
        <v>841</v>
      </c>
      <c r="C457" s="943"/>
      <c r="D457" s="84" t="s">
        <v>841</v>
      </c>
      <c r="E457" s="84"/>
      <c r="F457" s="85"/>
      <c r="G457" s="112"/>
    </row>
    <row r="458" spans="1:8" ht="13.5" thickTop="1">
      <c r="A458" s="95"/>
      <c r="B458" s="808"/>
      <c r="C458" s="809"/>
      <c r="D458" s="801" t="s">
        <v>856</v>
      </c>
      <c r="E458" s="802"/>
      <c r="F458" s="9"/>
      <c r="G458" s="113">
        <f>SUM(G449:G457)</f>
        <v>90315</v>
      </c>
    </row>
    <row r="459" spans="1:8">
      <c r="A459" s="95"/>
      <c r="B459" s="819"/>
      <c r="C459" s="820"/>
      <c r="D459" s="801" t="s">
        <v>857</v>
      </c>
      <c r="E459" s="802"/>
      <c r="F459" s="79">
        <f>'MANO DE OBRA'!D60</f>
        <v>0.05</v>
      </c>
      <c r="G459" s="113">
        <f>ROUND(G458*F459,0)</f>
        <v>4516</v>
      </c>
    </row>
    <row r="460" spans="1:8" ht="13.5" thickBot="1">
      <c r="A460" s="95"/>
      <c r="B460" s="819"/>
      <c r="C460" s="820"/>
      <c r="D460" s="803" t="s">
        <v>320</v>
      </c>
      <c r="E460" s="804"/>
      <c r="F460" s="114"/>
      <c r="G460" s="118">
        <f>+G458+G459</f>
        <v>94831</v>
      </c>
    </row>
    <row r="461" spans="1:8" ht="14.25" thickTop="1" thickBot="1">
      <c r="A461" s="95"/>
      <c r="B461" s="830"/>
      <c r="C461" s="830"/>
      <c r="D461" s="830"/>
      <c r="E461" s="830"/>
      <c r="F461" s="830"/>
      <c r="G461" s="830"/>
    </row>
    <row r="462" spans="1:8" ht="13.5" thickTop="1">
      <c r="A462" s="95"/>
      <c r="B462" s="811" t="s">
        <v>858</v>
      </c>
      <c r="C462" s="812"/>
      <c r="D462" s="812"/>
      <c r="E462" s="812"/>
      <c r="F462" s="812"/>
      <c r="G462" s="825"/>
    </row>
    <row r="463" spans="1:8">
      <c r="A463" s="95"/>
      <c r="B463" s="817"/>
      <c r="C463" s="818"/>
      <c r="D463" s="98" t="s">
        <v>301</v>
      </c>
      <c r="E463" s="98" t="s">
        <v>859</v>
      </c>
      <c r="F463" s="99" t="s">
        <v>839</v>
      </c>
      <c r="G463" s="107" t="s">
        <v>840</v>
      </c>
    </row>
    <row r="464" spans="1:8">
      <c r="A464" s="95"/>
      <c r="B464" s="821" t="s">
        <v>838</v>
      </c>
      <c r="C464" s="822"/>
      <c r="D464" s="100" t="s">
        <v>316</v>
      </c>
      <c r="E464" s="100" t="s">
        <v>315</v>
      </c>
      <c r="F464" s="101" t="s">
        <v>306</v>
      </c>
      <c r="G464" s="108" t="s">
        <v>319</v>
      </c>
    </row>
    <row r="465" spans="1:7">
      <c r="A465" s="95"/>
      <c r="B465" s="115"/>
      <c r="C465" s="102"/>
      <c r="D465" s="103"/>
      <c r="E465" s="103" t="s">
        <v>317</v>
      </c>
      <c r="F465" s="104" t="s">
        <v>318</v>
      </c>
      <c r="G465" s="109"/>
    </row>
    <row r="466" spans="1:7">
      <c r="A466" s="95"/>
      <c r="B466" s="823" t="str">
        <f>'MANO DE OBRA'!B11</f>
        <v>AYUDANTE CUAD. TIPO BB</v>
      </c>
      <c r="C466" s="824"/>
      <c r="D466" s="87">
        <v>1</v>
      </c>
      <c r="E466" s="80">
        <f>'MANO DE OBRA'!E11</f>
        <v>43077</v>
      </c>
      <c r="F466" s="81">
        <v>0.8</v>
      </c>
      <c r="G466" s="110">
        <f>ROUND(D466*E466/F466,0)</f>
        <v>53846</v>
      </c>
    </row>
    <row r="467" spans="1:7">
      <c r="A467" s="95"/>
      <c r="B467" s="835" t="str">
        <f>'MANO DE OBRA'!B16</f>
        <v>OFICIAL CUAD. TIPO BB</v>
      </c>
      <c r="C467" s="836"/>
      <c r="D467" s="37">
        <v>1</v>
      </c>
      <c r="E467" s="82">
        <f>'MANO DE OBRA'!E16</f>
        <v>78577</v>
      </c>
      <c r="F467" s="83">
        <v>0.8</v>
      </c>
      <c r="G467" s="111">
        <f>ROUND(D467*E467/F467,0)</f>
        <v>98221</v>
      </c>
    </row>
    <row r="468" spans="1:7">
      <c r="A468" s="95"/>
      <c r="B468" s="835"/>
      <c r="C468" s="836"/>
      <c r="D468" s="89"/>
      <c r="E468" s="82"/>
      <c r="F468" s="83"/>
      <c r="G468" s="111"/>
    </row>
    <row r="469" spans="1:7">
      <c r="A469" s="95"/>
      <c r="B469" s="835" t="s">
        <v>841</v>
      </c>
      <c r="C469" s="836"/>
      <c r="D469" s="37"/>
      <c r="E469" s="82"/>
      <c r="F469" s="83"/>
      <c r="G469" s="111"/>
    </row>
    <row r="470" spans="1:7" ht="13.5" thickBot="1">
      <c r="A470" s="95"/>
      <c r="B470" s="828" t="s">
        <v>841</v>
      </c>
      <c r="C470" s="829"/>
      <c r="D470" s="77"/>
      <c r="E470" s="82"/>
      <c r="F470" s="86"/>
      <c r="G470" s="112"/>
    </row>
    <row r="471" spans="1:7" ht="14.25" thickTop="1" thickBot="1">
      <c r="A471" s="95"/>
      <c r="B471" s="808"/>
      <c r="C471" s="808"/>
      <c r="D471" s="808"/>
      <c r="E471" s="809"/>
      <c r="F471" s="120" t="s">
        <v>856</v>
      </c>
      <c r="G471" s="118">
        <f>SUM(G466:G470)</f>
        <v>152067</v>
      </c>
    </row>
    <row r="472" spans="1:7" ht="14.25" thickTop="1" thickBot="1">
      <c r="A472" s="95"/>
      <c r="B472" s="810"/>
      <c r="C472" s="810"/>
      <c r="D472" s="810"/>
      <c r="E472" s="810"/>
      <c r="F472" s="810"/>
      <c r="G472" s="810"/>
    </row>
    <row r="473" spans="1:7" ht="13.5" thickTop="1">
      <c r="A473" s="95"/>
      <c r="B473" s="811" t="s">
        <v>321</v>
      </c>
      <c r="C473" s="812"/>
      <c r="D473" s="812"/>
      <c r="E473" s="812"/>
      <c r="F473" s="812"/>
      <c r="G473" s="825"/>
    </row>
    <row r="474" spans="1:7">
      <c r="A474" s="95"/>
      <c r="B474" s="817" t="s">
        <v>838</v>
      </c>
      <c r="C474" s="818"/>
      <c r="D474" s="98" t="s">
        <v>301</v>
      </c>
      <c r="E474" s="98" t="s">
        <v>297</v>
      </c>
      <c r="F474" s="99" t="s">
        <v>839</v>
      </c>
      <c r="G474" s="107" t="s">
        <v>840</v>
      </c>
    </row>
    <row r="475" spans="1:7">
      <c r="A475" s="95"/>
      <c r="B475" s="115"/>
      <c r="C475" s="102"/>
      <c r="D475" s="103" t="s">
        <v>322</v>
      </c>
      <c r="E475" s="103" t="s">
        <v>323</v>
      </c>
      <c r="F475" s="104" t="s">
        <v>324</v>
      </c>
      <c r="G475" s="109" t="s">
        <v>325</v>
      </c>
    </row>
    <row r="476" spans="1:7">
      <c r="A476" s="95"/>
      <c r="B476" s="826"/>
      <c r="C476" s="827"/>
      <c r="D476" s="96"/>
      <c r="E476" s="96"/>
      <c r="F476" s="96"/>
      <c r="G476" s="116"/>
    </row>
    <row r="477" spans="1:7" ht="13.5" thickBot="1">
      <c r="A477" s="95"/>
      <c r="B477" s="828" t="s">
        <v>841</v>
      </c>
      <c r="C477" s="829"/>
      <c r="D477" s="77"/>
      <c r="E477" s="82"/>
      <c r="F477" s="86"/>
      <c r="G477" s="112"/>
    </row>
    <row r="478" spans="1:7" ht="14.25" thickTop="1" thickBot="1">
      <c r="A478" s="95"/>
      <c r="B478" s="808"/>
      <c r="C478" s="808"/>
      <c r="D478" s="808"/>
      <c r="E478" s="809"/>
      <c r="F478" s="120" t="s">
        <v>856</v>
      </c>
      <c r="G478" s="118">
        <f>SUM(G473:G477)</f>
        <v>0</v>
      </c>
    </row>
    <row r="479" spans="1:7" ht="14.25" thickTop="1" thickBot="1">
      <c r="A479" s="95"/>
      <c r="B479" s="810"/>
      <c r="C479" s="810"/>
      <c r="D479" s="810"/>
      <c r="E479" s="810"/>
      <c r="F479" s="810"/>
      <c r="G479" s="834"/>
    </row>
    <row r="480" spans="1:7" ht="13.5" thickTop="1">
      <c r="A480" s="95"/>
      <c r="B480" s="811" t="s">
        <v>326</v>
      </c>
      <c r="C480" s="812"/>
      <c r="D480" s="812"/>
      <c r="E480" s="812"/>
      <c r="F480" s="813"/>
      <c r="G480" s="121">
        <f>+G444+G460+G471</f>
        <v>254501</v>
      </c>
    </row>
    <row r="481" spans="1:8">
      <c r="A481" s="95"/>
      <c r="B481" s="814" t="s">
        <v>861</v>
      </c>
      <c r="C481" s="815"/>
      <c r="D481" s="815"/>
      <c r="E481" s="816"/>
      <c r="F481" s="128">
        <f>'MANO DE OBRA'!D59</f>
        <v>0</v>
      </c>
      <c r="G481" s="122">
        <f>ROUND(G480*F481,0)</f>
        <v>0</v>
      </c>
    </row>
    <row r="482" spans="1:8" ht="13.5" thickBot="1">
      <c r="A482" s="95"/>
      <c r="B482" s="805" t="s">
        <v>1049</v>
      </c>
      <c r="C482" s="806"/>
      <c r="D482" s="806"/>
      <c r="E482" s="806"/>
      <c r="F482" s="807"/>
      <c r="G482" s="118">
        <f>ROUND(G480+G481,-2)</f>
        <v>254500</v>
      </c>
      <c r="H482" s="505" t="s">
        <v>1670</v>
      </c>
    </row>
    <row r="483" spans="1:8" ht="13.5" thickTop="1">
      <c r="A483" s="95"/>
      <c r="B483" s="90" t="s">
        <v>303</v>
      </c>
      <c r="C483" s="843"/>
      <c r="D483" s="843"/>
      <c r="E483" s="843"/>
      <c r="F483" s="92" t="s">
        <v>781</v>
      </c>
      <c r="G483" s="93" t="s">
        <v>865</v>
      </c>
    </row>
    <row r="484" spans="1:8">
      <c r="A484" s="95"/>
      <c r="B484" s="91" t="s">
        <v>834</v>
      </c>
      <c r="C484" s="844" t="s">
        <v>371</v>
      </c>
      <c r="D484" s="844"/>
      <c r="E484" s="844"/>
      <c r="F484" s="15" t="s">
        <v>833</v>
      </c>
      <c r="G484" s="165" t="str">
        <f>'MANO DE OBRA'!D61</f>
        <v>Agosto de 2010</v>
      </c>
    </row>
    <row r="485" spans="1:8" ht="13.5" thickBot="1">
      <c r="A485" s="127"/>
      <c r="B485" s="94" t="s">
        <v>835</v>
      </c>
      <c r="C485" s="845" t="s">
        <v>775</v>
      </c>
      <c r="D485" s="845"/>
      <c r="E485" s="845"/>
      <c r="F485" s="845"/>
      <c r="G485" s="846"/>
    </row>
    <row r="486" spans="1:8" ht="14.25" thickTop="1" thickBot="1">
      <c r="A486" s="95"/>
      <c r="B486" s="847"/>
      <c r="C486" s="847"/>
      <c r="D486" s="847"/>
      <c r="E486" s="847"/>
      <c r="F486" s="847"/>
      <c r="G486" s="847"/>
    </row>
    <row r="487" spans="1:8" ht="13.5" thickTop="1">
      <c r="A487" s="95"/>
      <c r="B487" s="811" t="s">
        <v>304</v>
      </c>
      <c r="C487" s="812"/>
      <c r="D487" s="812"/>
      <c r="E487" s="812"/>
      <c r="F487" s="812"/>
      <c r="G487" s="825"/>
    </row>
    <row r="488" spans="1:8">
      <c r="A488" s="95"/>
      <c r="B488" s="105"/>
      <c r="C488" s="97"/>
      <c r="D488" s="98" t="s">
        <v>301</v>
      </c>
      <c r="E488" s="98" t="s">
        <v>1072</v>
      </c>
      <c r="F488" s="99" t="s">
        <v>839</v>
      </c>
      <c r="G488" s="107" t="s">
        <v>840</v>
      </c>
    </row>
    <row r="489" spans="1:8">
      <c r="A489" s="95"/>
      <c r="B489" s="821" t="s">
        <v>838</v>
      </c>
      <c r="C489" s="822"/>
      <c r="D489" s="100" t="s">
        <v>308</v>
      </c>
      <c r="E489" s="100" t="s">
        <v>305</v>
      </c>
      <c r="F489" s="101" t="s">
        <v>306</v>
      </c>
      <c r="G489" s="108" t="s">
        <v>310</v>
      </c>
    </row>
    <row r="490" spans="1:8">
      <c r="A490" s="95"/>
      <c r="B490" s="115"/>
      <c r="C490" s="102"/>
      <c r="D490" s="103"/>
      <c r="E490" s="103" t="s">
        <v>309</v>
      </c>
      <c r="F490" s="104" t="s">
        <v>307</v>
      </c>
      <c r="G490" s="109"/>
    </row>
    <row r="491" spans="1:8">
      <c r="A491" s="127"/>
      <c r="B491" s="823" t="str">
        <f>'MAQUINARIA Y EQUIPOS'!C28</f>
        <v>HERRAMIENTAS MENORES</v>
      </c>
      <c r="C491" s="824"/>
      <c r="D491" s="87">
        <v>1</v>
      </c>
      <c r="E491" s="82">
        <f>ROUND(G524*0.05,0)</f>
        <v>8110</v>
      </c>
      <c r="F491" s="81">
        <v>1</v>
      </c>
      <c r="G491" s="110">
        <f>ROUND(D491*E491/F491,0)</f>
        <v>8110</v>
      </c>
    </row>
    <row r="492" spans="1:8">
      <c r="A492" s="95"/>
      <c r="B492" s="835"/>
      <c r="C492" s="836"/>
      <c r="D492" s="37"/>
      <c r="E492" s="82"/>
      <c r="F492" s="83"/>
      <c r="G492" s="111"/>
    </row>
    <row r="493" spans="1:8">
      <c r="A493" s="95"/>
      <c r="B493" s="835"/>
      <c r="C493" s="836"/>
      <c r="D493" s="37"/>
      <c r="E493" s="82"/>
      <c r="F493" s="83"/>
      <c r="G493" s="111"/>
    </row>
    <row r="494" spans="1:8">
      <c r="A494" s="95"/>
      <c r="B494" s="835"/>
      <c r="C494" s="836"/>
      <c r="D494" s="37"/>
      <c r="E494" s="82"/>
      <c r="F494" s="83"/>
      <c r="G494" s="111"/>
    </row>
    <row r="495" spans="1:8" ht="13.5" thickBot="1">
      <c r="A495" s="95"/>
      <c r="B495" s="835"/>
      <c r="C495" s="836"/>
      <c r="D495" s="77"/>
      <c r="E495" s="82"/>
      <c r="F495" s="86"/>
      <c r="G495" s="111"/>
    </row>
    <row r="496" spans="1:8" ht="14.25" thickTop="1" thickBot="1">
      <c r="A496" s="95"/>
      <c r="B496" s="808"/>
      <c r="C496" s="808"/>
      <c r="D496" s="808"/>
      <c r="E496" s="809"/>
      <c r="F496" s="119" t="s">
        <v>856</v>
      </c>
      <c r="G496" s="118">
        <f>SUM(G491:G495)</f>
        <v>8110</v>
      </c>
    </row>
    <row r="497" spans="1:8" ht="14.25" thickTop="1" thickBot="1">
      <c r="A497" s="95"/>
      <c r="B497" s="830"/>
      <c r="C497" s="830"/>
      <c r="D497" s="830"/>
      <c r="E497" s="830"/>
      <c r="F497" s="830"/>
      <c r="G497" s="830"/>
    </row>
    <row r="498" spans="1:8" ht="13.5" thickTop="1">
      <c r="A498" s="95"/>
      <c r="B498" s="811" t="s">
        <v>311</v>
      </c>
      <c r="C498" s="812"/>
      <c r="D498" s="812"/>
      <c r="E498" s="812"/>
      <c r="F498" s="812"/>
      <c r="G498" s="825"/>
    </row>
    <row r="499" spans="1:8">
      <c r="A499" s="95"/>
      <c r="B499" s="817" t="s">
        <v>838</v>
      </c>
      <c r="C499" s="818"/>
      <c r="D499" s="98" t="s">
        <v>842</v>
      </c>
      <c r="E499" s="98" t="s">
        <v>853</v>
      </c>
      <c r="F499" s="99" t="s">
        <v>1047</v>
      </c>
      <c r="G499" s="107" t="s">
        <v>840</v>
      </c>
    </row>
    <row r="500" spans="1:8">
      <c r="A500" s="95"/>
      <c r="B500" s="115"/>
      <c r="C500" s="102"/>
      <c r="D500" s="100"/>
      <c r="E500" s="100" t="s">
        <v>312</v>
      </c>
      <c r="F500" s="101" t="s">
        <v>313</v>
      </c>
      <c r="G500" s="108" t="s">
        <v>314</v>
      </c>
    </row>
    <row r="501" spans="1:8">
      <c r="A501" s="125"/>
      <c r="B501" s="841" t="str">
        <f>MATERIALES2!C351</f>
        <v>TANQUE CILINDRICO A.C. 250 LTS</v>
      </c>
      <c r="C501" s="842"/>
      <c r="D501" s="87" t="s">
        <v>865</v>
      </c>
      <c r="E501" s="81">
        <v>1</v>
      </c>
      <c r="F501" s="80">
        <f>MATERIALES2!E351</f>
        <v>69057</v>
      </c>
      <c r="G501" s="110">
        <f t="shared" ref="G501:G510" si="9">ROUND(E501*F501,0)</f>
        <v>69057</v>
      </c>
    </row>
    <row r="502" spans="1:8">
      <c r="A502" s="123"/>
      <c r="B502" s="854" t="str">
        <f>MATERIALES2!C674</f>
        <v>CODO PRESION ½"</v>
      </c>
      <c r="C502" s="855"/>
      <c r="D502" s="37" t="s">
        <v>865</v>
      </c>
      <c r="E502" s="83">
        <v>11</v>
      </c>
      <c r="F502" s="82">
        <f>MATERIALES2!E674</f>
        <v>200</v>
      </c>
      <c r="G502" s="111">
        <f t="shared" si="9"/>
        <v>2200</v>
      </c>
    </row>
    <row r="503" spans="1:8">
      <c r="A503" s="95"/>
      <c r="B503" s="854" t="str">
        <f>MATERIALES2!C704</f>
        <v>SOLDADURA PVC ¼</v>
      </c>
      <c r="C503" s="855"/>
      <c r="D503" s="37" t="s">
        <v>865</v>
      </c>
      <c r="E503" s="143">
        <v>0.1</v>
      </c>
      <c r="F503" s="82">
        <f>MATERIALES2!E704</f>
        <v>56298</v>
      </c>
      <c r="G503" s="111">
        <f t="shared" si="9"/>
        <v>5630</v>
      </c>
    </row>
    <row r="504" spans="1:8">
      <c r="A504" s="95"/>
      <c r="B504" s="854" t="str">
        <f>MATERIALES2!C677</f>
        <v>CODO PRESION 1"</v>
      </c>
      <c r="C504" s="855"/>
      <c r="D504" s="37" t="s">
        <v>865</v>
      </c>
      <c r="E504" s="83">
        <v>6</v>
      </c>
      <c r="F504" s="82">
        <f>MATERIALES2!E677</f>
        <v>600</v>
      </c>
      <c r="G504" s="111">
        <f t="shared" si="9"/>
        <v>3600</v>
      </c>
    </row>
    <row r="505" spans="1:8">
      <c r="A505" s="95"/>
      <c r="B505" s="854" t="str">
        <f>MATERIALES2!C749</f>
        <v>UNIVERSAL LISA 1"</v>
      </c>
      <c r="C505" s="855"/>
      <c r="D505" s="37" t="s">
        <v>865</v>
      </c>
      <c r="E505" s="83">
        <v>1</v>
      </c>
      <c r="F505" s="82">
        <f>MATERIALES2!E749</f>
        <v>3000</v>
      </c>
      <c r="G505" s="111">
        <f t="shared" si="9"/>
        <v>3000</v>
      </c>
    </row>
    <row r="506" spans="1:8">
      <c r="A506" s="95"/>
      <c r="B506" s="854" t="str">
        <f>MATERIALES2!C750</f>
        <v>UNIVERSAL LISA 1/2"</v>
      </c>
      <c r="C506" s="855"/>
      <c r="D506" s="37" t="s">
        <v>865</v>
      </c>
      <c r="E506" s="83">
        <v>2</v>
      </c>
      <c r="F506" s="82">
        <f>MATERIALES2!E750</f>
        <v>1100</v>
      </c>
      <c r="G506" s="111">
        <f t="shared" si="9"/>
        <v>2200</v>
      </c>
    </row>
    <row r="507" spans="1:8">
      <c r="A507" s="95"/>
      <c r="B507" s="854" t="str">
        <f>MATERIALES2!C585</f>
        <v>TUBO PVC PRESION 1/2" x 6.0 M</v>
      </c>
      <c r="C507" s="855"/>
      <c r="D507" s="37" t="s">
        <v>865</v>
      </c>
      <c r="E507" s="83">
        <v>0.83</v>
      </c>
      <c r="F507" s="82">
        <f>MATERIALES2!E585</f>
        <v>6000</v>
      </c>
      <c r="G507" s="111">
        <f t="shared" si="9"/>
        <v>4980</v>
      </c>
    </row>
    <row r="508" spans="1:8">
      <c r="A508" s="95"/>
      <c r="B508" s="854" t="str">
        <f>MATERIALES2!C587</f>
        <v>TUBO PVC PRESION 1" x 6.0 M</v>
      </c>
      <c r="C508" s="855"/>
      <c r="D508" s="37" t="s">
        <v>865</v>
      </c>
      <c r="E508" s="83">
        <v>0.5</v>
      </c>
      <c r="F508" s="82">
        <f>MATERIALES2!E587</f>
        <v>9700</v>
      </c>
      <c r="G508" s="111">
        <f t="shared" si="9"/>
        <v>4850</v>
      </c>
    </row>
    <row r="509" spans="1:8">
      <c r="A509" s="95"/>
      <c r="B509" s="854" t="str">
        <f>MATERIALES2!C903</f>
        <v>LLAVE DE PASO 1/2"</v>
      </c>
      <c r="C509" s="855"/>
      <c r="D509" s="37" t="s">
        <v>865</v>
      </c>
      <c r="E509" s="83">
        <v>2</v>
      </c>
      <c r="F509" s="82">
        <f>MATERIALES2!E903</f>
        <v>10000</v>
      </c>
      <c r="G509" s="111">
        <f t="shared" si="9"/>
        <v>20000</v>
      </c>
      <c r="H509" s="505" t="s">
        <v>1670</v>
      </c>
    </row>
    <row r="510" spans="1:8" ht="13.5" thickBot="1">
      <c r="A510" s="95"/>
      <c r="B510" s="854" t="str">
        <f>MATERIALES2!C905</f>
        <v>LLAVE DE PASO 1"</v>
      </c>
      <c r="C510" s="855"/>
      <c r="D510" s="37" t="s">
        <v>865</v>
      </c>
      <c r="E510" s="83">
        <v>1</v>
      </c>
      <c r="F510" s="82">
        <f>MATERIALES2!E905</f>
        <v>36000</v>
      </c>
      <c r="G510" s="111">
        <f t="shared" si="9"/>
        <v>36000</v>
      </c>
    </row>
    <row r="511" spans="1:8" ht="13.5" thickTop="1">
      <c r="A511" s="95"/>
      <c r="B511" s="946"/>
      <c r="C511" s="947"/>
      <c r="D511" s="801" t="s">
        <v>856</v>
      </c>
      <c r="E511" s="802"/>
      <c r="F511" s="9"/>
      <c r="G511" s="113">
        <f>SUM(G501:G510)</f>
        <v>151517</v>
      </c>
    </row>
    <row r="512" spans="1:8">
      <c r="A512" s="95"/>
      <c r="B512" s="948"/>
      <c r="C512" s="949"/>
      <c r="D512" s="801" t="s">
        <v>857</v>
      </c>
      <c r="E512" s="802"/>
      <c r="F512" s="79">
        <f>'MANO DE OBRA'!D60</f>
        <v>0.05</v>
      </c>
      <c r="G512" s="113">
        <f>ROUND(G511*F512,0)</f>
        <v>7576</v>
      </c>
    </row>
    <row r="513" spans="1:7" ht="13.5" thickBot="1">
      <c r="A513" s="95"/>
      <c r="B513" s="948"/>
      <c r="C513" s="949"/>
      <c r="D513" s="803" t="s">
        <v>320</v>
      </c>
      <c r="E513" s="804"/>
      <c r="F513" s="114"/>
      <c r="G513" s="118">
        <f>+G511+G512</f>
        <v>159093</v>
      </c>
    </row>
    <row r="514" spans="1:7" ht="14.25" thickTop="1" thickBot="1">
      <c r="A514" s="95"/>
      <c r="B514" s="830"/>
      <c r="C514" s="830"/>
      <c r="D514" s="830"/>
      <c r="E514" s="830"/>
      <c r="F514" s="830"/>
      <c r="G514" s="830"/>
    </row>
    <row r="515" spans="1:7" ht="13.5" thickTop="1">
      <c r="A515" s="95"/>
      <c r="B515" s="811" t="s">
        <v>858</v>
      </c>
      <c r="C515" s="812"/>
      <c r="D515" s="812"/>
      <c r="E515" s="812"/>
      <c r="F515" s="812"/>
      <c r="G515" s="825"/>
    </row>
    <row r="516" spans="1:7">
      <c r="A516" s="95"/>
      <c r="B516" s="817"/>
      <c r="C516" s="818"/>
      <c r="D516" s="98" t="s">
        <v>301</v>
      </c>
      <c r="E516" s="98" t="s">
        <v>859</v>
      </c>
      <c r="F516" s="99" t="s">
        <v>839</v>
      </c>
      <c r="G516" s="107" t="s">
        <v>840</v>
      </c>
    </row>
    <row r="517" spans="1:7">
      <c r="A517" s="95"/>
      <c r="B517" s="821" t="s">
        <v>838</v>
      </c>
      <c r="C517" s="822"/>
      <c r="D517" s="100" t="s">
        <v>316</v>
      </c>
      <c r="E517" s="100" t="s">
        <v>315</v>
      </c>
      <c r="F517" s="101" t="s">
        <v>306</v>
      </c>
      <c r="G517" s="108" t="s">
        <v>319</v>
      </c>
    </row>
    <row r="518" spans="1:7">
      <c r="A518" s="95"/>
      <c r="B518" s="115"/>
      <c r="C518" s="102"/>
      <c r="D518" s="103"/>
      <c r="E518" s="103" t="s">
        <v>317</v>
      </c>
      <c r="F518" s="104" t="s">
        <v>318</v>
      </c>
      <c r="G518" s="109"/>
    </row>
    <row r="519" spans="1:7">
      <c r="A519" s="95"/>
      <c r="B519" s="823" t="str">
        <f>'MANO DE OBRA'!B11</f>
        <v>AYUDANTE CUAD. TIPO BB</v>
      </c>
      <c r="C519" s="824"/>
      <c r="D519" s="87">
        <v>1</v>
      </c>
      <c r="E519" s="80">
        <f>'MANO DE OBRA'!E11</f>
        <v>43077</v>
      </c>
      <c r="F519" s="81">
        <v>0.75</v>
      </c>
      <c r="G519" s="110">
        <f>ROUND(D519*E519/F519,0)</f>
        <v>57436</v>
      </c>
    </row>
    <row r="520" spans="1:7">
      <c r="A520" s="95"/>
      <c r="B520" s="835" t="str">
        <f>'MANO DE OBRA'!B16</f>
        <v>OFICIAL CUAD. TIPO BB</v>
      </c>
      <c r="C520" s="836"/>
      <c r="D520" s="37">
        <v>1</v>
      </c>
      <c r="E520" s="82">
        <f>'MANO DE OBRA'!E16</f>
        <v>78577</v>
      </c>
      <c r="F520" s="83">
        <v>0.75</v>
      </c>
      <c r="G520" s="111">
        <f>ROUND(D520*E520/F520,0)</f>
        <v>104769</v>
      </c>
    </row>
    <row r="521" spans="1:7">
      <c r="A521" s="95"/>
      <c r="B521" s="835"/>
      <c r="C521" s="836"/>
      <c r="D521" s="89"/>
      <c r="E521" s="82"/>
      <c r="F521" s="83"/>
      <c r="G521" s="111"/>
    </row>
    <row r="522" spans="1:7">
      <c r="A522" s="95"/>
      <c r="B522" s="835" t="s">
        <v>841</v>
      </c>
      <c r="C522" s="836"/>
      <c r="D522" s="37"/>
      <c r="E522" s="82"/>
      <c r="F522" s="83"/>
      <c r="G522" s="111"/>
    </row>
    <row r="523" spans="1:7" ht="13.5" thickBot="1">
      <c r="A523" s="95"/>
      <c r="B523" s="828" t="s">
        <v>841</v>
      </c>
      <c r="C523" s="829"/>
      <c r="D523" s="77"/>
      <c r="E523" s="82"/>
      <c r="F523" s="86"/>
      <c r="G523" s="112"/>
    </row>
    <row r="524" spans="1:7" ht="14.25" thickTop="1" thickBot="1">
      <c r="A524" s="95"/>
      <c r="B524" s="808"/>
      <c r="C524" s="808"/>
      <c r="D524" s="808"/>
      <c r="E524" s="809"/>
      <c r="F524" s="120" t="s">
        <v>856</v>
      </c>
      <c r="G524" s="118">
        <f>SUM(G519:G523)</f>
        <v>162205</v>
      </c>
    </row>
    <row r="525" spans="1:7" ht="14.25" thickTop="1" thickBot="1">
      <c r="A525" s="95"/>
      <c r="B525" s="810"/>
      <c r="C525" s="810"/>
      <c r="D525" s="810"/>
      <c r="E525" s="810"/>
      <c r="F525" s="810"/>
      <c r="G525" s="810"/>
    </row>
    <row r="526" spans="1:7" ht="13.5" thickTop="1">
      <c r="A526" s="95"/>
      <c r="B526" s="811" t="s">
        <v>321</v>
      </c>
      <c r="C526" s="812"/>
      <c r="D526" s="812"/>
      <c r="E526" s="812"/>
      <c r="F526" s="812"/>
      <c r="G526" s="825"/>
    </row>
    <row r="527" spans="1:7">
      <c r="A527" s="95"/>
      <c r="B527" s="817" t="s">
        <v>838</v>
      </c>
      <c r="C527" s="818"/>
      <c r="D527" s="98" t="s">
        <v>301</v>
      </c>
      <c r="E527" s="98" t="s">
        <v>297</v>
      </c>
      <c r="F527" s="99" t="s">
        <v>839</v>
      </c>
      <c r="G527" s="107" t="s">
        <v>840</v>
      </c>
    </row>
    <row r="528" spans="1:7">
      <c r="A528" s="95"/>
      <c r="B528" s="115"/>
      <c r="C528" s="102"/>
      <c r="D528" s="103" t="s">
        <v>322</v>
      </c>
      <c r="E528" s="103" t="s">
        <v>323</v>
      </c>
      <c r="F528" s="104" t="s">
        <v>324</v>
      </c>
      <c r="G528" s="109" t="s">
        <v>325</v>
      </c>
    </row>
    <row r="529" spans="1:8">
      <c r="A529" s="95"/>
      <c r="B529" s="826"/>
      <c r="C529" s="827"/>
      <c r="D529" s="96"/>
      <c r="E529" s="96"/>
      <c r="F529" s="96"/>
      <c r="G529" s="116"/>
    </row>
    <row r="530" spans="1:8" ht="13.5" thickBot="1">
      <c r="A530" s="95"/>
      <c r="B530" s="828" t="s">
        <v>841</v>
      </c>
      <c r="C530" s="829"/>
      <c r="D530" s="77"/>
      <c r="E530" s="82"/>
      <c r="F530" s="86"/>
      <c r="G530" s="112"/>
    </row>
    <row r="531" spans="1:8" ht="14.25" thickTop="1" thickBot="1">
      <c r="A531" s="95"/>
      <c r="B531" s="808"/>
      <c r="C531" s="808"/>
      <c r="D531" s="808"/>
      <c r="E531" s="809"/>
      <c r="F531" s="120" t="s">
        <v>856</v>
      </c>
      <c r="G531" s="118">
        <f>SUM(G526:G530)</f>
        <v>0</v>
      </c>
    </row>
    <row r="532" spans="1:8" ht="14.25" thickTop="1" thickBot="1">
      <c r="A532" s="95"/>
      <c r="B532" s="810"/>
      <c r="C532" s="810"/>
      <c r="D532" s="810"/>
      <c r="E532" s="810"/>
      <c r="F532" s="810"/>
      <c r="G532" s="834"/>
    </row>
    <row r="533" spans="1:8" ht="13.5" thickTop="1">
      <c r="A533" s="95"/>
      <c r="B533" s="811" t="s">
        <v>326</v>
      </c>
      <c r="C533" s="812"/>
      <c r="D533" s="812"/>
      <c r="E533" s="812"/>
      <c r="F533" s="813"/>
      <c r="G533" s="121">
        <f>+G496+G513+G524</f>
        <v>329408</v>
      </c>
    </row>
    <row r="534" spans="1:8">
      <c r="A534" s="95"/>
      <c r="B534" s="814" t="s">
        <v>861</v>
      </c>
      <c r="C534" s="815"/>
      <c r="D534" s="815"/>
      <c r="E534" s="816"/>
      <c r="F534" s="128">
        <f>'MANO DE OBRA'!D59</f>
        <v>0</v>
      </c>
      <c r="G534" s="122">
        <f>ROUND(G533*F534,0)</f>
        <v>0</v>
      </c>
    </row>
    <row r="535" spans="1:8" ht="13.5" thickBot="1">
      <c r="A535" s="95"/>
      <c r="B535" s="805" t="s">
        <v>1049</v>
      </c>
      <c r="C535" s="806"/>
      <c r="D535" s="806"/>
      <c r="E535" s="806"/>
      <c r="F535" s="807"/>
      <c r="G535" s="118">
        <f>ROUND(G533+G534,-2)</f>
        <v>329400</v>
      </c>
      <c r="H535" s="505" t="s">
        <v>1670</v>
      </c>
    </row>
    <row r="536" spans="1:8" ht="13.5" thickTop="1">
      <c r="A536" s="95"/>
      <c r="B536" s="90" t="s">
        <v>303</v>
      </c>
      <c r="C536" s="843"/>
      <c r="D536" s="843"/>
      <c r="E536" s="843"/>
      <c r="F536" s="92" t="s">
        <v>781</v>
      </c>
      <c r="G536" s="93" t="s">
        <v>865</v>
      </c>
    </row>
    <row r="537" spans="1:8">
      <c r="A537" s="95"/>
      <c r="B537" s="91" t="s">
        <v>834</v>
      </c>
      <c r="C537" s="844" t="s">
        <v>371</v>
      </c>
      <c r="D537" s="844"/>
      <c r="E537" s="844"/>
      <c r="F537" s="15" t="s">
        <v>833</v>
      </c>
      <c r="G537" s="165" t="str">
        <f>'MANO DE OBRA'!D61</f>
        <v>Agosto de 2010</v>
      </c>
    </row>
    <row r="538" spans="1:8" ht="13.5" thickBot="1">
      <c r="A538" s="127"/>
      <c r="B538" s="94" t="s">
        <v>835</v>
      </c>
      <c r="C538" s="845" t="s">
        <v>776</v>
      </c>
      <c r="D538" s="845"/>
      <c r="E538" s="845"/>
      <c r="F538" s="845"/>
      <c r="G538" s="846"/>
    </row>
    <row r="539" spans="1:8" ht="14.25" thickTop="1" thickBot="1">
      <c r="A539" s="95"/>
      <c r="B539" s="847"/>
      <c r="C539" s="847"/>
      <c r="D539" s="847"/>
      <c r="E539" s="847"/>
      <c r="F539" s="847"/>
      <c r="G539" s="847"/>
    </row>
    <row r="540" spans="1:8" ht="13.5" thickTop="1">
      <c r="A540" s="95"/>
      <c r="B540" s="811" t="s">
        <v>304</v>
      </c>
      <c r="C540" s="812"/>
      <c r="D540" s="812"/>
      <c r="E540" s="812"/>
      <c r="F540" s="812"/>
      <c r="G540" s="825"/>
    </row>
    <row r="541" spans="1:8">
      <c r="A541" s="95"/>
      <c r="B541" s="105"/>
      <c r="C541" s="97"/>
      <c r="D541" s="98" t="s">
        <v>301</v>
      </c>
      <c r="E541" s="98" t="s">
        <v>1072</v>
      </c>
      <c r="F541" s="99" t="s">
        <v>839</v>
      </c>
      <c r="G541" s="107" t="s">
        <v>840</v>
      </c>
    </row>
    <row r="542" spans="1:8">
      <c r="A542" s="95"/>
      <c r="B542" s="821" t="s">
        <v>838</v>
      </c>
      <c r="C542" s="822"/>
      <c r="D542" s="100" t="s">
        <v>308</v>
      </c>
      <c r="E542" s="100" t="s">
        <v>305</v>
      </c>
      <c r="F542" s="101" t="s">
        <v>306</v>
      </c>
      <c r="G542" s="108" t="s">
        <v>310</v>
      </c>
    </row>
    <row r="543" spans="1:8">
      <c r="A543" s="95"/>
      <c r="B543" s="115"/>
      <c r="C543" s="102"/>
      <c r="D543" s="103"/>
      <c r="E543" s="103" t="s">
        <v>309</v>
      </c>
      <c r="F543" s="104" t="s">
        <v>307</v>
      </c>
      <c r="G543" s="109"/>
    </row>
    <row r="544" spans="1:8">
      <c r="A544" s="127"/>
      <c r="B544" s="823" t="str">
        <f>'MAQUINARIA Y EQUIPOS'!C28</f>
        <v>HERRAMIENTAS MENORES</v>
      </c>
      <c r="C544" s="824"/>
      <c r="D544" s="87">
        <v>1</v>
      </c>
      <c r="E544" s="82">
        <f>ROUND(G577*0.05,0)</f>
        <v>8110</v>
      </c>
      <c r="F544" s="81">
        <v>1</v>
      </c>
      <c r="G544" s="110">
        <f>ROUND(D544*E544/F544,0)</f>
        <v>8110</v>
      </c>
    </row>
    <row r="545" spans="1:7">
      <c r="A545" s="95"/>
      <c r="B545" s="835"/>
      <c r="C545" s="836"/>
      <c r="D545" s="37"/>
      <c r="E545" s="82"/>
      <c r="F545" s="83"/>
      <c r="G545" s="111"/>
    </row>
    <row r="546" spans="1:7">
      <c r="A546" s="95"/>
      <c r="B546" s="835"/>
      <c r="C546" s="836"/>
      <c r="D546" s="37"/>
      <c r="E546" s="82"/>
      <c r="F546" s="83"/>
      <c r="G546" s="111"/>
    </row>
    <row r="547" spans="1:7">
      <c r="A547" s="95"/>
      <c r="B547" s="835"/>
      <c r="C547" s="836"/>
      <c r="D547" s="37"/>
      <c r="E547" s="82"/>
      <c r="F547" s="83"/>
      <c r="G547" s="111"/>
    </row>
    <row r="548" spans="1:7" ht="13.5" thickBot="1">
      <c r="A548" s="95"/>
      <c r="B548" s="835"/>
      <c r="C548" s="836"/>
      <c r="D548" s="77"/>
      <c r="E548" s="82"/>
      <c r="F548" s="86"/>
      <c r="G548" s="111"/>
    </row>
    <row r="549" spans="1:7" ht="14.25" thickTop="1" thickBot="1">
      <c r="A549" s="95"/>
      <c r="B549" s="808"/>
      <c r="C549" s="808"/>
      <c r="D549" s="808"/>
      <c r="E549" s="809"/>
      <c r="F549" s="119" t="s">
        <v>856</v>
      </c>
      <c r="G549" s="118">
        <f>SUM(G544:G548)</f>
        <v>8110</v>
      </c>
    </row>
    <row r="550" spans="1:7" ht="14.25" thickTop="1" thickBot="1">
      <c r="A550" s="95"/>
      <c r="B550" s="830"/>
      <c r="C550" s="830"/>
      <c r="D550" s="830"/>
      <c r="E550" s="830"/>
      <c r="F550" s="830"/>
      <c r="G550" s="830"/>
    </row>
    <row r="551" spans="1:7" ht="13.5" thickTop="1">
      <c r="A551" s="95"/>
      <c r="B551" s="811" t="s">
        <v>311</v>
      </c>
      <c r="C551" s="812"/>
      <c r="D551" s="812"/>
      <c r="E551" s="812"/>
      <c r="F551" s="812"/>
      <c r="G551" s="825"/>
    </row>
    <row r="552" spans="1:7">
      <c r="A552" s="95"/>
      <c r="B552" s="817" t="s">
        <v>838</v>
      </c>
      <c r="C552" s="818"/>
      <c r="D552" s="98" t="s">
        <v>842</v>
      </c>
      <c r="E552" s="98" t="s">
        <v>853</v>
      </c>
      <c r="F552" s="99" t="s">
        <v>1047</v>
      </c>
      <c r="G552" s="107" t="s">
        <v>840</v>
      </c>
    </row>
    <row r="553" spans="1:7">
      <c r="A553" s="95"/>
      <c r="B553" s="115"/>
      <c r="C553" s="102"/>
      <c r="D553" s="100"/>
      <c r="E553" s="100" t="s">
        <v>312</v>
      </c>
      <c r="F553" s="101" t="s">
        <v>313</v>
      </c>
      <c r="G553" s="108" t="s">
        <v>314</v>
      </c>
    </row>
    <row r="554" spans="1:7">
      <c r="A554" s="125"/>
      <c r="B554" s="841" t="str">
        <f>MATERIALES2!C352</f>
        <v>TANQUE CILINDRICO A.C. 500 LTS</v>
      </c>
      <c r="C554" s="842"/>
      <c r="D554" s="87" t="s">
        <v>865</v>
      </c>
      <c r="E554" s="81">
        <v>1</v>
      </c>
      <c r="F554" s="80">
        <f>MATERIALES2!E352</f>
        <v>101121</v>
      </c>
      <c r="G554" s="110">
        <f t="shared" ref="G554:G563" si="10">ROUND(E554*F554,0)</f>
        <v>101121</v>
      </c>
    </row>
    <row r="555" spans="1:7">
      <c r="A555" s="123"/>
      <c r="B555" s="854" t="str">
        <f>MATERIALES2!C674</f>
        <v>CODO PRESION ½"</v>
      </c>
      <c r="C555" s="855"/>
      <c r="D555" s="37" t="s">
        <v>865</v>
      </c>
      <c r="E555" s="83">
        <v>11</v>
      </c>
      <c r="F555" s="82">
        <f>MATERIALES2!E674</f>
        <v>200</v>
      </c>
      <c r="G555" s="111">
        <f t="shared" si="10"/>
        <v>2200</v>
      </c>
    </row>
    <row r="556" spans="1:7">
      <c r="A556" s="95"/>
      <c r="B556" s="854" t="str">
        <f>MATERIALES2!C704</f>
        <v>SOLDADURA PVC ¼</v>
      </c>
      <c r="C556" s="855"/>
      <c r="D556" s="37" t="s">
        <v>865</v>
      </c>
      <c r="E556" s="143">
        <v>0.1</v>
      </c>
      <c r="F556" s="82">
        <f>MATERIALES2!E704</f>
        <v>56298</v>
      </c>
      <c r="G556" s="111">
        <f t="shared" si="10"/>
        <v>5630</v>
      </c>
    </row>
    <row r="557" spans="1:7">
      <c r="A557" s="95"/>
      <c r="B557" s="854" t="str">
        <f>MATERIALES2!C677</f>
        <v>CODO PRESION 1"</v>
      </c>
      <c r="C557" s="855"/>
      <c r="D557" s="37" t="s">
        <v>865</v>
      </c>
      <c r="E557" s="83">
        <v>6</v>
      </c>
      <c r="F557" s="82">
        <f>MATERIALES2!E677</f>
        <v>600</v>
      </c>
      <c r="G557" s="111">
        <f t="shared" si="10"/>
        <v>3600</v>
      </c>
    </row>
    <row r="558" spans="1:7">
      <c r="A558" s="95"/>
      <c r="B558" s="854" t="str">
        <f>MATERIALES2!C749</f>
        <v>UNIVERSAL LISA 1"</v>
      </c>
      <c r="C558" s="855"/>
      <c r="D558" s="37" t="s">
        <v>865</v>
      </c>
      <c r="E558" s="83">
        <v>1</v>
      </c>
      <c r="F558" s="82">
        <f>MATERIALES2!E749</f>
        <v>3000</v>
      </c>
      <c r="G558" s="111">
        <f t="shared" si="10"/>
        <v>3000</v>
      </c>
    </row>
    <row r="559" spans="1:7">
      <c r="A559" s="95"/>
      <c r="B559" s="854" t="str">
        <f>MATERIALES2!C750</f>
        <v>UNIVERSAL LISA 1/2"</v>
      </c>
      <c r="C559" s="855"/>
      <c r="D559" s="37" t="s">
        <v>865</v>
      </c>
      <c r="E559" s="83">
        <v>2</v>
      </c>
      <c r="F559" s="82">
        <f>MATERIALES2!E750</f>
        <v>1100</v>
      </c>
      <c r="G559" s="111">
        <f t="shared" si="10"/>
        <v>2200</v>
      </c>
    </row>
    <row r="560" spans="1:7">
      <c r="A560" s="95"/>
      <c r="B560" s="854" t="str">
        <f>MATERIALES2!C585</f>
        <v>TUBO PVC PRESION 1/2" x 6.0 M</v>
      </c>
      <c r="C560" s="855"/>
      <c r="D560" s="37" t="s">
        <v>865</v>
      </c>
      <c r="E560" s="83">
        <v>0.83</v>
      </c>
      <c r="F560" s="82">
        <f>MATERIALES2!E585</f>
        <v>6000</v>
      </c>
      <c r="G560" s="111">
        <f t="shared" si="10"/>
        <v>4980</v>
      </c>
    </row>
    <row r="561" spans="1:8">
      <c r="A561" s="95"/>
      <c r="B561" s="854" t="str">
        <f>MATERIALES2!C587</f>
        <v>TUBO PVC PRESION 1" x 6.0 M</v>
      </c>
      <c r="C561" s="855"/>
      <c r="D561" s="37" t="s">
        <v>865</v>
      </c>
      <c r="E561" s="83">
        <v>0.5</v>
      </c>
      <c r="F561" s="82">
        <f>MATERIALES2!E587</f>
        <v>9700</v>
      </c>
      <c r="G561" s="111">
        <f t="shared" si="10"/>
        <v>4850</v>
      </c>
    </row>
    <row r="562" spans="1:8">
      <c r="A562" s="95"/>
      <c r="B562" s="854" t="str">
        <f>MATERIALES2!C903</f>
        <v>LLAVE DE PASO 1/2"</v>
      </c>
      <c r="C562" s="855"/>
      <c r="D562" s="37" t="s">
        <v>865</v>
      </c>
      <c r="E562" s="83">
        <v>2</v>
      </c>
      <c r="F562" s="82">
        <f>MATERIALES2!E903</f>
        <v>10000</v>
      </c>
      <c r="G562" s="111">
        <f t="shared" si="10"/>
        <v>20000</v>
      </c>
      <c r="H562" s="505" t="s">
        <v>1670</v>
      </c>
    </row>
    <row r="563" spans="1:8" ht="13.5" thickBot="1">
      <c r="A563" s="95"/>
      <c r="B563" s="854" t="str">
        <f>MATERIALES2!C905</f>
        <v>LLAVE DE PASO 1"</v>
      </c>
      <c r="C563" s="855"/>
      <c r="D563" s="37" t="s">
        <v>865</v>
      </c>
      <c r="E563" s="83">
        <v>1</v>
      </c>
      <c r="F563" s="82">
        <f>MATERIALES2!E905</f>
        <v>36000</v>
      </c>
      <c r="G563" s="111">
        <f t="shared" si="10"/>
        <v>36000</v>
      </c>
    </row>
    <row r="564" spans="1:8" ht="13.5" thickTop="1">
      <c r="A564" s="95"/>
      <c r="B564" s="946"/>
      <c r="C564" s="947"/>
      <c r="D564" s="801" t="s">
        <v>856</v>
      </c>
      <c r="E564" s="802"/>
      <c r="F564" s="9"/>
      <c r="G564" s="113">
        <f>SUM(G554:G563)</f>
        <v>183581</v>
      </c>
    </row>
    <row r="565" spans="1:8">
      <c r="A565" s="95"/>
      <c r="B565" s="948"/>
      <c r="C565" s="949"/>
      <c r="D565" s="801" t="s">
        <v>857</v>
      </c>
      <c r="E565" s="802"/>
      <c r="F565" s="79">
        <f>'MANO DE OBRA'!D60</f>
        <v>0.05</v>
      </c>
      <c r="G565" s="113">
        <f>ROUND(G564*F565,0)</f>
        <v>9179</v>
      </c>
    </row>
    <row r="566" spans="1:8" ht="13.5" thickBot="1">
      <c r="A566" s="95"/>
      <c r="B566" s="948"/>
      <c r="C566" s="949"/>
      <c r="D566" s="803" t="s">
        <v>320</v>
      </c>
      <c r="E566" s="804"/>
      <c r="F566" s="114"/>
      <c r="G566" s="118">
        <f>+G564+G565</f>
        <v>192760</v>
      </c>
    </row>
    <row r="567" spans="1:8" ht="14.25" thickTop="1" thickBot="1">
      <c r="A567" s="95"/>
      <c r="B567" s="830"/>
      <c r="C567" s="830"/>
      <c r="D567" s="830"/>
      <c r="E567" s="830"/>
      <c r="F567" s="830"/>
      <c r="G567" s="830"/>
    </row>
    <row r="568" spans="1:8" ht="13.5" thickTop="1">
      <c r="A568" s="95"/>
      <c r="B568" s="811" t="s">
        <v>858</v>
      </c>
      <c r="C568" s="812"/>
      <c r="D568" s="812"/>
      <c r="E568" s="812"/>
      <c r="F568" s="812"/>
      <c r="G568" s="825"/>
    </row>
    <row r="569" spans="1:8">
      <c r="A569" s="95"/>
      <c r="B569" s="817"/>
      <c r="C569" s="818"/>
      <c r="D569" s="98" t="s">
        <v>301</v>
      </c>
      <c r="E569" s="98" t="s">
        <v>859</v>
      </c>
      <c r="F569" s="99" t="s">
        <v>839</v>
      </c>
      <c r="G569" s="107" t="s">
        <v>840</v>
      </c>
    </row>
    <row r="570" spans="1:8">
      <c r="A570" s="95"/>
      <c r="B570" s="821" t="s">
        <v>838</v>
      </c>
      <c r="C570" s="822"/>
      <c r="D570" s="100" t="s">
        <v>316</v>
      </c>
      <c r="E570" s="100" t="s">
        <v>315</v>
      </c>
      <c r="F570" s="101" t="s">
        <v>306</v>
      </c>
      <c r="G570" s="108" t="s">
        <v>319</v>
      </c>
    </row>
    <row r="571" spans="1:8">
      <c r="A571" s="95"/>
      <c r="B571" s="115"/>
      <c r="C571" s="102"/>
      <c r="D571" s="103"/>
      <c r="E571" s="103" t="s">
        <v>317</v>
      </c>
      <c r="F571" s="104" t="s">
        <v>318</v>
      </c>
      <c r="G571" s="109"/>
    </row>
    <row r="572" spans="1:8">
      <c r="A572" s="95"/>
      <c r="B572" s="823" t="str">
        <f>'MANO DE OBRA'!B11</f>
        <v>AYUDANTE CUAD. TIPO BB</v>
      </c>
      <c r="C572" s="824"/>
      <c r="D572" s="87">
        <v>1</v>
      </c>
      <c r="E572" s="80">
        <f>'MANO DE OBRA'!E11</f>
        <v>43077</v>
      </c>
      <c r="F572" s="81">
        <v>0.75</v>
      </c>
      <c r="G572" s="110">
        <f>ROUND(D572*E572/F572,0)</f>
        <v>57436</v>
      </c>
    </row>
    <row r="573" spans="1:8">
      <c r="A573" s="95"/>
      <c r="B573" s="835" t="str">
        <f>'MANO DE OBRA'!B16</f>
        <v>OFICIAL CUAD. TIPO BB</v>
      </c>
      <c r="C573" s="836"/>
      <c r="D573" s="37">
        <v>1</v>
      </c>
      <c r="E573" s="82">
        <f>'MANO DE OBRA'!E16</f>
        <v>78577</v>
      </c>
      <c r="F573" s="83">
        <v>0.75</v>
      </c>
      <c r="G573" s="111">
        <f>ROUND(D573*E573/F573,0)</f>
        <v>104769</v>
      </c>
    </row>
    <row r="574" spans="1:8">
      <c r="A574" s="95"/>
      <c r="B574" s="835"/>
      <c r="C574" s="836"/>
      <c r="D574" s="89"/>
      <c r="E574" s="82"/>
      <c r="F574" s="83"/>
      <c r="G574" s="111"/>
    </row>
    <row r="575" spans="1:8">
      <c r="A575" s="95"/>
      <c r="B575" s="835" t="s">
        <v>841</v>
      </c>
      <c r="C575" s="836"/>
      <c r="D575" s="37"/>
      <c r="E575" s="82"/>
      <c r="F575" s="83"/>
      <c r="G575" s="111"/>
    </row>
    <row r="576" spans="1:8" ht="13.5" thickBot="1">
      <c r="A576" s="95"/>
      <c r="B576" s="828" t="s">
        <v>841</v>
      </c>
      <c r="C576" s="829"/>
      <c r="D576" s="77"/>
      <c r="E576" s="82"/>
      <c r="F576" s="86"/>
      <c r="G576" s="112"/>
    </row>
    <row r="577" spans="1:8" ht="14.25" thickTop="1" thickBot="1">
      <c r="A577" s="95"/>
      <c r="B577" s="808"/>
      <c r="C577" s="808"/>
      <c r="D577" s="808"/>
      <c r="E577" s="809"/>
      <c r="F577" s="120" t="s">
        <v>856</v>
      </c>
      <c r="G577" s="118">
        <f>SUM(G572:G576)</f>
        <v>162205</v>
      </c>
    </row>
    <row r="578" spans="1:8" ht="14.25" thickTop="1" thickBot="1">
      <c r="A578" s="95"/>
      <c r="B578" s="810"/>
      <c r="C578" s="810"/>
      <c r="D578" s="810"/>
      <c r="E578" s="810"/>
      <c r="F578" s="810"/>
      <c r="G578" s="810"/>
    </row>
    <row r="579" spans="1:8" ht="13.5" thickTop="1">
      <c r="A579" s="95"/>
      <c r="B579" s="811" t="s">
        <v>321</v>
      </c>
      <c r="C579" s="812"/>
      <c r="D579" s="812"/>
      <c r="E579" s="812"/>
      <c r="F579" s="812"/>
      <c r="G579" s="825"/>
    </row>
    <row r="580" spans="1:8">
      <c r="A580" s="95"/>
      <c r="B580" s="817" t="s">
        <v>838</v>
      </c>
      <c r="C580" s="818"/>
      <c r="D580" s="98" t="s">
        <v>301</v>
      </c>
      <c r="E580" s="98" t="s">
        <v>297</v>
      </c>
      <c r="F580" s="99" t="s">
        <v>839</v>
      </c>
      <c r="G580" s="107" t="s">
        <v>840</v>
      </c>
    </row>
    <row r="581" spans="1:8">
      <c r="A581" s="95"/>
      <c r="B581" s="115"/>
      <c r="C581" s="102"/>
      <c r="D581" s="103" t="s">
        <v>322</v>
      </c>
      <c r="E581" s="103" t="s">
        <v>323</v>
      </c>
      <c r="F581" s="104" t="s">
        <v>324</v>
      </c>
      <c r="G581" s="109" t="s">
        <v>325</v>
      </c>
    </row>
    <row r="582" spans="1:8">
      <c r="A582" s="95"/>
      <c r="B582" s="826"/>
      <c r="C582" s="827"/>
      <c r="D582" s="96"/>
      <c r="E582" s="96"/>
      <c r="F582" s="96"/>
      <c r="G582" s="116"/>
    </row>
    <row r="583" spans="1:8" ht="13.5" thickBot="1">
      <c r="A583" s="95"/>
      <c r="B583" s="828" t="s">
        <v>841</v>
      </c>
      <c r="C583" s="829"/>
      <c r="D583" s="77"/>
      <c r="E583" s="82"/>
      <c r="F583" s="86"/>
      <c r="G583" s="112"/>
    </row>
    <row r="584" spans="1:8" ht="14.25" thickTop="1" thickBot="1">
      <c r="A584" s="95"/>
      <c r="B584" s="808"/>
      <c r="C584" s="808"/>
      <c r="D584" s="808"/>
      <c r="E584" s="809"/>
      <c r="F584" s="120" t="s">
        <v>856</v>
      </c>
      <c r="G584" s="118">
        <f>SUM(G579:G583)</f>
        <v>0</v>
      </c>
    </row>
    <row r="585" spans="1:8" ht="14.25" thickTop="1" thickBot="1">
      <c r="A585" s="95"/>
      <c r="B585" s="810"/>
      <c r="C585" s="810"/>
      <c r="D585" s="810"/>
      <c r="E585" s="810"/>
      <c r="F585" s="810"/>
      <c r="G585" s="834"/>
    </row>
    <row r="586" spans="1:8" ht="13.5" thickTop="1">
      <c r="A586" s="95"/>
      <c r="B586" s="811" t="s">
        <v>326</v>
      </c>
      <c r="C586" s="812"/>
      <c r="D586" s="812"/>
      <c r="E586" s="812"/>
      <c r="F586" s="813"/>
      <c r="G586" s="121">
        <f>+G549+G566+G577</f>
        <v>363075</v>
      </c>
    </row>
    <row r="587" spans="1:8">
      <c r="A587" s="95"/>
      <c r="B587" s="814" t="s">
        <v>861</v>
      </c>
      <c r="C587" s="815"/>
      <c r="D587" s="815"/>
      <c r="E587" s="816"/>
      <c r="F587" s="128">
        <f>'MANO DE OBRA'!D59</f>
        <v>0</v>
      </c>
      <c r="G587" s="122">
        <f>ROUND(G586*F587,0)</f>
        <v>0</v>
      </c>
    </row>
    <row r="588" spans="1:8" ht="13.5" thickBot="1">
      <c r="A588" s="95"/>
      <c r="B588" s="805" t="s">
        <v>1049</v>
      </c>
      <c r="C588" s="806"/>
      <c r="D588" s="806"/>
      <c r="E588" s="806"/>
      <c r="F588" s="807"/>
      <c r="G588" s="118">
        <f>ROUND(G586+G587,-2)</f>
        <v>363100</v>
      </c>
      <c r="H588" s="505" t="s">
        <v>1670</v>
      </c>
    </row>
    <row r="589" spans="1:8" ht="13.5" thickTop="1">
      <c r="A589" s="95"/>
      <c r="B589" s="90" t="s">
        <v>303</v>
      </c>
      <c r="C589" s="843"/>
      <c r="D589" s="843"/>
      <c r="E589" s="843"/>
      <c r="F589" s="92" t="s">
        <v>781</v>
      </c>
      <c r="G589" s="93" t="s">
        <v>865</v>
      </c>
    </row>
    <row r="590" spans="1:8">
      <c r="A590" s="95"/>
      <c r="B590" s="91" t="s">
        <v>834</v>
      </c>
      <c r="C590" s="844" t="s">
        <v>371</v>
      </c>
      <c r="D590" s="844"/>
      <c r="E590" s="844"/>
      <c r="F590" s="15" t="s">
        <v>833</v>
      </c>
      <c r="G590" s="165" t="str">
        <f>'MANO DE OBRA'!D61</f>
        <v>Agosto de 2010</v>
      </c>
    </row>
    <row r="591" spans="1:8" ht="13.5" thickBot="1">
      <c r="A591" s="127"/>
      <c r="B591" s="94" t="s">
        <v>835</v>
      </c>
      <c r="C591" s="845" t="s">
        <v>513</v>
      </c>
      <c r="D591" s="845"/>
      <c r="E591" s="845"/>
      <c r="F591" s="845"/>
      <c r="G591" s="846"/>
    </row>
    <row r="592" spans="1:8" ht="14.25" thickTop="1" thickBot="1">
      <c r="A592" s="95"/>
      <c r="B592" s="847"/>
      <c r="C592" s="847"/>
      <c r="D592" s="847"/>
      <c r="E592" s="847"/>
      <c r="F592" s="847"/>
      <c r="G592" s="847"/>
    </row>
    <row r="593" spans="1:7" ht="13.5" thickTop="1">
      <c r="A593" s="95"/>
      <c r="B593" s="811" t="s">
        <v>304</v>
      </c>
      <c r="C593" s="812"/>
      <c r="D593" s="812"/>
      <c r="E593" s="812"/>
      <c r="F593" s="812"/>
      <c r="G593" s="825"/>
    </row>
    <row r="594" spans="1:7">
      <c r="A594" s="95"/>
      <c r="B594" s="105"/>
      <c r="C594" s="97"/>
      <c r="D594" s="98" t="s">
        <v>301</v>
      </c>
      <c r="E594" s="98" t="s">
        <v>1072</v>
      </c>
      <c r="F594" s="99" t="s">
        <v>839</v>
      </c>
      <c r="G594" s="107" t="s">
        <v>840</v>
      </c>
    </row>
    <row r="595" spans="1:7">
      <c r="A595" s="95"/>
      <c r="B595" s="821" t="s">
        <v>838</v>
      </c>
      <c r="C595" s="822"/>
      <c r="D595" s="100" t="s">
        <v>308</v>
      </c>
      <c r="E595" s="100" t="s">
        <v>305</v>
      </c>
      <c r="F595" s="101" t="s">
        <v>306</v>
      </c>
      <c r="G595" s="108" t="s">
        <v>310</v>
      </c>
    </row>
    <row r="596" spans="1:7">
      <c r="A596" s="95"/>
      <c r="B596" s="115"/>
      <c r="C596" s="102"/>
      <c r="D596" s="103"/>
      <c r="E596" s="103" t="s">
        <v>309</v>
      </c>
      <c r="F596" s="104" t="s">
        <v>307</v>
      </c>
      <c r="G596" s="109"/>
    </row>
    <row r="597" spans="1:7">
      <c r="A597" s="127"/>
      <c r="B597" s="823" t="str">
        <f>'MAQUINARIA Y EQUIPOS'!C28</f>
        <v>HERRAMIENTAS MENORES</v>
      </c>
      <c r="C597" s="824"/>
      <c r="D597" s="87">
        <v>1</v>
      </c>
      <c r="E597" s="82">
        <f>ROUND(G630*0.05,0)</f>
        <v>8110</v>
      </c>
      <c r="F597" s="81">
        <v>1</v>
      </c>
      <c r="G597" s="110">
        <f>ROUND(D597*E597/F597,0)</f>
        <v>8110</v>
      </c>
    </row>
    <row r="598" spans="1:7">
      <c r="A598" s="95"/>
      <c r="B598" s="835"/>
      <c r="C598" s="836"/>
      <c r="D598" s="37"/>
      <c r="E598" s="82"/>
      <c r="F598" s="83"/>
      <c r="G598" s="111"/>
    </row>
    <row r="599" spans="1:7">
      <c r="A599" s="95"/>
      <c r="B599" s="835"/>
      <c r="C599" s="836"/>
      <c r="D599" s="37"/>
      <c r="E599" s="82"/>
      <c r="F599" s="83"/>
      <c r="G599" s="111"/>
    </row>
    <row r="600" spans="1:7">
      <c r="A600" s="95"/>
      <c r="B600" s="835"/>
      <c r="C600" s="836"/>
      <c r="D600" s="37"/>
      <c r="E600" s="82"/>
      <c r="F600" s="83"/>
      <c r="G600" s="111"/>
    </row>
    <row r="601" spans="1:7" ht="13.5" thickBot="1">
      <c r="A601" s="95"/>
      <c r="B601" s="835"/>
      <c r="C601" s="836"/>
      <c r="D601" s="77"/>
      <c r="E601" s="82"/>
      <c r="F601" s="86"/>
      <c r="G601" s="111"/>
    </row>
    <row r="602" spans="1:7" ht="14.25" thickTop="1" thickBot="1">
      <c r="A602" s="95"/>
      <c r="B602" s="808"/>
      <c r="C602" s="808"/>
      <c r="D602" s="808"/>
      <c r="E602" s="809"/>
      <c r="F602" s="119" t="s">
        <v>856</v>
      </c>
      <c r="G602" s="118">
        <f>SUM(G597:G601)</f>
        <v>8110</v>
      </c>
    </row>
    <row r="603" spans="1:7" ht="14.25" thickTop="1" thickBot="1">
      <c r="A603" s="95"/>
      <c r="B603" s="830"/>
      <c r="C603" s="830"/>
      <c r="D603" s="830"/>
      <c r="E603" s="830"/>
      <c r="F603" s="830"/>
      <c r="G603" s="830"/>
    </row>
    <row r="604" spans="1:7" ht="13.5" thickTop="1">
      <c r="A604" s="95"/>
      <c r="B604" s="811" t="s">
        <v>311</v>
      </c>
      <c r="C604" s="812"/>
      <c r="D604" s="812"/>
      <c r="E604" s="812"/>
      <c r="F604" s="812"/>
      <c r="G604" s="825"/>
    </row>
    <row r="605" spans="1:7">
      <c r="A605" s="95"/>
      <c r="B605" s="817" t="s">
        <v>838</v>
      </c>
      <c r="C605" s="818"/>
      <c r="D605" s="98" t="s">
        <v>842</v>
      </c>
      <c r="E605" s="98" t="s">
        <v>853</v>
      </c>
      <c r="F605" s="99" t="s">
        <v>1047</v>
      </c>
      <c r="G605" s="107" t="s">
        <v>840</v>
      </c>
    </row>
    <row r="606" spans="1:7">
      <c r="A606" s="95"/>
      <c r="B606" s="115"/>
      <c r="C606" s="102"/>
      <c r="D606" s="100"/>
      <c r="E606" s="100" t="s">
        <v>312</v>
      </c>
      <c r="F606" s="101" t="s">
        <v>313</v>
      </c>
      <c r="G606" s="108" t="s">
        <v>314</v>
      </c>
    </row>
    <row r="607" spans="1:7">
      <c r="A607" s="125"/>
      <c r="B607" s="841" t="str">
        <f>MATERIALES2!C353</f>
        <v>TANQUE CILINDRICO A.C. 1000 LTS</v>
      </c>
      <c r="C607" s="842"/>
      <c r="D607" s="87" t="s">
        <v>865</v>
      </c>
      <c r="E607" s="81">
        <v>1</v>
      </c>
      <c r="F607" s="80">
        <f>MATERIALES2!E353</f>
        <v>222364</v>
      </c>
      <c r="G607" s="110">
        <f t="shared" ref="G607:G616" si="11">ROUND(E607*F607,0)</f>
        <v>222364</v>
      </c>
    </row>
    <row r="608" spans="1:7">
      <c r="A608" s="123"/>
      <c r="B608" s="854" t="str">
        <f>MATERIALES2!C674</f>
        <v>CODO PRESION ½"</v>
      </c>
      <c r="C608" s="855"/>
      <c r="D608" s="37" t="s">
        <v>865</v>
      </c>
      <c r="E608" s="83">
        <v>11</v>
      </c>
      <c r="F608" s="82">
        <f>MATERIALES2!E674</f>
        <v>200</v>
      </c>
      <c r="G608" s="111">
        <f t="shared" si="11"/>
        <v>2200</v>
      </c>
    </row>
    <row r="609" spans="1:8">
      <c r="A609" s="95"/>
      <c r="B609" s="854" t="str">
        <f>MATERIALES2!C704</f>
        <v>SOLDADURA PVC ¼</v>
      </c>
      <c r="C609" s="855"/>
      <c r="D609" s="37" t="s">
        <v>865</v>
      </c>
      <c r="E609" s="143">
        <v>0.1</v>
      </c>
      <c r="F609" s="82">
        <f>MATERIALES2!E704</f>
        <v>56298</v>
      </c>
      <c r="G609" s="111">
        <f t="shared" si="11"/>
        <v>5630</v>
      </c>
    </row>
    <row r="610" spans="1:8">
      <c r="A610" s="95"/>
      <c r="B610" s="854" t="str">
        <f>MATERIALES2!C677</f>
        <v>CODO PRESION 1"</v>
      </c>
      <c r="C610" s="855"/>
      <c r="D610" s="37" t="s">
        <v>865</v>
      </c>
      <c r="E610" s="83">
        <v>6</v>
      </c>
      <c r="F610" s="82">
        <f>MATERIALES2!E677</f>
        <v>600</v>
      </c>
      <c r="G610" s="111">
        <f t="shared" si="11"/>
        <v>3600</v>
      </c>
    </row>
    <row r="611" spans="1:8">
      <c r="A611" s="95"/>
      <c r="B611" s="854" t="str">
        <f>MATERIALES2!C749</f>
        <v>UNIVERSAL LISA 1"</v>
      </c>
      <c r="C611" s="855"/>
      <c r="D611" s="37" t="s">
        <v>865</v>
      </c>
      <c r="E611" s="83">
        <v>1</v>
      </c>
      <c r="F611" s="82">
        <f>MATERIALES2!E749</f>
        <v>3000</v>
      </c>
      <c r="G611" s="111">
        <f t="shared" si="11"/>
        <v>3000</v>
      </c>
    </row>
    <row r="612" spans="1:8">
      <c r="A612" s="95"/>
      <c r="B612" s="854" t="str">
        <f>MATERIALES2!C750</f>
        <v>UNIVERSAL LISA 1/2"</v>
      </c>
      <c r="C612" s="855"/>
      <c r="D612" s="37" t="s">
        <v>865</v>
      </c>
      <c r="E612" s="83">
        <v>2</v>
      </c>
      <c r="F612" s="82">
        <f>MATERIALES2!E750</f>
        <v>1100</v>
      </c>
      <c r="G612" s="111">
        <f t="shared" si="11"/>
        <v>2200</v>
      </c>
    </row>
    <row r="613" spans="1:8">
      <c r="A613" s="95"/>
      <c r="B613" s="854" t="str">
        <f>MATERIALES2!C585</f>
        <v>TUBO PVC PRESION 1/2" x 6.0 M</v>
      </c>
      <c r="C613" s="855"/>
      <c r="D613" s="37" t="s">
        <v>865</v>
      </c>
      <c r="E613" s="83">
        <v>0.83</v>
      </c>
      <c r="F613" s="82">
        <f>MATERIALES2!E585</f>
        <v>6000</v>
      </c>
      <c r="G613" s="111">
        <f t="shared" si="11"/>
        <v>4980</v>
      </c>
    </row>
    <row r="614" spans="1:8">
      <c r="A614" s="95"/>
      <c r="B614" s="854" t="str">
        <f>MATERIALES2!C587</f>
        <v>TUBO PVC PRESION 1" x 6.0 M</v>
      </c>
      <c r="C614" s="855"/>
      <c r="D614" s="37" t="s">
        <v>865</v>
      </c>
      <c r="E614" s="83">
        <v>0.5</v>
      </c>
      <c r="F614" s="82">
        <f>MATERIALES2!E587</f>
        <v>9700</v>
      </c>
      <c r="G614" s="111">
        <f t="shared" si="11"/>
        <v>4850</v>
      </c>
    </row>
    <row r="615" spans="1:8">
      <c r="A615" s="95"/>
      <c r="B615" s="854" t="str">
        <f>MATERIALES2!C903</f>
        <v>LLAVE DE PASO 1/2"</v>
      </c>
      <c r="C615" s="855"/>
      <c r="D615" s="37" t="s">
        <v>865</v>
      </c>
      <c r="E615" s="83">
        <v>2</v>
      </c>
      <c r="F615" s="82">
        <f>MATERIALES2!E903</f>
        <v>10000</v>
      </c>
      <c r="G615" s="111">
        <f t="shared" si="11"/>
        <v>20000</v>
      </c>
      <c r="H615" s="505" t="s">
        <v>1670</v>
      </c>
    </row>
    <row r="616" spans="1:8" ht="13.5" thickBot="1">
      <c r="A616" s="95"/>
      <c r="B616" s="854" t="str">
        <f>MATERIALES2!C905</f>
        <v>LLAVE DE PASO 1"</v>
      </c>
      <c r="C616" s="855"/>
      <c r="D616" s="37" t="s">
        <v>865</v>
      </c>
      <c r="E616" s="83">
        <v>1</v>
      </c>
      <c r="F616" s="82">
        <f>MATERIALES2!E905</f>
        <v>36000</v>
      </c>
      <c r="G616" s="111">
        <f t="shared" si="11"/>
        <v>36000</v>
      </c>
    </row>
    <row r="617" spans="1:8" ht="13.5" thickTop="1">
      <c r="A617" s="95"/>
      <c r="B617" s="946"/>
      <c r="C617" s="947"/>
      <c r="D617" s="801" t="s">
        <v>856</v>
      </c>
      <c r="E617" s="802"/>
      <c r="F617" s="9"/>
      <c r="G617" s="113">
        <f>SUM(G607:G616)</f>
        <v>304824</v>
      </c>
    </row>
    <row r="618" spans="1:8">
      <c r="A618" s="95"/>
      <c r="B618" s="948"/>
      <c r="C618" s="949"/>
      <c r="D618" s="801" t="s">
        <v>857</v>
      </c>
      <c r="E618" s="802"/>
      <c r="F618" s="79">
        <f>'MANO DE OBRA'!D60</f>
        <v>0.05</v>
      </c>
      <c r="G618" s="113">
        <f>ROUND(G617*F618,0)</f>
        <v>15241</v>
      </c>
    </row>
    <row r="619" spans="1:8" ht="13.5" thickBot="1">
      <c r="A619" s="95"/>
      <c r="B619" s="948"/>
      <c r="C619" s="949"/>
      <c r="D619" s="803" t="s">
        <v>320</v>
      </c>
      <c r="E619" s="804"/>
      <c r="F619" s="114"/>
      <c r="G619" s="118">
        <f>+G617+G618</f>
        <v>320065</v>
      </c>
    </row>
    <row r="620" spans="1:8" ht="14.25" thickTop="1" thickBot="1">
      <c r="A620" s="95"/>
      <c r="B620" s="830"/>
      <c r="C620" s="830"/>
      <c r="D620" s="830"/>
      <c r="E620" s="830"/>
      <c r="F620" s="830"/>
      <c r="G620" s="830"/>
    </row>
    <row r="621" spans="1:8" ht="13.5" thickTop="1">
      <c r="A621" s="95"/>
      <c r="B621" s="811" t="s">
        <v>858</v>
      </c>
      <c r="C621" s="812"/>
      <c r="D621" s="812"/>
      <c r="E621" s="812"/>
      <c r="F621" s="812"/>
      <c r="G621" s="825"/>
    </row>
    <row r="622" spans="1:8">
      <c r="A622" s="95"/>
      <c r="B622" s="817"/>
      <c r="C622" s="818"/>
      <c r="D622" s="98" t="s">
        <v>301</v>
      </c>
      <c r="E622" s="98" t="s">
        <v>859</v>
      </c>
      <c r="F622" s="99" t="s">
        <v>839</v>
      </c>
      <c r="G622" s="107" t="s">
        <v>840</v>
      </c>
    </row>
    <row r="623" spans="1:8">
      <c r="A623" s="95"/>
      <c r="B623" s="821" t="s">
        <v>838</v>
      </c>
      <c r="C623" s="822"/>
      <c r="D623" s="100" t="s">
        <v>316</v>
      </c>
      <c r="E623" s="100" t="s">
        <v>315</v>
      </c>
      <c r="F623" s="101" t="s">
        <v>306</v>
      </c>
      <c r="G623" s="108" t="s">
        <v>319</v>
      </c>
    </row>
    <row r="624" spans="1:8">
      <c r="A624" s="95"/>
      <c r="B624" s="115"/>
      <c r="C624" s="102"/>
      <c r="D624" s="103"/>
      <c r="E624" s="103" t="s">
        <v>317</v>
      </c>
      <c r="F624" s="104" t="s">
        <v>318</v>
      </c>
      <c r="G624" s="109"/>
    </row>
    <row r="625" spans="1:7">
      <c r="A625" s="95"/>
      <c r="B625" s="823" t="str">
        <f>'MANO DE OBRA'!B11</f>
        <v>AYUDANTE CUAD. TIPO BB</v>
      </c>
      <c r="C625" s="824"/>
      <c r="D625" s="87">
        <v>1</v>
      </c>
      <c r="E625" s="80">
        <f>'MANO DE OBRA'!E11</f>
        <v>43077</v>
      </c>
      <c r="F625" s="81">
        <v>0.75</v>
      </c>
      <c r="G625" s="110">
        <f>ROUND(D625*E625/F625,0)</f>
        <v>57436</v>
      </c>
    </row>
    <row r="626" spans="1:7">
      <c r="A626" s="95"/>
      <c r="B626" s="835" t="str">
        <f>'MANO DE OBRA'!B16</f>
        <v>OFICIAL CUAD. TIPO BB</v>
      </c>
      <c r="C626" s="836"/>
      <c r="D626" s="37">
        <v>1</v>
      </c>
      <c r="E626" s="82">
        <f>'MANO DE OBRA'!E16</f>
        <v>78577</v>
      </c>
      <c r="F626" s="83">
        <v>0.75</v>
      </c>
      <c r="G626" s="111">
        <f>ROUND(D626*E626/F626,0)</f>
        <v>104769</v>
      </c>
    </row>
    <row r="627" spans="1:7">
      <c r="A627" s="95"/>
      <c r="B627" s="835"/>
      <c r="C627" s="836"/>
      <c r="D627" s="89"/>
      <c r="E627" s="82"/>
      <c r="F627" s="83"/>
      <c r="G627" s="111"/>
    </row>
    <row r="628" spans="1:7">
      <c r="A628" s="95"/>
      <c r="B628" s="835" t="s">
        <v>841</v>
      </c>
      <c r="C628" s="836"/>
      <c r="D628" s="37"/>
      <c r="E628" s="82"/>
      <c r="F628" s="83"/>
      <c r="G628" s="111"/>
    </row>
    <row r="629" spans="1:7" ht="13.5" thickBot="1">
      <c r="A629" s="95"/>
      <c r="B629" s="828" t="s">
        <v>841</v>
      </c>
      <c r="C629" s="829"/>
      <c r="D629" s="77"/>
      <c r="E629" s="82"/>
      <c r="F629" s="86"/>
      <c r="G629" s="112"/>
    </row>
    <row r="630" spans="1:7" ht="14.25" thickTop="1" thickBot="1">
      <c r="A630" s="95"/>
      <c r="B630" s="808"/>
      <c r="C630" s="808"/>
      <c r="D630" s="808"/>
      <c r="E630" s="809"/>
      <c r="F630" s="120" t="s">
        <v>856</v>
      </c>
      <c r="G630" s="118">
        <f>SUM(G625:G629)</f>
        <v>162205</v>
      </c>
    </row>
    <row r="631" spans="1:7" ht="14.25" thickTop="1" thickBot="1">
      <c r="A631" s="95"/>
      <c r="B631" s="810"/>
      <c r="C631" s="810"/>
      <c r="D631" s="810"/>
      <c r="E631" s="810"/>
      <c r="F631" s="810"/>
      <c r="G631" s="810"/>
    </row>
    <row r="632" spans="1:7" ht="13.5" thickTop="1">
      <c r="A632" s="95"/>
      <c r="B632" s="811" t="s">
        <v>321</v>
      </c>
      <c r="C632" s="812"/>
      <c r="D632" s="812"/>
      <c r="E632" s="812"/>
      <c r="F632" s="812"/>
      <c r="G632" s="825"/>
    </row>
    <row r="633" spans="1:7">
      <c r="A633" s="95"/>
      <c r="B633" s="817" t="s">
        <v>838</v>
      </c>
      <c r="C633" s="818"/>
      <c r="D633" s="98" t="s">
        <v>301</v>
      </c>
      <c r="E633" s="98" t="s">
        <v>297</v>
      </c>
      <c r="F633" s="99" t="s">
        <v>839</v>
      </c>
      <c r="G633" s="107" t="s">
        <v>840</v>
      </c>
    </row>
    <row r="634" spans="1:7">
      <c r="A634" s="95"/>
      <c r="B634" s="115"/>
      <c r="C634" s="102"/>
      <c r="D634" s="103" t="s">
        <v>322</v>
      </c>
      <c r="E634" s="103" t="s">
        <v>323</v>
      </c>
      <c r="F634" s="104" t="s">
        <v>324</v>
      </c>
      <c r="G634" s="109" t="s">
        <v>325</v>
      </c>
    </row>
    <row r="635" spans="1:7">
      <c r="A635" s="95"/>
      <c r="B635" s="826"/>
      <c r="C635" s="827"/>
      <c r="D635" s="96"/>
      <c r="E635" s="96"/>
      <c r="F635" s="96"/>
      <c r="G635" s="116"/>
    </row>
    <row r="636" spans="1:7" ht="13.5" thickBot="1">
      <c r="A636" s="95"/>
      <c r="B636" s="828" t="s">
        <v>841</v>
      </c>
      <c r="C636" s="829"/>
      <c r="D636" s="77"/>
      <c r="E636" s="82"/>
      <c r="F636" s="86"/>
      <c r="G636" s="112"/>
    </row>
    <row r="637" spans="1:7" ht="14.25" thickTop="1" thickBot="1">
      <c r="A637" s="95"/>
      <c r="B637" s="808"/>
      <c r="C637" s="808"/>
      <c r="D637" s="808"/>
      <c r="E637" s="809"/>
      <c r="F637" s="120" t="s">
        <v>856</v>
      </c>
      <c r="G637" s="118">
        <f>SUM(G632:G636)</f>
        <v>0</v>
      </c>
    </row>
    <row r="638" spans="1:7" ht="14.25" thickTop="1" thickBot="1">
      <c r="A638" s="95"/>
      <c r="B638" s="810"/>
      <c r="C638" s="810"/>
      <c r="D638" s="810"/>
      <c r="E638" s="810"/>
      <c r="F638" s="810"/>
      <c r="G638" s="834"/>
    </row>
    <row r="639" spans="1:7" ht="13.5" thickTop="1">
      <c r="A639" s="95"/>
      <c r="B639" s="811" t="s">
        <v>326</v>
      </c>
      <c r="C639" s="812"/>
      <c r="D639" s="812"/>
      <c r="E639" s="812"/>
      <c r="F639" s="813"/>
      <c r="G639" s="121">
        <f>+G602+G619+G630</f>
        <v>490380</v>
      </c>
    </row>
    <row r="640" spans="1:7">
      <c r="A640" s="95"/>
      <c r="B640" s="814" t="s">
        <v>861</v>
      </c>
      <c r="C640" s="815"/>
      <c r="D640" s="815"/>
      <c r="E640" s="816"/>
      <c r="F640" s="128">
        <f>'MANO DE OBRA'!D59</f>
        <v>0</v>
      </c>
      <c r="G640" s="122">
        <f>ROUND(G639*F640,0)</f>
        <v>0</v>
      </c>
    </row>
    <row r="641" spans="1:8" ht="13.5" thickBot="1">
      <c r="A641" s="95"/>
      <c r="B641" s="805" t="s">
        <v>1049</v>
      </c>
      <c r="C641" s="806"/>
      <c r="D641" s="806"/>
      <c r="E641" s="806"/>
      <c r="F641" s="807"/>
      <c r="G641" s="118">
        <f>ROUND(G639+G640,-2)</f>
        <v>490400</v>
      </c>
      <c r="H641" s="505" t="s">
        <v>1670</v>
      </c>
    </row>
    <row r="642" spans="1:8" ht="13.5" thickTop="1">
      <c r="A642" s="95"/>
      <c r="B642" s="90" t="s">
        <v>303</v>
      </c>
      <c r="C642" s="843"/>
      <c r="D642" s="843"/>
      <c r="E642" s="843"/>
      <c r="F642" s="92" t="s">
        <v>781</v>
      </c>
      <c r="G642" s="93" t="s">
        <v>865</v>
      </c>
    </row>
    <row r="643" spans="1:8">
      <c r="A643" s="95"/>
      <c r="B643" s="91" t="s">
        <v>834</v>
      </c>
      <c r="C643" s="844" t="s">
        <v>371</v>
      </c>
      <c r="D643" s="844"/>
      <c r="E643" s="844"/>
      <c r="F643" s="15" t="s">
        <v>833</v>
      </c>
      <c r="G643" s="165" t="str">
        <f>'MANO DE OBRA'!D61</f>
        <v>Agosto de 2010</v>
      </c>
    </row>
    <row r="644" spans="1:8" ht="13.5" thickBot="1">
      <c r="A644" s="127"/>
      <c r="B644" s="94" t="s">
        <v>835</v>
      </c>
      <c r="C644" s="845" t="s">
        <v>777</v>
      </c>
      <c r="D644" s="845"/>
      <c r="E644" s="845"/>
      <c r="F644" s="845"/>
      <c r="G644" s="846"/>
    </row>
    <row r="645" spans="1:8" ht="14.25" thickTop="1" thickBot="1">
      <c r="A645" s="95"/>
      <c r="B645" s="847"/>
      <c r="C645" s="847"/>
      <c r="D645" s="847"/>
      <c r="E645" s="847"/>
      <c r="F645" s="847"/>
      <c r="G645" s="847"/>
    </row>
    <row r="646" spans="1:8" ht="13.5" thickTop="1">
      <c r="A646" s="95"/>
      <c r="B646" s="811" t="s">
        <v>304</v>
      </c>
      <c r="C646" s="812"/>
      <c r="D646" s="812"/>
      <c r="E646" s="812"/>
      <c r="F646" s="812"/>
      <c r="G646" s="825"/>
    </row>
    <row r="647" spans="1:8">
      <c r="A647" s="95"/>
      <c r="B647" s="105"/>
      <c r="C647" s="97"/>
      <c r="D647" s="98" t="s">
        <v>301</v>
      </c>
      <c r="E647" s="98" t="s">
        <v>1072</v>
      </c>
      <c r="F647" s="99" t="s">
        <v>839</v>
      </c>
      <c r="G647" s="107" t="s">
        <v>840</v>
      </c>
    </row>
    <row r="648" spans="1:8">
      <c r="A648" s="95"/>
      <c r="B648" s="821" t="s">
        <v>838</v>
      </c>
      <c r="C648" s="822"/>
      <c r="D648" s="100" t="s">
        <v>308</v>
      </c>
      <c r="E648" s="100" t="s">
        <v>305</v>
      </c>
      <c r="F648" s="101" t="s">
        <v>306</v>
      </c>
      <c r="G648" s="108" t="s">
        <v>310</v>
      </c>
    </row>
    <row r="649" spans="1:8">
      <c r="A649" s="95"/>
      <c r="B649" s="115"/>
      <c r="C649" s="102"/>
      <c r="D649" s="103"/>
      <c r="E649" s="103" t="s">
        <v>309</v>
      </c>
      <c r="F649" s="104" t="s">
        <v>307</v>
      </c>
      <c r="G649" s="109"/>
    </row>
    <row r="650" spans="1:8">
      <c r="A650" s="127"/>
      <c r="B650" s="823" t="str">
        <f>'MAQUINARIA Y EQUIPOS'!C28</f>
        <v>HERRAMIENTAS MENORES</v>
      </c>
      <c r="C650" s="824"/>
      <c r="D650" s="87">
        <v>1</v>
      </c>
      <c r="E650" s="82">
        <f>ROUND(G683*0.05,0)</f>
        <v>8110</v>
      </c>
      <c r="F650" s="81">
        <v>1</v>
      </c>
      <c r="G650" s="110">
        <f>ROUND(D650*E650/F650,0)</f>
        <v>8110</v>
      </c>
    </row>
    <row r="651" spans="1:8">
      <c r="A651" s="95"/>
      <c r="B651" s="835"/>
      <c r="C651" s="836"/>
      <c r="D651" s="37"/>
      <c r="E651" s="82"/>
      <c r="F651" s="83"/>
      <c r="G651" s="111"/>
    </row>
    <row r="652" spans="1:8">
      <c r="A652" s="95"/>
      <c r="B652" s="835"/>
      <c r="C652" s="836"/>
      <c r="D652" s="37"/>
      <c r="E652" s="82"/>
      <c r="F652" s="83"/>
      <c r="G652" s="111"/>
    </row>
    <row r="653" spans="1:8">
      <c r="A653" s="95"/>
      <c r="B653" s="835"/>
      <c r="C653" s="836"/>
      <c r="D653" s="37"/>
      <c r="E653" s="82"/>
      <c r="F653" s="83"/>
      <c r="G653" s="111"/>
    </row>
    <row r="654" spans="1:8" ht="13.5" thickBot="1">
      <c r="A654" s="95"/>
      <c r="B654" s="835"/>
      <c r="C654" s="836"/>
      <c r="D654" s="77"/>
      <c r="E654" s="82"/>
      <c r="F654" s="86"/>
      <c r="G654" s="111"/>
    </row>
    <row r="655" spans="1:8" ht="14.25" thickTop="1" thickBot="1">
      <c r="A655" s="95"/>
      <c r="B655" s="808"/>
      <c r="C655" s="808"/>
      <c r="D655" s="808"/>
      <c r="E655" s="809"/>
      <c r="F655" s="119" t="s">
        <v>856</v>
      </c>
      <c r="G655" s="118">
        <f>SUM(G650:G654)</f>
        <v>8110</v>
      </c>
    </row>
    <row r="656" spans="1:8" ht="14.25" thickTop="1" thickBot="1">
      <c r="A656" s="95"/>
      <c r="B656" s="830"/>
      <c r="C656" s="830"/>
      <c r="D656" s="830"/>
      <c r="E656" s="830"/>
      <c r="F656" s="830"/>
      <c r="G656" s="830"/>
    </row>
    <row r="657" spans="1:8" ht="13.5" thickTop="1">
      <c r="A657" s="95"/>
      <c r="B657" s="811" t="s">
        <v>311</v>
      </c>
      <c r="C657" s="812"/>
      <c r="D657" s="812"/>
      <c r="E657" s="812"/>
      <c r="F657" s="812"/>
      <c r="G657" s="825"/>
    </row>
    <row r="658" spans="1:8">
      <c r="A658" s="95"/>
      <c r="B658" s="817" t="s">
        <v>838</v>
      </c>
      <c r="C658" s="818"/>
      <c r="D658" s="98" t="s">
        <v>842</v>
      </c>
      <c r="E658" s="98" t="s">
        <v>853</v>
      </c>
      <c r="F658" s="99" t="s">
        <v>1047</v>
      </c>
      <c r="G658" s="107" t="s">
        <v>840</v>
      </c>
    </row>
    <row r="659" spans="1:8">
      <c r="A659" s="95"/>
      <c r="B659" s="115"/>
      <c r="C659" s="102"/>
      <c r="D659" s="100"/>
      <c r="E659" s="100" t="s">
        <v>312</v>
      </c>
      <c r="F659" s="101" t="s">
        <v>313</v>
      </c>
      <c r="G659" s="108" t="s">
        <v>314</v>
      </c>
    </row>
    <row r="660" spans="1:8">
      <c r="A660" s="125"/>
      <c r="B660" s="841" t="str">
        <f>MATERIALES2!C354</f>
        <v>TANQUE PLASTICO AJOVER K-250  LTS C/TAPA S/CONEXIONES. S/GRIFER</v>
      </c>
      <c r="C660" s="842"/>
      <c r="D660" s="87" t="s">
        <v>865</v>
      </c>
      <c r="E660" s="81">
        <v>1</v>
      </c>
      <c r="F660" s="80">
        <f>MATERIALES2!E354</f>
        <v>71000</v>
      </c>
      <c r="G660" s="110">
        <f t="shared" ref="G660:G669" si="12">ROUND(E660*F660,0)</f>
        <v>71000</v>
      </c>
    </row>
    <row r="661" spans="1:8">
      <c r="A661" s="123"/>
      <c r="B661" s="854" t="str">
        <f>MATERIALES2!C674</f>
        <v>CODO PRESION ½"</v>
      </c>
      <c r="C661" s="855"/>
      <c r="D661" s="37" t="s">
        <v>865</v>
      </c>
      <c r="E661" s="83">
        <v>11</v>
      </c>
      <c r="F661" s="82">
        <f>MATERIALES2!E674</f>
        <v>200</v>
      </c>
      <c r="G661" s="111">
        <f t="shared" si="12"/>
        <v>2200</v>
      </c>
    </row>
    <row r="662" spans="1:8">
      <c r="A662" s="95"/>
      <c r="B662" s="854" t="str">
        <f>MATERIALES2!C704</f>
        <v>SOLDADURA PVC ¼</v>
      </c>
      <c r="C662" s="855"/>
      <c r="D662" s="37" t="s">
        <v>865</v>
      </c>
      <c r="E662" s="143">
        <v>0.1</v>
      </c>
      <c r="F662" s="82">
        <f>MATERIALES2!E704</f>
        <v>56298</v>
      </c>
      <c r="G662" s="111">
        <f t="shared" si="12"/>
        <v>5630</v>
      </c>
    </row>
    <row r="663" spans="1:8">
      <c r="A663" s="95"/>
      <c r="B663" s="854" t="str">
        <f>MATERIALES2!C677</f>
        <v>CODO PRESION 1"</v>
      </c>
      <c r="C663" s="855"/>
      <c r="D663" s="37" t="s">
        <v>865</v>
      </c>
      <c r="E663" s="83">
        <v>6</v>
      </c>
      <c r="F663" s="82">
        <f>MATERIALES2!E677</f>
        <v>600</v>
      </c>
      <c r="G663" s="111">
        <f t="shared" si="12"/>
        <v>3600</v>
      </c>
    </row>
    <row r="664" spans="1:8">
      <c r="A664" s="95"/>
      <c r="B664" s="854" t="str">
        <f>MATERIALES2!C749</f>
        <v>UNIVERSAL LISA 1"</v>
      </c>
      <c r="C664" s="855"/>
      <c r="D664" s="37" t="s">
        <v>865</v>
      </c>
      <c r="E664" s="83">
        <v>1</v>
      </c>
      <c r="F664" s="82">
        <f>MATERIALES2!E749</f>
        <v>3000</v>
      </c>
      <c r="G664" s="111">
        <f t="shared" si="12"/>
        <v>3000</v>
      </c>
    </row>
    <row r="665" spans="1:8">
      <c r="A665" s="95"/>
      <c r="B665" s="854" t="str">
        <f>MATERIALES2!C750</f>
        <v>UNIVERSAL LISA 1/2"</v>
      </c>
      <c r="C665" s="855"/>
      <c r="D665" s="37" t="s">
        <v>865</v>
      </c>
      <c r="E665" s="83">
        <v>2</v>
      </c>
      <c r="F665" s="82">
        <f>MATERIALES2!E750</f>
        <v>1100</v>
      </c>
      <c r="G665" s="111">
        <f t="shared" si="12"/>
        <v>2200</v>
      </c>
    </row>
    <row r="666" spans="1:8">
      <c r="A666" s="95"/>
      <c r="B666" s="854" t="str">
        <f>MATERIALES2!C585</f>
        <v>TUBO PVC PRESION 1/2" x 6.0 M</v>
      </c>
      <c r="C666" s="855"/>
      <c r="D666" s="37" t="s">
        <v>865</v>
      </c>
      <c r="E666" s="83">
        <v>0.83</v>
      </c>
      <c r="F666" s="82">
        <f>MATERIALES2!E585</f>
        <v>6000</v>
      </c>
      <c r="G666" s="111">
        <f t="shared" si="12"/>
        <v>4980</v>
      </c>
    </row>
    <row r="667" spans="1:8">
      <c r="A667" s="95"/>
      <c r="B667" s="854" t="str">
        <f>MATERIALES2!C587</f>
        <v>TUBO PVC PRESION 1" x 6.0 M</v>
      </c>
      <c r="C667" s="855"/>
      <c r="D667" s="37" t="s">
        <v>865</v>
      </c>
      <c r="E667" s="83">
        <v>0.5</v>
      </c>
      <c r="F667" s="82">
        <f>MATERIALES2!E587</f>
        <v>9700</v>
      </c>
      <c r="G667" s="111">
        <f t="shared" si="12"/>
        <v>4850</v>
      </c>
    </row>
    <row r="668" spans="1:8">
      <c r="A668" s="95"/>
      <c r="B668" s="854" t="str">
        <f>MATERIALES2!C903</f>
        <v>LLAVE DE PASO 1/2"</v>
      </c>
      <c r="C668" s="855"/>
      <c r="D668" s="37" t="s">
        <v>865</v>
      </c>
      <c r="E668" s="83">
        <v>2</v>
      </c>
      <c r="F668" s="82">
        <f>MATERIALES2!E903</f>
        <v>10000</v>
      </c>
      <c r="G668" s="111">
        <f t="shared" si="12"/>
        <v>20000</v>
      </c>
      <c r="H668" s="505" t="s">
        <v>1670</v>
      </c>
    </row>
    <row r="669" spans="1:8" ht="13.5" thickBot="1">
      <c r="A669" s="95"/>
      <c r="B669" s="854" t="str">
        <f>MATERIALES2!C905</f>
        <v>LLAVE DE PASO 1"</v>
      </c>
      <c r="C669" s="855"/>
      <c r="D669" s="37" t="s">
        <v>865</v>
      </c>
      <c r="E669" s="83">
        <v>1</v>
      </c>
      <c r="F669" s="82">
        <f>MATERIALES2!E905</f>
        <v>36000</v>
      </c>
      <c r="G669" s="111">
        <f t="shared" si="12"/>
        <v>36000</v>
      </c>
    </row>
    <row r="670" spans="1:8" ht="13.5" thickTop="1">
      <c r="A670" s="95"/>
      <c r="B670" s="808"/>
      <c r="C670" s="809"/>
      <c r="D670" s="801" t="s">
        <v>856</v>
      </c>
      <c r="E670" s="802"/>
      <c r="F670" s="9"/>
      <c r="G670" s="113">
        <f>SUM(G660:G669)</f>
        <v>153460</v>
      </c>
    </row>
    <row r="671" spans="1:8">
      <c r="A671" s="95"/>
      <c r="B671" s="819"/>
      <c r="C671" s="820"/>
      <c r="D671" s="801" t="s">
        <v>857</v>
      </c>
      <c r="E671" s="802"/>
      <c r="F671" s="79">
        <f>'MANO DE OBRA'!D60</f>
        <v>0.05</v>
      </c>
      <c r="G671" s="113">
        <f>ROUND(G670*F671,0)</f>
        <v>7673</v>
      </c>
    </row>
    <row r="672" spans="1:8" ht="13.5" thickBot="1">
      <c r="A672" s="95"/>
      <c r="B672" s="819"/>
      <c r="C672" s="820"/>
      <c r="D672" s="803" t="s">
        <v>320</v>
      </c>
      <c r="E672" s="804"/>
      <c r="F672" s="114"/>
      <c r="G672" s="118">
        <f>+G670+G671</f>
        <v>161133</v>
      </c>
    </row>
    <row r="673" spans="1:7" ht="14.25" thickTop="1" thickBot="1">
      <c r="A673" s="95"/>
      <c r="B673" s="830"/>
      <c r="C673" s="830"/>
      <c r="D673" s="830"/>
      <c r="E673" s="830"/>
      <c r="F673" s="830"/>
      <c r="G673" s="830"/>
    </row>
    <row r="674" spans="1:7" ht="13.5" thickTop="1">
      <c r="A674" s="95"/>
      <c r="B674" s="811" t="s">
        <v>858</v>
      </c>
      <c r="C674" s="812"/>
      <c r="D674" s="812"/>
      <c r="E674" s="812"/>
      <c r="F674" s="812"/>
      <c r="G674" s="825"/>
    </row>
    <row r="675" spans="1:7">
      <c r="A675" s="95"/>
      <c r="B675" s="817"/>
      <c r="C675" s="818"/>
      <c r="D675" s="98" t="s">
        <v>301</v>
      </c>
      <c r="E675" s="98" t="s">
        <v>859</v>
      </c>
      <c r="F675" s="99" t="s">
        <v>839</v>
      </c>
      <c r="G675" s="107" t="s">
        <v>840</v>
      </c>
    </row>
    <row r="676" spans="1:7">
      <c r="A676" s="95"/>
      <c r="B676" s="821" t="s">
        <v>838</v>
      </c>
      <c r="C676" s="822"/>
      <c r="D676" s="100" t="s">
        <v>316</v>
      </c>
      <c r="E676" s="100" t="s">
        <v>315</v>
      </c>
      <c r="F676" s="101" t="s">
        <v>306</v>
      </c>
      <c r="G676" s="108" t="s">
        <v>319</v>
      </c>
    </row>
    <row r="677" spans="1:7">
      <c r="A677" s="95"/>
      <c r="B677" s="115"/>
      <c r="C677" s="102"/>
      <c r="D677" s="103"/>
      <c r="E677" s="103" t="s">
        <v>317</v>
      </c>
      <c r="F677" s="104" t="s">
        <v>318</v>
      </c>
      <c r="G677" s="109"/>
    </row>
    <row r="678" spans="1:7">
      <c r="A678" s="95"/>
      <c r="B678" s="823" t="str">
        <f>'MANO DE OBRA'!B11</f>
        <v>AYUDANTE CUAD. TIPO BB</v>
      </c>
      <c r="C678" s="824"/>
      <c r="D678" s="87">
        <v>1</v>
      </c>
      <c r="E678" s="80">
        <f>'MANO DE OBRA'!E11</f>
        <v>43077</v>
      </c>
      <c r="F678" s="81">
        <v>0.75</v>
      </c>
      <c r="G678" s="110">
        <f>ROUND(D678*E678/F678,0)</f>
        <v>57436</v>
      </c>
    </row>
    <row r="679" spans="1:7">
      <c r="A679" s="95"/>
      <c r="B679" s="835" t="str">
        <f>'MANO DE OBRA'!B16</f>
        <v>OFICIAL CUAD. TIPO BB</v>
      </c>
      <c r="C679" s="836"/>
      <c r="D679" s="37">
        <v>1</v>
      </c>
      <c r="E679" s="82">
        <f>'MANO DE OBRA'!E16</f>
        <v>78577</v>
      </c>
      <c r="F679" s="83">
        <v>0.75</v>
      </c>
      <c r="G679" s="111">
        <f>ROUND(D679*E679/F679,0)</f>
        <v>104769</v>
      </c>
    </row>
    <row r="680" spans="1:7">
      <c r="A680" s="95"/>
      <c r="B680" s="835"/>
      <c r="C680" s="836"/>
      <c r="D680" s="89"/>
      <c r="E680" s="82"/>
      <c r="F680" s="83"/>
      <c r="G680" s="111"/>
    </row>
    <row r="681" spans="1:7">
      <c r="A681" s="95"/>
      <c r="B681" s="835" t="s">
        <v>841</v>
      </c>
      <c r="C681" s="836"/>
      <c r="D681" s="37"/>
      <c r="E681" s="82"/>
      <c r="F681" s="83"/>
      <c r="G681" s="111"/>
    </row>
    <row r="682" spans="1:7" ht="13.5" thickBot="1">
      <c r="A682" s="95"/>
      <c r="B682" s="828" t="s">
        <v>841</v>
      </c>
      <c r="C682" s="829"/>
      <c r="D682" s="77"/>
      <c r="E682" s="82"/>
      <c r="F682" s="86"/>
      <c r="G682" s="112"/>
    </row>
    <row r="683" spans="1:7" ht="14.25" thickTop="1" thickBot="1">
      <c r="A683" s="95"/>
      <c r="B683" s="808"/>
      <c r="C683" s="808"/>
      <c r="D683" s="808"/>
      <c r="E683" s="809"/>
      <c r="F683" s="120" t="s">
        <v>856</v>
      </c>
      <c r="G683" s="118">
        <f>SUM(G678:G682)</f>
        <v>162205</v>
      </c>
    </row>
    <row r="684" spans="1:7" ht="14.25" thickTop="1" thickBot="1">
      <c r="A684" s="95"/>
      <c r="B684" s="810"/>
      <c r="C684" s="810"/>
      <c r="D684" s="810"/>
      <c r="E684" s="810"/>
      <c r="F684" s="810"/>
      <c r="G684" s="810"/>
    </row>
    <row r="685" spans="1:7" ht="13.5" thickTop="1">
      <c r="A685" s="95"/>
      <c r="B685" s="811" t="s">
        <v>321</v>
      </c>
      <c r="C685" s="812"/>
      <c r="D685" s="812"/>
      <c r="E685" s="812"/>
      <c r="F685" s="812"/>
      <c r="G685" s="825"/>
    </row>
    <row r="686" spans="1:7">
      <c r="A686" s="95"/>
      <c r="B686" s="817" t="s">
        <v>838</v>
      </c>
      <c r="C686" s="818"/>
      <c r="D686" s="98" t="s">
        <v>301</v>
      </c>
      <c r="E686" s="98" t="s">
        <v>297</v>
      </c>
      <c r="F686" s="99" t="s">
        <v>839</v>
      </c>
      <c r="G686" s="107" t="s">
        <v>840</v>
      </c>
    </row>
    <row r="687" spans="1:7">
      <c r="A687" s="95"/>
      <c r="B687" s="115"/>
      <c r="C687" s="102"/>
      <c r="D687" s="103" t="s">
        <v>322</v>
      </c>
      <c r="E687" s="103" t="s">
        <v>323</v>
      </c>
      <c r="F687" s="104" t="s">
        <v>324</v>
      </c>
      <c r="G687" s="109" t="s">
        <v>325</v>
      </c>
    </row>
    <row r="688" spans="1:7">
      <c r="A688" s="95"/>
      <c r="B688" s="826"/>
      <c r="C688" s="827"/>
      <c r="D688" s="96"/>
      <c r="E688" s="96"/>
      <c r="F688" s="96"/>
      <c r="G688" s="116"/>
    </row>
    <row r="689" spans="1:8" ht="13.5" thickBot="1">
      <c r="A689" s="95"/>
      <c r="B689" s="828" t="s">
        <v>841</v>
      </c>
      <c r="C689" s="829"/>
      <c r="D689" s="77"/>
      <c r="E689" s="82"/>
      <c r="F689" s="86"/>
      <c r="G689" s="112"/>
    </row>
    <row r="690" spans="1:8" ht="14.25" thickTop="1" thickBot="1">
      <c r="A690" s="95"/>
      <c r="B690" s="808"/>
      <c r="C690" s="808"/>
      <c r="D690" s="808"/>
      <c r="E690" s="809"/>
      <c r="F690" s="120" t="s">
        <v>856</v>
      </c>
      <c r="G690" s="118">
        <f>SUM(G685:G689)</f>
        <v>0</v>
      </c>
    </row>
    <row r="691" spans="1:8" ht="14.25" thickTop="1" thickBot="1">
      <c r="A691" s="95"/>
      <c r="B691" s="810"/>
      <c r="C691" s="810"/>
      <c r="D691" s="810"/>
      <c r="E691" s="810"/>
      <c r="F691" s="810"/>
      <c r="G691" s="834"/>
    </row>
    <row r="692" spans="1:8" ht="13.5" thickTop="1">
      <c r="A692" s="95"/>
      <c r="B692" s="811" t="s">
        <v>326</v>
      </c>
      <c r="C692" s="812"/>
      <c r="D692" s="812"/>
      <c r="E692" s="812"/>
      <c r="F692" s="813"/>
      <c r="G692" s="121">
        <f>+G655+G672+G683</f>
        <v>331448</v>
      </c>
    </row>
    <row r="693" spans="1:8">
      <c r="A693" s="95"/>
      <c r="B693" s="814" t="s">
        <v>861</v>
      </c>
      <c r="C693" s="815"/>
      <c r="D693" s="815"/>
      <c r="E693" s="816"/>
      <c r="F693" s="128">
        <f>'MANO DE OBRA'!D59</f>
        <v>0</v>
      </c>
      <c r="G693" s="122">
        <f>ROUND(G692*F693,0)</f>
        <v>0</v>
      </c>
    </row>
    <row r="694" spans="1:8" ht="13.5" thickBot="1">
      <c r="A694" s="95"/>
      <c r="B694" s="805" t="s">
        <v>1049</v>
      </c>
      <c r="C694" s="806"/>
      <c r="D694" s="806"/>
      <c r="E694" s="806"/>
      <c r="F694" s="807"/>
      <c r="G694" s="118">
        <f>ROUND(G692+G693,-2)</f>
        <v>331400</v>
      </c>
      <c r="H694" s="505" t="s">
        <v>1670</v>
      </c>
    </row>
    <row r="695" spans="1:8" ht="13.5" thickTop="1">
      <c r="A695" s="95"/>
      <c r="B695" s="90" t="s">
        <v>303</v>
      </c>
      <c r="C695" s="843"/>
      <c r="D695" s="843"/>
      <c r="E695" s="843"/>
      <c r="F695" s="92" t="s">
        <v>781</v>
      </c>
      <c r="G695" s="93" t="s">
        <v>865</v>
      </c>
    </row>
    <row r="696" spans="1:8">
      <c r="A696" s="95"/>
      <c r="B696" s="91" t="s">
        <v>834</v>
      </c>
      <c r="C696" s="844" t="s">
        <v>371</v>
      </c>
      <c r="D696" s="844"/>
      <c r="E696" s="844"/>
      <c r="F696" s="15" t="s">
        <v>833</v>
      </c>
      <c r="G696" s="165" t="str">
        <f>'MANO DE OBRA'!D61</f>
        <v>Agosto de 2010</v>
      </c>
    </row>
    <row r="697" spans="1:8" ht="13.5" thickBot="1">
      <c r="A697" s="127"/>
      <c r="B697" s="94" t="s">
        <v>835</v>
      </c>
      <c r="C697" s="845" t="s">
        <v>778</v>
      </c>
      <c r="D697" s="845"/>
      <c r="E697" s="845"/>
      <c r="F697" s="845"/>
      <c r="G697" s="846"/>
    </row>
    <row r="698" spans="1:8" ht="14.25" thickTop="1" thickBot="1">
      <c r="A698" s="95"/>
      <c r="B698" s="847"/>
      <c r="C698" s="847"/>
      <c r="D698" s="847"/>
      <c r="E698" s="847"/>
      <c r="F698" s="847"/>
      <c r="G698" s="847"/>
    </row>
    <row r="699" spans="1:8" ht="13.5" thickTop="1">
      <c r="A699" s="95"/>
      <c r="B699" s="811" t="s">
        <v>304</v>
      </c>
      <c r="C699" s="812"/>
      <c r="D699" s="812"/>
      <c r="E699" s="812"/>
      <c r="F699" s="812"/>
      <c r="G699" s="825"/>
    </row>
    <row r="700" spans="1:8">
      <c r="A700" s="95"/>
      <c r="B700" s="105"/>
      <c r="C700" s="97"/>
      <c r="D700" s="98" t="s">
        <v>301</v>
      </c>
      <c r="E700" s="98" t="s">
        <v>1072</v>
      </c>
      <c r="F700" s="99" t="s">
        <v>839</v>
      </c>
      <c r="G700" s="107" t="s">
        <v>840</v>
      </c>
    </row>
    <row r="701" spans="1:8">
      <c r="A701" s="95"/>
      <c r="B701" s="821" t="s">
        <v>838</v>
      </c>
      <c r="C701" s="822"/>
      <c r="D701" s="100" t="s">
        <v>308</v>
      </c>
      <c r="E701" s="100" t="s">
        <v>305</v>
      </c>
      <c r="F701" s="101" t="s">
        <v>306</v>
      </c>
      <c r="G701" s="108" t="s">
        <v>310</v>
      </c>
    </row>
    <row r="702" spans="1:8">
      <c r="A702" s="95"/>
      <c r="B702" s="115"/>
      <c r="C702" s="102"/>
      <c r="D702" s="103"/>
      <c r="E702" s="103" t="s">
        <v>309</v>
      </c>
      <c r="F702" s="104" t="s">
        <v>307</v>
      </c>
      <c r="G702" s="109"/>
    </row>
    <row r="703" spans="1:8">
      <c r="A703" s="127"/>
      <c r="B703" s="823" t="str">
        <f>'MAQUINARIA Y EQUIPOS'!C28</f>
        <v>HERRAMIENTAS MENORES</v>
      </c>
      <c r="C703" s="824"/>
      <c r="D703" s="87">
        <v>1</v>
      </c>
      <c r="E703" s="82">
        <f>ROUND(G736*0.05,0)</f>
        <v>8110</v>
      </c>
      <c r="F703" s="81">
        <v>1</v>
      </c>
      <c r="G703" s="110">
        <f>ROUND(D703*E703/F703,0)</f>
        <v>8110</v>
      </c>
    </row>
    <row r="704" spans="1:8">
      <c r="A704" s="95"/>
      <c r="B704" s="835"/>
      <c r="C704" s="836"/>
      <c r="D704" s="37"/>
      <c r="E704" s="82"/>
      <c r="F704" s="83"/>
      <c r="G704" s="111"/>
    </row>
    <row r="705" spans="1:7">
      <c r="A705" s="95"/>
      <c r="B705" s="835"/>
      <c r="C705" s="836"/>
      <c r="D705" s="37"/>
      <c r="E705" s="82"/>
      <c r="F705" s="83"/>
      <c r="G705" s="111"/>
    </row>
    <row r="706" spans="1:7">
      <c r="A706" s="95"/>
      <c r="B706" s="835"/>
      <c r="C706" s="836"/>
      <c r="D706" s="37"/>
      <c r="E706" s="82"/>
      <c r="F706" s="83"/>
      <c r="G706" s="111"/>
    </row>
    <row r="707" spans="1:7" ht="13.5" thickBot="1">
      <c r="A707" s="95"/>
      <c r="B707" s="835"/>
      <c r="C707" s="836"/>
      <c r="D707" s="77"/>
      <c r="E707" s="82"/>
      <c r="F707" s="86"/>
      <c r="G707" s="111"/>
    </row>
    <row r="708" spans="1:7" ht="14.25" thickTop="1" thickBot="1">
      <c r="A708" s="95"/>
      <c r="B708" s="808"/>
      <c r="C708" s="808"/>
      <c r="D708" s="808"/>
      <c r="E708" s="809"/>
      <c r="F708" s="119" t="s">
        <v>856</v>
      </c>
      <c r="G708" s="118">
        <f>SUM(G703:G707)</f>
        <v>8110</v>
      </c>
    </row>
    <row r="709" spans="1:7" ht="14.25" thickTop="1" thickBot="1">
      <c r="A709" s="95"/>
      <c r="B709" s="830"/>
      <c r="C709" s="830"/>
      <c r="D709" s="830"/>
      <c r="E709" s="830"/>
      <c r="F709" s="830"/>
      <c r="G709" s="830"/>
    </row>
    <row r="710" spans="1:7" ht="13.5" thickTop="1">
      <c r="A710" s="95"/>
      <c r="B710" s="811" t="s">
        <v>311</v>
      </c>
      <c r="C710" s="812"/>
      <c r="D710" s="812"/>
      <c r="E710" s="812"/>
      <c r="F710" s="812"/>
      <c r="G710" s="825"/>
    </row>
    <row r="711" spans="1:7">
      <c r="A711" s="95"/>
      <c r="B711" s="817" t="s">
        <v>838</v>
      </c>
      <c r="C711" s="818"/>
      <c r="D711" s="98" t="s">
        <v>842</v>
      </c>
      <c r="E711" s="98" t="s">
        <v>853</v>
      </c>
      <c r="F711" s="99" t="s">
        <v>1047</v>
      </c>
      <c r="G711" s="107" t="s">
        <v>840</v>
      </c>
    </row>
    <row r="712" spans="1:7">
      <c r="A712" s="95"/>
      <c r="B712" s="115"/>
      <c r="C712" s="102"/>
      <c r="D712" s="100"/>
      <c r="E712" s="100" t="s">
        <v>312</v>
      </c>
      <c r="F712" s="101" t="s">
        <v>313</v>
      </c>
      <c r="G712" s="108" t="s">
        <v>314</v>
      </c>
    </row>
    <row r="713" spans="1:7">
      <c r="A713" s="125"/>
      <c r="B713" s="841" t="str">
        <f>MATERIALES2!C355</f>
        <v>TANQUE PLASTICO AJOVER K-500  LTS C/TAPA S/CONEX S/GRIF..........</v>
      </c>
      <c r="C713" s="842"/>
      <c r="D713" s="87" t="s">
        <v>865</v>
      </c>
      <c r="E713" s="81">
        <v>1</v>
      </c>
      <c r="F713" s="80">
        <f>MATERIALES2!E355</f>
        <v>91700</v>
      </c>
      <c r="G713" s="110">
        <f t="shared" ref="G713:G722" si="13">ROUND(E713*F713,0)</f>
        <v>91700</v>
      </c>
    </row>
    <row r="714" spans="1:7">
      <c r="A714" s="123"/>
      <c r="B714" s="854" t="str">
        <f>MATERIALES2!C674</f>
        <v>CODO PRESION ½"</v>
      </c>
      <c r="C714" s="855"/>
      <c r="D714" s="37" t="s">
        <v>865</v>
      </c>
      <c r="E714" s="83">
        <v>11</v>
      </c>
      <c r="F714" s="82">
        <f>MATERIALES2!E674</f>
        <v>200</v>
      </c>
      <c r="G714" s="111">
        <f t="shared" si="13"/>
        <v>2200</v>
      </c>
    </row>
    <row r="715" spans="1:7">
      <c r="A715" s="95"/>
      <c r="B715" s="854" t="str">
        <f>MATERIALES2!C704</f>
        <v>SOLDADURA PVC ¼</v>
      </c>
      <c r="C715" s="855"/>
      <c r="D715" s="37" t="s">
        <v>865</v>
      </c>
      <c r="E715" s="143">
        <v>0.1</v>
      </c>
      <c r="F715" s="82">
        <f>MATERIALES2!E704</f>
        <v>56298</v>
      </c>
      <c r="G715" s="111">
        <f t="shared" si="13"/>
        <v>5630</v>
      </c>
    </row>
    <row r="716" spans="1:7">
      <c r="A716" s="95"/>
      <c r="B716" s="854" t="str">
        <f>MATERIALES2!C677</f>
        <v>CODO PRESION 1"</v>
      </c>
      <c r="C716" s="855"/>
      <c r="D716" s="37" t="s">
        <v>865</v>
      </c>
      <c r="E716" s="83">
        <v>6</v>
      </c>
      <c r="F716" s="82">
        <f>MATERIALES2!E677</f>
        <v>600</v>
      </c>
      <c r="G716" s="111">
        <f t="shared" si="13"/>
        <v>3600</v>
      </c>
    </row>
    <row r="717" spans="1:7">
      <c r="A717" s="95"/>
      <c r="B717" s="854" t="str">
        <f>MATERIALES2!C749</f>
        <v>UNIVERSAL LISA 1"</v>
      </c>
      <c r="C717" s="855"/>
      <c r="D717" s="37" t="s">
        <v>865</v>
      </c>
      <c r="E717" s="83">
        <v>1</v>
      </c>
      <c r="F717" s="82">
        <f>MATERIALES2!E749</f>
        <v>3000</v>
      </c>
      <c r="G717" s="111">
        <f t="shared" si="13"/>
        <v>3000</v>
      </c>
    </row>
    <row r="718" spans="1:7">
      <c r="A718" s="95"/>
      <c r="B718" s="854" t="str">
        <f>MATERIALES2!C750</f>
        <v>UNIVERSAL LISA 1/2"</v>
      </c>
      <c r="C718" s="855"/>
      <c r="D718" s="37" t="s">
        <v>865</v>
      </c>
      <c r="E718" s="83">
        <v>2</v>
      </c>
      <c r="F718" s="82">
        <f>MATERIALES2!E750</f>
        <v>1100</v>
      </c>
      <c r="G718" s="111">
        <f t="shared" si="13"/>
        <v>2200</v>
      </c>
    </row>
    <row r="719" spans="1:7">
      <c r="A719" s="95"/>
      <c r="B719" s="854" t="str">
        <f>MATERIALES2!C585</f>
        <v>TUBO PVC PRESION 1/2" x 6.0 M</v>
      </c>
      <c r="C719" s="855"/>
      <c r="D719" s="37" t="s">
        <v>865</v>
      </c>
      <c r="E719" s="83">
        <v>0.83</v>
      </c>
      <c r="F719" s="82">
        <f>MATERIALES2!E585</f>
        <v>6000</v>
      </c>
      <c r="G719" s="111">
        <f t="shared" si="13"/>
        <v>4980</v>
      </c>
    </row>
    <row r="720" spans="1:7">
      <c r="A720" s="95"/>
      <c r="B720" s="854" t="str">
        <f>MATERIALES2!C587</f>
        <v>TUBO PVC PRESION 1" x 6.0 M</v>
      </c>
      <c r="C720" s="855"/>
      <c r="D720" s="37" t="s">
        <v>865</v>
      </c>
      <c r="E720" s="83">
        <v>0.5</v>
      </c>
      <c r="F720" s="82">
        <f>MATERIALES2!E587</f>
        <v>9700</v>
      </c>
      <c r="G720" s="111">
        <f t="shared" si="13"/>
        <v>4850</v>
      </c>
    </row>
    <row r="721" spans="1:8">
      <c r="A721" s="95"/>
      <c r="B721" s="854" t="str">
        <f>MATERIALES2!C903</f>
        <v>LLAVE DE PASO 1/2"</v>
      </c>
      <c r="C721" s="855"/>
      <c r="D721" s="37" t="s">
        <v>865</v>
      </c>
      <c r="E721" s="83">
        <v>2</v>
      </c>
      <c r="F721" s="82">
        <f>MATERIALES2!E903</f>
        <v>10000</v>
      </c>
      <c r="G721" s="111">
        <f t="shared" si="13"/>
        <v>20000</v>
      </c>
      <c r="H721" s="505" t="s">
        <v>1670</v>
      </c>
    </row>
    <row r="722" spans="1:8" ht="13.5" thickBot="1">
      <c r="A722" s="95"/>
      <c r="B722" s="854" t="str">
        <f>MATERIALES2!C905</f>
        <v>LLAVE DE PASO 1"</v>
      </c>
      <c r="C722" s="855"/>
      <c r="D722" s="37" t="s">
        <v>865</v>
      </c>
      <c r="E722" s="83">
        <v>1</v>
      </c>
      <c r="F722" s="82">
        <f>MATERIALES2!E905</f>
        <v>36000</v>
      </c>
      <c r="G722" s="111">
        <f t="shared" si="13"/>
        <v>36000</v>
      </c>
    </row>
    <row r="723" spans="1:8" ht="13.5" thickTop="1">
      <c r="A723" s="95"/>
      <c r="B723" s="808"/>
      <c r="C723" s="809"/>
      <c r="D723" s="801" t="s">
        <v>856</v>
      </c>
      <c r="E723" s="802"/>
      <c r="F723" s="9"/>
      <c r="G723" s="113">
        <f>SUM(G713:G722)</f>
        <v>174160</v>
      </c>
    </row>
    <row r="724" spans="1:8">
      <c r="A724" s="95"/>
      <c r="B724" s="819"/>
      <c r="C724" s="820"/>
      <c r="D724" s="801" t="s">
        <v>857</v>
      </c>
      <c r="E724" s="802"/>
      <c r="F724" s="79">
        <f>'MANO DE OBRA'!D60</f>
        <v>0.05</v>
      </c>
      <c r="G724" s="113">
        <f>ROUND(G723*F724,0)</f>
        <v>8708</v>
      </c>
    </row>
    <row r="725" spans="1:8" ht="13.5" thickBot="1">
      <c r="A725" s="95"/>
      <c r="B725" s="819"/>
      <c r="C725" s="820"/>
      <c r="D725" s="803" t="s">
        <v>320</v>
      </c>
      <c r="E725" s="804"/>
      <c r="F725" s="114"/>
      <c r="G725" s="118">
        <f>+G723+G724</f>
        <v>182868</v>
      </c>
    </row>
    <row r="726" spans="1:8" ht="14.25" thickTop="1" thickBot="1">
      <c r="A726" s="95"/>
      <c r="B726" s="830"/>
      <c r="C726" s="830"/>
      <c r="D726" s="830"/>
      <c r="E726" s="830"/>
      <c r="F726" s="830"/>
      <c r="G726" s="830"/>
    </row>
    <row r="727" spans="1:8" ht="13.5" thickTop="1">
      <c r="A727" s="95"/>
      <c r="B727" s="811" t="s">
        <v>858</v>
      </c>
      <c r="C727" s="812"/>
      <c r="D727" s="812"/>
      <c r="E727" s="812"/>
      <c r="F727" s="812"/>
      <c r="G727" s="825"/>
    </row>
    <row r="728" spans="1:8">
      <c r="A728" s="95"/>
      <c r="B728" s="817"/>
      <c r="C728" s="818"/>
      <c r="D728" s="98" t="s">
        <v>301</v>
      </c>
      <c r="E728" s="98" t="s">
        <v>859</v>
      </c>
      <c r="F728" s="99" t="s">
        <v>839</v>
      </c>
      <c r="G728" s="107" t="s">
        <v>840</v>
      </c>
    </row>
    <row r="729" spans="1:8">
      <c r="A729" s="95"/>
      <c r="B729" s="821" t="s">
        <v>838</v>
      </c>
      <c r="C729" s="822"/>
      <c r="D729" s="100" t="s">
        <v>316</v>
      </c>
      <c r="E729" s="100" t="s">
        <v>315</v>
      </c>
      <c r="F729" s="101" t="s">
        <v>306</v>
      </c>
      <c r="G729" s="108" t="s">
        <v>319</v>
      </c>
    </row>
    <row r="730" spans="1:8">
      <c r="A730" s="95"/>
      <c r="B730" s="115"/>
      <c r="C730" s="102"/>
      <c r="D730" s="103"/>
      <c r="E730" s="103" t="s">
        <v>317</v>
      </c>
      <c r="F730" s="104" t="s">
        <v>318</v>
      </c>
      <c r="G730" s="109"/>
    </row>
    <row r="731" spans="1:8">
      <c r="A731" s="95"/>
      <c r="B731" s="823" t="str">
        <f>'MANO DE OBRA'!B11</f>
        <v>AYUDANTE CUAD. TIPO BB</v>
      </c>
      <c r="C731" s="824"/>
      <c r="D731" s="87">
        <v>1</v>
      </c>
      <c r="E731" s="80">
        <f>'MANO DE OBRA'!E11</f>
        <v>43077</v>
      </c>
      <c r="F731" s="81">
        <v>0.75</v>
      </c>
      <c r="G731" s="110">
        <f>ROUND(D731*E731/F731,0)</f>
        <v>57436</v>
      </c>
    </row>
    <row r="732" spans="1:8">
      <c r="A732" s="95"/>
      <c r="B732" s="835" t="str">
        <f>'MANO DE OBRA'!B16</f>
        <v>OFICIAL CUAD. TIPO BB</v>
      </c>
      <c r="C732" s="836"/>
      <c r="D732" s="37">
        <v>1</v>
      </c>
      <c r="E732" s="82">
        <f>'MANO DE OBRA'!E16</f>
        <v>78577</v>
      </c>
      <c r="F732" s="83">
        <v>0.75</v>
      </c>
      <c r="G732" s="111">
        <f>ROUND(D732*E732/F732,0)</f>
        <v>104769</v>
      </c>
    </row>
    <row r="733" spans="1:8">
      <c r="A733" s="95"/>
      <c r="B733" s="835"/>
      <c r="C733" s="836"/>
      <c r="D733" s="89"/>
      <c r="E733" s="82"/>
      <c r="F733" s="83"/>
      <c r="G733" s="111"/>
    </row>
    <row r="734" spans="1:8">
      <c r="A734" s="95"/>
      <c r="B734" s="835" t="s">
        <v>841</v>
      </c>
      <c r="C734" s="836"/>
      <c r="D734" s="37"/>
      <c r="E734" s="82"/>
      <c r="F734" s="83"/>
      <c r="G734" s="111"/>
    </row>
    <row r="735" spans="1:8" ht="13.5" thickBot="1">
      <c r="A735" s="95"/>
      <c r="B735" s="828" t="s">
        <v>841</v>
      </c>
      <c r="C735" s="829"/>
      <c r="D735" s="77"/>
      <c r="E735" s="82"/>
      <c r="F735" s="86"/>
      <c r="G735" s="112"/>
    </row>
    <row r="736" spans="1:8" ht="14.25" thickTop="1" thickBot="1">
      <c r="A736" s="95"/>
      <c r="B736" s="808"/>
      <c r="C736" s="808"/>
      <c r="D736" s="808"/>
      <c r="E736" s="809"/>
      <c r="F736" s="120" t="s">
        <v>856</v>
      </c>
      <c r="G736" s="118">
        <f>SUM(G731:G735)</f>
        <v>162205</v>
      </c>
    </row>
    <row r="737" spans="1:8" ht="14.25" thickTop="1" thickBot="1">
      <c r="A737" s="95"/>
      <c r="B737" s="810"/>
      <c r="C737" s="810"/>
      <c r="D737" s="810"/>
      <c r="E737" s="810"/>
      <c r="F737" s="810"/>
      <c r="G737" s="810"/>
    </row>
    <row r="738" spans="1:8" ht="13.5" thickTop="1">
      <c r="A738" s="95"/>
      <c r="B738" s="811" t="s">
        <v>321</v>
      </c>
      <c r="C738" s="812"/>
      <c r="D738" s="812"/>
      <c r="E738" s="812"/>
      <c r="F738" s="812"/>
      <c r="G738" s="825"/>
    </row>
    <row r="739" spans="1:8">
      <c r="A739" s="95"/>
      <c r="B739" s="817" t="s">
        <v>838</v>
      </c>
      <c r="C739" s="818"/>
      <c r="D739" s="98" t="s">
        <v>301</v>
      </c>
      <c r="E739" s="98" t="s">
        <v>297</v>
      </c>
      <c r="F739" s="99" t="s">
        <v>839</v>
      </c>
      <c r="G739" s="107" t="s">
        <v>840</v>
      </c>
    </row>
    <row r="740" spans="1:8">
      <c r="A740" s="95"/>
      <c r="B740" s="115"/>
      <c r="C740" s="102"/>
      <c r="D740" s="103" t="s">
        <v>322</v>
      </c>
      <c r="E740" s="103" t="s">
        <v>323</v>
      </c>
      <c r="F740" s="104" t="s">
        <v>324</v>
      </c>
      <c r="G740" s="109" t="s">
        <v>325</v>
      </c>
    </row>
    <row r="741" spans="1:8">
      <c r="A741" s="95"/>
      <c r="B741" s="826"/>
      <c r="C741" s="827"/>
      <c r="D741" s="96"/>
      <c r="E741" s="96"/>
      <c r="F741" s="96"/>
      <c r="G741" s="116"/>
    </row>
    <row r="742" spans="1:8" ht="13.5" thickBot="1">
      <c r="A742" s="95"/>
      <c r="B742" s="828" t="s">
        <v>841</v>
      </c>
      <c r="C742" s="829"/>
      <c r="D742" s="77"/>
      <c r="E742" s="82"/>
      <c r="F742" s="86"/>
      <c r="G742" s="112"/>
    </row>
    <row r="743" spans="1:8" ht="14.25" thickTop="1" thickBot="1">
      <c r="A743" s="95"/>
      <c r="B743" s="808"/>
      <c r="C743" s="808"/>
      <c r="D743" s="808"/>
      <c r="E743" s="809"/>
      <c r="F743" s="120" t="s">
        <v>856</v>
      </c>
      <c r="G743" s="118">
        <f>SUM(G738:G742)</f>
        <v>0</v>
      </c>
    </row>
    <row r="744" spans="1:8" ht="14.25" thickTop="1" thickBot="1">
      <c r="A744" s="95"/>
      <c r="B744" s="810"/>
      <c r="C744" s="810"/>
      <c r="D744" s="810"/>
      <c r="E744" s="810"/>
      <c r="F744" s="810"/>
      <c r="G744" s="834"/>
    </row>
    <row r="745" spans="1:8" ht="13.5" thickTop="1">
      <c r="A745" s="95"/>
      <c r="B745" s="811" t="s">
        <v>326</v>
      </c>
      <c r="C745" s="812"/>
      <c r="D745" s="812"/>
      <c r="E745" s="812"/>
      <c r="F745" s="813"/>
      <c r="G745" s="121">
        <f>+G708+G725+G736</f>
        <v>353183</v>
      </c>
    </row>
    <row r="746" spans="1:8">
      <c r="A746" s="95"/>
      <c r="B746" s="814" t="s">
        <v>861</v>
      </c>
      <c r="C746" s="815"/>
      <c r="D746" s="815"/>
      <c r="E746" s="816"/>
      <c r="F746" s="128">
        <f>'MANO DE OBRA'!D59</f>
        <v>0</v>
      </c>
      <c r="G746" s="122">
        <f>ROUND(G745*F746,0)</f>
        <v>0</v>
      </c>
    </row>
    <row r="747" spans="1:8" ht="13.5" thickBot="1">
      <c r="A747" s="95"/>
      <c r="B747" s="805" t="s">
        <v>1049</v>
      </c>
      <c r="C747" s="806"/>
      <c r="D747" s="806"/>
      <c r="E747" s="806"/>
      <c r="F747" s="807"/>
      <c r="G747" s="118">
        <f>ROUND(G745+G746,-2)</f>
        <v>353200</v>
      </c>
      <c r="H747" s="505" t="s">
        <v>1670</v>
      </c>
    </row>
    <row r="748" spans="1:8" ht="13.5" thickTop="1">
      <c r="A748" s="95"/>
      <c r="B748" s="90" t="s">
        <v>303</v>
      </c>
      <c r="C748" s="843"/>
      <c r="D748" s="843"/>
      <c r="E748" s="843"/>
      <c r="F748" s="92" t="s">
        <v>781</v>
      </c>
      <c r="G748" s="93" t="s">
        <v>865</v>
      </c>
    </row>
    <row r="749" spans="1:8">
      <c r="A749" s="95"/>
      <c r="B749" s="91" t="s">
        <v>834</v>
      </c>
      <c r="C749" s="844" t="s">
        <v>382</v>
      </c>
      <c r="D749" s="844"/>
      <c r="E749" s="844"/>
      <c r="F749" s="15" t="s">
        <v>833</v>
      </c>
      <c r="G749" s="165" t="str">
        <f>'MANO DE OBRA'!D61</f>
        <v>Agosto de 2010</v>
      </c>
    </row>
    <row r="750" spans="1:8" ht="13.5" thickBot="1">
      <c r="A750" s="127"/>
      <c r="B750" s="94" t="s">
        <v>835</v>
      </c>
      <c r="C750" s="845" t="s">
        <v>779</v>
      </c>
      <c r="D750" s="845"/>
      <c r="E750" s="845"/>
      <c r="F750" s="845"/>
      <c r="G750" s="846"/>
    </row>
    <row r="751" spans="1:8" ht="14.25" thickTop="1" thickBot="1">
      <c r="A751" s="95"/>
      <c r="B751" s="847"/>
      <c r="C751" s="847"/>
      <c r="D751" s="847"/>
      <c r="E751" s="847"/>
      <c r="F751" s="847"/>
      <c r="G751" s="847"/>
    </row>
    <row r="752" spans="1:8" ht="13.5" thickTop="1">
      <c r="A752" s="95"/>
      <c r="B752" s="811" t="s">
        <v>304</v>
      </c>
      <c r="C752" s="812"/>
      <c r="D752" s="812"/>
      <c r="E752" s="812"/>
      <c r="F752" s="812"/>
      <c r="G752" s="825"/>
    </row>
    <row r="753" spans="1:7">
      <c r="A753" s="95"/>
      <c r="B753" s="105"/>
      <c r="C753" s="97"/>
      <c r="D753" s="98" t="s">
        <v>301</v>
      </c>
      <c r="E753" s="98" t="s">
        <v>1072</v>
      </c>
      <c r="F753" s="99" t="s">
        <v>839</v>
      </c>
      <c r="G753" s="107" t="s">
        <v>840</v>
      </c>
    </row>
    <row r="754" spans="1:7">
      <c r="A754" s="95"/>
      <c r="B754" s="821" t="s">
        <v>838</v>
      </c>
      <c r="C754" s="822"/>
      <c r="D754" s="100" t="s">
        <v>308</v>
      </c>
      <c r="E754" s="100" t="s">
        <v>305</v>
      </c>
      <c r="F754" s="101" t="s">
        <v>306</v>
      </c>
      <c r="G754" s="108" t="s">
        <v>310</v>
      </c>
    </row>
    <row r="755" spans="1:7">
      <c r="A755" s="95"/>
      <c r="B755" s="115"/>
      <c r="C755" s="102"/>
      <c r="D755" s="103"/>
      <c r="E755" s="103" t="s">
        <v>309</v>
      </c>
      <c r="F755" s="104" t="s">
        <v>307</v>
      </c>
      <c r="G755" s="109"/>
    </row>
    <row r="756" spans="1:7">
      <c r="A756" s="127"/>
      <c r="B756" s="823" t="str">
        <f>'MAQUINARIA Y EQUIPOS'!C28</f>
        <v>HERRAMIENTAS MENORES</v>
      </c>
      <c r="C756" s="824"/>
      <c r="D756" s="87">
        <v>1</v>
      </c>
      <c r="E756" s="82">
        <f>ROUND(G789*0.05,0)</f>
        <v>12165</v>
      </c>
      <c r="F756" s="81">
        <v>1</v>
      </c>
      <c r="G756" s="110">
        <f>ROUND(D756*E756/F756,0)</f>
        <v>12165</v>
      </c>
    </row>
    <row r="757" spans="1:7">
      <c r="A757" s="95"/>
      <c r="B757" s="835"/>
      <c r="C757" s="836"/>
      <c r="D757" s="37"/>
      <c r="E757" s="82"/>
      <c r="F757" s="83"/>
      <c r="G757" s="111"/>
    </row>
    <row r="758" spans="1:7">
      <c r="A758" s="95"/>
      <c r="B758" s="835"/>
      <c r="C758" s="836"/>
      <c r="D758" s="37"/>
      <c r="E758" s="82"/>
      <c r="F758" s="83"/>
      <c r="G758" s="111"/>
    </row>
    <row r="759" spans="1:7">
      <c r="A759" s="95"/>
      <c r="B759" s="835"/>
      <c r="C759" s="836"/>
      <c r="D759" s="37"/>
      <c r="E759" s="82"/>
      <c r="F759" s="83"/>
      <c r="G759" s="111"/>
    </row>
    <row r="760" spans="1:7" ht="13.5" thickBot="1">
      <c r="A760" s="95"/>
      <c r="B760" s="835"/>
      <c r="C760" s="836"/>
      <c r="D760" s="77"/>
      <c r="E760" s="82"/>
      <c r="F760" s="86"/>
      <c r="G760" s="111"/>
    </row>
    <row r="761" spans="1:7" ht="14.25" thickTop="1" thickBot="1">
      <c r="A761" s="95"/>
      <c r="B761" s="808"/>
      <c r="C761" s="808"/>
      <c r="D761" s="808"/>
      <c r="E761" s="809"/>
      <c r="F761" s="119" t="s">
        <v>856</v>
      </c>
      <c r="G761" s="118">
        <f>SUM(G756:G760)</f>
        <v>12165</v>
      </c>
    </row>
    <row r="762" spans="1:7" ht="14.25" thickTop="1" thickBot="1">
      <c r="A762" s="95"/>
      <c r="B762" s="830"/>
      <c r="C762" s="830"/>
      <c r="D762" s="830"/>
      <c r="E762" s="830"/>
      <c r="F762" s="830"/>
      <c r="G762" s="830"/>
    </row>
    <row r="763" spans="1:7" ht="13.5" thickTop="1">
      <c r="A763" s="95"/>
      <c r="B763" s="811" t="s">
        <v>311</v>
      </c>
      <c r="C763" s="812"/>
      <c r="D763" s="812"/>
      <c r="E763" s="812"/>
      <c r="F763" s="812"/>
      <c r="G763" s="825"/>
    </row>
    <row r="764" spans="1:7">
      <c r="A764" s="95"/>
      <c r="B764" s="817" t="s">
        <v>838</v>
      </c>
      <c r="C764" s="818"/>
      <c r="D764" s="98" t="s">
        <v>842</v>
      </c>
      <c r="E764" s="98" t="s">
        <v>853</v>
      </c>
      <c r="F764" s="99" t="s">
        <v>1047</v>
      </c>
      <c r="G764" s="107" t="s">
        <v>840</v>
      </c>
    </row>
    <row r="765" spans="1:7">
      <c r="A765" s="95"/>
      <c r="B765" s="115"/>
      <c r="C765" s="102"/>
      <c r="D765" s="100"/>
      <c r="E765" s="100" t="s">
        <v>312</v>
      </c>
      <c r="F765" s="101" t="s">
        <v>313</v>
      </c>
      <c r="G765" s="108" t="s">
        <v>314</v>
      </c>
    </row>
    <row r="766" spans="1:7">
      <c r="A766" s="125"/>
      <c r="B766" s="841" t="str">
        <f>MATERIALES2!C356</f>
        <v>TANQUE PLASTICO AJOVER K-1000 LTS C/TAPA S/CONEX S/GRIF..........</v>
      </c>
      <c r="C766" s="842"/>
      <c r="D766" s="87" t="s">
        <v>865</v>
      </c>
      <c r="E766" s="81">
        <v>1</v>
      </c>
      <c r="F766" s="80">
        <f>MATERIALES2!E356</f>
        <v>140000</v>
      </c>
      <c r="G766" s="110">
        <f t="shared" ref="G766:G775" si="14">ROUND(E766*F766,0)</f>
        <v>140000</v>
      </c>
    </row>
    <row r="767" spans="1:7">
      <c r="A767" s="123"/>
      <c r="B767" s="854" t="str">
        <f>MATERIALES2!C674</f>
        <v>CODO PRESION ½"</v>
      </c>
      <c r="C767" s="855"/>
      <c r="D767" s="37" t="s">
        <v>865</v>
      </c>
      <c r="E767" s="83">
        <v>11</v>
      </c>
      <c r="F767" s="82">
        <f>MATERIALES2!E674</f>
        <v>200</v>
      </c>
      <c r="G767" s="111">
        <f t="shared" si="14"/>
        <v>2200</v>
      </c>
    </row>
    <row r="768" spans="1:7">
      <c r="A768" s="95"/>
      <c r="B768" s="854" t="str">
        <f>MATERIALES2!C704</f>
        <v>SOLDADURA PVC ¼</v>
      </c>
      <c r="C768" s="855"/>
      <c r="D768" s="37" t="s">
        <v>865</v>
      </c>
      <c r="E768" s="143">
        <v>0.1</v>
      </c>
      <c r="F768" s="82">
        <f>MATERIALES2!E704</f>
        <v>56298</v>
      </c>
      <c r="G768" s="111">
        <f t="shared" si="14"/>
        <v>5630</v>
      </c>
    </row>
    <row r="769" spans="1:8">
      <c r="A769" s="95"/>
      <c r="B769" s="854" t="str">
        <f>MATERIALES2!C677</f>
        <v>CODO PRESION 1"</v>
      </c>
      <c r="C769" s="855"/>
      <c r="D769" s="37" t="s">
        <v>865</v>
      </c>
      <c r="E769" s="83">
        <v>6</v>
      </c>
      <c r="F769" s="82">
        <f>MATERIALES2!E677</f>
        <v>600</v>
      </c>
      <c r="G769" s="111">
        <f t="shared" si="14"/>
        <v>3600</v>
      </c>
    </row>
    <row r="770" spans="1:8">
      <c r="A770" s="95"/>
      <c r="B770" s="854" t="str">
        <f>MATERIALES2!C749</f>
        <v>UNIVERSAL LISA 1"</v>
      </c>
      <c r="C770" s="855"/>
      <c r="D770" s="37" t="s">
        <v>865</v>
      </c>
      <c r="E770" s="83">
        <v>1</v>
      </c>
      <c r="F770" s="82">
        <f>MATERIALES2!E749</f>
        <v>3000</v>
      </c>
      <c r="G770" s="111">
        <f t="shared" si="14"/>
        <v>3000</v>
      </c>
    </row>
    <row r="771" spans="1:8">
      <c r="A771" s="95"/>
      <c r="B771" s="854" t="str">
        <f>MATERIALES2!C750</f>
        <v>UNIVERSAL LISA 1/2"</v>
      </c>
      <c r="C771" s="855"/>
      <c r="D771" s="37" t="s">
        <v>865</v>
      </c>
      <c r="E771" s="83">
        <v>2</v>
      </c>
      <c r="F771" s="82">
        <f>MATERIALES2!E750</f>
        <v>1100</v>
      </c>
      <c r="G771" s="111">
        <f t="shared" si="14"/>
        <v>2200</v>
      </c>
    </row>
    <row r="772" spans="1:8">
      <c r="A772" s="95"/>
      <c r="B772" s="854" t="str">
        <f>MATERIALES2!C585</f>
        <v>TUBO PVC PRESION 1/2" x 6.0 M</v>
      </c>
      <c r="C772" s="855"/>
      <c r="D772" s="37" t="s">
        <v>865</v>
      </c>
      <c r="E772" s="83">
        <v>0.83</v>
      </c>
      <c r="F772" s="82">
        <f>MATERIALES2!E585</f>
        <v>6000</v>
      </c>
      <c r="G772" s="111">
        <f t="shared" si="14"/>
        <v>4980</v>
      </c>
    </row>
    <row r="773" spans="1:8">
      <c r="A773" s="95"/>
      <c r="B773" s="854" t="str">
        <f>MATERIALES2!C587</f>
        <v>TUBO PVC PRESION 1" x 6.0 M</v>
      </c>
      <c r="C773" s="855"/>
      <c r="D773" s="37" t="s">
        <v>865</v>
      </c>
      <c r="E773" s="83">
        <v>0.5</v>
      </c>
      <c r="F773" s="82">
        <f>MATERIALES2!E587</f>
        <v>9700</v>
      </c>
      <c r="G773" s="111">
        <f t="shared" si="14"/>
        <v>4850</v>
      </c>
    </row>
    <row r="774" spans="1:8">
      <c r="A774" s="95"/>
      <c r="B774" s="854" t="str">
        <f>MATERIALES2!C903</f>
        <v>LLAVE DE PASO 1/2"</v>
      </c>
      <c r="C774" s="855"/>
      <c r="D774" s="37" t="s">
        <v>865</v>
      </c>
      <c r="E774" s="83">
        <v>2</v>
      </c>
      <c r="F774" s="82">
        <f>MATERIALES2!E903</f>
        <v>10000</v>
      </c>
      <c r="G774" s="111">
        <f t="shared" si="14"/>
        <v>20000</v>
      </c>
      <c r="H774" s="505" t="s">
        <v>1670</v>
      </c>
    </row>
    <row r="775" spans="1:8" ht="13.5" thickBot="1">
      <c r="A775" s="95"/>
      <c r="B775" s="854" t="str">
        <f>MATERIALES2!C905</f>
        <v>LLAVE DE PASO 1"</v>
      </c>
      <c r="C775" s="855"/>
      <c r="D775" s="37" t="s">
        <v>865</v>
      </c>
      <c r="E775" s="83">
        <v>1</v>
      </c>
      <c r="F775" s="82">
        <f>MATERIALES2!E905</f>
        <v>36000</v>
      </c>
      <c r="G775" s="111">
        <f t="shared" si="14"/>
        <v>36000</v>
      </c>
    </row>
    <row r="776" spans="1:8" ht="13.5" thickTop="1">
      <c r="A776" s="95"/>
      <c r="B776" s="808"/>
      <c r="C776" s="809"/>
      <c r="D776" s="801" t="s">
        <v>856</v>
      </c>
      <c r="E776" s="802"/>
      <c r="F776" s="9"/>
      <c r="G776" s="113">
        <f>SUM(G766:G775)</f>
        <v>222460</v>
      </c>
    </row>
    <row r="777" spans="1:8">
      <c r="A777" s="95"/>
      <c r="B777" s="819"/>
      <c r="C777" s="820"/>
      <c r="D777" s="801" t="s">
        <v>857</v>
      </c>
      <c r="E777" s="802"/>
      <c r="F777" s="79">
        <f>'MANO DE OBRA'!D60</f>
        <v>0.05</v>
      </c>
      <c r="G777" s="113">
        <f>ROUND(G776*F777,0)</f>
        <v>11123</v>
      </c>
    </row>
    <row r="778" spans="1:8" ht="13.5" thickBot="1">
      <c r="A778" s="95"/>
      <c r="B778" s="819"/>
      <c r="C778" s="820"/>
      <c r="D778" s="803" t="s">
        <v>320</v>
      </c>
      <c r="E778" s="804"/>
      <c r="F778" s="114"/>
      <c r="G778" s="118">
        <f>+G776+G777</f>
        <v>233583</v>
      </c>
    </row>
    <row r="779" spans="1:8" ht="14.25" thickTop="1" thickBot="1">
      <c r="A779" s="95"/>
      <c r="B779" s="830"/>
      <c r="C779" s="830"/>
      <c r="D779" s="830"/>
      <c r="E779" s="830"/>
      <c r="F779" s="830"/>
      <c r="G779" s="830"/>
    </row>
    <row r="780" spans="1:8" ht="13.5" thickTop="1">
      <c r="A780" s="95"/>
      <c r="B780" s="811" t="s">
        <v>858</v>
      </c>
      <c r="C780" s="812"/>
      <c r="D780" s="812"/>
      <c r="E780" s="812"/>
      <c r="F780" s="812"/>
      <c r="G780" s="825"/>
    </row>
    <row r="781" spans="1:8">
      <c r="A781" s="95"/>
      <c r="B781" s="817"/>
      <c r="C781" s="818"/>
      <c r="D781" s="98" t="s">
        <v>301</v>
      </c>
      <c r="E781" s="98" t="s">
        <v>859</v>
      </c>
      <c r="F781" s="99" t="s">
        <v>839</v>
      </c>
      <c r="G781" s="107" t="s">
        <v>840</v>
      </c>
    </row>
    <row r="782" spans="1:8">
      <c r="A782" s="95"/>
      <c r="B782" s="821" t="s">
        <v>838</v>
      </c>
      <c r="C782" s="822"/>
      <c r="D782" s="100" t="s">
        <v>316</v>
      </c>
      <c r="E782" s="100" t="s">
        <v>315</v>
      </c>
      <c r="F782" s="101" t="s">
        <v>306</v>
      </c>
      <c r="G782" s="108" t="s">
        <v>319</v>
      </c>
    </row>
    <row r="783" spans="1:8">
      <c r="A783" s="95"/>
      <c r="B783" s="115"/>
      <c r="C783" s="102"/>
      <c r="D783" s="103"/>
      <c r="E783" s="103" t="s">
        <v>317</v>
      </c>
      <c r="F783" s="104" t="s">
        <v>318</v>
      </c>
      <c r="G783" s="109"/>
    </row>
    <row r="784" spans="1:8">
      <c r="A784" s="95"/>
      <c r="B784" s="823" t="str">
        <f>'MANO DE OBRA'!B11</f>
        <v>AYUDANTE CUAD. TIPO BB</v>
      </c>
      <c r="C784" s="824"/>
      <c r="D784" s="87">
        <v>1</v>
      </c>
      <c r="E784" s="80">
        <f>'MANO DE OBRA'!E11</f>
        <v>43077</v>
      </c>
      <c r="F784" s="81">
        <v>0.5</v>
      </c>
      <c r="G784" s="110">
        <f>ROUND(D784*E784/F784,0)</f>
        <v>86154</v>
      </c>
    </row>
    <row r="785" spans="1:8">
      <c r="A785" s="95"/>
      <c r="B785" s="835" t="str">
        <f>'MANO DE OBRA'!B16</f>
        <v>OFICIAL CUAD. TIPO BB</v>
      </c>
      <c r="C785" s="836"/>
      <c r="D785" s="37">
        <v>1</v>
      </c>
      <c r="E785" s="82">
        <f>'MANO DE OBRA'!E16</f>
        <v>78577</v>
      </c>
      <c r="F785" s="83">
        <v>0.5</v>
      </c>
      <c r="G785" s="111">
        <f>ROUND(D785*E785/F785,0)</f>
        <v>157154</v>
      </c>
    </row>
    <row r="786" spans="1:8">
      <c r="A786" s="95"/>
      <c r="B786" s="835"/>
      <c r="C786" s="836"/>
      <c r="D786" s="89"/>
      <c r="E786" s="82"/>
      <c r="F786" s="83"/>
      <c r="G786" s="111"/>
    </row>
    <row r="787" spans="1:8">
      <c r="A787" s="95"/>
      <c r="B787" s="835" t="s">
        <v>841</v>
      </c>
      <c r="C787" s="836"/>
      <c r="D787" s="37"/>
      <c r="E787" s="82"/>
      <c r="F787" s="83"/>
      <c r="G787" s="111"/>
    </row>
    <row r="788" spans="1:8" ht="13.5" thickBot="1">
      <c r="A788" s="95"/>
      <c r="B788" s="828" t="s">
        <v>841</v>
      </c>
      <c r="C788" s="829"/>
      <c r="D788" s="77"/>
      <c r="E788" s="82"/>
      <c r="F788" s="86"/>
      <c r="G788" s="112"/>
    </row>
    <row r="789" spans="1:8" ht="14.25" thickTop="1" thickBot="1">
      <c r="A789" s="95"/>
      <c r="B789" s="808"/>
      <c r="C789" s="808"/>
      <c r="D789" s="808"/>
      <c r="E789" s="809"/>
      <c r="F789" s="120" t="s">
        <v>856</v>
      </c>
      <c r="G789" s="118">
        <f>SUM(G784:G788)</f>
        <v>243308</v>
      </c>
    </row>
    <row r="790" spans="1:8" ht="14.25" thickTop="1" thickBot="1">
      <c r="A790" s="95"/>
      <c r="B790" s="810"/>
      <c r="C790" s="810"/>
      <c r="D790" s="810"/>
      <c r="E790" s="810"/>
      <c r="F790" s="810"/>
      <c r="G790" s="810"/>
    </row>
    <row r="791" spans="1:8" ht="13.5" thickTop="1">
      <c r="A791" s="95"/>
      <c r="B791" s="811" t="s">
        <v>321</v>
      </c>
      <c r="C791" s="812"/>
      <c r="D791" s="812"/>
      <c r="E791" s="812"/>
      <c r="F791" s="812"/>
      <c r="G791" s="825"/>
    </row>
    <row r="792" spans="1:8">
      <c r="A792" s="95"/>
      <c r="B792" s="817" t="s">
        <v>838</v>
      </c>
      <c r="C792" s="818"/>
      <c r="D792" s="98" t="s">
        <v>301</v>
      </c>
      <c r="E792" s="98" t="s">
        <v>297</v>
      </c>
      <c r="F792" s="99" t="s">
        <v>839</v>
      </c>
      <c r="G792" s="107" t="s">
        <v>840</v>
      </c>
    </row>
    <row r="793" spans="1:8">
      <c r="A793" s="95"/>
      <c r="B793" s="115"/>
      <c r="C793" s="102"/>
      <c r="D793" s="103" t="s">
        <v>322</v>
      </c>
      <c r="E793" s="103" t="s">
        <v>323</v>
      </c>
      <c r="F793" s="104" t="s">
        <v>324</v>
      </c>
      <c r="G793" s="109" t="s">
        <v>325</v>
      </c>
    </row>
    <row r="794" spans="1:8">
      <c r="A794" s="95"/>
      <c r="B794" s="826"/>
      <c r="C794" s="827"/>
      <c r="D794" s="96"/>
      <c r="E794" s="96"/>
      <c r="F794" s="96"/>
      <c r="G794" s="116"/>
    </row>
    <row r="795" spans="1:8" ht="13.5" thickBot="1">
      <c r="A795" s="95"/>
      <c r="B795" s="828" t="s">
        <v>841</v>
      </c>
      <c r="C795" s="829"/>
      <c r="D795" s="77"/>
      <c r="E795" s="82"/>
      <c r="F795" s="86"/>
      <c r="G795" s="112"/>
    </row>
    <row r="796" spans="1:8" ht="14.25" thickTop="1" thickBot="1">
      <c r="A796" s="95"/>
      <c r="B796" s="808"/>
      <c r="C796" s="808"/>
      <c r="D796" s="808"/>
      <c r="E796" s="809"/>
      <c r="F796" s="120" t="s">
        <v>856</v>
      </c>
      <c r="G796" s="118">
        <f>SUM(G791:G795)</f>
        <v>0</v>
      </c>
    </row>
    <row r="797" spans="1:8" ht="14.25" thickTop="1" thickBot="1">
      <c r="A797" s="95"/>
      <c r="B797" s="810"/>
      <c r="C797" s="810"/>
      <c r="D797" s="810"/>
      <c r="E797" s="810"/>
      <c r="F797" s="810"/>
      <c r="G797" s="834"/>
    </row>
    <row r="798" spans="1:8" ht="13.5" thickTop="1">
      <c r="A798" s="95"/>
      <c r="B798" s="811" t="s">
        <v>326</v>
      </c>
      <c r="C798" s="812"/>
      <c r="D798" s="812"/>
      <c r="E798" s="812"/>
      <c r="F798" s="813"/>
      <c r="G798" s="121">
        <f>+G761+G778+G789</f>
        <v>489056</v>
      </c>
    </row>
    <row r="799" spans="1:8">
      <c r="A799" s="95"/>
      <c r="B799" s="814" t="s">
        <v>861</v>
      </c>
      <c r="C799" s="815"/>
      <c r="D799" s="815"/>
      <c r="E799" s="816"/>
      <c r="F799" s="128">
        <f>'MANO DE OBRA'!D59</f>
        <v>0</v>
      </c>
      <c r="G799" s="122">
        <f>ROUND(G798*F799,0)</f>
        <v>0</v>
      </c>
    </row>
    <row r="800" spans="1:8" ht="13.5" thickBot="1">
      <c r="A800" s="95"/>
      <c r="B800" s="805" t="s">
        <v>1049</v>
      </c>
      <c r="C800" s="806"/>
      <c r="D800" s="806"/>
      <c r="E800" s="806"/>
      <c r="F800" s="807"/>
      <c r="G800" s="118">
        <f>ROUND(G798+G799,-2)</f>
        <v>489100</v>
      </c>
      <c r="H800" s="505" t="s">
        <v>1670</v>
      </c>
    </row>
    <row r="801" spans="1:7" ht="13.5" thickTop="1">
      <c r="A801" s="95"/>
      <c r="B801" s="90" t="s">
        <v>303</v>
      </c>
      <c r="C801" s="843"/>
      <c r="D801" s="843"/>
      <c r="E801" s="843"/>
      <c r="F801" s="92" t="s">
        <v>781</v>
      </c>
      <c r="G801" s="93" t="s">
        <v>865</v>
      </c>
    </row>
    <row r="802" spans="1:7">
      <c r="A802" s="95"/>
      <c r="B802" s="91" t="s">
        <v>834</v>
      </c>
      <c r="C802" s="844" t="s">
        <v>382</v>
      </c>
      <c r="D802" s="844"/>
      <c r="E802" s="844"/>
      <c r="F802" s="15" t="s">
        <v>833</v>
      </c>
      <c r="G802" s="165" t="str">
        <f>'MANO DE OBRA'!$D$61</f>
        <v>Agosto de 2010</v>
      </c>
    </row>
    <row r="803" spans="1:7" ht="13.5" thickBot="1">
      <c r="A803" s="127"/>
      <c r="B803" s="94" t="s">
        <v>835</v>
      </c>
      <c r="C803" s="845" t="s">
        <v>381</v>
      </c>
      <c r="D803" s="845"/>
      <c r="E803" s="845"/>
      <c r="F803" s="845"/>
      <c r="G803" s="846"/>
    </row>
    <row r="804" spans="1:7" ht="14.25" thickTop="1" thickBot="1">
      <c r="A804" s="95"/>
      <c r="B804" s="847"/>
      <c r="C804" s="847"/>
      <c r="D804" s="847"/>
      <c r="E804" s="847"/>
      <c r="F804" s="847"/>
      <c r="G804" s="847"/>
    </row>
    <row r="805" spans="1:7" ht="13.5" thickTop="1">
      <c r="A805" s="95"/>
      <c r="B805" s="811" t="s">
        <v>304</v>
      </c>
      <c r="C805" s="812"/>
      <c r="D805" s="812"/>
      <c r="E805" s="812"/>
      <c r="F805" s="812"/>
      <c r="G805" s="825"/>
    </row>
    <row r="806" spans="1:7">
      <c r="A806" s="95"/>
      <c r="B806" s="105"/>
      <c r="C806" s="97"/>
      <c r="D806" s="98" t="s">
        <v>301</v>
      </c>
      <c r="E806" s="98" t="s">
        <v>1072</v>
      </c>
      <c r="F806" s="99" t="s">
        <v>839</v>
      </c>
      <c r="G806" s="107" t="s">
        <v>840</v>
      </c>
    </row>
    <row r="807" spans="1:7">
      <c r="A807" s="95"/>
      <c r="B807" s="821" t="s">
        <v>838</v>
      </c>
      <c r="C807" s="822"/>
      <c r="D807" s="100" t="s">
        <v>308</v>
      </c>
      <c r="E807" s="100" t="s">
        <v>305</v>
      </c>
      <c r="F807" s="101" t="s">
        <v>306</v>
      </c>
      <c r="G807" s="108" t="s">
        <v>310</v>
      </c>
    </row>
    <row r="808" spans="1:7">
      <c r="A808" s="95"/>
      <c r="B808" s="115"/>
      <c r="C808" s="102"/>
      <c r="D808" s="103"/>
      <c r="E808" s="103" t="s">
        <v>309</v>
      </c>
      <c r="F808" s="104" t="s">
        <v>307</v>
      </c>
      <c r="G808" s="109"/>
    </row>
    <row r="809" spans="1:7">
      <c r="A809" s="127"/>
      <c r="B809" s="823" t="str">
        <f>'MAQUINARIA Y EQUIPOS'!$C$28</f>
        <v>HERRAMIENTAS MENORES</v>
      </c>
      <c r="C809" s="824"/>
      <c r="D809" s="87">
        <v>1</v>
      </c>
      <c r="E809" s="82">
        <f>ROUND(G841*0.05,0)</f>
        <v>869</v>
      </c>
      <c r="F809" s="81">
        <v>1</v>
      </c>
      <c r="G809" s="110">
        <f>ROUND(D809*E809/F809,0)</f>
        <v>869</v>
      </c>
    </row>
    <row r="810" spans="1:7">
      <c r="A810" s="95"/>
      <c r="B810" s="835"/>
      <c r="C810" s="836"/>
      <c r="D810" s="37"/>
      <c r="E810" s="82"/>
      <c r="F810" s="83"/>
      <c r="G810" s="111"/>
    </row>
    <row r="811" spans="1:7">
      <c r="A811" s="95"/>
      <c r="B811" s="835"/>
      <c r="C811" s="836"/>
      <c r="D811" s="37"/>
      <c r="E811" s="82"/>
      <c r="F811" s="83"/>
      <c r="G811" s="111"/>
    </row>
    <row r="812" spans="1:7">
      <c r="A812" s="95"/>
      <c r="B812" s="835"/>
      <c r="C812" s="836"/>
      <c r="D812" s="37"/>
      <c r="E812" s="82"/>
      <c r="F812" s="83"/>
      <c r="G812" s="111"/>
    </row>
    <row r="813" spans="1:7" ht="13.5" thickBot="1">
      <c r="A813" s="95"/>
      <c r="B813" s="835"/>
      <c r="C813" s="836"/>
      <c r="D813" s="77"/>
      <c r="E813" s="82"/>
      <c r="F813" s="86"/>
      <c r="G813" s="111"/>
    </row>
    <row r="814" spans="1:7" ht="14.25" thickTop="1" thickBot="1">
      <c r="A814" s="95"/>
      <c r="B814" s="808"/>
      <c r="C814" s="808"/>
      <c r="D814" s="808"/>
      <c r="E814" s="809"/>
      <c r="F814" s="119" t="s">
        <v>856</v>
      </c>
      <c r="G814" s="118">
        <f>SUM(G809:G813)</f>
        <v>869</v>
      </c>
    </row>
    <row r="815" spans="1:7" ht="14.25" thickTop="1" thickBot="1">
      <c r="A815" s="95"/>
      <c r="B815" s="830"/>
      <c r="C815" s="830"/>
      <c r="D815" s="830"/>
      <c r="E815" s="830"/>
      <c r="F815" s="830"/>
      <c r="G815" s="830"/>
    </row>
    <row r="816" spans="1:7" ht="13.5" thickTop="1">
      <c r="A816" s="95"/>
      <c r="B816" s="811" t="s">
        <v>311</v>
      </c>
      <c r="C816" s="812"/>
      <c r="D816" s="812"/>
      <c r="E816" s="812"/>
      <c r="F816" s="812"/>
      <c r="G816" s="825"/>
    </row>
    <row r="817" spans="1:8">
      <c r="A817" s="95"/>
      <c r="B817" s="817" t="s">
        <v>838</v>
      </c>
      <c r="C817" s="818"/>
      <c r="D817" s="98" t="s">
        <v>842</v>
      </c>
      <c r="E817" s="98" t="s">
        <v>853</v>
      </c>
      <c r="F817" s="99" t="s">
        <v>1047</v>
      </c>
      <c r="G817" s="107" t="s">
        <v>840</v>
      </c>
    </row>
    <row r="818" spans="1:8">
      <c r="A818" s="95"/>
      <c r="B818" s="115"/>
      <c r="C818" s="102"/>
      <c r="D818" s="100"/>
      <c r="E818" s="100" t="s">
        <v>312</v>
      </c>
      <c r="F818" s="101" t="s">
        <v>313</v>
      </c>
      <c r="G818" s="108" t="s">
        <v>314</v>
      </c>
    </row>
    <row r="819" spans="1:8">
      <c r="A819" s="125"/>
      <c r="B819" s="841" t="str">
        <f>MATERIALES2!$C$704</f>
        <v>SOLDADURA PVC ¼</v>
      </c>
      <c r="C819" s="842"/>
      <c r="D819" s="87" t="s">
        <v>865</v>
      </c>
      <c r="E819" s="142">
        <v>0.04</v>
      </c>
      <c r="F819" s="80">
        <f>MATERIALES2!$E$704</f>
        <v>56298</v>
      </c>
      <c r="G819" s="110">
        <f t="shared" ref="G819:G826" si="15">ROUND(E819*F819,0)</f>
        <v>2252</v>
      </c>
    </row>
    <row r="820" spans="1:8">
      <c r="A820" s="123"/>
      <c r="B820" s="854" t="str">
        <f>MATERIALES2!$C$903</f>
        <v>LLAVE DE PASO 1/2"</v>
      </c>
      <c r="C820" s="855"/>
      <c r="D820" s="37" t="s">
        <v>865</v>
      </c>
      <c r="E820" s="83">
        <v>0.5</v>
      </c>
      <c r="F820" s="82">
        <f>MATERIALES2!$E$903</f>
        <v>10000</v>
      </c>
      <c r="G820" s="111">
        <f t="shared" si="15"/>
        <v>5000</v>
      </c>
    </row>
    <row r="821" spans="1:8">
      <c r="A821" s="95"/>
      <c r="B821" s="854" t="str">
        <f>MATERIALES2!$C$585</f>
        <v>TUBO PVC PRESION 1/2" x 6.0 M</v>
      </c>
      <c r="C821" s="855"/>
      <c r="D821" s="37" t="s">
        <v>865</v>
      </c>
      <c r="E821" s="83">
        <v>0.44</v>
      </c>
      <c r="F821" s="82">
        <f>MATERIALES2!$E$585</f>
        <v>6000</v>
      </c>
      <c r="G821" s="111">
        <f t="shared" si="15"/>
        <v>2640</v>
      </c>
    </row>
    <row r="822" spans="1:8">
      <c r="A822" s="95"/>
      <c r="B822" s="854" t="str">
        <f>MATERIALES2!$C$586</f>
        <v>TUBO PVC PRESION 3/4" x 6.0 M</v>
      </c>
      <c r="C822" s="855"/>
      <c r="D822" s="37" t="s">
        <v>865</v>
      </c>
      <c r="E822" s="83">
        <v>0.1</v>
      </c>
      <c r="F822" s="82">
        <f>MATERIALES2!$E$586</f>
        <v>6700</v>
      </c>
      <c r="G822" s="111">
        <f t="shared" si="15"/>
        <v>670</v>
      </c>
    </row>
    <row r="823" spans="1:8">
      <c r="A823" s="95"/>
      <c r="B823" s="854" t="str">
        <f>MATERIALES2!$C$587</f>
        <v>TUBO PVC PRESION 1" x 6.0 M</v>
      </c>
      <c r="C823" s="855"/>
      <c r="D823" s="37" t="s">
        <v>865</v>
      </c>
      <c r="E823" s="83">
        <v>0.08</v>
      </c>
      <c r="F823" s="82">
        <f>MATERIALES2!$E$587</f>
        <v>9700</v>
      </c>
      <c r="G823" s="111">
        <f t="shared" si="15"/>
        <v>776</v>
      </c>
    </row>
    <row r="824" spans="1:8">
      <c r="A824" s="95"/>
      <c r="B824" s="854" t="str">
        <f>MATERIALES2!$C$674</f>
        <v>CODO PRESION ½"</v>
      </c>
      <c r="C824" s="855"/>
      <c r="D824" s="37" t="s">
        <v>865</v>
      </c>
      <c r="E824" s="53">
        <v>2.46</v>
      </c>
      <c r="F824" s="82">
        <f>MATERIALES2!$E$674</f>
        <v>200</v>
      </c>
      <c r="G824" s="111">
        <f t="shared" si="15"/>
        <v>492</v>
      </c>
    </row>
    <row r="825" spans="1:8">
      <c r="A825" s="95"/>
      <c r="B825" s="854" t="str">
        <f>MATERIALES2!$C$681</f>
        <v>CODO PRESION 3/4"</v>
      </c>
      <c r="C825" s="855"/>
      <c r="D825" s="37" t="s">
        <v>865</v>
      </c>
      <c r="E825" s="53">
        <v>1.07</v>
      </c>
      <c r="F825" s="82">
        <f>MATERIALES2!$E$681</f>
        <v>300</v>
      </c>
      <c r="G825" s="111">
        <f t="shared" si="15"/>
        <v>321</v>
      </c>
    </row>
    <row r="826" spans="1:8">
      <c r="A826" s="95"/>
      <c r="B826" s="854" t="str">
        <f>MATERIALES2!$C$677</f>
        <v>CODO PRESION 1"</v>
      </c>
      <c r="C826" s="855"/>
      <c r="D826" s="37" t="s">
        <v>865</v>
      </c>
      <c r="E826" s="53">
        <v>0.77</v>
      </c>
      <c r="F826" s="82">
        <f>MATERIALES2!$E$677</f>
        <v>600</v>
      </c>
      <c r="G826" s="111">
        <f t="shared" si="15"/>
        <v>462</v>
      </c>
      <c r="H826" s="505" t="s">
        <v>1670</v>
      </c>
    </row>
    <row r="827" spans="1:8" ht="13.5" thickBot="1">
      <c r="A827" s="95"/>
      <c r="B827" s="854"/>
      <c r="C827" s="855"/>
      <c r="D827" s="37"/>
      <c r="E827" s="84"/>
      <c r="F827" s="82"/>
      <c r="G827" s="111"/>
    </row>
    <row r="828" spans="1:8" ht="13.5" thickTop="1">
      <c r="A828" s="95"/>
      <c r="B828" s="808"/>
      <c r="C828" s="809"/>
      <c r="D828" s="801" t="s">
        <v>856</v>
      </c>
      <c r="E828" s="802"/>
      <c r="F828" s="9"/>
      <c r="G828" s="113">
        <f>SUM(G819:G827)</f>
        <v>12613</v>
      </c>
    </row>
    <row r="829" spans="1:8">
      <c r="A829" s="95"/>
      <c r="B829" s="819"/>
      <c r="C829" s="820"/>
      <c r="D829" s="801" t="s">
        <v>857</v>
      </c>
      <c r="E829" s="802"/>
      <c r="F829" s="79">
        <f>'MANO DE OBRA'!$D$60</f>
        <v>0.05</v>
      </c>
      <c r="G829" s="113">
        <f>ROUND(G828*F829,0)</f>
        <v>631</v>
      </c>
    </row>
    <row r="830" spans="1:8" ht="13.5" thickBot="1">
      <c r="A830" s="95"/>
      <c r="B830" s="819"/>
      <c r="C830" s="820"/>
      <c r="D830" s="803" t="s">
        <v>320</v>
      </c>
      <c r="E830" s="804"/>
      <c r="F830" s="114"/>
      <c r="G830" s="118">
        <f>+G828+G829</f>
        <v>13244</v>
      </c>
    </row>
    <row r="831" spans="1:8" ht="14.25" thickTop="1" thickBot="1">
      <c r="A831" s="95"/>
      <c r="B831" s="830"/>
      <c r="C831" s="830"/>
      <c r="D831" s="830"/>
      <c r="E831" s="830"/>
      <c r="F831" s="830"/>
      <c r="G831" s="830"/>
    </row>
    <row r="832" spans="1:8" ht="13.5" thickTop="1">
      <c r="A832" s="95"/>
      <c r="B832" s="811" t="s">
        <v>858</v>
      </c>
      <c r="C832" s="812"/>
      <c r="D832" s="812"/>
      <c r="E832" s="812"/>
      <c r="F832" s="812"/>
      <c r="G832" s="825"/>
    </row>
    <row r="833" spans="1:7">
      <c r="A833" s="95"/>
      <c r="B833" s="817"/>
      <c r="C833" s="818"/>
      <c r="D833" s="98" t="s">
        <v>301</v>
      </c>
      <c r="E833" s="98" t="s">
        <v>859</v>
      </c>
      <c r="F833" s="99" t="s">
        <v>839</v>
      </c>
      <c r="G833" s="107" t="s">
        <v>840</v>
      </c>
    </row>
    <row r="834" spans="1:7">
      <c r="A834" s="95"/>
      <c r="B834" s="821" t="s">
        <v>838</v>
      </c>
      <c r="C834" s="822"/>
      <c r="D834" s="100" t="s">
        <v>316</v>
      </c>
      <c r="E834" s="100" t="s">
        <v>315</v>
      </c>
      <c r="F834" s="101" t="s">
        <v>306</v>
      </c>
      <c r="G834" s="108" t="s">
        <v>319</v>
      </c>
    </row>
    <row r="835" spans="1:7">
      <c r="A835" s="95"/>
      <c r="B835" s="115"/>
      <c r="C835" s="102"/>
      <c r="D835" s="103"/>
      <c r="E835" s="103" t="s">
        <v>317</v>
      </c>
      <c r="F835" s="104" t="s">
        <v>318</v>
      </c>
      <c r="G835" s="109"/>
    </row>
    <row r="836" spans="1:7">
      <c r="A836" s="95"/>
      <c r="B836" s="823" t="str">
        <f>'MANO DE OBRA'!$B$11</f>
        <v>AYUDANTE CUAD. TIPO BB</v>
      </c>
      <c r="C836" s="824"/>
      <c r="D836" s="87">
        <v>1</v>
      </c>
      <c r="E836" s="80">
        <f>'MANO DE OBRA'!$E$11</f>
        <v>43077</v>
      </c>
      <c r="F836" s="81">
        <v>7</v>
      </c>
      <c r="G836" s="110">
        <f>ROUND(D836*E836/F836,0)</f>
        <v>6154</v>
      </c>
    </row>
    <row r="837" spans="1:7">
      <c r="A837" s="95"/>
      <c r="B837" s="835" t="str">
        <f>'MANO DE OBRA'!$B$16</f>
        <v>OFICIAL CUAD. TIPO BB</v>
      </c>
      <c r="C837" s="836"/>
      <c r="D837" s="37">
        <v>1</v>
      </c>
      <c r="E837" s="82">
        <f>'MANO DE OBRA'!$E$16</f>
        <v>78577</v>
      </c>
      <c r="F837" s="83">
        <v>7</v>
      </c>
      <c r="G837" s="111">
        <f>ROUND(D837*E837/F837,0)</f>
        <v>11225</v>
      </c>
    </row>
    <row r="838" spans="1:7">
      <c r="A838" s="95"/>
      <c r="B838" s="835"/>
      <c r="C838" s="836"/>
      <c r="D838" s="89"/>
      <c r="E838" s="82"/>
      <c r="F838" s="83"/>
      <c r="G838" s="111"/>
    </row>
    <row r="839" spans="1:7">
      <c r="A839" s="95"/>
      <c r="B839" s="835" t="s">
        <v>841</v>
      </c>
      <c r="C839" s="836"/>
      <c r="D839" s="37"/>
      <c r="E839" s="82"/>
      <c r="F839" s="83"/>
      <c r="G839" s="111"/>
    </row>
    <row r="840" spans="1:7" ht="13.5" thickBot="1">
      <c r="A840" s="95"/>
      <c r="B840" s="828" t="s">
        <v>841</v>
      </c>
      <c r="C840" s="829"/>
      <c r="D840" s="77"/>
      <c r="E840" s="82"/>
      <c r="F840" s="86"/>
      <c r="G840" s="112"/>
    </row>
    <row r="841" spans="1:7" ht="14.25" thickTop="1" thickBot="1">
      <c r="A841" s="95"/>
      <c r="B841" s="808"/>
      <c r="C841" s="808"/>
      <c r="D841" s="808"/>
      <c r="E841" s="809"/>
      <c r="F841" s="120" t="s">
        <v>856</v>
      </c>
      <c r="G841" s="118">
        <f>SUM(G836:G840)</f>
        <v>17379</v>
      </c>
    </row>
    <row r="842" spans="1:7" ht="14.25" thickTop="1" thickBot="1">
      <c r="A842" s="95"/>
      <c r="B842" s="810"/>
      <c r="C842" s="810"/>
      <c r="D842" s="810"/>
      <c r="E842" s="810"/>
      <c r="F842" s="810"/>
      <c r="G842" s="810"/>
    </row>
    <row r="843" spans="1:7" ht="13.5" thickTop="1">
      <c r="A843" s="95"/>
      <c r="B843" s="811" t="s">
        <v>321</v>
      </c>
      <c r="C843" s="812"/>
      <c r="D843" s="812"/>
      <c r="E843" s="812"/>
      <c r="F843" s="812"/>
      <c r="G843" s="825"/>
    </row>
    <row r="844" spans="1:7">
      <c r="A844" s="95"/>
      <c r="B844" s="817" t="s">
        <v>838</v>
      </c>
      <c r="C844" s="818"/>
      <c r="D844" s="98" t="s">
        <v>301</v>
      </c>
      <c r="E844" s="98" t="s">
        <v>297</v>
      </c>
      <c r="F844" s="99" t="s">
        <v>839</v>
      </c>
      <c r="G844" s="107" t="s">
        <v>840</v>
      </c>
    </row>
    <row r="845" spans="1:7">
      <c r="A845" s="95"/>
      <c r="B845" s="115"/>
      <c r="C845" s="102"/>
      <c r="D845" s="103" t="s">
        <v>322</v>
      </c>
      <c r="E845" s="103" t="s">
        <v>323</v>
      </c>
      <c r="F845" s="104" t="s">
        <v>324</v>
      </c>
      <c r="G845" s="109" t="s">
        <v>325</v>
      </c>
    </row>
    <row r="846" spans="1:7">
      <c r="A846" s="95"/>
      <c r="B846" s="826"/>
      <c r="C846" s="827"/>
      <c r="D846" s="96"/>
      <c r="E846" s="96"/>
      <c r="F846" s="96"/>
      <c r="G846" s="116"/>
    </row>
    <row r="847" spans="1:7" ht="13.5" thickBot="1">
      <c r="A847" s="95"/>
      <c r="B847" s="828" t="s">
        <v>841</v>
      </c>
      <c r="C847" s="829"/>
      <c r="D847" s="77"/>
      <c r="E847" s="82"/>
      <c r="F847" s="86"/>
      <c r="G847" s="112"/>
    </row>
    <row r="848" spans="1:7" ht="14.25" thickTop="1" thickBot="1">
      <c r="A848" s="95"/>
      <c r="B848" s="808"/>
      <c r="C848" s="808"/>
      <c r="D848" s="808"/>
      <c r="E848" s="809"/>
      <c r="F848" s="120" t="s">
        <v>856</v>
      </c>
      <c r="G848" s="118">
        <f>SUM(G843:G847)</f>
        <v>0</v>
      </c>
    </row>
    <row r="849" spans="1:8" ht="14.25" thickTop="1" thickBot="1">
      <c r="A849" s="95"/>
      <c r="B849" s="810"/>
      <c r="C849" s="810"/>
      <c r="D849" s="810"/>
      <c r="E849" s="810"/>
      <c r="F849" s="810"/>
      <c r="G849" s="810"/>
    </row>
    <row r="850" spans="1:8" ht="13.5" thickTop="1">
      <c r="A850" s="95"/>
      <c r="B850" s="811" t="s">
        <v>326</v>
      </c>
      <c r="C850" s="812"/>
      <c r="D850" s="812"/>
      <c r="E850" s="812"/>
      <c r="F850" s="813"/>
      <c r="G850" s="121">
        <f>+G814+G830+G841+G848</f>
        <v>31492</v>
      </c>
    </row>
    <row r="851" spans="1:8">
      <c r="A851" s="95"/>
      <c r="B851" s="814" t="s">
        <v>861</v>
      </c>
      <c r="C851" s="815"/>
      <c r="D851" s="815"/>
      <c r="E851" s="816"/>
      <c r="F851" s="128">
        <f>'MANO DE OBRA'!$D$59</f>
        <v>0</v>
      </c>
      <c r="G851" s="122">
        <f>ROUND(G850*F851,0)</f>
        <v>0</v>
      </c>
    </row>
    <row r="852" spans="1:8" ht="13.5" thickBot="1">
      <c r="A852" s="95"/>
      <c r="B852" s="805" t="s">
        <v>1049</v>
      </c>
      <c r="C852" s="806"/>
      <c r="D852" s="806"/>
      <c r="E852" s="806"/>
      <c r="F852" s="807"/>
      <c r="G852" s="118">
        <f>ROUND(G850+G851,-2)</f>
        <v>31500</v>
      </c>
      <c r="H852" s="505" t="s">
        <v>1670</v>
      </c>
    </row>
    <row r="853" spans="1:8" ht="13.5" thickTop="1">
      <c r="A853" s="95"/>
      <c r="B853" s="90" t="s">
        <v>303</v>
      </c>
      <c r="C853" s="843"/>
      <c r="D853" s="843"/>
      <c r="E853" s="843"/>
      <c r="F853" s="92" t="s">
        <v>781</v>
      </c>
      <c r="G853" s="93" t="s">
        <v>865</v>
      </c>
    </row>
    <row r="854" spans="1:8">
      <c r="A854" s="95"/>
      <c r="B854" s="91" t="s">
        <v>834</v>
      </c>
      <c r="C854" s="844" t="s">
        <v>371</v>
      </c>
      <c r="D854" s="844"/>
      <c r="E854" s="844"/>
      <c r="F854" s="15" t="s">
        <v>833</v>
      </c>
      <c r="G854" s="165" t="str">
        <f>'MANO DE OBRA'!$D$61</f>
        <v>Agosto de 2010</v>
      </c>
    </row>
    <row r="855" spans="1:8" ht="13.5" thickBot="1">
      <c r="A855" s="127"/>
      <c r="B855" s="94" t="s">
        <v>835</v>
      </c>
      <c r="C855" s="845" t="s">
        <v>651</v>
      </c>
      <c r="D855" s="845"/>
      <c r="E855" s="845"/>
      <c r="F855" s="845"/>
      <c r="G855" s="846"/>
    </row>
    <row r="856" spans="1:8" ht="14.25" thickTop="1" thickBot="1">
      <c r="A856" s="95"/>
      <c r="B856" s="847"/>
      <c r="C856" s="847"/>
      <c r="D856" s="847"/>
      <c r="E856" s="847"/>
      <c r="F856" s="847"/>
      <c r="G856" s="847"/>
    </row>
    <row r="857" spans="1:8" ht="13.5" thickTop="1">
      <c r="A857" s="95"/>
      <c r="B857" s="811" t="s">
        <v>304</v>
      </c>
      <c r="C857" s="812"/>
      <c r="D857" s="812"/>
      <c r="E857" s="812"/>
      <c r="F857" s="812"/>
      <c r="G857" s="825"/>
    </row>
    <row r="858" spans="1:8">
      <c r="A858" s="95"/>
      <c r="B858" s="105"/>
      <c r="C858" s="97"/>
      <c r="D858" s="98" t="s">
        <v>301</v>
      </c>
      <c r="E858" s="98" t="s">
        <v>1072</v>
      </c>
      <c r="F858" s="99" t="s">
        <v>839</v>
      </c>
      <c r="G858" s="107" t="s">
        <v>840</v>
      </c>
    </row>
    <row r="859" spans="1:8">
      <c r="A859" s="95"/>
      <c r="B859" s="821" t="s">
        <v>838</v>
      </c>
      <c r="C859" s="822"/>
      <c r="D859" s="100" t="s">
        <v>308</v>
      </c>
      <c r="E859" s="100" t="s">
        <v>305</v>
      </c>
      <c r="F859" s="101" t="s">
        <v>306</v>
      </c>
      <c r="G859" s="108" t="s">
        <v>310</v>
      </c>
    </row>
    <row r="860" spans="1:8">
      <c r="A860" s="95"/>
      <c r="B860" s="115"/>
      <c r="C860" s="102"/>
      <c r="D860" s="103"/>
      <c r="E860" s="103" t="s">
        <v>309</v>
      </c>
      <c r="F860" s="104" t="s">
        <v>307</v>
      </c>
      <c r="G860" s="109"/>
    </row>
    <row r="861" spans="1:8">
      <c r="A861" s="127"/>
      <c r="B861" s="823" t="str">
        <f>'MAQUINARIA Y EQUIPOS'!$C$28</f>
        <v>HERRAMIENTAS MENORES</v>
      </c>
      <c r="C861" s="824"/>
      <c r="D861" s="87">
        <v>1</v>
      </c>
      <c r="E861" s="82">
        <f>ROUND(G894*0.05,0)</f>
        <v>1278</v>
      </c>
      <c r="F861" s="81">
        <v>1</v>
      </c>
      <c r="G861" s="110">
        <f>ROUND(D861*E861/F861,0)</f>
        <v>1278</v>
      </c>
    </row>
    <row r="862" spans="1:8">
      <c r="A862" s="95"/>
      <c r="B862" s="835"/>
      <c r="C862" s="836"/>
      <c r="D862" s="37"/>
      <c r="E862" s="82"/>
      <c r="F862" s="83"/>
      <c r="G862" s="111"/>
    </row>
    <row r="863" spans="1:8">
      <c r="A863" s="95"/>
      <c r="B863" s="835"/>
      <c r="C863" s="836"/>
      <c r="D863" s="37"/>
      <c r="E863" s="82"/>
      <c r="F863" s="83"/>
      <c r="G863" s="111"/>
    </row>
    <row r="864" spans="1:8">
      <c r="A864" s="95"/>
      <c r="B864" s="835"/>
      <c r="C864" s="836"/>
      <c r="D864" s="37"/>
      <c r="E864" s="82"/>
      <c r="F864" s="83"/>
      <c r="G864" s="111"/>
    </row>
    <row r="865" spans="1:8" ht="13.5" thickBot="1">
      <c r="A865" s="95"/>
      <c r="B865" s="835"/>
      <c r="C865" s="836"/>
      <c r="D865" s="77"/>
      <c r="E865" s="82"/>
      <c r="F865" s="86"/>
      <c r="G865" s="111"/>
    </row>
    <row r="866" spans="1:8" ht="14.25" thickTop="1" thickBot="1">
      <c r="A866" s="95"/>
      <c r="B866" s="808"/>
      <c r="C866" s="808"/>
      <c r="D866" s="808"/>
      <c r="E866" s="809"/>
      <c r="F866" s="119" t="s">
        <v>856</v>
      </c>
      <c r="G866" s="118">
        <f>SUM(G861:G865)</f>
        <v>1278</v>
      </c>
    </row>
    <row r="867" spans="1:8" ht="14.25" thickTop="1" thickBot="1">
      <c r="A867" s="95"/>
      <c r="B867" s="830"/>
      <c r="C867" s="830"/>
      <c r="D867" s="830"/>
      <c r="E867" s="830"/>
      <c r="F867" s="830"/>
      <c r="G867" s="830"/>
    </row>
    <row r="868" spans="1:8" ht="13.5" thickTop="1">
      <c r="A868" s="95"/>
      <c r="B868" s="811" t="s">
        <v>311</v>
      </c>
      <c r="C868" s="812"/>
      <c r="D868" s="812"/>
      <c r="E868" s="812"/>
      <c r="F868" s="812"/>
      <c r="G868" s="825"/>
    </row>
    <row r="869" spans="1:8">
      <c r="A869" s="95"/>
      <c r="B869" s="817" t="s">
        <v>838</v>
      </c>
      <c r="C869" s="818"/>
      <c r="D869" s="98" t="s">
        <v>842</v>
      </c>
      <c r="E869" s="98" t="s">
        <v>853</v>
      </c>
      <c r="F869" s="99" t="s">
        <v>1047</v>
      </c>
      <c r="G869" s="107" t="s">
        <v>840</v>
      </c>
    </row>
    <row r="870" spans="1:8">
      <c r="A870" s="95"/>
      <c r="B870" s="115"/>
      <c r="C870" s="102"/>
      <c r="D870" s="100"/>
      <c r="E870" s="100" t="s">
        <v>312</v>
      </c>
      <c r="F870" s="101" t="s">
        <v>313</v>
      </c>
      <c r="G870" s="108" t="s">
        <v>314</v>
      </c>
    </row>
    <row r="871" spans="1:8">
      <c r="A871" s="125"/>
      <c r="B871" s="841" t="str">
        <f>MATERIALES2!$C$704</f>
        <v>SOLDADURA PVC ¼</v>
      </c>
      <c r="C871" s="842"/>
      <c r="D871" s="87" t="s">
        <v>865</v>
      </c>
      <c r="E871" s="142">
        <v>0.04</v>
      </c>
      <c r="F871" s="80">
        <f>MATERIALES2!$E$704</f>
        <v>56298</v>
      </c>
      <c r="G871" s="110">
        <f t="shared" ref="G871:G877" si="16">ROUND(E871*F871,0)</f>
        <v>2252</v>
      </c>
    </row>
    <row r="872" spans="1:8">
      <c r="A872" s="123"/>
      <c r="B872" s="854" t="str">
        <f>MATERIALES2!$C$736</f>
        <v>TEE PRESION 3/4"</v>
      </c>
      <c r="C872" s="855"/>
      <c r="D872" s="37" t="s">
        <v>865</v>
      </c>
      <c r="E872" s="83">
        <v>1</v>
      </c>
      <c r="F872" s="82">
        <f>MATERIALES2!$E$736</f>
        <v>500</v>
      </c>
      <c r="G872" s="111">
        <f t="shared" si="16"/>
        <v>500</v>
      </c>
    </row>
    <row r="873" spans="1:8">
      <c r="A873" s="123"/>
      <c r="B873" s="854" t="str">
        <f>MATERIALES2!$C$729</f>
        <v>TEE PRESION ½"</v>
      </c>
      <c r="C873" s="855"/>
      <c r="D873" s="37" t="s">
        <v>865</v>
      </c>
      <c r="E873" s="83">
        <v>1</v>
      </c>
      <c r="F873" s="82">
        <f>MATERIALES2!$E$729</f>
        <v>300</v>
      </c>
      <c r="G873" s="111">
        <f t="shared" si="16"/>
        <v>300</v>
      </c>
    </row>
    <row r="874" spans="1:8">
      <c r="A874" s="123"/>
      <c r="B874" s="854" t="str">
        <f>MATERIALES2!C672</f>
        <v>BUJES SOLDADOS 3/4"x1/2"</v>
      </c>
      <c r="C874" s="855"/>
      <c r="D874" s="37" t="s">
        <v>865</v>
      </c>
      <c r="E874" s="83">
        <v>1</v>
      </c>
      <c r="F874" s="82">
        <f>MATERIALES2!$E$672</f>
        <v>250</v>
      </c>
      <c r="G874" s="111">
        <f t="shared" si="16"/>
        <v>250</v>
      </c>
    </row>
    <row r="875" spans="1:8">
      <c r="A875" s="95"/>
      <c r="B875" s="854" t="str">
        <f>MATERIALES2!$C$674</f>
        <v>CODO PRESION ½"</v>
      </c>
      <c r="C875" s="855"/>
      <c r="D875" s="37" t="s">
        <v>865</v>
      </c>
      <c r="E875" s="83">
        <v>2</v>
      </c>
      <c r="F875" s="82">
        <f>MATERIALES2!$E$674</f>
        <v>200</v>
      </c>
      <c r="G875" s="111">
        <f t="shared" si="16"/>
        <v>400</v>
      </c>
    </row>
    <row r="876" spans="1:8">
      <c r="A876" s="95"/>
      <c r="B876" s="854" t="str">
        <f>MATERIALES2!$C$617</f>
        <v>ADAPTADOR HEMBRA PRESION ½"</v>
      </c>
      <c r="C876" s="855"/>
      <c r="D876" s="37" t="s">
        <v>865</v>
      </c>
      <c r="E876" s="83">
        <v>1</v>
      </c>
      <c r="F876" s="82">
        <f>MATERIALES2!$E$617</f>
        <v>200</v>
      </c>
      <c r="G876" s="111">
        <f t="shared" si="16"/>
        <v>200</v>
      </c>
    </row>
    <row r="877" spans="1:8">
      <c r="A877" s="95"/>
      <c r="B877" s="854" t="str">
        <f>MATERIALES2!$C$585</f>
        <v>TUBO PVC PRESION 1/2" x 6.0 M</v>
      </c>
      <c r="C877" s="855"/>
      <c r="D877" s="37" t="s">
        <v>865</v>
      </c>
      <c r="E877" s="53">
        <f>4.5/6</f>
        <v>0.75</v>
      </c>
      <c r="F877" s="82">
        <f>MATERIALES2!$E$585</f>
        <v>6000</v>
      </c>
      <c r="G877" s="111">
        <f t="shared" si="16"/>
        <v>4500</v>
      </c>
    </row>
    <row r="878" spans="1:8">
      <c r="A878" s="95"/>
      <c r="B878" s="854"/>
      <c r="C878" s="855"/>
      <c r="D878" s="37"/>
      <c r="E878" s="53"/>
      <c r="F878" s="82"/>
      <c r="G878" s="111"/>
    </row>
    <row r="879" spans="1:8">
      <c r="A879" s="95"/>
      <c r="B879" s="854"/>
      <c r="C879" s="855"/>
      <c r="D879" s="37"/>
      <c r="E879" s="83"/>
      <c r="F879" s="82"/>
      <c r="G879" s="111"/>
      <c r="H879" s="505" t="s">
        <v>1670</v>
      </c>
    </row>
    <row r="880" spans="1:8" ht="13.5" thickBot="1">
      <c r="A880" s="95"/>
      <c r="B880" s="854"/>
      <c r="C880" s="855"/>
      <c r="D880" s="37"/>
      <c r="E880" s="84"/>
      <c r="F880" s="82"/>
      <c r="G880" s="111"/>
    </row>
    <row r="881" spans="1:7" ht="13.5" thickTop="1">
      <c r="A881" s="95"/>
      <c r="B881" s="808"/>
      <c r="C881" s="809"/>
      <c r="D881" s="801" t="s">
        <v>856</v>
      </c>
      <c r="E881" s="802"/>
      <c r="F881" s="9"/>
      <c r="G881" s="113">
        <f>SUM(G871:G880)</f>
        <v>8402</v>
      </c>
    </row>
    <row r="882" spans="1:7">
      <c r="A882" s="95"/>
      <c r="B882" s="819"/>
      <c r="C882" s="820"/>
      <c r="D882" s="801" t="s">
        <v>857</v>
      </c>
      <c r="E882" s="802"/>
      <c r="F882" s="79">
        <f>'MANO DE OBRA'!$D$60</f>
        <v>0.05</v>
      </c>
      <c r="G882" s="113">
        <f>ROUND(G881*F882,0)</f>
        <v>420</v>
      </c>
    </row>
    <row r="883" spans="1:7" ht="13.5" thickBot="1">
      <c r="A883" s="95"/>
      <c r="B883" s="819"/>
      <c r="C883" s="820"/>
      <c r="D883" s="803" t="s">
        <v>320</v>
      </c>
      <c r="E883" s="804"/>
      <c r="F883" s="114"/>
      <c r="G883" s="118">
        <f>+G881+G882</f>
        <v>8822</v>
      </c>
    </row>
    <row r="884" spans="1:7" ht="14.25" thickTop="1" thickBot="1">
      <c r="A884" s="95"/>
      <c r="B884" s="830"/>
      <c r="C884" s="830"/>
      <c r="D884" s="830"/>
      <c r="E884" s="830"/>
      <c r="F884" s="830"/>
      <c r="G884" s="830"/>
    </row>
    <row r="885" spans="1:7" ht="13.5" thickTop="1">
      <c r="A885" s="95"/>
      <c r="B885" s="811" t="s">
        <v>858</v>
      </c>
      <c r="C885" s="812"/>
      <c r="D885" s="812"/>
      <c r="E885" s="812"/>
      <c r="F885" s="812"/>
      <c r="G885" s="825"/>
    </row>
    <row r="886" spans="1:7">
      <c r="A886" s="95"/>
      <c r="B886" s="817"/>
      <c r="C886" s="818"/>
      <c r="D886" s="98" t="s">
        <v>301</v>
      </c>
      <c r="E886" s="98" t="s">
        <v>859</v>
      </c>
      <c r="F886" s="99" t="s">
        <v>839</v>
      </c>
      <c r="G886" s="107" t="s">
        <v>840</v>
      </c>
    </row>
    <row r="887" spans="1:7">
      <c r="A887" s="95"/>
      <c r="B887" s="821" t="s">
        <v>838</v>
      </c>
      <c r="C887" s="822"/>
      <c r="D887" s="100" t="s">
        <v>316</v>
      </c>
      <c r="E887" s="100" t="s">
        <v>315</v>
      </c>
      <c r="F887" s="101" t="s">
        <v>306</v>
      </c>
      <c r="G887" s="108" t="s">
        <v>319</v>
      </c>
    </row>
    <row r="888" spans="1:7">
      <c r="A888" s="95"/>
      <c r="B888" s="115"/>
      <c r="C888" s="102"/>
      <c r="D888" s="103"/>
      <c r="E888" s="103" t="s">
        <v>317</v>
      </c>
      <c r="F888" s="104" t="s">
        <v>318</v>
      </c>
      <c r="G888" s="109"/>
    </row>
    <row r="889" spans="1:7">
      <c r="A889" s="95"/>
      <c r="B889" s="823" t="str">
        <f>'MANO DE OBRA'!$B$11</f>
        <v>AYUDANTE CUAD. TIPO BB</v>
      </c>
      <c r="C889" s="824"/>
      <c r="D889" s="87">
        <v>1</v>
      </c>
      <c r="E889" s="80">
        <f>'MANO DE OBRA'!$E$11</f>
        <v>43077</v>
      </c>
      <c r="F889" s="81">
        <v>4.76</v>
      </c>
      <c r="G889" s="110">
        <f>ROUND(D889*E889/F889,0)</f>
        <v>9050</v>
      </c>
    </row>
    <row r="890" spans="1:7">
      <c r="A890" s="95"/>
      <c r="B890" s="835" t="str">
        <f>'MANO DE OBRA'!$B$16</f>
        <v>OFICIAL CUAD. TIPO BB</v>
      </c>
      <c r="C890" s="836"/>
      <c r="D890" s="37">
        <v>1</v>
      </c>
      <c r="E890" s="82">
        <f>'MANO DE OBRA'!$E$16</f>
        <v>78577</v>
      </c>
      <c r="F890" s="83">
        <v>4.76</v>
      </c>
      <c r="G890" s="111">
        <f>ROUND(D890*E890/F890,0)</f>
        <v>16508</v>
      </c>
    </row>
    <row r="891" spans="1:7">
      <c r="A891" s="95"/>
      <c r="B891" s="835"/>
      <c r="C891" s="836"/>
      <c r="D891" s="89"/>
      <c r="E891" s="82"/>
      <c r="F891" s="83"/>
      <c r="G891" s="111"/>
    </row>
    <row r="892" spans="1:7">
      <c r="A892" s="95"/>
      <c r="B892" s="835" t="s">
        <v>841</v>
      </c>
      <c r="C892" s="836"/>
      <c r="D892" s="37"/>
      <c r="E892" s="82"/>
      <c r="F892" s="83"/>
      <c r="G892" s="111"/>
    </row>
    <row r="893" spans="1:7" ht="13.5" thickBot="1">
      <c r="A893" s="95"/>
      <c r="B893" s="828" t="s">
        <v>841</v>
      </c>
      <c r="C893" s="829"/>
      <c r="D893" s="77"/>
      <c r="E893" s="82"/>
      <c r="F893" s="86"/>
      <c r="G893" s="112"/>
    </row>
    <row r="894" spans="1:7" ht="14.25" thickTop="1" thickBot="1">
      <c r="A894" s="95"/>
      <c r="B894" s="808"/>
      <c r="C894" s="808"/>
      <c r="D894" s="808"/>
      <c r="E894" s="809"/>
      <c r="F894" s="120" t="s">
        <v>856</v>
      </c>
      <c r="G894" s="118">
        <f>SUM(G889:G893)</f>
        <v>25558</v>
      </c>
    </row>
    <row r="895" spans="1:7" ht="14.25" thickTop="1" thickBot="1">
      <c r="A895" s="95"/>
      <c r="B895" s="810"/>
      <c r="C895" s="810"/>
      <c r="D895" s="810"/>
      <c r="E895" s="810"/>
      <c r="F895" s="810"/>
      <c r="G895" s="810"/>
    </row>
    <row r="896" spans="1:7" ht="13.5" thickTop="1">
      <c r="A896" s="95"/>
      <c r="B896" s="811" t="s">
        <v>321</v>
      </c>
      <c r="C896" s="812"/>
      <c r="D896" s="812"/>
      <c r="E896" s="812"/>
      <c r="F896" s="812"/>
      <c r="G896" s="825"/>
    </row>
    <row r="897" spans="1:8">
      <c r="A897" s="95"/>
      <c r="B897" s="817" t="s">
        <v>838</v>
      </c>
      <c r="C897" s="818"/>
      <c r="D897" s="98" t="s">
        <v>301</v>
      </c>
      <c r="E897" s="98" t="s">
        <v>297</v>
      </c>
      <c r="F897" s="99" t="s">
        <v>839</v>
      </c>
      <c r="G897" s="107" t="s">
        <v>840</v>
      </c>
    </row>
    <row r="898" spans="1:8">
      <c r="A898" s="95"/>
      <c r="B898" s="115"/>
      <c r="C898" s="102"/>
      <c r="D898" s="103" t="s">
        <v>322</v>
      </c>
      <c r="E898" s="103" t="s">
        <v>323</v>
      </c>
      <c r="F898" s="104" t="s">
        <v>324</v>
      </c>
      <c r="G898" s="109" t="s">
        <v>325</v>
      </c>
    </row>
    <row r="899" spans="1:8">
      <c r="A899" s="95"/>
      <c r="B899" s="826"/>
      <c r="C899" s="827"/>
      <c r="D899" s="96"/>
      <c r="E899" s="96"/>
      <c r="F899" s="96"/>
      <c r="G899" s="116"/>
    </row>
    <row r="900" spans="1:8" ht="13.5" thickBot="1">
      <c r="A900" s="95"/>
      <c r="B900" s="828" t="s">
        <v>841</v>
      </c>
      <c r="C900" s="829"/>
      <c r="D900" s="77"/>
      <c r="E900" s="82"/>
      <c r="F900" s="86"/>
      <c r="G900" s="112"/>
    </row>
    <row r="901" spans="1:8" ht="14.25" thickTop="1" thickBot="1">
      <c r="A901" s="95"/>
      <c r="B901" s="808"/>
      <c r="C901" s="808"/>
      <c r="D901" s="808"/>
      <c r="E901" s="809"/>
      <c r="F901" s="120" t="s">
        <v>856</v>
      </c>
      <c r="G901" s="118">
        <f>SUM(G896:G900)</f>
        <v>0</v>
      </c>
    </row>
    <row r="902" spans="1:8" ht="14.25" thickTop="1" thickBot="1">
      <c r="A902" s="95"/>
      <c r="B902" s="810"/>
      <c r="C902" s="810"/>
      <c r="D902" s="810"/>
      <c r="E902" s="810"/>
      <c r="F902" s="810"/>
      <c r="G902" s="810"/>
    </row>
    <row r="903" spans="1:8" ht="13.5" thickTop="1">
      <c r="A903" s="95"/>
      <c r="B903" s="811" t="s">
        <v>326</v>
      </c>
      <c r="C903" s="812"/>
      <c r="D903" s="812"/>
      <c r="E903" s="812"/>
      <c r="F903" s="813"/>
      <c r="G903" s="121">
        <f>+G866+G883+G894+G901</f>
        <v>35658</v>
      </c>
    </row>
    <row r="904" spans="1:8">
      <c r="A904" s="95"/>
      <c r="B904" s="814" t="s">
        <v>861</v>
      </c>
      <c r="C904" s="815"/>
      <c r="D904" s="815"/>
      <c r="E904" s="816"/>
      <c r="F904" s="128">
        <f>'MANO DE OBRA'!$D$59</f>
        <v>0</v>
      </c>
      <c r="G904" s="122">
        <f>ROUND(G903*F904,0)</f>
        <v>0</v>
      </c>
    </row>
    <row r="905" spans="1:8" ht="13.5" thickBot="1">
      <c r="A905" s="95"/>
      <c r="B905" s="805" t="s">
        <v>1049</v>
      </c>
      <c r="C905" s="806"/>
      <c r="D905" s="806"/>
      <c r="E905" s="806"/>
      <c r="F905" s="807"/>
      <c r="G905" s="118">
        <f>ROUND(G903+G904,-2)</f>
        <v>35700</v>
      </c>
      <c r="H905" s="505" t="s">
        <v>1670</v>
      </c>
    </row>
    <row r="906" spans="1:8" ht="13.5" thickTop="1">
      <c r="A906" s="95"/>
      <c r="B906" s="90" t="s">
        <v>303</v>
      </c>
      <c r="C906" s="843"/>
      <c r="D906" s="843"/>
      <c r="E906" s="843"/>
      <c r="F906" s="92" t="s">
        <v>781</v>
      </c>
      <c r="G906" s="93" t="s">
        <v>865</v>
      </c>
    </row>
    <row r="907" spans="1:8">
      <c r="A907" s="95"/>
      <c r="B907" s="91" t="s">
        <v>834</v>
      </c>
      <c r="C907" s="844" t="s">
        <v>371</v>
      </c>
      <c r="D907" s="844"/>
      <c r="E907" s="844"/>
      <c r="F907" s="15" t="s">
        <v>833</v>
      </c>
      <c r="G907" s="165" t="str">
        <f>'MANO DE OBRA'!$D$61</f>
        <v>Agosto de 2010</v>
      </c>
    </row>
    <row r="908" spans="1:8" ht="13.5" thickBot="1">
      <c r="A908" s="127"/>
      <c r="B908" s="94" t="s">
        <v>835</v>
      </c>
      <c r="C908" s="845" t="s">
        <v>652</v>
      </c>
      <c r="D908" s="845"/>
      <c r="E908" s="845"/>
      <c r="F908" s="845"/>
      <c r="G908" s="846"/>
    </row>
    <row r="909" spans="1:8" ht="14.25" thickTop="1" thickBot="1">
      <c r="A909" s="95"/>
      <c r="B909" s="847"/>
      <c r="C909" s="847"/>
      <c r="D909" s="847"/>
      <c r="E909" s="847"/>
      <c r="F909" s="847"/>
      <c r="G909" s="847"/>
    </row>
    <row r="910" spans="1:8" ht="13.5" thickTop="1">
      <c r="A910" s="95"/>
      <c r="B910" s="811" t="s">
        <v>304</v>
      </c>
      <c r="C910" s="812"/>
      <c r="D910" s="812"/>
      <c r="E910" s="812"/>
      <c r="F910" s="812"/>
      <c r="G910" s="825"/>
    </row>
    <row r="911" spans="1:8">
      <c r="A911" s="95"/>
      <c r="B911" s="105"/>
      <c r="C911" s="97"/>
      <c r="D911" s="98" t="s">
        <v>301</v>
      </c>
      <c r="E911" s="98" t="s">
        <v>1072</v>
      </c>
      <c r="F911" s="99" t="s">
        <v>839</v>
      </c>
      <c r="G911" s="107" t="s">
        <v>840</v>
      </c>
    </row>
    <row r="912" spans="1:8">
      <c r="A912" s="95"/>
      <c r="B912" s="821" t="s">
        <v>838</v>
      </c>
      <c r="C912" s="822"/>
      <c r="D912" s="100" t="s">
        <v>308</v>
      </c>
      <c r="E912" s="100" t="s">
        <v>305</v>
      </c>
      <c r="F912" s="101" t="s">
        <v>306</v>
      </c>
      <c r="G912" s="108" t="s">
        <v>310</v>
      </c>
    </row>
    <row r="913" spans="1:7">
      <c r="A913" s="95"/>
      <c r="B913" s="115"/>
      <c r="C913" s="102"/>
      <c r="D913" s="103"/>
      <c r="E913" s="103" t="s">
        <v>309</v>
      </c>
      <c r="F913" s="104" t="s">
        <v>307</v>
      </c>
      <c r="G913" s="109"/>
    </row>
    <row r="914" spans="1:7">
      <c r="A914" s="127"/>
      <c r="B914" s="823" t="str">
        <f>'MAQUINARIA Y EQUIPOS'!$C$28</f>
        <v>HERRAMIENTAS MENORES</v>
      </c>
      <c r="C914" s="824"/>
      <c r="D914" s="87">
        <v>1</v>
      </c>
      <c r="E914" s="82">
        <f>ROUND(G947*0.05,0)</f>
        <v>1278</v>
      </c>
      <c r="F914" s="81">
        <v>1</v>
      </c>
      <c r="G914" s="110">
        <f>ROUND(D914*E914/F914,0)</f>
        <v>1278</v>
      </c>
    </row>
    <row r="915" spans="1:7">
      <c r="A915" s="95"/>
      <c r="B915" s="835"/>
      <c r="C915" s="836"/>
      <c r="D915" s="37"/>
      <c r="E915" s="82"/>
      <c r="F915" s="83"/>
      <c r="G915" s="111"/>
    </row>
    <row r="916" spans="1:7">
      <c r="A916" s="95"/>
      <c r="B916" s="835"/>
      <c r="C916" s="836"/>
      <c r="D916" s="37"/>
      <c r="E916" s="82"/>
      <c r="F916" s="83"/>
      <c r="G916" s="111"/>
    </row>
    <row r="917" spans="1:7">
      <c r="A917" s="95"/>
      <c r="B917" s="835"/>
      <c r="C917" s="836"/>
      <c r="D917" s="37"/>
      <c r="E917" s="82"/>
      <c r="F917" s="83"/>
      <c r="G917" s="111"/>
    </row>
    <row r="918" spans="1:7" ht="13.5" thickBot="1">
      <c r="A918" s="95"/>
      <c r="B918" s="835"/>
      <c r="C918" s="836"/>
      <c r="D918" s="77"/>
      <c r="E918" s="82"/>
      <c r="F918" s="86"/>
      <c r="G918" s="111"/>
    </row>
    <row r="919" spans="1:7" ht="14.25" thickTop="1" thickBot="1">
      <c r="A919" s="95"/>
      <c r="B919" s="808"/>
      <c r="C919" s="808"/>
      <c r="D919" s="808"/>
      <c r="E919" s="809"/>
      <c r="F919" s="119" t="s">
        <v>856</v>
      </c>
      <c r="G919" s="118">
        <f>SUM(G914:G918)</f>
        <v>1278</v>
      </c>
    </row>
    <row r="920" spans="1:7" ht="14.25" thickTop="1" thickBot="1">
      <c r="A920" s="95"/>
      <c r="B920" s="830"/>
      <c r="C920" s="830"/>
      <c r="D920" s="830"/>
      <c r="E920" s="830"/>
      <c r="F920" s="830"/>
      <c r="G920" s="830"/>
    </row>
    <row r="921" spans="1:7" ht="13.5" thickTop="1">
      <c r="A921" s="95"/>
      <c r="B921" s="811" t="s">
        <v>311</v>
      </c>
      <c r="C921" s="812"/>
      <c r="D921" s="812"/>
      <c r="E921" s="812"/>
      <c r="F921" s="812"/>
      <c r="G921" s="825"/>
    </row>
    <row r="922" spans="1:7">
      <c r="A922" s="95"/>
      <c r="B922" s="817" t="s">
        <v>838</v>
      </c>
      <c r="C922" s="818"/>
      <c r="D922" s="98" t="s">
        <v>842</v>
      </c>
      <c r="E922" s="98" t="s">
        <v>853</v>
      </c>
      <c r="F922" s="99" t="s">
        <v>1047</v>
      </c>
      <c r="G922" s="107" t="s">
        <v>840</v>
      </c>
    </row>
    <row r="923" spans="1:7">
      <c r="A923" s="95"/>
      <c r="B923" s="115"/>
      <c r="C923" s="102"/>
      <c r="D923" s="100"/>
      <c r="E923" s="100" t="s">
        <v>312</v>
      </c>
      <c r="F923" s="101" t="s">
        <v>313</v>
      </c>
      <c r="G923" s="108" t="s">
        <v>314</v>
      </c>
    </row>
    <row r="924" spans="1:7">
      <c r="A924" s="125"/>
      <c r="B924" s="841" t="str">
        <f>MATERIALES2!$C$704</f>
        <v>SOLDADURA PVC ¼</v>
      </c>
      <c r="C924" s="842"/>
      <c r="D924" s="87" t="s">
        <v>865</v>
      </c>
      <c r="E924" s="142">
        <v>0.04</v>
      </c>
      <c r="F924" s="80">
        <f>MATERIALES2!$E$704</f>
        <v>56298</v>
      </c>
      <c r="G924" s="110">
        <f t="shared" ref="G924:G932" si="17">ROUND(E924*F924,0)</f>
        <v>2252</v>
      </c>
    </row>
    <row r="925" spans="1:7">
      <c r="A925" s="123"/>
      <c r="B925" s="854" t="str">
        <f>MATERIALES2!$C$736</f>
        <v>TEE PRESION 3/4"</v>
      </c>
      <c r="C925" s="855"/>
      <c r="D925" s="37" t="s">
        <v>865</v>
      </c>
      <c r="E925" s="83">
        <v>1</v>
      </c>
      <c r="F925" s="82">
        <f>MATERIALES2!$E$736</f>
        <v>500</v>
      </c>
      <c r="G925" s="111">
        <f t="shared" si="17"/>
        <v>500</v>
      </c>
    </row>
    <row r="926" spans="1:7">
      <c r="A926" s="123"/>
      <c r="B926" s="854" t="str">
        <f>MATERIALES2!$C$729</f>
        <v>TEE PRESION ½"</v>
      </c>
      <c r="C926" s="855"/>
      <c r="D926" s="37" t="s">
        <v>865</v>
      </c>
      <c r="E926" s="83">
        <v>2</v>
      </c>
      <c r="F926" s="82">
        <f>MATERIALES2!$E$729</f>
        <v>300</v>
      </c>
      <c r="G926" s="111">
        <f t="shared" si="17"/>
        <v>600</v>
      </c>
    </row>
    <row r="927" spans="1:7">
      <c r="A927" s="123"/>
      <c r="B927" s="854" t="str">
        <f>MATERIALES2!$C$672</f>
        <v>BUJES SOLDADOS 3/4"x1/2"</v>
      </c>
      <c r="C927" s="855"/>
      <c r="D927" s="37" t="s">
        <v>865</v>
      </c>
      <c r="E927" s="83">
        <v>1</v>
      </c>
      <c r="F927" s="82">
        <f>MATERIALES2!$E$672</f>
        <v>250</v>
      </c>
      <c r="G927" s="111">
        <f t="shared" si="17"/>
        <v>250</v>
      </c>
    </row>
    <row r="928" spans="1:7">
      <c r="A928" s="95"/>
      <c r="B928" s="854" t="str">
        <f>MATERIALES2!$C$674</f>
        <v>CODO PRESION ½"</v>
      </c>
      <c r="C928" s="855"/>
      <c r="D928" s="37" t="s">
        <v>865</v>
      </c>
      <c r="E928" s="83">
        <v>2</v>
      </c>
      <c r="F928" s="82">
        <f>MATERIALES2!$E$674</f>
        <v>200</v>
      </c>
      <c r="G928" s="111">
        <f t="shared" si="17"/>
        <v>400</v>
      </c>
    </row>
    <row r="929" spans="1:8">
      <c r="A929" s="95"/>
      <c r="B929" s="854" t="str">
        <f>MATERIALES2!$C$617</f>
        <v>ADAPTADOR HEMBRA PRESION ½"</v>
      </c>
      <c r="C929" s="855"/>
      <c r="D929" s="37" t="s">
        <v>865</v>
      </c>
      <c r="E929" s="83">
        <v>1</v>
      </c>
      <c r="F929" s="82">
        <f>MATERIALES2!$E$617</f>
        <v>200</v>
      </c>
      <c r="G929" s="111">
        <f t="shared" si="17"/>
        <v>200</v>
      </c>
    </row>
    <row r="930" spans="1:8">
      <c r="A930" s="95"/>
      <c r="B930" s="854" t="str">
        <f>MATERIALES2!$C$585</f>
        <v>TUBO PVC PRESION 1/2" x 6.0 M</v>
      </c>
      <c r="C930" s="855"/>
      <c r="D930" s="37" t="s">
        <v>865</v>
      </c>
      <c r="E930" s="53">
        <f>ROUND(2.5/6,2)</f>
        <v>0.42</v>
      </c>
      <c r="F930" s="82">
        <f>MATERIALES2!$E$585</f>
        <v>6000</v>
      </c>
      <c r="G930" s="111">
        <f t="shared" si="17"/>
        <v>2520</v>
      </c>
    </row>
    <row r="931" spans="1:8">
      <c r="A931" s="95"/>
      <c r="B931" s="854" t="str">
        <f>MATERIALES2!$C$626</f>
        <v>ADAPTADOR MACHO PRESION ½"</v>
      </c>
      <c r="C931" s="855"/>
      <c r="D931" s="37" t="s">
        <v>865</v>
      </c>
      <c r="E931" s="83">
        <v>2</v>
      </c>
      <c r="F931" s="82">
        <f>MATERIALES2!$E$626</f>
        <v>200</v>
      </c>
      <c r="G931" s="111">
        <f t="shared" si="17"/>
        <v>400</v>
      </c>
    </row>
    <row r="932" spans="1:8">
      <c r="A932" s="95"/>
      <c r="B932" s="854" t="str">
        <f>MATERIALES2!$C$699</f>
        <v>MANGUERA LAVAMANOS</v>
      </c>
      <c r="C932" s="855"/>
      <c r="D932" s="37" t="s">
        <v>865</v>
      </c>
      <c r="E932" s="83">
        <v>2</v>
      </c>
      <c r="F932" s="82">
        <f>MATERIALES2!$E$699</f>
        <v>2500</v>
      </c>
      <c r="G932" s="111">
        <f t="shared" si="17"/>
        <v>5000</v>
      </c>
      <c r="H932" s="505" t="s">
        <v>1670</v>
      </c>
    </row>
    <row r="933" spans="1:8" ht="13.5" thickBot="1">
      <c r="A933" s="95"/>
      <c r="B933" s="854"/>
      <c r="C933" s="855"/>
      <c r="D933" s="37"/>
      <c r="E933" s="84"/>
      <c r="F933" s="82"/>
      <c r="G933" s="111"/>
    </row>
    <row r="934" spans="1:8" ht="13.5" thickTop="1">
      <c r="A934" s="95"/>
      <c r="B934" s="808"/>
      <c r="C934" s="809"/>
      <c r="D934" s="801" t="s">
        <v>856</v>
      </c>
      <c r="E934" s="802"/>
      <c r="F934" s="9"/>
      <c r="G934" s="113">
        <f>SUM(G924:G933)</f>
        <v>12122</v>
      </c>
    </row>
    <row r="935" spans="1:8">
      <c r="A935" s="95"/>
      <c r="B935" s="819"/>
      <c r="C935" s="820"/>
      <c r="D935" s="801" t="s">
        <v>857</v>
      </c>
      <c r="E935" s="802"/>
      <c r="F935" s="79">
        <f>'MANO DE OBRA'!$D$60</f>
        <v>0.05</v>
      </c>
      <c r="G935" s="113">
        <f>ROUND(G934*F935,0)</f>
        <v>606</v>
      </c>
    </row>
    <row r="936" spans="1:8" ht="13.5" thickBot="1">
      <c r="A936" s="95"/>
      <c r="B936" s="819"/>
      <c r="C936" s="820"/>
      <c r="D936" s="803" t="s">
        <v>320</v>
      </c>
      <c r="E936" s="804"/>
      <c r="F936" s="114"/>
      <c r="G936" s="118">
        <f>+G934+G935</f>
        <v>12728</v>
      </c>
    </row>
    <row r="937" spans="1:8" ht="14.25" thickTop="1" thickBot="1">
      <c r="A937" s="95"/>
      <c r="B937" s="830"/>
      <c r="C937" s="830"/>
      <c r="D937" s="830"/>
      <c r="E937" s="830"/>
      <c r="F937" s="830"/>
      <c r="G937" s="830"/>
    </row>
    <row r="938" spans="1:8" ht="13.5" thickTop="1">
      <c r="A938" s="95"/>
      <c r="B938" s="811" t="s">
        <v>858</v>
      </c>
      <c r="C938" s="812"/>
      <c r="D938" s="812"/>
      <c r="E938" s="812"/>
      <c r="F938" s="812"/>
      <c r="G938" s="825"/>
    </row>
    <row r="939" spans="1:8">
      <c r="A939" s="95"/>
      <c r="B939" s="817"/>
      <c r="C939" s="818"/>
      <c r="D939" s="98" t="s">
        <v>301</v>
      </c>
      <c r="E939" s="98" t="s">
        <v>859</v>
      </c>
      <c r="F939" s="99" t="s">
        <v>839</v>
      </c>
      <c r="G939" s="107" t="s">
        <v>840</v>
      </c>
    </row>
    <row r="940" spans="1:8">
      <c r="A940" s="95"/>
      <c r="B940" s="821" t="s">
        <v>838</v>
      </c>
      <c r="C940" s="822"/>
      <c r="D940" s="100" t="s">
        <v>316</v>
      </c>
      <c r="E940" s="100" t="s">
        <v>315</v>
      </c>
      <c r="F940" s="101" t="s">
        <v>306</v>
      </c>
      <c r="G940" s="108" t="s">
        <v>319</v>
      </c>
    </row>
    <row r="941" spans="1:8">
      <c r="A941" s="95"/>
      <c r="B941" s="115"/>
      <c r="C941" s="102"/>
      <c r="D941" s="103"/>
      <c r="E941" s="103" t="s">
        <v>317</v>
      </c>
      <c r="F941" s="104" t="s">
        <v>318</v>
      </c>
      <c r="G941" s="109"/>
    </row>
    <row r="942" spans="1:8">
      <c r="A942" s="95"/>
      <c r="B942" s="823" t="str">
        <f>'MANO DE OBRA'!$B$11</f>
        <v>AYUDANTE CUAD. TIPO BB</v>
      </c>
      <c r="C942" s="824"/>
      <c r="D942" s="87">
        <v>1</v>
      </c>
      <c r="E942" s="80">
        <f>'MANO DE OBRA'!$E$11</f>
        <v>43077</v>
      </c>
      <c r="F942" s="81">
        <v>4.76</v>
      </c>
      <c r="G942" s="110">
        <f>ROUND(D942*E942/F942,0)</f>
        <v>9050</v>
      </c>
    </row>
    <row r="943" spans="1:8">
      <c r="A943" s="95"/>
      <c r="B943" s="835" t="str">
        <f>'MANO DE OBRA'!$B$16</f>
        <v>OFICIAL CUAD. TIPO BB</v>
      </c>
      <c r="C943" s="836"/>
      <c r="D943" s="37">
        <v>1</v>
      </c>
      <c r="E943" s="82">
        <f>'MANO DE OBRA'!$E$16</f>
        <v>78577</v>
      </c>
      <c r="F943" s="83">
        <v>4.76</v>
      </c>
      <c r="G943" s="111">
        <f>ROUND(D943*E943/F943,0)</f>
        <v>16508</v>
      </c>
    </row>
    <row r="944" spans="1:8">
      <c r="A944" s="95"/>
      <c r="B944" s="835"/>
      <c r="C944" s="836"/>
      <c r="D944" s="89"/>
      <c r="E944" s="82"/>
      <c r="F944" s="83"/>
      <c r="G944" s="111"/>
    </row>
    <row r="945" spans="1:8">
      <c r="A945" s="95"/>
      <c r="B945" s="835" t="s">
        <v>841</v>
      </c>
      <c r="C945" s="836"/>
      <c r="D945" s="37"/>
      <c r="E945" s="82"/>
      <c r="F945" s="83"/>
      <c r="G945" s="111"/>
    </row>
    <row r="946" spans="1:8" ht="13.5" thickBot="1">
      <c r="A946" s="95"/>
      <c r="B946" s="828" t="s">
        <v>841</v>
      </c>
      <c r="C946" s="829"/>
      <c r="D946" s="77"/>
      <c r="E946" s="82"/>
      <c r="F946" s="86"/>
      <c r="G946" s="112"/>
    </row>
    <row r="947" spans="1:8" ht="14.25" thickTop="1" thickBot="1">
      <c r="A947" s="95"/>
      <c r="B947" s="808"/>
      <c r="C947" s="808"/>
      <c r="D947" s="808"/>
      <c r="E947" s="809"/>
      <c r="F947" s="120" t="s">
        <v>856</v>
      </c>
      <c r="G947" s="118">
        <f>SUM(G942:G946)</f>
        <v>25558</v>
      </c>
    </row>
    <row r="948" spans="1:8" ht="14.25" thickTop="1" thickBot="1">
      <c r="A948" s="95"/>
      <c r="B948" s="810"/>
      <c r="C948" s="810"/>
      <c r="D948" s="810"/>
      <c r="E948" s="810"/>
      <c r="F948" s="810"/>
      <c r="G948" s="810"/>
    </row>
    <row r="949" spans="1:8" ht="13.5" thickTop="1">
      <c r="A949" s="95"/>
      <c r="B949" s="811" t="s">
        <v>321</v>
      </c>
      <c r="C949" s="812"/>
      <c r="D949" s="812"/>
      <c r="E949" s="812"/>
      <c r="F949" s="812"/>
      <c r="G949" s="825"/>
    </row>
    <row r="950" spans="1:8">
      <c r="A950" s="95"/>
      <c r="B950" s="817" t="s">
        <v>838</v>
      </c>
      <c r="C950" s="818"/>
      <c r="D950" s="98" t="s">
        <v>301</v>
      </c>
      <c r="E950" s="98" t="s">
        <v>297</v>
      </c>
      <c r="F950" s="99" t="s">
        <v>839</v>
      </c>
      <c r="G950" s="107" t="s">
        <v>840</v>
      </c>
    </row>
    <row r="951" spans="1:8">
      <c r="A951" s="95"/>
      <c r="B951" s="115"/>
      <c r="C951" s="102"/>
      <c r="D951" s="103" t="s">
        <v>322</v>
      </c>
      <c r="E951" s="103" t="s">
        <v>323</v>
      </c>
      <c r="F951" s="104" t="s">
        <v>324</v>
      </c>
      <c r="G951" s="109" t="s">
        <v>325</v>
      </c>
    </row>
    <row r="952" spans="1:8">
      <c r="A952" s="95"/>
      <c r="B952" s="826"/>
      <c r="C952" s="827"/>
      <c r="D952" s="96"/>
      <c r="E952" s="96"/>
      <c r="F952" s="96"/>
      <c r="G952" s="116"/>
    </row>
    <row r="953" spans="1:8" ht="13.5" thickBot="1">
      <c r="A953" s="95"/>
      <c r="B953" s="828" t="s">
        <v>841</v>
      </c>
      <c r="C953" s="829"/>
      <c r="D953" s="77"/>
      <c r="E953" s="82"/>
      <c r="F953" s="86"/>
      <c r="G953" s="112"/>
    </row>
    <row r="954" spans="1:8" ht="14.25" thickTop="1" thickBot="1">
      <c r="A954" s="95"/>
      <c r="B954" s="808"/>
      <c r="C954" s="808"/>
      <c r="D954" s="808"/>
      <c r="E954" s="809"/>
      <c r="F954" s="120" t="s">
        <v>856</v>
      </c>
      <c r="G954" s="118">
        <f>SUM(G949:G953)</f>
        <v>0</v>
      </c>
    </row>
    <row r="955" spans="1:8" ht="14.25" thickTop="1" thickBot="1">
      <c r="A955" s="95"/>
      <c r="B955" s="810"/>
      <c r="C955" s="810"/>
      <c r="D955" s="810"/>
      <c r="E955" s="810"/>
      <c r="F955" s="810"/>
      <c r="G955" s="810"/>
    </row>
    <row r="956" spans="1:8" ht="13.5" thickTop="1">
      <c r="A956" s="95"/>
      <c r="B956" s="811" t="s">
        <v>326</v>
      </c>
      <c r="C956" s="812"/>
      <c r="D956" s="812"/>
      <c r="E956" s="812"/>
      <c r="F956" s="813"/>
      <c r="G956" s="121">
        <f>+G919+G936+G947+G954</f>
        <v>39564</v>
      </c>
    </row>
    <row r="957" spans="1:8">
      <c r="A957" s="95"/>
      <c r="B957" s="814" t="s">
        <v>861</v>
      </c>
      <c r="C957" s="815"/>
      <c r="D957" s="815"/>
      <c r="E957" s="816"/>
      <c r="F957" s="128">
        <f>'MANO DE OBRA'!$D$59</f>
        <v>0</v>
      </c>
      <c r="G957" s="122">
        <f>ROUND(G956*F957,0)</f>
        <v>0</v>
      </c>
    </row>
    <row r="958" spans="1:8" ht="13.5" thickBot="1">
      <c r="A958" s="95"/>
      <c r="B958" s="805" t="s">
        <v>1049</v>
      </c>
      <c r="C958" s="806"/>
      <c r="D958" s="806"/>
      <c r="E958" s="806"/>
      <c r="F958" s="807"/>
      <c r="G958" s="118">
        <f>ROUND(G956+G957,-2)</f>
        <v>39600</v>
      </c>
      <c r="H958" s="505" t="s">
        <v>1670</v>
      </c>
    </row>
    <row r="959" spans="1:8" ht="13.5" thickTop="1">
      <c r="A959" s="95"/>
      <c r="B959" s="90" t="s">
        <v>303</v>
      </c>
      <c r="C959" s="843"/>
      <c r="D959" s="843"/>
      <c r="E959" s="843"/>
      <c r="F959" s="92" t="s">
        <v>781</v>
      </c>
      <c r="G959" s="93" t="s">
        <v>865</v>
      </c>
    </row>
    <row r="960" spans="1:8">
      <c r="A960" s="95"/>
      <c r="B960" s="91" t="s">
        <v>834</v>
      </c>
      <c r="C960" s="844" t="s">
        <v>371</v>
      </c>
      <c r="D960" s="844"/>
      <c r="E960" s="844"/>
      <c r="F960" s="15" t="s">
        <v>833</v>
      </c>
      <c r="G960" s="165" t="str">
        <f>'MANO DE OBRA'!$D$61</f>
        <v>Agosto de 2010</v>
      </c>
    </row>
    <row r="961" spans="1:7" ht="13.5" thickBot="1">
      <c r="A961" s="127"/>
      <c r="B961" s="94" t="s">
        <v>835</v>
      </c>
      <c r="C961" s="845" t="s">
        <v>653</v>
      </c>
      <c r="D961" s="845"/>
      <c r="E961" s="845"/>
      <c r="F961" s="845"/>
      <c r="G961" s="846"/>
    </row>
    <row r="962" spans="1:7" ht="14.25" thickTop="1" thickBot="1">
      <c r="A962" s="95"/>
      <c r="B962" s="847"/>
      <c r="C962" s="847"/>
      <c r="D962" s="847"/>
      <c r="E962" s="847"/>
      <c r="F962" s="847"/>
      <c r="G962" s="847"/>
    </row>
    <row r="963" spans="1:7" ht="13.5" thickTop="1">
      <c r="A963" s="95"/>
      <c r="B963" s="811" t="s">
        <v>304</v>
      </c>
      <c r="C963" s="812"/>
      <c r="D963" s="812"/>
      <c r="E963" s="812"/>
      <c r="F963" s="812"/>
      <c r="G963" s="825"/>
    </row>
    <row r="964" spans="1:7">
      <c r="A964" s="95"/>
      <c r="B964" s="105"/>
      <c r="C964" s="97"/>
      <c r="D964" s="98" t="s">
        <v>301</v>
      </c>
      <c r="E964" s="98" t="s">
        <v>1072</v>
      </c>
      <c r="F964" s="99" t="s">
        <v>839</v>
      </c>
      <c r="G964" s="107" t="s">
        <v>840</v>
      </c>
    </row>
    <row r="965" spans="1:7">
      <c r="A965" s="95"/>
      <c r="B965" s="821" t="s">
        <v>838</v>
      </c>
      <c r="C965" s="822"/>
      <c r="D965" s="100" t="s">
        <v>308</v>
      </c>
      <c r="E965" s="100" t="s">
        <v>305</v>
      </c>
      <c r="F965" s="101" t="s">
        <v>306</v>
      </c>
      <c r="G965" s="108" t="s">
        <v>310</v>
      </c>
    </row>
    <row r="966" spans="1:7">
      <c r="A966" s="95"/>
      <c r="B966" s="115"/>
      <c r="C966" s="102"/>
      <c r="D966" s="103"/>
      <c r="E966" s="103" t="s">
        <v>309</v>
      </c>
      <c r="F966" s="104" t="s">
        <v>307</v>
      </c>
      <c r="G966" s="109"/>
    </row>
    <row r="967" spans="1:7">
      <c r="A967" s="127"/>
      <c r="B967" s="823" t="str">
        <f>'MAQUINARIA Y EQUIPOS'!$C$28</f>
        <v>HERRAMIENTAS MENORES</v>
      </c>
      <c r="C967" s="824"/>
      <c r="D967" s="87">
        <v>1</v>
      </c>
      <c r="E967" s="82">
        <f>ROUND(G1000*0.05,0)</f>
        <v>1278</v>
      </c>
      <c r="F967" s="81">
        <v>1</v>
      </c>
      <c r="G967" s="110">
        <f>ROUND(D967*E967/F967,0)</f>
        <v>1278</v>
      </c>
    </row>
    <row r="968" spans="1:7">
      <c r="A968" s="95"/>
      <c r="B968" s="835"/>
      <c r="C968" s="836"/>
      <c r="D968" s="37"/>
      <c r="E968" s="82"/>
      <c r="F968" s="83"/>
      <c r="G968" s="111"/>
    </row>
    <row r="969" spans="1:7">
      <c r="A969" s="95"/>
      <c r="B969" s="835"/>
      <c r="C969" s="836"/>
      <c r="D969" s="37"/>
      <c r="E969" s="82"/>
      <c r="F969" s="83"/>
      <c r="G969" s="111"/>
    </row>
    <row r="970" spans="1:7">
      <c r="A970" s="95"/>
      <c r="B970" s="835"/>
      <c r="C970" s="836"/>
      <c r="D970" s="37"/>
      <c r="E970" s="82"/>
      <c r="F970" s="83"/>
      <c r="G970" s="111"/>
    </row>
    <row r="971" spans="1:7" ht="13.5" thickBot="1">
      <c r="A971" s="95"/>
      <c r="B971" s="835"/>
      <c r="C971" s="836"/>
      <c r="D971" s="77"/>
      <c r="E971" s="82"/>
      <c r="F971" s="86"/>
      <c r="G971" s="111"/>
    </row>
    <row r="972" spans="1:7" ht="14.25" thickTop="1" thickBot="1">
      <c r="A972" s="95"/>
      <c r="B972" s="808"/>
      <c r="C972" s="808"/>
      <c r="D972" s="808"/>
      <c r="E972" s="809"/>
      <c r="F972" s="119" t="s">
        <v>856</v>
      </c>
      <c r="G972" s="118">
        <f>SUM(G967:G971)</f>
        <v>1278</v>
      </c>
    </row>
    <row r="973" spans="1:7" ht="14.25" thickTop="1" thickBot="1">
      <c r="A973" s="95"/>
      <c r="B973" s="830"/>
      <c r="C973" s="830"/>
      <c r="D973" s="830"/>
      <c r="E973" s="830"/>
      <c r="F973" s="830"/>
      <c r="G973" s="830"/>
    </row>
    <row r="974" spans="1:7" ht="13.5" thickTop="1">
      <c r="A974" s="95"/>
      <c r="B974" s="811" t="s">
        <v>311</v>
      </c>
      <c r="C974" s="812"/>
      <c r="D974" s="812"/>
      <c r="E974" s="812"/>
      <c r="F974" s="812"/>
      <c r="G974" s="825"/>
    </row>
    <row r="975" spans="1:7">
      <c r="A975" s="95"/>
      <c r="B975" s="817" t="s">
        <v>838</v>
      </c>
      <c r="C975" s="818"/>
      <c r="D975" s="98" t="s">
        <v>842</v>
      </c>
      <c r="E975" s="98" t="s">
        <v>853</v>
      </c>
      <c r="F975" s="99" t="s">
        <v>1047</v>
      </c>
      <c r="G975" s="107" t="s">
        <v>840</v>
      </c>
    </row>
    <row r="976" spans="1:7">
      <c r="A976" s="95"/>
      <c r="B976" s="115"/>
      <c r="C976" s="102"/>
      <c r="D976" s="100"/>
      <c r="E976" s="100" t="s">
        <v>312</v>
      </c>
      <c r="F976" s="101" t="s">
        <v>313</v>
      </c>
      <c r="G976" s="108" t="s">
        <v>314</v>
      </c>
    </row>
    <row r="977" spans="1:8">
      <c r="A977" s="125"/>
      <c r="B977" s="841" t="str">
        <f>MATERIALES2!$C$704</f>
        <v>SOLDADURA PVC ¼</v>
      </c>
      <c r="C977" s="842"/>
      <c r="D977" s="87" t="s">
        <v>865</v>
      </c>
      <c r="E977" s="142">
        <v>0.04</v>
      </c>
      <c r="F977" s="80">
        <f>MATERIALES2!$E$704</f>
        <v>56298</v>
      </c>
      <c r="G977" s="110">
        <f t="shared" ref="G977:G985" si="18">ROUND(E977*F977,0)</f>
        <v>2252</v>
      </c>
    </row>
    <row r="978" spans="1:8">
      <c r="A978" s="123"/>
      <c r="B978" s="854" t="str">
        <f>MATERIALES2!$C$736</f>
        <v>TEE PRESION 3/4"</v>
      </c>
      <c r="C978" s="855"/>
      <c r="D978" s="37" t="s">
        <v>865</v>
      </c>
      <c r="E978" s="83">
        <v>1</v>
      </c>
      <c r="F978" s="82">
        <f>MATERIALES2!$E$736</f>
        <v>500</v>
      </c>
      <c r="G978" s="111">
        <f t="shared" si="18"/>
        <v>500</v>
      </c>
    </row>
    <row r="979" spans="1:8">
      <c r="A979" s="123"/>
      <c r="B979" s="854" t="str">
        <f>MATERIALES2!$C$729</f>
        <v>TEE PRESION ½"</v>
      </c>
      <c r="C979" s="855"/>
      <c r="D979" s="37" t="s">
        <v>865</v>
      </c>
      <c r="E979" s="83">
        <v>1</v>
      </c>
      <c r="F979" s="82">
        <f>MATERIALES2!$E$729</f>
        <v>300</v>
      </c>
      <c r="G979" s="111">
        <f t="shared" si="18"/>
        <v>300</v>
      </c>
    </row>
    <row r="980" spans="1:8">
      <c r="A980" s="123"/>
      <c r="B980" s="854" t="str">
        <f>MATERIALES2!$C$672</f>
        <v>BUJES SOLDADOS 3/4"x1/2"</v>
      </c>
      <c r="C980" s="855"/>
      <c r="D980" s="37" t="s">
        <v>865</v>
      </c>
      <c r="E980" s="83">
        <v>1</v>
      </c>
      <c r="F980" s="82">
        <f>MATERIALES2!$E$672</f>
        <v>250</v>
      </c>
      <c r="G980" s="111">
        <f t="shared" si="18"/>
        <v>250</v>
      </c>
    </row>
    <row r="981" spans="1:8">
      <c r="A981" s="95"/>
      <c r="B981" s="854" t="str">
        <f>MATERIALES2!$C$674</f>
        <v>CODO PRESION ½"</v>
      </c>
      <c r="C981" s="855"/>
      <c r="D981" s="37" t="s">
        <v>865</v>
      </c>
      <c r="E981" s="83">
        <v>2</v>
      </c>
      <c r="F981" s="82">
        <f>MATERIALES2!$E$674</f>
        <v>200</v>
      </c>
      <c r="G981" s="111">
        <f t="shared" si="18"/>
        <v>400</v>
      </c>
    </row>
    <row r="982" spans="1:8">
      <c r="A982" s="123"/>
      <c r="B982" s="854" t="str">
        <f>MATERIALES2!$C$903</f>
        <v>LLAVE DE PASO 1/2"</v>
      </c>
      <c r="C982" s="855"/>
      <c r="D982" s="37" t="s">
        <v>865</v>
      </c>
      <c r="E982" s="83">
        <v>1</v>
      </c>
      <c r="F982" s="82">
        <f>MATERIALES2!$E$903</f>
        <v>10000</v>
      </c>
      <c r="G982" s="111">
        <f t="shared" si="18"/>
        <v>10000</v>
      </c>
    </row>
    <row r="983" spans="1:8">
      <c r="A983" s="95"/>
      <c r="B983" s="854" t="str">
        <f>MATERIALES2!$C$585</f>
        <v>TUBO PVC PRESION 1/2" x 6.0 M</v>
      </c>
      <c r="C983" s="855"/>
      <c r="D983" s="37" t="s">
        <v>865</v>
      </c>
      <c r="E983" s="53">
        <f>ROUND(2/6,2)</f>
        <v>0.33</v>
      </c>
      <c r="F983" s="82">
        <f>MATERIALES2!$E$585</f>
        <v>6000</v>
      </c>
      <c r="G983" s="111">
        <f t="shared" si="18"/>
        <v>1980</v>
      </c>
    </row>
    <row r="984" spans="1:8">
      <c r="A984" s="95"/>
      <c r="B984" s="854" t="str">
        <f>MATERIALES2!$C$626</f>
        <v>ADAPTADOR MACHO PRESION ½"</v>
      </c>
      <c r="C984" s="855"/>
      <c r="D984" s="37" t="s">
        <v>865</v>
      </c>
      <c r="E984" s="83">
        <v>3</v>
      </c>
      <c r="F984" s="82">
        <f>MATERIALES2!$E$626</f>
        <v>200</v>
      </c>
      <c r="G984" s="111">
        <f t="shared" si="18"/>
        <v>600</v>
      </c>
    </row>
    <row r="985" spans="1:8">
      <c r="A985" s="95"/>
      <c r="B985" s="854" t="str">
        <f>MATERIALES2!$C$700</f>
        <v>MANGUERA SANITARIOS</v>
      </c>
      <c r="C985" s="855"/>
      <c r="D985" s="37" t="s">
        <v>865</v>
      </c>
      <c r="E985" s="83">
        <v>1</v>
      </c>
      <c r="F985" s="82">
        <f>MATERIALES2!$E$700</f>
        <v>4500</v>
      </c>
      <c r="G985" s="111">
        <f t="shared" si="18"/>
        <v>4500</v>
      </c>
      <c r="H985" s="505" t="s">
        <v>1670</v>
      </c>
    </row>
    <row r="986" spans="1:8" ht="13.5" thickBot="1">
      <c r="A986" s="95"/>
      <c r="B986" s="854"/>
      <c r="C986" s="855"/>
      <c r="D986" s="37"/>
      <c r="E986" s="84"/>
      <c r="F986" s="82"/>
      <c r="G986" s="111"/>
    </row>
    <row r="987" spans="1:8" ht="13.5" thickTop="1">
      <c r="A987" s="95"/>
      <c r="B987" s="808"/>
      <c r="C987" s="809"/>
      <c r="D987" s="801" t="s">
        <v>856</v>
      </c>
      <c r="E987" s="802"/>
      <c r="F987" s="9"/>
      <c r="G987" s="113">
        <f>SUM(G977:G986)</f>
        <v>20782</v>
      </c>
    </row>
    <row r="988" spans="1:8">
      <c r="A988" s="95"/>
      <c r="B988" s="819"/>
      <c r="C988" s="820"/>
      <c r="D988" s="801" t="s">
        <v>857</v>
      </c>
      <c r="E988" s="802"/>
      <c r="F988" s="79">
        <f>'MANO DE OBRA'!$D$60</f>
        <v>0.05</v>
      </c>
      <c r="G988" s="113">
        <f>ROUND(G987*F988,0)</f>
        <v>1039</v>
      </c>
    </row>
    <row r="989" spans="1:8" ht="13.5" thickBot="1">
      <c r="A989" s="95"/>
      <c r="B989" s="819"/>
      <c r="C989" s="820"/>
      <c r="D989" s="803" t="s">
        <v>320</v>
      </c>
      <c r="E989" s="804"/>
      <c r="F989" s="114"/>
      <c r="G989" s="118">
        <f>+G987+G988</f>
        <v>21821</v>
      </c>
    </row>
    <row r="990" spans="1:8" ht="14.25" thickTop="1" thickBot="1">
      <c r="A990" s="95"/>
      <c r="B990" s="830"/>
      <c r="C990" s="830"/>
      <c r="D990" s="830"/>
      <c r="E990" s="830"/>
      <c r="F990" s="830"/>
      <c r="G990" s="830"/>
    </row>
    <row r="991" spans="1:8" ht="13.5" thickTop="1">
      <c r="A991" s="95"/>
      <c r="B991" s="811" t="s">
        <v>858</v>
      </c>
      <c r="C991" s="812"/>
      <c r="D991" s="812"/>
      <c r="E991" s="812"/>
      <c r="F991" s="812"/>
      <c r="G991" s="825"/>
    </row>
    <row r="992" spans="1:8">
      <c r="A992" s="95"/>
      <c r="B992" s="817"/>
      <c r="C992" s="818"/>
      <c r="D992" s="98" t="s">
        <v>301</v>
      </c>
      <c r="E992" s="98" t="s">
        <v>859</v>
      </c>
      <c r="F992" s="99" t="s">
        <v>839</v>
      </c>
      <c r="G992" s="107" t="s">
        <v>840</v>
      </c>
    </row>
    <row r="993" spans="1:7">
      <c r="A993" s="95"/>
      <c r="B993" s="821" t="s">
        <v>838</v>
      </c>
      <c r="C993" s="822"/>
      <c r="D993" s="100" t="s">
        <v>316</v>
      </c>
      <c r="E993" s="100" t="s">
        <v>315</v>
      </c>
      <c r="F993" s="101" t="s">
        <v>306</v>
      </c>
      <c r="G993" s="108" t="s">
        <v>319</v>
      </c>
    </row>
    <row r="994" spans="1:7">
      <c r="A994" s="95"/>
      <c r="B994" s="115"/>
      <c r="C994" s="102"/>
      <c r="D994" s="103"/>
      <c r="E994" s="103" t="s">
        <v>317</v>
      </c>
      <c r="F994" s="104" t="s">
        <v>318</v>
      </c>
      <c r="G994" s="109"/>
    </row>
    <row r="995" spans="1:7">
      <c r="A995" s="95"/>
      <c r="B995" s="823" t="str">
        <f>'MANO DE OBRA'!$B$11</f>
        <v>AYUDANTE CUAD. TIPO BB</v>
      </c>
      <c r="C995" s="824"/>
      <c r="D995" s="87">
        <v>1</v>
      </c>
      <c r="E995" s="80">
        <f>'MANO DE OBRA'!$E$11</f>
        <v>43077</v>
      </c>
      <c r="F995" s="81">
        <v>4.76</v>
      </c>
      <c r="G995" s="110">
        <f>ROUND(D995*E995/F995,0)</f>
        <v>9050</v>
      </c>
    </row>
    <row r="996" spans="1:7">
      <c r="A996" s="95"/>
      <c r="B996" s="835" t="str">
        <f>'MANO DE OBRA'!$B$16</f>
        <v>OFICIAL CUAD. TIPO BB</v>
      </c>
      <c r="C996" s="836"/>
      <c r="D996" s="37">
        <v>1</v>
      </c>
      <c r="E996" s="82">
        <f>'MANO DE OBRA'!$E$16</f>
        <v>78577</v>
      </c>
      <c r="F996" s="83">
        <v>4.76</v>
      </c>
      <c r="G996" s="111">
        <f>ROUND(D996*E996/F996,0)</f>
        <v>16508</v>
      </c>
    </row>
    <row r="997" spans="1:7">
      <c r="A997" s="95"/>
      <c r="B997" s="835"/>
      <c r="C997" s="836"/>
      <c r="D997" s="89"/>
      <c r="E997" s="82"/>
      <c r="F997" s="83"/>
      <c r="G997" s="111"/>
    </row>
    <row r="998" spans="1:7">
      <c r="A998" s="95"/>
      <c r="B998" s="835" t="s">
        <v>841</v>
      </c>
      <c r="C998" s="836"/>
      <c r="D998" s="37"/>
      <c r="E998" s="82"/>
      <c r="F998" s="83"/>
      <c r="G998" s="111"/>
    </row>
    <row r="999" spans="1:7" ht="13.5" thickBot="1">
      <c r="A999" s="95"/>
      <c r="B999" s="828" t="s">
        <v>841</v>
      </c>
      <c r="C999" s="829"/>
      <c r="D999" s="77"/>
      <c r="E999" s="82"/>
      <c r="F999" s="86"/>
      <c r="G999" s="112"/>
    </row>
    <row r="1000" spans="1:7" ht="14.25" thickTop="1" thickBot="1">
      <c r="A1000" s="95"/>
      <c r="B1000" s="808"/>
      <c r="C1000" s="808"/>
      <c r="D1000" s="808"/>
      <c r="E1000" s="809"/>
      <c r="F1000" s="120" t="s">
        <v>856</v>
      </c>
      <c r="G1000" s="118">
        <f>SUM(G995:G999)</f>
        <v>25558</v>
      </c>
    </row>
    <row r="1001" spans="1:7" ht="14.25" thickTop="1" thickBot="1">
      <c r="A1001" s="95"/>
      <c r="B1001" s="810"/>
      <c r="C1001" s="810"/>
      <c r="D1001" s="810"/>
      <c r="E1001" s="810"/>
      <c r="F1001" s="810"/>
      <c r="G1001" s="810"/>
    </row>
    <row r="1002" spans="1:7" ht="13.5" thickTop="1">
      <c r="A1002" s="95"/>
      <c r="B1002" s="811" t="s">
        <v>321</v>
      </c>
      <c r="C1002" s="812"/>
      <c r="D1002" s="812"/>
      <c r="E1002" s="812"/>
      <c r="F1002" s="812"/>
      <c r="G1002" s="825"/>
    </row>
    <row r="1003" spans="1:7">
      <c r="A1003" s="95"/>
      <c r="B1003" s="817" t="s">
        <v>838</v>
      </c>
      <c r="C1003" s="818"/>
      <c r="D1003" s="98" t="s">
        <v>301</v>
      </c>
      <c r="E1003" s="98" t="s">
        <v>297</v>
      </c>
      <c r="F1003" s="99" t="s">
        <v>839</v>
      </c>
      <c r="G1003" s="107" t="s">
        <v>840</v>
      </c>
    </row>
    <row r="1004" spans="1:7">
      <c r="A1004" s="95"/>
      <c r="B1004" s="115"/>
      <c r="C1004" s="102"/>
      <c r="D1004" s="103" t="s">
        <v>322</v>
      </c>
      <c r="E1004" s="103" t="s">
        <v>323</v>
      </c>
      <c r="F1004" s="104" t="s">
        <v>324</v>
      </c>
      <c r="G1004" s="109" t="s">
        <v>325</v>
      </c>
    </row>
    <row r="1005" spans="1:7">
      <c r="A1005" s="95"/>
      <c r="B1005" s="826"/>
      <c r="C1005" s="827"/>
      <c r="D1005" s="96"/>
      <c r="E1005" s="96"/>
      <c r="F1005" s="96"/>
      <c r="G1005" s="116"/>
    </row>
    <row r="1006" spans="1:7" ht="13.5" thickBot="1">
      <c r="A1006" s="95"/>
      <c r="B1006" s="828" t="s">
        <v>841</v>
      </c>
      <c r="C1006" s="829"/>
      <c r="D1006" s="77"/>
      <c r="E1006" s="82"/>
      <c r="F1006" s="86"/>
      <c r="G1006" s="112"/>
    </row>
    <row r="1007" spans="1:7" ht="14.25" thickTop="1" thickBot="1">
      <c r="A1007" s="95"/>
      <c r="B1007" s="808"/>
      <c r="C1007" s="808"/>
      <c r="D1007" s="808"/>
      <c r="E1007" s="809"/>
      <c r="F1007" s="120" t="s">
        <v>856</v>
      </c>
      <c r="G1007" s="118">
        <f>SUM(G1002:G1006)</f>
        <v>0</v>
      </c>
    </row>
    <row r="1008" spans="1:7" ht="14.25" thickTop="1" thickBot="1">
      <c r="A1008" s="95"/>
      <c r="B1008" s="810"/>
      <c r="C1008" s="810"/>
      <c r="D1008" s="810"/>
      <c r="E1008" s="810"/>
      <c r="F1008" s="810"/>
      <c r="G1008" s="810"/>
    </row>
    <row r="1009" spans="1:8" ht="13.5" thickTop="1">
      <c r="A1009" s="95"/>
      <c r="B1009" s="811" t="s">
        <v>326</v>
      </c>
      <c r="C1009" s="812"/>
      <c r="D1009" s="812"/>
      <c r="E1009" s="812"/>
      <c r="F1009" s="813"/>
      <c r="G1009" s="121">
        <f>+G972+G989+G1000+G1007</f>
        <v>48657</v>
      </c>
    </row>
    <row r="1010" spans="1:8">
      <c r="A1010" s="95"/>
      <c r="B1010" s="814" t="s">
        <v>861</v>
      </c>
      <c r="C1010" s="815"/>
      <c r="D1010" s="815"/>
      <c r="E1010" s="816"/>
      <c r="F1010" s="128">
        <f>'MANO DE OBRA'!$D$59</f>
        <v>0</v>
      </c>
      <c r="G1010" s="122">
        <f>ROUND(G1009*F1010,0)</f>
        <v>0</v>
      </c>
    </row>
    <row r="1011" spans="1:8" ht="13.5" thickBot="1">
      <c r="A1011" s="95"/>
      <c r="B1011" s="805" t="s">
        <v>1049</v>
      </c>
      <c r="C1011" s="806"/>
      <c r="D1011" s="806"/>
      <c r="E1011" s="806"/>
      <c r="F1011" s="807"/>
      <c r="G1011" s="118">
        <f>ROUND(G1009+G1010,-2)</f>
        <v>48700</v>
      </c>
      <c r="H1011" s="505" t="s">
        <v>1670</v>
      </c>
    </row>
    <row r="1012" spans="1:8" ht="13.5" thickTop="1">
      <c r="A1012" s="95"/>
      <c r="B1012" s="90" t="s">
        <v>303</v>
      </c>
      <c r="C1012" s="843"/>
      <c r="D1012" s="843"/>
      <c r="E1012" s="843"/>
      <c r="F1012" s="92" t="s">
        <v>781</v>
      </c>
      <c r="G1012" s="93" t="s">
        <v>831</v>
      </c>
    </row>
    <row r="1013" spans="1:8">
      <c r="A1013" s="95"/>
      <c r="B1013" s="91" t="s">
        <v>834</v>
      </c>
      <c r="C1013" s="844" t="s">
        <v>382</v>
      </c>
      <c r="D1013" s="844"/>
      <c r="E1013" s="844"/>
      <c r="F1013" s="15" t="s">
        <v>833</v>
      </c>
      <c r="G1013" s="165" t="str">
        <f>'MANO DE OBRA'!D61</f>
        <v>Agosto de 2010</v>
      </c>
    </row>
    <row r="1014" spans="1:8" ht="13.5" thickBot="1">
      <c r="A1014" s="127"/>
      <c r="B1014" s="94" t="s">
        <v>835</v>
      </c>
      <c r="C1014" s="845" t="s">
        <v>386</v>
      </c>
      <c r="D1014" s="845"/>
      <c r="E1014" s="845"/>
      <c r="F1014" s="845"/>
      <c r="G1014" s="846"/>
    </row>
    <row r="1015" spans="1:8" ht="14.25" thickTop="1" thickBot="1">
      <c r="A1015" s="95"/>
      <c r="B1015" s="847"/>
      <c r="C1015" s="847"/>
      <c r="D1015" s="847"/>
      <c r="E1015" s="847"/>
      <c r="F1015" s="847"/>
      <c r="G1015" s="847"/>
    </row>
    <row r="1016" spans="1:8" ht="13.5" thickTop="1">
      <c r="A1016" s="95"/>
      <c r="B1016" s="811" t="s">
        <v>304</v>
      </c>
      <c r="C1016" s="812"/>
      <c r="D1016" s="812"/>
      <c r="E1016" s="812"/>
      <c r="F1016" s="812"/>
      <c r="G1016" s="825"/>
    </row>
    <row r="1017" spans="1:8">
      <c r="A1017" s="95"/>
      <c r="B1017" s="105"/>
      <c r="C1017" s="97"/>
      <c r="D1017" s="98" t="s">
        <v>301</v>
      </c>
      <c r="E1017" s="98" t="s">
        <v>1072</v>
      </c>
      <c r="F1017" s="99" t="s">
        <v>839</v>
      </c>
      <c r="G1017" s="107" t="s">
        <v>840</v>
      </c>
    </row>
    <row r="1018" spans="1:8">
      <c r="A1018" s="95"/>
      <c r="B1018" s="821" t="s">
        <v>838</v>
      </c>
      <c r="C1018" s="822"/>
      <c r="D1018" s="100" t="s">
        <v>308</v>
      </c>
      <c r="E1018" s="100" t="s">
        <v>305</v>
      </c>
      <c r="F1018" s="101" t="s">
        <v>306</v>
      </c>
      <c r="G1018" s="108" t="s">
        <v>310</v>
      </c>
    </row>
    <row r="1019" spans="1:8">
      <c r="A1019" s="95"/>
      <c r="B1019" s="115"/>
      <c r="C1019" s="102"/>
      <c r="D1019" s="103"/>
      <c r="E1019" s="103" t="s">
        <v>309</v>
      </c>
      <c r="F1019" s="104" t="s">
        <v>307</v>
      </c>
      <c r="G1019" s="109"/>
    </row>
    <row r="1020" spans="1:8">
      <c r="A1020" s="127"/>
      <c r="B1020" s="823" t="str">
        <f>'MAQUINARIA Y EQUIPOS'!C28</f>
        <v>HERRAMIENTAS MENORES</v>
      </c>
      <c r="C1020" s="824"/>
      <c r="D1020" s="87">
        <v>1</v>
      </c>
      <c r="E1020" s="82">
        <f>ROUND(G1053*0.05,0)</f>
        <v>507</v>
      </c>
      <c r="F1020" s="81">
        <v>1</v>
      </c>
      <c r="G1020" s="110">
        <f>ROUND(D1020*E1020/F1020,0)</f>
        <v>507</v>
      </c>
    </row>
    <row r="1021" spans="1:8">
      <c r="A1021" s="95"/>
      <c r="B1021" s="835"/>
      <c r="C1021" s="836"/>
      <c r="D1021" s="37"/>
      <c r="E1021" s="82"/>
      <c r="F1021" s="83"/>
      <c r="G1021" s="111"/>
    </row>
    <row r="1022" spans="1:8">
      <c r="A1022" s="95"/>
      <c r="B1022" s="835"/>
      <c r="C1022" s="836"/>
      <c r="D1022" s="89"/>
      <c r="E1022" s="82"/>
      <c r="F1022" s="83"/>
      <c r="G1022" s="111"/>
    </row>
    <row r="1023" spans="1:8">
      <c r="A1023" s="95"/>
      <c r="B1023" s="835"/>
      <c r="C1023" s="836"/>
      <c r="D1023" s="89"/>
      <c r="E1023" s="82"/>
      <c r="F1023" s="83"/>
      <c r="G1023" s="111"/>
    </row>
    <row r="1024" spans="1:8">
      <c r="A1024" s="95"/>
      <c r="B1024" s="835" t="s">
        <v>841</v>
      </c>
      <c r="C1024" s="836"/>
      <c r="D1024" s="37"/>
      <c r="E1024" s="82"/>
      <c r="F1024" s="83"/>
      <c r="G1024" s="111"/>
    </row>
    <row r="1025" spans="1:8" ht="13.5" thickBot="1">
      <c r="A1025" s="95"/>
      <c r="B1025" s="839" t="s">
        <v>841</v>
      </c>
      <c r="C1025" s="840"/>
      <c r="D1025" s="77"/>
      <c r="E1025" s="106"/>
      <c r="F1025" s="86"/>
      <c r="G1025" s="112"/>
    </row>
    <row r="1026" spans="1:8" ht="14.25" thickTop="1" thickBot="1">
      <c r="A1026" s="95"/>
      <c r="B1026" s="808"/>
      <c r="C1026" s="808"/>
      <c r="D1026" s="808"/>
      <c r="E1026" s="809"/>
      <c r="F1026" s="119" t="s">
        <v>856</v>
      </c>
      <c r="G1026" s="118">
        <f>SUM(G1020:G1025)</f>
        <v>507</v>
      </c>
    </row>
    <row r="1027" spans="1:8" ht="14.25" thickTop="1" thickBot="1">
      <c r="A1027" s="95"/>
      <c r="B1027" s="830"/>
      <c r="C1027" s="830"/>
      <c r="D1027" s="830"/>
      <c r="E1027" s="830"/>
      <c r="F1027" s="830"/>
      <c r="G1027" s="830"/>
    </row>
    <row r="1028" spans="1:8" ht="13.5" thickTop="1">
      <c r="A1028" s="95"/>
      <c r="B1028" s="811" t="s">
        <v>311</v>
      </c>
      <c r="C1028" s="812"/>
      <c r="D1028" s="812"/>
      <c r="E1028" s="812"/>
      <c r="F1028" s="812"/>
      <c r="G1028" s="825"/>
    </row>
    <row r="1029" spans="1:8">
      <c r="A1029" s="95"/>
      <c r="B1029" s="817" t="s">
        <v>838</v>
      </c>
      <c r="C1029" s="818"/>
      <c r="D1029" s="98" t="s">
        <v>842</v>
      </c>
      <c r="E1029" s="98" t="s">
        <v>853</v>
      </c>
      <c r="F1029" s="99" t="s">
        <v>1047</v>
      </c>
      <c r="G1029" s="107" t="s">
        <v>840</v>
      </c>
    </row>
    <row r="1030" spans="1:8">
      <c r="A1030" s="95"/>
      <c r="B1030" s="115"/>
      <c r="C1030" s="102"/>
      <c r="D1030" s="100"/>
      <c r="E1030" s="100" t="s">
        <v>312</v>
      </c>
      <c r="F1030" s="101" t="s">
        <v>313</v>
      </c>
      <c r="G1030" s="108" t="s">
        <v>314</v>
      </c>
    </row>
    <row r="1031" spans="1:8">
      <c r="A1031" s="125"/>
      <c r="B1031" s="841" t="str">
        <f>MATERIALES2!C704</f>
        <v>SOLDADURA PVC ¼</v>
      </c>
      <c r="C1031" s="842"/>
      <c r="D1031" s="87" t="s">
        <v>865</v>
      </c>
      <c r="E1031" s="142">
        <v>0.01</v>
      </c>
      <c r="F1031" s="80">
        <f>MATERIALES2!E704</f>
        <v>56298</v>
      </c>
      <c r="G1031" s="110">
        <f>ROUND(E1031*F1031,0)</f>
        <v>563</v>
      </c>
    </row>
    <row r="1032" spans="1:8">
      <c r="A1032" s="123"/>
      <c r="B1032" s="854" t="str">
        <f>MATERIALES2!C585</f>
        <v>TUBO PVC PRESION 1/2" x 6.0 M</v>
      </c>
      <c r="C1032" s="855"/>
      <c r="D1032" s="37" t="s">
        <v>865</v>
      </c>
      <c r="E1032" s="83">
        <v>0.17</v>
      </c>
      <c r="F1032" s="82">
        <f>MATERIALES2!E585</f>
        <v>6000</v>
      </c>
      <c r="G1032" s="111">
        <f>ROUND(E1032*F1032,0)</f>
        <v>1020</v>
      </c>
    </row>
    <row r="1033" spans="1:8">
      <c r="A1033" s="95"/>
      <c r="B1033" s="854" t="str">
        <f>MATERIALES2!C674</f>
        <v>CODO PRESION ½"</v>
      </c>
      <c r="C1033" s="855"/>
      <c r="D1033" s="37" t="s">
        <v>865</v>
      </c>
      <c r="E1033" s="83">
        <v>0.5</v>
      </c>
      <c r="F1033" s="82">
        <f>MATERIALES2!E674</f>
        <v>200</v>
      </c>
      <c r="G1033" s="111">
        <f>ROUND(E1033*F1033,0)</f>
        <v>100</v>
      </c>
    </row>
    <row r="1034" spans="1:8">
      <c r="A1034" s="95"/>
      <c r="B1034" s="854"/>
      <c r="C1034" s="855"/>
      <c r="D1034" s="37"/>
      <c r="E1034" s="83"/>
      <c r="F1034" s="82"/>
      <c r="G1034" s="111"/>
    </row>
    <row r="1035" spans="1:8">
      <c r="A1035" s="95"/>
      <c r="B1035" s="854"/>
      <c r="C1035" s="855"/>
      <c r="D1035" s="37"/>
      <c r="E1035" s="83"/>
      <c r="F1035" s="82"/>
      <c r="G1035" s="111"/>
    </row>
    <row r="1036" spans="1:8">
      <c r="A1036" s="95"/>
      <c r="B1036" s="854"/>
      <c r="C1036" s="855"/>
      <c r="D1036" s="37"/>
      <c r="E1036" s="83"/>
      <c r="F1036" s="82"/>
      <c r="G1036" s="111"/>
    </row>
    <row r="1037" spans="1:8">
      <c r="A1037" s="95"/>
      <c r="B1037" s="938" t="s">
        <v>841</v>
      </c>
      <c r="C1037" s="939"/>
      <c r="D1037" s="53" t="s">
        <v>841</v>
      </c>
      <c r="E1037" s="53"/>
      <c r="F1037" s="82"/>
      <c r="G1037" s="111"/>
    </row>
    <row r="1038" spans="1:8">
      <c r="A1038" s="95"/>
      <c r="B1038" s="938" t="s">
        <v>841</v>
      </c>
      <c r="C1038" s="939"/>
      <c r="D1038" s="53" t="s">
        <v>841</v>
      </c>
      <c r="E1038" s="53"/>
      <c r="F1038" s="82"/>
      <c r="G1038" s="111"/>
      <c r="H1038" s="505" t="s">
        <v>1670</v>
      </c>
    </row>
    <row r="1039" spans="1:8" ht="13.5" thickBot="1">
      <c r="A1039" s="95"/>
      <c r="B1039" s="942" t="s">
        <v>841</v>
      </c>
      <c r="C1039" s="943"/>
      <c r="D1039" s="84" t="s">
        <v>841</v>
      </c>
      <c r="E1039" s="84"/>
      <c r="F1039" s="85"/>
      <c r="G1039" s="112"/>
    </row>
    <row r="1040" spans="1:8" ht="13.5" thickTop="1">
      <c r="A1040" s="95"/>
      <c r="B1040" s="808"/>
      <c r="C1040" s="809"/>
      <c r="D1040" s="801" t="s">
        <v>856</v>
      </c>
      <c r="E1040" s="802"/>
      <c r="F1040" s="9"/>
      <c r="G1040" s="113">
        <f>SUM(G1031:G1039)</f>
        <v>1683</v>
      </c>
    </row>
    <row r="1041" spans="1:7">
      <c r="A1041" s="95"/>
      <c r="B1041" s="819"/>
      <c r="C1041" s="820"/>
      <c r="D1041" s="801" t="s">
        <v>857</v>
      </c>
      <c r="E1041" s="802"/>
      <c r="F1041" s="79">
        <f>'MANO DE OBRA'!D60</f>
        <v>0.05</v>
      </c>
      <c r="G1041" s="113">
        <f>ROUND(G1040*F1041,0)</f>
        <v>84</v>
      </c>
    </row>
    <row r="1042" spans="1:7" ht="13.5" thickBot="1">
      <c r="A1042" s="95"/>
      <c r="B1042" s="819"/>
      <c r="C1042" s="820"/>
      <c r="D1042" s="803" t="s">
        <v>320</v>
      </c>
      <c r="E1042" s="804"/>
      <c r="F1042" s="114"/>
      <c r="G1042" s="118">
        <f>+G1040+G1041</f>
        <v>1767</v>
      </c>
    </row>
    <row r="1043" spans="1:7" ht="14.25" thickTop="1" thickBot="1">
      <c r="A1043" s="95"/>
      <c r="B1043" s="830"/>
      <c r="C1043" s="830"/>
      <c r="D1043" s="830"/>
      <c r="E1043" s="830"/>
      <c r="F1043" s="830"/>
      <c r="G1043" s="830"/>
    </row>
    <row r="1044" spans="1:7" ht="13.5" thickTop="1">
      <c r="A1044" s="95"/>
      <c r="B1044" s="811" t="s">
        <v>858</v>
      </c>
      <c r="C1044" s="812"/>
      <c r="D1044" s="812"/>
      <c r="E1044" s="812"/>
      <c r="F1044" s="812"/>
      <c r="G1044" s="825"/>
    </row>
    <row r="1045" spans="1:7">
      <c r="A1045" s="95"/>
      <c r="B1045" s="817"/>
      <c r="C1045" s="818"/>
      <c r="D1045" s="98" t="s">
        <v>301</v>
      </c>
      <c r="E1045" s="98" t="s">
        <v>859</v>
      </c>
      <c r="F1045" s="99" t="s">
        <v>839</v>
      </c>
      <c r="G1045" s="107" t="s">
        <v>840</v>
      </c>
    </row>
    <row r="1046" spans="1:7">
      <c r="A1046" s="95"/>
      <c r="B1046" s="821" t="s">
        <v>838</v>
      </c>
      <c r="C1046" s="822"/>
      <c r="D1046" s="100" t="s">
        <v>316</v>
      </c>
      <c r="E1046" s="100" t="s">
        <v>315</v>
      </c>
      <c r="F1046" s="101" t="s">
        <v>306</v>
      </c>
      <c r="G1046" s="108" t="s">
        <v>319</v>
      </c>
    </row>
    <row r="1047" spans="1:7">
      <c r="A1047" s="95"/>
      <c r="B1047" s="115"/>
      <c r="C1047" s="102"/>
      <c r="D1047" s="103"/>
      <c r="E1047" s="103" t="s">
        <v>317</v>
      </c>
      <c r="F1047" s="104" t="s">
        <v>318</v>
      </c>
      <c r="G1047" s="109"/>
    </row>
    <row r="1048" spans="1:7">
      <c r="A1048" s="95"/>
      <c r="B1048" s="823" t="str">
        <f>'MANO DE OBRA'!B11</f>
        <v>AYUDANTE CUAD. TIPO BB</v>
      </c>
      <c r="C1048" s="824"/>
      <c r="D1048" s="87">
        <v>1</v>
      </c>
      <c r="E1048" s="80">
        <f>'MANO DE OBRA'!E11</f>
        <v>43077</v>
      </c>
      <c r="F1048" s="81">
        <v>12</v>
      </c>
      <c r="G1048" s="110">
        <f>ROUND(D1048*E1048/F1048,0)</f>
        <v>3590</v>
      </c>
    </row>
    <row r="1049" spans="1:7">
      <c r="A1049" s="95"/>
      <c r="B1049" s="835" t="str">
        <f>'MANO DE OBRA'!B16</f>
        <v>OFICIAL CUAD. TIPO BB</v>
      </c>
      <c r="C1049" s="836"/>
      <c r="D1049" s="37">
        <v>1</v>
      </c>
      <c r="E1049" s="82">
        <f>'MANO DE OBRA'!E16</f>
        <v>78577</v>
      </c>
      <c r="F1049" s="83">
        <v>12</v>
      </c>
      <c r="G1049" s="111">
        <f>ROUND(D1049*E1049/F1049,0)</f>
        <v>6548</v>
      </c>
    </row>
    <row r="1050" spans="1:7">
      <c r="A1050" s="95"/>
      <c r="B1050" s="835"/>
      <c r="C1050" s="836"/>
      <c r="D1050" s="89"/>
      <c r="E1050" s="82"/>
      <c r="F1050" s="83"/>
      <c r="G1050" s="111"/>
    </row>
    <row r="1051" spans="1:7">
      <c r="A1051" s="95"/>
      <c r="B1051" s="835" t="s">
        <v>841</v>
      </c>
      <c r="C1051" s="836"/>
      <c r="D1051" s="37"/>
      <c r="E1051" s="82"/>
      <c r="F1051" s="83"/>
      <c r="G1051" s="111"/>
    </row>
    <row r="1052" spans="1:7" ht="13.5" thickBot="1">
      <c r="A1052" s="95"/>
      <c r="B1052" s="828" t="s">
        <v>841</v>
      </c>
      <c r="C1052" s="829"/>
      <c r="D1052" s="77"/>
      <c r="E1052" s="82"/>
      <c r="F1052" s="86"/>
      <c r="G1052" s="112"/>
    </row>
    <row r="1053" spans="1:7" ht="14.25" thickTop="1" thickBot="1">
      <c r="A1053" s="95"/>
      <c r="B1053" s="808"/>
      <c r="C1053" s="808"/>
      <c r="D1053" s="808"/>
      <c r="E1053" s="809"/>
      <c r="F1053" s="120" t="s">
        <v>856</v>
      </c>
      <c r="G1053" s="118">
        <f>SUM(G1048:G1052)</f>
        <v>10138</v>
      </c>
    </row>
    <row r="1054" spans="1:7" ht="14.25" thickTop="1" thickBot="1">
      <c r="A1054" s="95"/>
      <c r="B1054" s="810"/>
      <c r="C1054" s="810"/>
      <c r="D1054" s="810"/>
      <c r="E1054" s="810"/>
      <c r="F1054" s="810"/>
      <c r="G1054" s="810"/>
    </row>
    <row r="1055" spans="1:7" ht="13.5" thickTop="1">
      <c r="A1055" s="95"/>
      <c r="B1055" s="811" t="s">
        <v>321</v>
      </c>
      <c r="C1055" s="812"/>
      <c r="D1055" s="812"/>
      <c r="E1055" s="812"/>
      <c r="F1055" s="812"/>
      <c r="G1055" s="825"/>
    </row>
    <row r="1056" spans="1:7">
      <c r="A1056" s="95"/>
      <c r="B1056" s="817" t="s">
        <v>838</v>
      </c>
      <c r="C1056" s="818"/>
      <c r="D1056" s="98" t="s">
        <v>301</v>
      </c>
      <c r="E1056" s="98" t="s">
        <v>297</v>
      </c>
      <c r="F1056" s="99" t="s">
        <v>839</v>
      </c>
      <c r="G1056" s="107" t="s">
        <v>840</v>
      </c>
    </row>
    <row r="1057" spans="1:8">
      <c r="A1057" s="95"/>
      <c r="B1057" s="115"/>
      <c r="C1057" s="102"/>
      <c r="D1057" s="103" t="s">
        <v>322</v>
      </c>
      <c r="E1057" s="103" t="s">
        <v>323</v>
      </c>
      <c r="F1057" s="104" t="s">
        <v>324</v>
      </c>
      <c r="G1057" s="109" t="s">
        <v>325</v>
      </c>
    </row>
    <row r="1058" spans="1:8">
      <c r="A1058" s="95"/>
      <c r="B1058" s="826"/>
      <c r="C1058" s="827"/>
      <c r="D1058" s="96"/>
      <c r="E1058" s="96"/>
      <c r="F1058" s="96"/>
      <c r="G1058" s="116"/>
    </row>
    <row r="1059" spans="1:8" ht="13.5" thickBot="1">
      <c r="A1059" s="95"/>
      <c r="B1059" s="828" t="s">
        <v>841</v>
      </c>
      <c r="C1059" s="829"/>
      <c r="D1059" s="77"/>
      <c r="E1059" s="82"/>
      <c r="F1059" s="86"/>
      <c r="G1059" s="112"/>
    </row>
    <row r="1060" spans="1:8" ht="14.25" thickTop="1" thickBot="1">
      <c r="A1060" s="95"/>
      <c r="B1060" s="808"/>
      <c r="C1060" s="808"/>
      <c r="D1060" s="808"/>
      <c r="E1060" s="809"/>
      <c r="F1060" s="120" t="s">
        <v>856</v>
      </c>
      <c r="G1060" s="118">
        <f>SUM(G1055:G1059)</f>
        <v>0</v>
      </c>
    </row>
    <row r="1061" spans="1:8" ht="14.25" thickTop="1" thickBot="1">
      <c r="A1061" s="95"/>
      <c r="B1061" s="810"/>
      <c r="C1061" s="810"/>
      <c r="D1061" s="810"/>
      <c r="E1061" s="810"/>
      <c r="F1061" s="810"/>
      <c r="G1061" s="834"/>
    </row>
    <row r="1062" spans="1:8" ht="13.5" thickTop="1">
      <c r="A1062" s="95"/>
      <c r="B1062" s="811" t="s">
        <v>326</v>
      </c>
      <c r="C1062" s="812"/>
      <c r="D1062" s="812"/>
      <c r="E1062" s="812"/>
      <c r="F1062" s="813"/>
      <c r="G1062" s="121">
        <f>+G1026+G1042+G1053</f>
        <v>12412</v>
      </c>
    </row>
    <row r="1063" spans="1:8">
      <c r="A1063" s="95"/>
      <c r="B1063" s="814" t="s">
        <v>861</v>
      </c>
      <c r="C1063" s="815"/>
      <c r="D1063" s="815"/>
      <c r="E1063" s="816"/>
      <c r="F1063" s="128">
        <f>'MANO DE OBRA'!D59</f>
        <v>0</v>
      </c>
      <c r="G1063" s="122">
        <f>ROUND(G1062*F1063,0)</f>
        <v>0</v>
      </c>
    </row>
    <row r="1064" spans="1:8" ht="13.5" thickBot="1">
      <c r="A1064" s="95"/>
      <c r="B1064" s="805" t="s">
        <v>1049</v>
      </c>
      <c r="C1064" s="806"/>
      <c r="D1064" s="806"/>
      <c r="E1064" s="806"/>
      <c r="F1064" s="807"/>
      <c r="G1064" s="118">
        <f>ROUND(G1062+G1063,-2)</f>
        <v>12400</v>
      </c>
      <c r="H1064" s="505" t="s">
        <v>1670</v>
      </c>
    </row>
    <row r="1065" spans="1:8" ht="13.5" thickTop="1">
      <c r="A1065" s="95"/>
      <c r="B1065" s="90" t="s">
        <v>303</v>
      </c>
      <c r="C1065" s="843"/>
      <c r="D1065" s="843"/>
      <c r="E1065" s="843"/>
      <c r="F1065" s="92" t="s">
        <v>781</v>
      </c>
      <c r="G1065" s="93" t="s">
        <v>831</v>
      </c>
    </row>
    <row r="1066" spans="1:8">
      <c r="A1066" s="95"/>
      <c r="B1066" s="91" t="s">
        <v>834</v>
      </c>
      <c r="C1066" s="844" t="s">
        <v>382</v>
      </c>
      <c r="D1066" s="844"/>
      <c r="E1066" s="844"/>
      <c r="F1066" s="15" t="s">
        <v>833</v>
      </c>
      <c r="G1066" s="165" t="str">
        <f>'MANO DE OBRA'!D61</f>
        <v>Agosto de 2010</v>
      </c>
    </row>
    <row r="1067" spans="1:8" ht="13.5" thickBot="1">
      <c r="A1067" s="127"/>
      <c r="B1067" s="94" t="s">
        <v>835</v>
      </c>
      <c r="C1067" s="845" t="s">
        <v>385</v>
      </c>
      <c r="D1067" s="845"/>
      <c r="E1067" s="845"/>
      <c r="F1067" s="845"/>
      <c r="G1067" s="846"/>
    </row>
    <row r="1068" spans="1:8" ht="14.25" thickTop="1" thickBot="1">
      <c r="A1068" s="95"/>
      <c r="B1068" s="847"/>
      <c r="C1068" s="847"/>
      <c r="D1068" s="847"/>
      <c r="E1068" s="847"/>
      <c r="F1068" s="847"/>
      <c r="G1068" s="847"/>
    </row>
    <row r="1069" spans="1:8" ht="13.5" thickTop="1">
      <c r="A1069" s="95"/>
      <c r="B1069" s="811" t="s">
        <v>304</v>
      </c>
      <c r="C1069" s="812"/>
      <c r="D1069" s="812"/>
      <c r="E1069" s="812"/>
      <c r="F1069" s="812"/>
      <c r="G1069" s="825"/>
    </row>
    <row r="1070" spans="1:8">
      <c r="A1070" s="95"/>
      <c r="B1070" s="105"/>
      <c r="C1070" s="97"/>
      <c r="D1070" s="98" t="s">
        <v>301</v>
      </c>
      <c r="E1070" s="98" t="s">
        <v>1072</v>
      </c>
      <c r="F1070" s="99" t="s">
        <v>839</v>
      </c>
      <c r="G1070" s="107" t="s">
        <v>840</v>
      </c>
    </row>
    <row r="1071" spans="1:8">
      <c r="A1071" s="95"/>
      <c r="B1071" s="821" t="s">
        <v>838</v>
      </c>
      <c r="C1071" s="822"/>
      <c r="D1071" s="100" t="s">
        <v>308</v>
      </c>
      <c r="E1071" s="100" t="s">
        <v>305</v>
      </c>
      <c r="F1071" s="101" t="s">
        <v>306</v>
      </c>
      <c r="G1071" s="108" t="s">
        <v>310</v>
      </c>
    </row>
    <row r="1072" spans="1:8">
      <c r="A1072" s="95"/>
      <c r="B1072" s="115"/>
      <c r="C1072" s="102"/>
      <c r="D1072" s="103"/>
      <c r="E1072" s="103" t="s">
        <v>309</v>
      </c>
      <c r="F1072" s="104" t="s">
        <v>307</v>
      </c>
      <c r="G1072" s="109"/>
    </row>
    <row r="1073" spans="1:7">
      <c r="A1073" s="127"/>
      <c r="B1073" s="823" t="str">
        <f>'MAQUINARIA Y EQUIPOS'!C28</f>
        <v>HERRAMIENTAS MENORES</v>
      </c>
      <c r="C1073" s="824"/>
      <c r="D1073" s="87">
        <v>1</v>
      </c>
      <c r="E1073" s="82">
        <f>ROUND(G1106*0.05,0)</f>
        <v>507</v>
      </c>
      <c r="F1073" s="81">
        <v>1</v>
      </c>
      <c r="G1073" s="110">
        <f>ROUND(D1073*E1073/F1073,0)</f>
        <v>507</v>
      </c>
    </row>
    <row r="1074" spans="1:7">
      <c r="A1074" s="95"/>
      <c r="B1074" s="835"/>
      <c r="C1074" s="836"/>
      <c r="D1074" s="37"/>
      <c r="E1074" s="82"/>
      <c r="F1074" s="83"/>
      <c r="G1074" s="111"/>
    </row>
    <row r="1075" spans="1:7">
      <c r="A1075" s="95"/>
      <c r="B1075" s="835"/>
      <c r="C1075" s="836"/>
      <c r="D1075" s="89"/>
      <c r="E1075" s="82"/>
      <c r="F1075" s="83"/>
      <c r="G1075" s="111"/>
    </row>
    <row r="1076" spans="1:7">
      <c r="A1076" s="95"/>
      <c r="B1076" s="835"/>
      <c r="C1076" s="836"/>
      <c r="D1076" s="89"/>
      <c r="E1076" s="82"/>
      <c r="F1076" s="83"/>
      <c r="G1076" s="111"/>
    </row>
    <row r="1077" spans="1:7">
      <c r="A1077" s="95"/>
      <c r="B1077" s="835" t="s">
        <v>841</v>
      </c>
      <c r="C1077" s="836"/>
      <c r="D1077" s="37"/>
      <c r="E1077" s="82"/>
      <c r="F1077" s="83"/>
      <c r="G1077" s="111"/>
    </row>
    <row r="1078" spans="1:7" ht="13.5" thickBot="1">
      <c r="A1078" s="95"/>
      <c r="B1078" s="839" t="s">
        <v>841</v>
      </c>
      <c r="C1078" s="840"/>
      <c r="D1078" s="77"/>
      <c r="E1078" s="106"/>
      <c r="F1078" s="86"/>
      <c r="G1078" s="112"/>
    </row>
    <row r="1079" spans="1:7" ht="14.25" thickTop="1" thickBot="1">
      <c r="A1079" s="95"/>
      <c r="B1079" s="808"/>
      <c r="C1079" s="808"/>
      <c r="D1079" s="808"/>
      <c r="E1079" s="809"/>
      <c r="F1079" s="119" t="s">
        <v>856</v>
      </c>
      <c r="G1079" s="118">
        <f>SUM(G1073:G1078)</f>
        <v>507</v>
      </c>
    </row>
    <row r="1080" spans="1:7" ht="14.25" thickTop="1" thickBot="1">
      <c r="A1080" s="95"/>
      <c r="B1080" s="830"/>
      <c r="C1080" s="830"/>
      <c r="D1080" s="830"/>
      <c r="E1080" s="830"/>
      <c r="F1080" s="830"/>
      <c r="G1080" s="830"/>
    </row>
    <row r="1081" spans="1:7" ht="13.5" thickTop="1">
      <c r="A1081" s="95"/>
      <c r="B1081" s="811" t="s">
        <v>311</v>
      </c>
      <c r="C1081" s="812"/>
      <c r="D1081" s="812"/>
      <c r="E1081" s="812"/>
      <c r="F1081" s="812"/>
      <c r="G1081" s="825"/>
    </row>
    <row r="1082" spans="1:7">
      <c r="A1082" s="95"/>
      <c r="B1082" s="817" t="s">
        <v>838</v>
      </c>
      <c r="C1082" s="818"/>
      <c r="D1082" s="98" t="s">
        <v>842</v>
      </c>
      <c r="E1082" s="98" t="s">
        <v>853</v>
      </c>
      <c r="F1082" s="99" t="s">
        <v>1047</v>
      </c>
      <c r="G1082" s="107" t="s">
        <v>840</v>
      </c>
    </row>
    <row r="1083" spans="1:7">
      <c r="A1083" s="95"/>
      <c r="B1083" s="115"/>
      <c r="C1083" s="102"/>
      <c r="D1083" s="100"/>
      <c r="E1083" s="100" t="s">
        <v>312</v>
      </c>
      <c r="F1083" s="101" t="s">
        <v>313</v>
      </c>
      <c r="G1083" s="108" t="s">
        <v>314</v>
      </c>
    </row>
    <row r="1084" spans="1:7">
      <c r="A1084" s="125"/>
      <c r="B1084" s="841" t="str">
        <f>MATERIALES2!C704</f>
        <v>SOLDADURA PVC ¼</v>
      </c>
      <c r="C1084" s="842"/>
      <c r="D1084" s="87" t="s">
        <v>865</v>
      </c>
      <c r="E1084" s="142">
        <v>1.4999999999999999E-2</v>
      </c>
      <c r="F1084" s="80">
        <f>MATERIALES2!E704</f>
        <v>56298</v>
      </c>
      <c r="G1084" s="110">
        <f>ROUND(E1084*F1084,0)</f>
        <v>844</v>
      </c>
    </row>
    <row r="1085" spans="1:7">
      <c r="A1085" s="123"/>
      <c r="B1085" s="854" t="str">
        <f>MATERIALES2!C586</f>
        <v>TUBO PVC PRESION 3/4" x 6.0 M</v>
      </c>
      <c r="C1085" s="855"/>
      <c r="D1085" s="37" t="s">
        <v>865</v>
      </c>
      <c r="E1085" s="83">
        <v>0.17</v>
      </c>
      <c r="F1085" s="82">
        <f>MATERIALES2!E586</f>
        <v>6700</v>
      </c>
      <c r="G1085" s="111">
        <f>ROUND(E1085*F1085,0)</f>
        <v>1139</v>
      </c>
    </row>
    <row r="1086" spans="1:7">
      <c r="A1086" s="123"/>
      <c r="B1086" s="854" t="str">
        <f>MATERIALES2!C681</f>
        <v>CODO PRESION 3/4"</v>
      </c>
      <c r="C1086" s="855"/>
      <c r="D1086" s="37" t="s">
        <v>865</v>
      </c>
      <c r="E1086" s="83">
        <v>0.5</v>
      </c>
      <c r="F1086" s="82">
        <f>MATERIALES2!E681</f>
        <v>300</v>
      </c>
      <c r="G1086" s="111">
        <f>ROUND(E1086*F1086,0)</f>
        <v>150</v>
      </c>
    </row>
    <row r="1087" spans="1:7">
      <c r="A1087" s="95"/>
      <c r="B1087" s="854"/>
      <c r="C1087" s="855"/>
      <c r="D1087" s="37"/>
      <c r="E1087" s="83"/>
      <c r="F1087" s="82"/>
      <c r="G1087" s="111"/>
    </row>
    <row r="1088" spans="1:7">
      <c r="A1088" s="95"/>
      <c r="B1088" s="854"/>
      <c r="C1088" s="855"/>
      <c r="D1088" s="37"/>
      <c r="E1088" s="83"/>
      <c r="F1088" s="82"/>
      <c r="G1088" s="111"/>
    </row>
    <row r="1089" spans="1:8">
      <c r="A1089" s="95"/>
      <c r="B1089" s="938"/>
      <c r="C1089" s="939"/>
      <c r="D1089" s="53" t="s">
        <v>841</v>
      </c>
      <c r="E1089" s="53"/>
      <c r="F1089" s="82"/>
      <c r="G1089" s="111"/>
    </row>
    <row r="1090" spans="1:8">
      <c r="A1090" s="95"/>
      <c r="B1090" s="938" t="s">
        <v>841</v>
      </c>
      <c r="C1090" s="939"/>
      <c r="D1090" s="53" t="s">
        <v>841</v>
      </c>
      <c r="E1090" s="53"/>
      <c r="F1090" s="82"/>
      <c r="G1090" s="111"/>
    </row>
    <row r="1091" spans="1:8">
      <c r="A1091" s="95"/>
      <c r="B1091" s="938" t="s">
        <v>841</v>
      </c>
      <c r="C1091" s="939"/>
      <c r="D1091" s="53" t="s">
        <v>841</v>
      </c>
      <c r="E1091" s="53"/>
      <c r="F1091" s="82"/>
      <c r="G1091" s="111"/>
      <c r="H1091" s="505" t="s">
        <v>1670</v>
      </c>
    </row>
    <row r="1092" spans="1:8" ht="13.5" thickBot="1">
      <c r="A1092" s="95"/>
      <c r="B1092" s="839" t="s">
        <v>841</v>
      </c>
      <c r="C1092" s="840"/>
      <c r="D1092" s="84" t="s">
        <v>841</v>
      </c>
      <c r="E1092" s="84"/>
      <c r="F1092" s="85"/>
      <c r="G1092" s="112"/>
    </row>
    <row r="1093" spans="1:8" ht="13.5" thickTop="1">
      <c r="A1093" s="95"/>
      <c r="B1093" s="808"/>
      <c r="C1093" s="809"/>
      <c r="D1093" s="801" t="s">
        <v>856</v>
      </c>
      <c r="E1093" s="802"/>
      <c r="F1093" s="9"/>
      <c r="G1093" s="113">
        <f>SUM(G1084:G1092)</f>
        <v>2133</v>
      </c>
    </row>
    <row r="1094" spans="1:8">
      <c r="A1094" s="95"/>
      <c r="B1094" s="819"/>
      <c r="C1094" s="820"/>
      <c r="D1094" s="801" t="s">
        <v>857</v>
      </c>
      <c r="E1094" s="802"/>
      <c r="F1094" s="79">
        <f>'MANO DE OBRA'!D60</f>
        <v>0.05</v>
      </c>
      <c r="G1094" s="113">
        <f>ROUND(G1093*F1094,0)</f>
        <v>107</v>
      </c>
    </row>
    <row r="1095" spans="1:8" ht="13.5" thickBot="1">
      <c r="A1095" s="95"/>
      <c r="B1095" s="819"/>
      <c r="C1095" s="820"/>
      <c r="D1095" s="803" t="s">
        <v>320</v>
      </c>
      <c r="E1095" s="804"/>
      <c r="F1095" s="114"/>
      <c r="G1095" s="118">
        <f>+G1093+G1094</f>
        <v>2240</v>
      </c>
    </row>
    <row r="1096" spans="1:8" ht="14.25" thickTop="1" thickBot="1">
      <c r="A1096" s="95"/>
      <c r="B1096" s="830"/>
      <c r="C1096" s="830"/>
      <c r="D1096" s="830"/>
      <c r="E1096" s="830"/>
      <c r="F1096" s="830"/>
      <c r="G1096" s="830"/>
    </row>
    <row r="1097" spans="1:8" ht="13.5" thickTop="1">
      <c r="A1097" s="95"/>
      <c r="B1097" s="811" t="s">
        <v>858</v>
      </c>
      <c r="C1097" s="812"/>
      <c r="D1097" s="812"/>
      <c r="E1097" s="812"/>
      <c r="F1097" s="812"/>
      <c r="G1097" s="825"/>
    </row>
    <row r="1098" spans="1:8">
      <c r="A1098" s="95"/>
      <c r="B1098" s="817"/>
      <c r="C1098" s="818"/>
      <c r="D1098" s="98" t="s">
        <v>301</v>
      </c>
      <c r="E1098" s="98" t="s">
        <v>859</v>
      </c>
      <c r="F1098" s="99" t="s">
        <v>839</v>
      </c>
      <c r="G1098" s="107" t="s">
        <v>840</v>
      </c>
    </row>
    <row r="1099" spans="1:8">
      <c r="A1099" s="95"/>
      <c r="B1099" s="821" t="s">
        <v>838</v>
      </c>
      <c r="C1099" s="822"/>
      <c r="D1099" s="100" t="s">
        <v>316</v>
      </c>
      <c r="E1099" s="100" t="s">
        <v>315</v>
      </c>
      <c r="F1099" s="101" t="s">
        <v>306</v>
      </c>
      <c r="G1099" s="108" t="s">
        <v>319</v>
      </c>
    </row>
    <row r="1100" spans="1:8">
      <c r="A1100" s="95"/>
      <c r="B1100" s="115"/>
      <c r="C1100" s="102"/>
      <c r="D1100" s="103"/>
      <c r="E1100" s="103" t="s">
        <v>317</v>
      </c>
      <c r="F1100" s="104" t="s">
        <v>318</v>
      </c>
      <c r="G1100" s="109"/>
    </row>
    <row r="1101" spans="1:8">
      <c r="A1101" s="95"/>
      <c r="B1101" s="823" t="str">
        <f>'MANO DE OBRA'!B11</f>
        <v>AYUDANTE CUAD. TIPO BB</v>
      </c>
      <c r="C1101" s="824"/>
      <c r="D1101" s="87">
        <v>1</v>
      </c>
      <c r="E1101" s="80">
        <f>'MANO DE OBRA'!E11</f>
        <v>43077</v>
      </c>
      <c r="F1101" s="81">
        <v>12</v>
      </c>
      <c r="G1101" s="110">
        <f>ROUND(D1101*E1101/F1101,0)</f>
        <v>3590</v>
      </c>
    </row>
    <row r="1102" spans="1:8">
      <c r="A1102" s="95"/>
      <c r="B1102" s="835" t="str">
        <f>'MANO DE OBRA'!B16</f>
        <v>OFICIAL CUAD. TIPO BB</v>
      </c>
      <c r="C1102" s="836"/>
      <c r="D1102" s="37">
        <v>1</v>
      </c>
      <c r="E1102" s="82">
        <f>'MANO DE OBRA'!E16</f>
        <v>78577</v>
      </c>
      <c r="F1102" s="83">
        <v>12</v>
      </c>
      <c r="G1102" s="111">
        <f>ROUND(D1102*E1102/F1102,0)</f>
        <v>6548</v>
      </c>
    </row>
    <row r="1103" spans="1:8">
      <c r="A1103" s="95"/>
      <c r="B1103" s="835"/>
      <c r="C1103" s="836"/>
      <c r="D1103" s="89"/>
      <c r="E1103" s="82"/>
      <c r="F1103" s="83"/>
      <c r="G1103" s="111"/>
    </row>
    <row r="1104" spans="1:8">
      <c r="A1104" s="95"/>
      <c r="B1104" s="835" t="s">
        <v>841</v>
      </c>
      <c r="C1104" s="836"/>
      <c r="D1104" s="37"/>
      <c r="E1104" s="82"/>
      <c r="F1104" s="83"/>
      <c r="G1104" s="111"/>
    </row>
    <row r="1105" spans="1:8" ht="13.5" thickBot="1">
      <c r="A1105" s="95"/>
      <c r="B1105" s="828" t="s">
        <v>841</v>
      </c>
      <c r="C1105" s="829"/>
      <c r="D1105" s="77"/>
      <c r="E1105" s="82"/>
      <c r="F1105" s="86"/>
      <c r="G1105" s="112"/>
    </row>
    <row r="1106" spans="1:8" ht="14.25" thickTop="1" thickBot="1">
      <c r="A1106" s="95"/>
      <c r="B1106" s="808"/>
      <c r="C1106" s="808"/>
      <c r="D1106" s="808"/>
      <c r="E1106" s="809"/>
      <c r="F1106" s="120" t="s">
        <v>856</v>
      </c>
      <c r="G1106" s="118">
        <f>SUM(G1101:G1105)</f>
        <v>10138</v>
      </c>
    </row>
    <row r="1107" spans="1:8" ht="14.25" thickTop="1" thickBot="1">
      <c r="A1107" s="95"/>
      <c r="B1107" s="810"/>
      <c r="C1107" s="810"/>
      <c r="D1107" s="810"/>
      <c r="E1107" s="810"/>
      <c r="F1107" s="810"/>
      <c r="G1107" s="810"/>
    </row>
    <row r="1108" spans="1:8" ht="13.5" thickTop="1">
      <c r="A1108" s="95"/>
      <c r="B1108" s="811" t="s">
        <v>321</v>
      </c>
      <c r="C1108" s="812"/>
      <c r="D1108" s="812"/>
      <c r="E1108" s="812"/>
      <c r="F1108" s="812"/>
      <c r="G1108" s="825"/>
    </row>
    <row r="1109" spans="1:8">
      <c r="A1109" s="95"/>
      <c r="B1109" s="817" t="s">
        <v>838</v>
      </c>
      <c r="C1109" s="818"/>
      <c r="D1109" s="98" t="s">
        <v>301</v>
      </c>
      <c r="E1109" s="98" t="s">
        <v>297</v>
      </c>
      <c r="F1109" s="99" t="s">
        <v>839</v>
      </c>
      <c r="G1109" s="107" t="s">
        <v>840</v>
      </c>
    </row>
    <row r="1110" spans="1:8">
      <c r="A1110" s="95"/>
      <c r="B1110" s="115"/>
      <c r="C1110" s="102"/>
      <c r="D1110" s="103" t="s">
        <v>322</v>
      </c>
      <c r="E1110" s="103" t="s">
        <v>323</v>
      </c>
      <c r="F1110" s="104" t="s">
        <v>324</v>
      </c>
      <c r="G1110" s="109" t="s">
        <v>325</v>
      </c>
    </row>
    <row r="1111" spans="1:8">
      <c r="A1111" s="95"/>
      <c r="B1111" s="826"/>
      <c r="C1111" s="827"/>
      <c r="D1111" s="96"/>
      <c r="E1111" s="96"/>
      <c r="F1111" s="96"/>
      <c r="G1111" s="116"/>
    </row>
    <row r="1112" spans="1:8" ht="13.5" thickBot="1">
      <c r="A1112" s="95"/>
      <c r="B1112" s="828" t="s">
        <v>841</v>
      </c>
      <c r="C1112" s="829"/>
      <c r="D1112" s="77"/>
      <c r="E1112" s="82"/>
      <c r="F1112" s="86"/>
      <c r="G1112" s="112"/>
    </row>
    <row r="1113" spans="1:8" ht="14.25" thickTop="1" thickBot="1">
      <c r="A1113" s="95"/>
      <c r="B1113" s="808"/>
      <c r="C1113" s="808"/>
      <c r="D1113" s="808"/>
      <c r="E1113" s="809"/>
      <c r="F1113" s="120" t="s">
        <v>856</v>
      </c>
      <c r="G1113" s="118">
        <f>SUM(G1108:G1112)</f>
        <v>0</v>
      </c>
    </row>
    <row r="1114" spans="1:8" ht="14.25" thickTop="1" thickBot="1">
      <c r="A1114" s="95"/>
      <c r="B1114" s="810"/>
      <c r="C1114" s="810"/>
      <c r="D1114" s="810"/>
      <c r="E1114" s="810"/>
      <c r="F1114" s="810"/>
      <c r="G1114" s="834"/>
    </row>
    <row r="1115" spans="1:8" ht="13.5" thickTop="1">
      <c r="A1115" s="95"/>
      <c r="B1115" s="811" t="s">
        <v>326</v>
      </c>
      <c r="C1115" s="812"/>
      <c r="D1115" s="812"/>
      <c r="E1115" s="812"/>
      <c r="F1115" s="813"/>
      <c r="G1115" s="121">
        <f>+G1079+G1095+G1106</f>
        <v>12885</v>
      </c>
    </row>
    <row r="1116" spans="1:8">
      <c r="A1116" s="95"/>
      <c r="B1116" s="814" t="s">
        <v>861</v>
      </c>
      <c r="C1116" s="815"/>
      <c r="D1116" s="815"/>
      <c r="E1116" s="816"/>
      <c r="F1116" s="128">
        <f>'MANO DE OBRA'!D59</f>
        <v>0</v>
      </c>
      <c r="G1116" s="122">
        <f>ROUND(G1115*F1116,0)</f>
        <v>0</v>
      </c>
    </row>
    <row r="1117" spans="1:8" ht="13.5" thickBot="1">
      <c r="A1117" s="95"/>
      <c r="B1117" s="805" t="s">
        <v>1049</v>
      </c>
      <c r="C1117" s="806"/>
      <c r="D1117" s="806"/>
      <c r="E1117" s="806"/>
      <c r="F1117" s="807"/>
      <c r="G1117" s="118">
        <f>ROUND(G1115+G1116,-2)</f>
        <v>12900</v>
      </c>
      <c r="H1117" s="505" t="s">
        <v>1670</v>
      </c>
    </row>
    <row r="1118" spans="1:8" ht="13.5" thickTop="1">
      <c r="A1118" s="95"/>
      <c r="B1118" s="90" t="s">
        <v>303</v>
      </c>
      <c r="C1118" s="843"/>
      <c r="D1118" s="843"/>
      <c r="E1118" s="843"/>
      <c r="F1118" s="92" t="s">
        <v>781</v>
      </c>
      <c r="G1118" s="93" t="s">
        <v>831</v>
      </c>
    </row>
    <row r="1119" spans="1:8">
      <c r="A1119" s="95"/>
      <c r="B1119" s="91" t="s">
        <v>834</v>
      </c>
      <c r="C1119" s="844" t="s">
        <v>382</v>
      </c>
      <c r="D1119" s="844"/>
      <c r="E1119" s="844"/>
      <c r="F1119" s="15" t="s">
        <v>833</v>
      </c>
      <c r="G1119" s="165" t="str">
        <f>'MANO DE OBRA'!D61</f>
        <v>Agosto de 2010</v>
      </c>
    </row>
    <row r="1120" spans="1:8" ht="13.5" thickBot="1">
      <c r="A1120" s="127"/>
      <c r="B1120" s="94" t="s">
        <v>835</v>
      </c>
      <c r="C1120" s="845" t="s">
        <v>384</v>
      </c>
      <c r="D1120" s="845"/>
      <c r="E1120" s="845"/>
      <c r="F1120" s="845"/>
      <c r="G1120" s="846"/>
    </row>
    <row r="1121" spans="1:7" ht="14.25" thickTop="1" thickBot="1">
      <c r="A1121" s="95"/>
      <c r="B1121" s="847"/>
      <c r="C1121" s="847"/>
      <c r="D1121" s="847"/>
      <c r="E1121" s="847"/>
      <c r="F1121" s="847"/>
      <c r="G1121" s="847"/>
    </row>
    <row r="1122" spans="1:7" ht="13.5" thickTop="1">
      <c r="A1122" s="95"/>
      <c r="B1122" s="811" t="s">
        <v>304</v>
      </c>
      <c r="C1122" s="812"/>
      <c r="D1122" s="812"/>
      <c r="E1122" s="812"/>
      <c r="F1122" s="812"/>
      <c r="G1122" s="825"/>
    </row>
    <row r="1123" spans="1:7">
      <c r="A1123" s="95"/>
      <c r="B1123" s="105"/>
      <c r="C1123" s="97"/>
      <c r="D1123" s="98" t="s">
        <v>301</v>
      </c>
      <c r="E1123" s="98" t="s">
        <v>1072</v>
      </c>
      <c r="F1123" s="99" t="s">
        <v>839</v>
      </c>
      <c r="G1123" s="107" t="s">
        <v>840</v>
      </c>
    </row>
    <row r="1124" spans="1:7">
      <c r="A1124" s="95"/>
      <c r="B1124" s="821" t="s">
        <v>838</v>
      </c>
      <c r="C1124" s="822"/>
      <c r="D1124" s="100" t="s">
        <v>308</v>
      </c>
      <c r="E1124" s="100" t="s">
        <v>305</v>
      </c>
      <c r="F1124" s="101" t="s">
        <v>306</v>
      </c>
      <c r="G1124" s="108" t="s">
        <v>310</v>
      </c>
    </row>
    <row r="1125" spans="1:7">
      <c r="A1125" s="95"/>
      <c r="B1125" s="115"/>
      <c r="C1125" s="102"/>
      <c r="D1125" s="103"/>
      <c r="E1125" s="103" t="s">
        <v>309</v>
      </c>
      <c r="F1125" s="104" t="s">
        <v>307</v>
      </c>
      <c r="G1125" s="109"/>
    </row>
    <row r="1126" spans="1:7">
      <c r="A1126" s="127"/>
      <c r="B1126" s="823" t="str">
        <f>'MAQUINARIA Y EQUIPOS'!C28</f>
        <v>HERRAMIENTAS MENORES</v>
      </c>
      <c r="C1126" s="824"/>
      <c r="D1126" s="87">
        <v>1</v>
      </c>
      <c r="E1126" s="82">
        <f>ROUND(G1159*0.05,0)</f>
        <v>608</v>
      </c>
      <c r="F1126" s="81">
        <v>1</v>
      </c>
      <c r="G1126" s="110">
        <f>ROUND(D1126*E1126/F1126,0)</f>
        <v>608</v>
      </c>
    </row>
    <row r="1127" spans="1:7">
      <c r="A1127" s="95"/>
      <c r="B1127" s="835"/>
      <c r="C1127" s="836"/>
      <c r="D1127" s="37"/>
      <c r="E1127" s="82"/>
      <c r="F1127" s="83"/>
      <c r="G1127" s="111"/>
    </row>
    <row r="1128" spans="1:7">
      <c r="A1128" s="95"/>
      <c r="B1128" s="835"/>
      <c r="C1128" s="836"/>
      <c r="D1128" s="89"/>
      <c r="E1128" s="82"/>
      <c r="F1128" s="83"/>
      <c r="G1128" s="111"/>
    </row>
    <row r="1129" spans="1:7">
      <c r="A1129" s="95"/>
      <c r="B1129" s="835"/>
      <c r="C1129" s="836"/>
      <c r="D1129" s="89"/>
      <c r="E1129" s="82"/>
      <c r="F1129" s="83"/>
      <c r="G1129" s="111"/>
    </row>
    <row r="1130" spans="1:7">
      <c r="A1130" s="95"/>
      <c r="B1130" s="835" t="s">
        <v>841</v>
      </c>
      <c r="C1130" s="836"/>
      <c r="D1130" s="37"/>
      <c r="E1130" s="82"/>
      <c r="F1130" s="83"/>
      <c r="G1130" s="111"/>
    </row>
    <row r="1131" spans="1:7" ht="13.5" thickBot="1">
      <c r="A1131" s="95"/>
      <c r="B1131" s="839" t="s">
        <v>841</v>
      </c>
      <c r="C1131" s="840"/>
      <c r="D1131" s="77"/>
      <c r="E1131" s="106"/>
      <c r="F1131" s="86"/>
      <c r="G1131" s="112"/>
    </row>
    <row r="1132" spans="1:7" ht="14.25" thickTop="1" thickBot="1">
      <c r="A1132" s="95"/>
      <c r="B1132" s="808"/>
      <c r="C1132" s="808"/>
      <c r="D1132" s="808"/>
      <c r="E1132" s="809"/>
      <c r="F1132" s="119" t="s">
        <v>856</v>
      </c>
      <c r="G1132" s="118">
        <f>SUM(G1126:G1131)</f>
        <v>608</v>
      </c>
    </row>
    <row r="1133" spans="1:7" ht="14.25" thickTop="1" thickBot="1">
      <c r="A1133" s="95"/>
      <c r="B1133" s="830"/>
      <c r="C1133" s="830"/>
      <c r="D1133" s="830"/>
      <c r="E1133" s="830"/>
      <c r="F1133" s="830"/>
      <c r="G1133" s="830"/>
    </row>
    <row r="1134" spans="1:7" ht="13.5" thickTop="1">
      <c r="A1134" s="95"/>
      <c r="B1134" s="811" t="s">
        <v>311</v>
      </c>
      <c r="C1134" s="812"/>
      <c r="D1134" s="812"/>
      <c r="E1134" s="812"/>
      <c r="F1134" s="812"/>
      <c r="G1134" s="825"/>
    </row>
    <row r="1135" spans="1:7">
      <c r="A1135" s="95"/>
      <c r="B1135" s="817" t="s">
        <v>838</v>
      </c>
      <c r="C1135" s="818"/>
      <c r="D1135" s="98" t="s">
        <v>842</v>
      </c>
      <c r="E1135" s="98" t="s">
        <v>853</v>
      </c>
      <c r="F1135" s="99" t="s">
        <v>1047</v>
      </c>
      <c r="G1135" s="107" t="s">
        <v>840</v>
      </c>
    </row>
    <row r="1136" spans="1:7">
      <c r="A1136" s="95"/>
      <c r="B1136" s="115"/>
      <c r="C1136" s="102"/>
      <c r="D1136" s="100"/>
      <c r="E1136" s="100" t="s">
        <v>312</v>
      </c>
      <c r="F1136" s="101" t="s">
        <v>313</v>
      </c>
      <c r="G1136" s="108" t="s">
        <v>314</v>
      </c>
    </row>
    <row r="1137" spans="1:8">
      <c r="A1137" s="125"/>
      <c r="B1137" s="841" t="str">
        <f>MATERIALES2!C704</f>
        <v>SOLDADURA PVC ¼</v>
      </c>
      <c r="C1137" s="842"/>
      <c r="D1137" s="87" t="s">
        <v>865</v>
      </c>
      <c r="E1137" s="142">
        <v>0.01</v>
      </c>
      <c r="F1137" s="80">
        <f>MATERIALES2!E704</f>
        <v>56298</v>
      </c>
      <c r="G1137" s="110">
        <f>ROUND(E1137*F1137,0)</f>
        <v>563</v>
      </c>
    </row>
    <row r="1138" spans="1:8">
      <c r="A1138" s="123"/>
      <c r="B1138" s="854" t="str">
        <f>MATERIALES2!C587</f>
        <v>TUBO PVC PRESION 1" x 6.0 M</v>
      </c>
      <c r="C1138" s="855"/>
      <c r="D1138" s="37" t="s">
        <v>865</v>
      </c>
      <c r="E1138" s="83">
        <v>0.17</v>
      </c>
      <c r="F1138" s="82">
        <f>MATERIALES2!E587</f>
        <v>9700</v>
      </c>
      <c r="G1138" s="111">
        <f>ROUND(E1138*F1138,0)</f>
        <v>1649</v>
      </c>
    </row>
    <row r="1139" spans="1:8">
      <c r="A1139" s="123"/>
      <c r="B1139" s="854" t="str">
        <f>MATERIALES2!C677</f>
        <v>CODO PRESION 1"</v>
      </c>
      <c r="C1139" s="855"/>
      <c r="D1139" s="37" t="s">
        <v>865</v>
      </c>
      <c r="E1139" s="83">
        <v>0.5</v>
      </c>
      <c r="F1139" s="82">
        <f>MATERIALES2!E677</f>
        <v>600</v>
      </c>
      <c r="G1139" s="111">
        <f>ROUND(E1139*F1139,0)</f>
        <v>300</v>
      </c>
    </row>
    <row r="1140" spans="1:8">
      <c r="A1140" s="123"/>
      <c r="B1140" s="854"/>
      <c r="C1140" s="855"/>
      <c r="D1140" s="37"/>
      <c r="E1140" s="83"/>
      <c r="F1140" s="82"/>
      <c r="G1140" s="111"/>
    </row>
    <row r="1141" spans="1:8">
      <c r="A1141" s="123"/>
      <c r="B1141" s="854"/>
      <c r="C1141" s="855"/>
      <c r="D1141" s="37"/>
      <c r="E1141" s="83"/>
      <c r="F1141" s="82"/>
      <c r="G1141" s="111"/>
    </row>
    <row r="1142" spans="1:8">
      <c r="A1142" s="95"/>
      <c r="B1142" s="938"/>
      <c r="C1142" s="939"/>
      <c r="D1142" s="53" t="s">
        <v>841</v>
      </c>
      <c r="E1142" s="53"/>
      <c r="F1142" s="82"/>
      <c r="G1142" s="111"/>
    </row>
    <row r="1143" spans="1:8">
      <c r="A1143" s="95"/>
      <c r="B1143" s="938" t="s">
        <v>841</v>
      </c>
      <c r="C1143" s="939"/>
      <c r="D1143" s="53" t="s">
        <v>841</v>
      </c>
      <c r="E1143" s="53"/>
      <c r="F1143" s="82"/>
      <c r="G1143" s="111"/>
    </row>
    <row r="1144" spans="1:8">
      <c r="A1144" s="95"/>
      <c r="B1144" s="938" t="s">
        <v>841</v>
      </c>
      <c r="C1144" s="939"/>
      <c r="D1144" s="53" t="s">
        <v>841</v>
      </c>
      <c r="E1144" s="53"/>
      <c r="F1144" s="82"/>
      <c r="G1144" s="111"/>
      <c r="H1144" s="505" t="s">
        <v>1670</v>
      </c>
    </row>
    <row r="1145" spans="1:8" ht="13.5" thickBot="1">
      <c r="A1145" s="95"/>
      <c r="B1145" s="942" t="s">
        <v>841</v>
      </c>
      <c r="C1145" s="943"/>
      <c r="D1145" s="84" t="s">
        <v>841</v>
      </c>
      <c r="E1145" s="84"/>
      <c r="F1145" s="85"/>
      <c r="G1145" s="112"/>
    </row>
    <row r="1146" spans="1:8" ht="13.5" thickTop="1">
      <c r="A1146" s="95"/>
      <c r="B1146" s="808"/>
      <c r="C1146" s="809"/>
      <c r="D1146" s="801" t="s">
        <v>856</v>
      </c>
      <c r="E1146" s="802"/>
      <c r="F1146" s="9"/>
      <c r="G1146" s="113">
        <f>SUM(G1137:G1145)</f>
        <v>2512</v>
      </c>
    </row>
    <row r="1147" spans="1:8">
      <c r="A1147" s="95"/>
      <c r="B1147" s="819"/>
      <c r="C1147" s="820"/>
      <c r="D1147" s="801" t="s">
        <v>857</v>
      </c>
      <c r="E1147" s="802"/>
      <c r="F1147" s="79">
        <f>'MANO DE OBRA'!D60</f>
        <v>0.05</v>
      </c>
      <c r="G1147" s="113">
        <f>ROUND(G1146*F1147,0)</f>
        <v>126</v>
      </c>
    </row>
    <row r="1148" spans="1:8" ht="13.5" thickBot="1">
      <c r="A1148" s="95"/>
      <c r="B1148" s="819"/>
      <c r="C1148" s="820"/>
      <c r="D1148" s="803" t="s">
        <v>320</v>
      </c>
      <c r="E1148" s="804"/>
      <c r="F1148" s="114"/>
      <c r="G1148" s="118">
        <f>+G1146+G1147</f>
        <v>2638</v>
      </c>
    </row>
    <row r="1149" spans="1:8" ht="14.25" thickTop="1" thickBot="1">
      <c r="A1149" s="95"/>
      <c r="B1149" s="830"/>
      <c r="C1149" s="830"/>
      <c r="D1149" s="830"/>
      <c r="E1149" s="830"/>
      <c r="F1149" s="830"/>
      <c r="G1149" s="830"/>
    </row>
    <row r="1150" spans="1:8" ht="13.5" thickTop="1">
      <c r="A1150" s="95"/>
      <c r="B1150" s="811" t="s">
        <v>858</v>
      </c>
      <c r="C1150" s="812"/>
      <c r="D1150" s="812"/>
      <c r="E1150" s="812"/>
      <c r="F1150" s="812"/>
      <c r="G1150" s="825"/>
    </row>
    <row r="1151" spans="1:8">
      <c r="A1151" s="95"/>
      <c r="B1151" s="817"/>
      <c r="C1151" s="818"/>
      <c r="D1151" s="98" t="s">
        <v>301</v>
      </c>
      <c r="E1151" s="98" t="s">
        <v>859</v>
      </c>
      <c r="F1151" s="99" t="s">
        <v>839</v>
      </c>
      <c r="G1151" s="107" t="s">
        <v>840</v>
      </c>
    </row>
    <row r="1152" spans="1:8">
      <c r="A1152" s="95"/>
      <c r="B1152" s="821" t="s">
        <v>838</v>
      </c>
      <c r="C1152" s="822"/>
      <c r="D1152" s="100" t="s">
        <v>316</v>
      </c>
      <c r="E1152" s="100" t="s">
        <v>315</v>
      </c>
      <c r="F1152" s="101" t="s">
        <v>306</v>
      </c>
      <c r="G1152" s="108" t="s">
        <v>319</v>
      </c>
    </row>
    <row r="1153" spans="1:7">
      <c r="A1153" s="95"/>
      <c r="B1153" s="115"/>
      <c r="C1153" s="102"/>
      <c r="D1153" s="103"/>
      <c r="E1153" s="103" t="s">
        <v>317</v>
      </c>
      <c r="F1153" s="104" t="s">
        <v>318</v>
      </c>
      <c r="G1153" s="109"/>
    </row>
    <row r="1154" spans="1:7">
      <c r="A1154" s="95"/>
      <c r="B1154" s="823" t="str">
        <f>'MANO DE OBRA'!B11</f>
        <v>AYUDANTE CUAD. TIPO BB</v>
      </c>
      <c r="C1154" s="824"/>
      <c r="D1154" s="87">
        <v>1</v>
      </c>
      <c r="E1154" s="80">
        <f>'MANO DE OBRA'!E11</f>
        <v>43077</v>
      </c>
      <c r="F1154" s="81">
        <v>10</v>
      </c>
      <c r="G1154" s="110">
        <f>ROUND(D1154*E1154/F1154,0)</f>
        <v>4308</v>
      </c>
    </row>
    <row r="1155" spans="1:7">
      <c r="A1155" s="95"/>
      <c r="B1155" s="835" t="str">
        <f>'MANO DE OBRA'!B16</f>
        <v>OFICIAL CUAD. TIPO BB</v>
      </c>
      <c r="C1155" s="836"/>
      <c r="D1155" s="37">
        <v>1</v>
      </c>
      <c r="E1155" s="82">
        <f>'MANO DE OBRA'!E16</f>
        <v>78577</v>
      </c>
      <c r="F1155" s="83">
        <v>10</v>
      </c>
      <c r="G1155" s="111">
        <f>ROUND(D1155*E1155/F1155,0)</f>
        <v>7858</v>
      </c>
    </row>
    <row r="1156" spans="1:7">
      <c r="A1156" s="95"/>
      <c r="B1156" s="835"/>
      <c r="C1156" s="836"/>
      <c r="D1156" s="89"/>
      <c r="E1156" s="82"/>
      <c r="F1156" s="83"/>
      <c r="G1156" s="111"/>
    </row>
    <row r="1157" spans="1:7">
      <c r="A1157" s="95"/>
      <c r="B1157" s="835" t="s">
        <v>841</v>
      </c>
      <c r="C1157" s="836"/>
      <c r="D1157" s="37"/>
      <c r="E1157" s="82"/>
      <c r="F1157" s="83"/>
      <c r="G1157" s="111"/>
    </row>
    <row r="1158" spans="1:7" ht="13.5" thickBot="1">
      <c r="A1158" s="95"/>
      <c r="B1158" s="828" t="s">
        <v>841</v>
      </c>
      <c r="C1158" s="829"/>
      <c r="D1158" s="77"/>
      <c r="E1158" s="82"/>
      <c r="F1158" s="86"/>
      <c r="G1158" s="112"/>
    </row>
    <row r="1159" spans="1:7" ht="14.25" thickTop="1" thickBot="1">
      <c r="A1159" s="95"/>
      <c r="B1159" s="808"/>
      <c r="C1159" s="808"/>
      <c r="D1159" s="808"/>
      <c r="E1159" s="809"/>
      <c r="F1159" s="120" t="s">
        <v>856</v>
      </c>
      <c r="G1159" s="118">
        <f>SUM(G1154:G1158)</f>
        <v>12166</v>
      </c>
    </row>
    <row r="1160" spans="1:7" ht="14.25" thickTop="1" thickBot="1">
      <c r="A1160" s="95"/>
      <c r="B1160" s="810"/>
      <c r="C1160" s="810"/>
      <c r="D1160" s="810"/>
      <c r="E1160" s="810"/>
      <c r="F1160" s="810"/>
      <c r="G1160" s="810"/>
    </row>
    <row r="1161" spans="1:7" ht="13.5" thickTop="1">
      <c r="A1161" s="95"/>
      <c r="B1161" s="811" t="s">
        <v>321</v>
      </c>
      <c r="C1161" s="812"/>
      <c r="D1161" s="812"/>
      <c r="E1161" s="812"/>
      <c r="F1161" s="812"/>
      <c r="G1161" s="825"/>
    </row>
    <row r="1162" spans="1:7">
      <c r="A1162" s="95"/>
      <c r="B1162" s="817" t="s">
        <v>838</v>
      </c>
      <c r="C1162" s="818"/>
      <c r="D1162" s="98" t="s">
        <v>301</v>
      </c>
      <c r="E1162" s="98" t="s">
        <v>297</v>
      </c>
      <c r="F1162" s="99" t="s">
        <v>839</v>
      </c>
      <c r="G1162" s="107" t="s">
        <v>840</v>
      </c>
    </row>
    <row r="1163" spans="1:7">
      <c r="A1163" s="95"/>
      <c r="B1163" s="115"/>
      <c r="C1163" s="102"/>
      <c r="D1163" s="103" t="s">
        <v>322</v>
      </c>
      <c r="E1163" s="103" t="s">
        <v>323</v>
      </c>
      <c r="F1163" s="104" t="s">
        <v>324</v>
      </c>
      <c r="G1163" s="109" t="s">
        <v>325</v>
      </c>
    </row>
    <row r="1164" spans="1:7">
      <c r="A1164" s="95"/>
      <c r="B1164" s="826"/>
      <c r="C1164" s="827"/>
      <c r="D1164" s="96"/>
      <c r="E1164" s="96"/>
      <c r="F1164" s="96"/>
      <c r="G1164" s="116"/>
    </row>
    <row r="1165" spans="1:7" ht="13.5" thickBot="1">
      <c r="A1165" s="95"/>
      <c r="B1165" s="828" t="s">
        <v>841</v>
      </c>
      <c r="C1165" s="829"/>
      <c r="D1165" s="77"/>
      <c r="E1165" s="82"/>
      <c r="F1165" s="86"/>
      <c r="G1165" s="112"/>
    </row>
    <row r="1166" spans="1:7" ht="14.25" thickTop="1" thickBot="1">
      <c r="A1166" s="95"/>
      <c r="B1166" s="808"/>
      <c r="C1166" s="808"/>
      <c r="D1166" s="808"/>
      <c r="E1166" s="809"/>
      <c r="F1166" s="120" t="s">
        <v>856</v>
      </c>
      <c r="G1166" s="118">
        <f>SUM(G1161:G1165)</f>
        <v>0</v>
      </c>
    </row>
    <row r="1167" spans="1:7" ht="14.25" thickTop="1" thickBot="1">
      <c r="A1167" s="95"/>
      <c r="B1167" s="810"/>
      <c r="C1167" s="810"/>
      <c r="D1167" s="810"/>
      <c r="E1167" s="810"/>
      <c r="F1167" s="810"/>
      <c r="G1167" s="834"/>
    </row>
    <row r="1168" spans="1:7" ht="13.5" thickTop="1">
      <c r="A1168" s="95"/>
      <c r="B1168" s="811" t="s">
        <v>326</v>
      </c>
      <c r="C1168" s="812"/>
      <c r="D1168" s="812"/>
      <c r="E1168" s="812"/>
      <c r="F1168" s="813"/>
      <c r="G1168" s="121">
        <f>+G1132+G1148+G1159</f>
        <v>15412</v>
      </c>
    </row>
    <row r="1169" spans="1:8">
      <c r="A1169" s="95"/>
      <c r="B1169" s="814" t="s">
        <v>861</v>
      </c>
      <c r="C1169" s="815"/>
      <c r="D1169" s="815"/>
      <c r="E1169" s="816"/>
      <c r="F1169" s="128">
        <f>'MANO DE OBRA'!D59</f>
        <v>0</v>
      </c>
      <c r="G1169" s="122">
        <f>ROUND(G1168*F1169,0)</f>
        <v>0</v>
      </c>
    </row>
    <row r="1170" spans="1:8" ht="13.5" thickBot="1">
      <c r="A1170" s="95"/>
      <c r="B1170" s="805" t="s">
        <v>1049</v>
      </c>
      <c r="C1170" s="806"/>
      <c r="D1170" s="806"/>
      <c r="E1170" s="806"/>
      <c r="F1170" s="807"/>
      <c r="G1170" s="118">
        <f>ROUND(G1168+G1169,-2)</f>
        <v>15400</v>
      </c>
      <c r="H1170" s="505" t="s">
        <v>1670</v>
      </c>
    </row>
    <row r="1171" spans="1:8" ht="13.5" thickTop="1">
      <c r="A1171" s="95"/>
      <c r="B1171" s="90" t="s">
        <v>303</v>
      </c>
      <c r="C1171" s="843"/>
      <c r="D1171" s="843"/>
      <c r="E1171" s="843"/>
      <c r="F1171" s="92" t="s">
        <v>781</v>
      </c>
      <c r="G1171" s="93" t="s">
        <v>831</v>
      </c>
    </row>
    <row r="1172" spans="1:8">
      <c r="A1172" s="95"/>
      <c r="B1172" s="91" t="s">
        <v>834</v>
      </c>
      <c r="C1172" s="844" t="s">
        <v>382</v>
      </c>
      <c r="D1172" s="844"/>
      <c r="E1172" s="844"/>
      <c r="F1172" s="15" t="s">
        <v>833</v>
      </c>
      <c r="G1172" s="165" t="str">
        <f>'MANO DE OBRA'!D61</f>
        <v>Agosto de 2010</v>
      </c>
    </row>
    <row r="1173" spans="1:8" ht="13.5" thickBot="1">
      <c r="A1173" s="127"/>
      <c r="B1173" s="94" t="s">
        <v>835</v>
      </c>
      <c r="C1173" s="845" t="s">
        <v>383</v>
      </c>
      <c r="D1173" s="845"/>
      <c r="E1173" s="845"/>
      <c r="F1173" s="845"/>
      <c r="G1173" s="846"/>
    </row>
    <row r="1174" spans="1:8" ht="14.25" thickTop="1" thickBot="1">
      <c r="A1174" s="95"/>
      <c r="B1174" s="847"/>
      <c r="C1174" s="847"/>
      <c r="D1174" s="847"/>
      <c r="E1174" s="847"/>
      <c r="F1174" s="847"/>
      <c r="G1174" s="847"/>
    </row>
    <row r="1175" spans="1:8" ht="13.5" thickTop="1">
      <c r="A1175" s="95"/>
      <c r="B1175" s="811" t="s">
        <v>304</v>
      </c>
      <c r="C1175" s="812"/>
      <c r="D1175" s="812"/>
      <c r="E1175" s="812"/>
      <c r="F1175" s="812"/>
      <c r="G1175" s="825"/>
    </row>
    <row r="1176" spans="1:8">
      <c r="A1176" s="95"/>
      <c r="B1176" s="105"/>
      <c r="C1176" s="97"/>
      <c r="D1176" s="98" t="s">
        <v>301</v>
      </c>
      <c r="E1176" s="98" t="s">
        <v>1072</v>
      </c>
      <c r="F1176" s="99" t="s">
        <v>839</v>
      </c>
      <c r="G1176" s="107" t="s">
        <v>840</v>
      </c>
    </row>
    <row r="1177" spans="1:8">
      <c r="A1177" s="95"/>
      <c r="B1177" s="821" t="s">
        <v>838</v>
      </c>
      <c r="C1177" s="822"/>
      <c r="D1177" s="100" t="s">
        <v>308</v>
      </c>
      <c r="E1177" s="100" t="s">
        <v>305</v>
      </c>
      <c r="F1177" s="101" t="s">
        <v>306</v>
      </c>
      <c r="G1177" s="108" t="s">
        <v>310</v>
      </c>
    </row>
    <row r="1178" spans="1:8">
      <c r="A1178" s="95"/>
      <c r="B1178" s="115"/>
      <c r="C1178" s="102"/>
      <c r="D1178" s="103"/>
      <c r="E1178" s="103" t="s">
        <v>309</v>
      </c>
      <c r="F1178" s="104" t="s">
        <v>307</v>
      </c>
      <c r="G1178" s="109"/>
    </row>
    <row r="1179" spans="1:8">
      <c r="A1179" s="127"/>
      <c r="B1179" s="823" t="str">
        <f>'MAQUINARIA Y EQUIPOS'!C28</f>
        <v>HERRAMIENTAS MENORES</v>
      </c>
      <c r="C1179" s="824"/>
      <c r="D1179" s="87">
        <v>1</v>
      </c>
      <c r="E1179" s="82">
        <f>ROUND(G1212*0.05,0)</f>
        <v>608</v>
      </c>
      <c r="F1179" s="81">
        <v>1</v>
      </c>
      <c r="G1179" s="110">
        <f>ROUND(D1179*E1179/F1179,0)</f>
        <v>608</v>
      </c>
    </row>
    <row r="1180" spans="1:8">
      <c r="A1180" s="95"/>
      <c r="B1180" s="835"/>
      <c r="C1180" s="836"/>
      <c r="D1180" s="37"/>
      <c r="E1180" s="82"/>
      <c r="F1180" s="83"/>
      <c r="G1180" s="111"/>
    </row>
    <row r="1181" spans="1:8">
      <c r="A1181" s="95"/>
      <c r="B1181" s="835"/>
      <c r="C1181" s="836"/>
      <c r="D1181" s="89"/>
      <c r="E1181" s="82"/>
      <c r="F1181" s="83"/>
      <c r="G1181" s="111"/>
    </row>
    <row r="1182" spans="1:8">
      <c r="A1182" s="95"/>
      <c r="B1182" s="835"/>
      <c r="C1182" s="836"/>
      <c r="D1182" s="89"/>
      <c r="E1182" s="82"/>
      <c r="F1182" s="83"/>
      <c r="G1182" s="111"/>
    </row>
    <row r="1183" spans="1:8">
      <c r="A1183" s="95"/>
      <c r="B1183" s="835" t="s">
        <v>841</v>
      </c>
      <c r="C1183" s="836"/>
      <c r="D1183" s="37"/>
      <c r="E1183" s="82"/>
      <c r="F1183" s="83"/>
      <c r="G1183" s="111"/>
    </row>
    <row r="1184" spans="1:8" ht="13.5" thickBot="1">
      <c r="A1184" s="95"/>
      <c r="B1184" s="839" t="s">
        <v>841</v>
      </c>
      <c r="C1184" s="840"/>
      <c r="D1184" s="77"/>
      <c r="E1184" s="106"/>
      <c r="F1184" s="86"/>
      <c r="G1184" s="112"/>
    </row>
    <row r="1185" spans="1:8" ht="14.25" thickTop="1" thickBot="1">
      <c r="A1185" s="95"/>
      <c r="B1185" s="808"/>
      <c r="C1185" s="808"/>
      <c r="D1185" s="808"/>
      <c r="E1185" s="809"/>
      <c r="F1185" s="119" t="s">
        <v>856</v>
      </c>
      <c r="G1185" s="118">
        <f>SUM(G1179:G1184)</f>
        <v>608</v>
      </c>
    </row>
    <row r="1186" spans="1:8" ht="14.25" thickTop="1" thickBot="1">
      <c r="A1186" s="95"/>
      <c r="B1186" s="830"/>
      <c r="C1186" s="830"/>
      <c r="D1186" s="830"/>
      <c r="E1186" s="830"/>
      <c r="F1186" s="830"/>
      <c r="G1186" s="830"/>
    </row>
    <row r="1187" spans="1:8" ht="13.5" thickTop="1">
      <c r="A1187" s="95"/>
      <c r="B1187" s="811" t="s">
        <v>311</v>
      </c>
      <c r="C1187" s="812"/>
      <c r="D1187" s="812"/>
      <c r="E1187" s="812"/>
      <c r="F1187" s="812"/>
      <c r="G1187" s="825"/>
    </row>
    <row r="1188" spans="1:8">
      <c r="A1188" s="95"/>
      <c r="B1188" s="817" t="s">
        <v>838</v>
      </c>
      <c r="C1188" s="818"/>
      <c r="D1188" s="98" t="s">
        <v>842</v>
      </c>
      <c r="E1188" s="98" t="s">
        <v>853</v>
      </c>
      <c r="F1188" s="99" t="s">
        <v>1047</v>
      </c>
      <c r="G1188" s="107" t="s">
        <v>840</v>
      </c>
    </row>
    <row r="1189" spans="1:8">
      <c r="A1189" s="95"/>
      <c r="B1189" s="115"/>
      <c r="C1189" s="102"/>
      <c r="D1189" s="100"/>
      <c r="E1189" s="100" t="s">
        <v>312</v>
      </c>
      <c r="F1189" s="101" t="s">
        <v>313</v>
      </c>
      <c r="G1189" s="108" t="s">
        <v>314</v>
      </c>
    </row>
    <row r="1190" spans="1:8">
      <c r="A1190" s="125"/>
      <c r="B1190" s="841" t="str">
        <f>MATERIALES2!C704</f>
        <v>SOLDADURA PVC ¼</v>
      </c>
      <c r="C1190" s="842"/>
      <c r="D1190" s="87" t="s">
        <v>865</v>
      </c>
      <c r="E1190" s="142">
        <v>0.01</v>
      </c>
      <c r="F1190" s="80">
        <f>MATERIALES2!E704</f>
        <v>56298</v>
      </c>
      <c r="G1190" s="110">
        <f>ROUND(E1190*F1190,0)</f>
        <v>563</v>
      </c>
    </row>
    <row r="1191" spans="1:8">
      <c r="A1191" s="123"/>
      <c r="B1191" s="854" t="str">
        <f>MATERIALES2!C589</f>
        <v>TUBO PVC PRESION 1 1/2" x 6.0 M</v>
      </c>
      <c r="C1191" s="855"/>
      <c r="D1191" s="37" t="s">
        <v>865</v>
      </c>
      <c r="E1191" s="83">
        <v>0.17</v>
      </c>
      <c r="F1191" s="82">
        <f>MATERIALES2!E589</f>
        <v>22700</v>
      </c>
      <c r="G1191" s="111">
        <f>ROUND(E1191*F1191,0)</f>
        <v>3859</v>
      </c>
    </row>
    <row r="1192" spans="1:8">
      <c r="A1192" s="123"/>
      <c r="B1192" s="854" t="str">
        <f>MATERIALES2!C675</f>
        <v>CODO PRESION 1 1/2"</v>
      </c>
      <c r="C1192" s="855"/>
      <c r="D1192" s="37" t="s">
        <v>865</v>
      </c>
      <c r="E1192" s="83">
        <v>0.5</v>
      </c>
      <c r="F1192" s="82">
        <f>MATERIALES2!E675</f>
        <v>5076</v>
      </c>
      <c r="G1192" s="111">
        <f>ROUND(E1192*F1192,0)</f>
        <v>2538</v>
      </c>
    </row>
    <row r="1193" spans="1:8">
      <c r="A1193" s="123"/>
      <c r="B1193" s="854"/>
      <c r="C1193" s="855"/>
      <c r="D1193" s="37"/>
      <c r="E1193" s="83"/>
      <c r="F1193" s="82"/>
      <c r="G1193" s="111"/>
    </row>
    <row r="1194" spans="1:8">
      <c r="A1194" s="123"/>
      <c r="B1194" s="854"/>
      <c r="C1194" s="855"/>
      <c r="D1194" s="37"/>
      <c r="E1194" s="83"/>
      <c r="F1194" s="82"/>
      <c r="G1194" s="111"/>
    </row>
    <row r="1195" spans="1:8">
      <c r="A1195" s="95"/>
      <c r="B1195" s="938"/>
      <c r="C1195" s="939"/>
      <c r="D1195" s="53" t="s">
        <v>841</v>
      </c>
      <c r="E1195" s="53"/>
      <c r="F1195" s="82"/>
      <c r="G1195" s="111"/>
    </row>
    <row r="1196" spans="1:8">
      <c r="A1196" s="95"/>
      <c r="B1196" s="938" t="s">
        <v>841</v>
      </c>
      <c r="C1196" s="939"/>
      <c r="D1196" s="53" t="s">
        <v>841</v>
      </c>
      <c r="E1196" s="53"/>
      <c r="F1196" s="82"/>
      <c r="G1196" s="111"/>
    </row>
    <row r="1197" spans="1:8">
      <c r="A1197" s="95"/>
      <c r="B1197" s="938" t="s">
        <v>841</v>
      </c>
      <c r="C1197" s="939"/>
      <c r="D1197" s="53" t="s">
        <v>841</v>
      </c>
      <c r="E1197" s="53"/>
      <c r="F1197" s="82"/>
      <c r="G1197" s="111"/>
      <c r="H1197" s="505" t="s">
        <v>1670</v>
      </c>
    </row>
    <row r="1198" spans="1:8" ht="13.5" thickBot="1">
      <c r="A1198" s="95"/>
      <c r="B1198" s="942" t="s">
        <v>841</v>
      </c>
      <c r="C1198" s="943"/>
      <c r="D1198" s="84" t="s">
        <v>841</v>
      </c>
      <c r="E1198" s="84"/>
      <c r="F1198" s="85"/>
      <c r="G1198" s="112"/>
    </row>
    <row r="1199" spans="1:8" ht="13.5" thickTop="1">
      <c r="A1199" s="95"/>
      <c r="B1199" s="946"/>
      <c r="C1199" s="947"/>
      <c r="D1199" s="801" t="s">
        <v>856</v>
      </c>
      <c r="E1199" s="802"/>
      <c r="F1199" s="9"/>
      <c r="G1199" s="113">
        <f>SUM(G1190:G1198)</f>
        <v>6960</v>
      </c>
    </row>
    <row r="1200" spans="1:8">
      <c r="A1200" s="95"/>
      <c r="B1200" s="948"/>
      <c r="C1200" s="949"/>
      <c r="D1200" s="801" t="s">
        <v>857</v>
      </c>
      <c r="E1200" s="802"/>
      <c r="F1200" s="79">
        <f>'MANO DE OBRA'!D60</f>
        <v>0.05</v>
      </c>
      <c r="G1200" s="113">
        <f>ROUND(G1199*F1200,0)</f>
        <v>348</v>
      </c>
    </row>
    <row r="1201" spans="1:7" ht="13.5" thickBot="1">
      <c r="A1201" s="95"/>
      <c r="B1201" s="948"/>
      <c r="C1201" s="949"/>
      <c r="D1201" s="803" t="s">
        <v>320</v>
      </c>
      <c r="E1201" s="804"/>
      <c r="F1201" s="114"/>
      <c r="G1201" s="118">
        <f>+G1199+G1200</f>
        <v>7308</v>
      </c>
    </row>
    <row r="1202" spans="1:7" ht="14.25" thickTop="1" thickBot="1">
      <c r="A1202" s="95"/>
      <c r="B1202" s="830"/>
      <c r="C1202" s="830"/>
      <c r="D1202" s="830"/>
      <c r="E1202" s="830"/>
      <c r="F1202" s="830"/>
      <c r="G1202" s="830"/>
    </row>
    <row r="1203" spans="1:7" ht="13.5" thickTop="1">
      <c r="A1203" s="95"/>
      <c r="B1203" s="811" t="s">
        <v>858</v>
      </c>
      <c r="C1203" s="812"/>
      <c r="D1203" s="812"/>
      <c r="E1203" s="812"/>
      <c r="F1203" s="812"/>
      <c r="G1203" s="825"/>
    </row>
    <row r="1204" spans="1:7">
      <c r="A1204" s="95"/>
      <c r="B1204" s="817"/>
      <c r="C1204" s="818"/>
      <c r="D1204" s="98" t="s">
        <v>301</v>
      </c>
      <c r="E1204" s="98" t="s">
        <v>859</v>
      </c>
      <c r="F1204" s="99" t="s">
        <v>839</v>
      </c>
      <c r="G1204" s="107" t="s">
        <v>840</v>
      </c>
    </row>
    <row r="1205" spans="1:7">
      <c r="A1205" s="95"/>
      <c r="B1205" s="821" t="s">
        <v>838</v>
      </c>
      <c r="C1205" s="822"/>
      <c r="D1205" s="100" t="s">
        <v>316</v>
      </c>
      <c r="E1205" s="100" t="s">
        <v>315</v>
      </c>
      <c r="F1205" s="101" t="s">
        <v>306</v>
      </c>
      <c r="G1205" s="108" t="s">
        <v>319</v>
      </c>
    </row>
    <row r="1206" spans="1:7">
      <c r="A1206" s="95"/>
      <c r="B1206" s="115"/>
      <c r="C1206" s="102"/>
      <c r="D1206" s="103"/>
      <c r="E1206" s="103" t="s">
        <v>317</v>
      </c>
      <c r="F1206" s="104" t="s">
        <v>318</v>
      </c>
      <c r="G1206" s="109"/>
    </row>
    <row r="1207" spans="1:7">
      <c r="A1207" s="95"/>
      <c r="B1207" s="823" t="str">
        <f>'MANO DE OBRA'!B11</f>
        <v>AYUDANTE CUAD. TIPO BB</v>
      </c>
      <c r="C1207" s="824"/>
      <c r="D1207" s="87">
        <v>1</v>
      </c>
      <c r="E1207" s="80">
        <f>'MANO DE OBRA'!E11</f>
        <v>43077</v>
      </c>
      <c r="F1207" s="81">
        <v>10</v>
      </c>
      <c r="G1207" s="110">
        <f>ROUND(D1207*E1207/F1207,0)</f>
        <v>4308</v>
      </c>
    </row>
    <row r="1208" spans="1:7">
      <c r="A1208" s="95"/>
      <c r="B1208" s="835" t="str">
        <f>'MANO DE OBRA'!B16</f>
        <v>OFICIAL CUAD. TIPO BB</v>
      </c>
      <c r="C1208" s="836"/>
      <c r="D1208" s="37">
        <v>1</v>
      </c>
      <c r="E1208" s="82">
        <f>'MANO DE OBRA'!E16</f>
        <v>78577</v>
      </c>
      <c r="F1208" s="83">
        <v>10</v>
      </c>
      <c r="G1208" s="111">
        <f>ROUND(D1208*E1208/F1208,0)</f>
        <v>7858</v>
      </c>
    </row>
    <row r="1209" spans="1:7">
      <c r="A1209" s="95"/>
      <c r="B1209" s="835"/>
      <c r="C1209" s="836"/>
      <c r="D1209" s="89"/>
      <c r="E1209" s="82"/>
      <c r="F1209" s="83"/>
      <c r="G1209" s="111"/>
    </row>
    <row r="1210" spans="1:7">
      <c r="A1210" s="95"/>
      <c r="B1210" s="835" t="s">
        <v>841</v>
      </c>
      <c r="C1210" s="836"/>
      <c r="D1210" s="37"/>
      <c r="E1210" s="82"/>
      <c r="F1210" s="83"/>
      <c r="G1210" s="111"/>
    </row>
    <row r="1211" spans="1:7" ht="13.5" thickBot="1">
      <c r="A1211" s="95"/>
      <c r="B1211" s="828" t="s">
        <v>841</v>
      </c>
      <c r="C1211" s="829"/>
      <c r="D1211" s="77"/>
      <c r="E1211" s="82"/>
      <c r="F1211" s="86"/>
      <c r="G1211" s="112"/>
    </row>
    <row r="1212" spans="1:7" ht="14.25" thickTop="1" thickBot="1">
      <c r="A1212" s="95"/>
      <c r="B1212" s="808"/>
      <c r="C1212" s="808"/>
      <c r="D1212" s="808"/>
      <c r="E1212" s="809"/>
      <c r="F1212" s="120" t="s">
        <v>856</v>
      </c>
      <c r="G1212" s="118">
        <f>SUM(G1207:G1211)</f>
        <v>12166</v>
      </c>
    </row>
    <row r="1213" spans="1:7" ht="14.25" thickTop="1" thickBot="1">
      <c r="A1213" s="95"/>
      <c r="B1213" s="810"/>
      <c r="C1213" s="810"/>
      <c r="D1213" s="810"/>
      <c r="E1213" s="810"/>
      <c r="F1213" s="810"/>
      <c r="G1213" s="810"/>
    </row>
    <row r="1214" spans="1:7" ht="13.5" thickTop="1">
      <c r="A1214" s="95"/>
      <c r="B1214" s="811" t="s">
        <v>321</v>
      </c>
      <c r="C1214" s="812"/>
      <c r="D1214" s="812"/>
      <c r="E1214" s="812"/>
      <c r="F1214" s="812"/>
      <c r="G1214" s="825"/>
    </row>
    <row r="1215" spans="1:7">
      <c r="A1215" s="95"/>
      <c r="B1215" s="817" t="s">
        <v>838</v>
      </c>
      <c r="C1215" s="818"/>
      <c r="D1215" s="98" t="s">
        <v>301</v>
      </c>
      <c r="E1215" s="98" t="s">
        <v>297</v>
      </c>
      <c r="F1215" s="99" t="s">
        <v>839</v>
      </c>
      <c r="G1215" s="107" t="s">
        <v>840</v>
      </c>
    </row>
    <row r="1216" spans="1:7">
      <c r="A1216" s="95"/>
      <c r="B1216" s="115"/>
      <c r="C1216" s="102"/>
      <c r="D1216" s="103" t="s">
        <v>322</v>
      </c>
      <c r="E1216" s="103" t="s">
        <v>323</v>
      </c>
      <c r="F1216" s="104" t="s">
        <v>324</v>
      </c>
      <c r="G1216" s="109" t="s">
        <v>325</v>
      </c>
    </row>
    <row r="1217" spans="1:8">
      <c r="A1217" s="95"/>
      <c r="B1217" s="826"/>
      <c r="C1217" s="827"/>
      <c r="D1217" s="96"/>
      <c r="E1217" s="96"/>
      <c r="F1217" s="96"/>
      <c r="G1217" s="116"/>
    </row>
    <row r="1218" spans="1:8" ht="13.5" thickBot="1">
      <c r="A1218" s="95"/>
      <c r="B1218" s="828" t="s">
        <v>841</v>
      </c>
      <c r="C1218" s="829"/>
      <c r="D1218" s="77"/>
      <c r="E1218" s="82"/>
      <c r="F1218" s="86"/>
      <c r="G1218" s="112"/>
    </row>
    <row r="1219" spans="1:8" ht="14.25" thickTop="1" thickBot="1">
      <c r="A1219" s="95"/>
      <c r="B1219" s="808"/>
      <c r="C1219" s="808"/>
      <c r="D1219" s="808"/>
      <c r="E1219" s="809"/>
      <c r="F1219" s="120" t="s">
        <v>856</v>
      </c>
      <c r="G1219" s="118">
        <f>SUM(G1214:G1218)</f>
        <v>0</v>
      </c>
    </row>
    <row r="1220" spans="1:8" ht="14.25" thickTop="1" thickBot="1">
      <c r="A1220" s="95"/>
      <c r="B1220" s="810"/>
      <c r="C1220" s="810"/>
      <c r="D1220" s="810"/>
      <c r="E1220" s="810"/>
      <c r="F1220" s="810"/>
      <c r="G1220" s="834"/>
    </row>
    <row r="1221" spans="1:8" ht="13.5" thickTop="1">
      <c r="A1221" s="95"/>
      <c r="B1221" s="811" t="s">
        <v>326</v>
      </c>
      <c r="C1221" s="812"/>
      <c r="D1221" s="812"/>
      <c r="E1221" s="812"/>
      <c r="F1221" s="813"/>
      <c r="G1221" s="121">
        <f>+G1185+G1201+G1212</f>
        <v>20082</v>
      </c>
    </row>
    <row r="1222" spans="1:8">
      <c r="A1222" s="95"/>
      <c r="B1222" s="814" t="s">
        <v>861</v>
      </c>
      <c r="C1222" s="815"/>
      <c r="D1222" s="815"/>
      <c r="E1222" s="816"/>
      <c r="F1222" s="128">
        <f>'MANO DE OBRA'!D59</f>
        <v>0</v>
      </c>
      <c r="G1222" s="122">
        <f>ROUND(G1221*F1222,0)</f>
        <v>0</v>
      </c>
    </row>
    <row r="1223" spans="1:8" ht="13.5" thickBot="1">
      <c r="A1223" s="95"/>
      <c r="B1223" s="805" t="s">
        <v>1049</v>
      </c>
      <c r="C1223" s="806"/>
      <c r="D1223" s="806"/>
      <c r="E1223" s="806"/>
      <c r="F1223" s="807"/>
      <c r="G1223" s="118">
        <f>ROUND(G1221+G1222,-2)</f>
        <v>20100</v>
      </c>
      <c r="H1223" s="505" t="s">
        <v>1670</v>
      </c>
    </row>
    <row r="1224" spans="1:8" ht="13.5" thickTop="1">
      <c r="A1224" s="95"/>
      <c r="B1224" s="90" t="s">
        <v>303</v>
      </c>
      <c r="C1224" s="843"/>
      <c r="D1224" s="843"/>
      <c r="E1224" s="843"/>
      <c r="F1224" s="92" t="s">
        <v>781</v>
      </c>
      <c r="G1224" s="93" t="s">
        <v>831</v>
      </c>
    </row>
    <row r="1225" spans="1:8">
      <c r="A1225" s="95"/>
      <c r="B1225" s="91" t="s">
        <v>834</v>
      </c>
      <c r="C1225" s="844" t="s">
        <v>371</v>
      </c>
      <c r="D1225" s="844"/>
      <c r="E1225" s="844"/>
      <c r="F1225" s="15" t="s">
        <v>833</v>
      </c>
      <c r="G1225" s="165" t="str">
        <f>'MANO DE OBRA'!D61</f>
        <v>Agosto de 2010</v>
      </c>
    </row>
    <row r="1226" spans="1:8" ht="13.5" thickBot="1">
      <c r="A1226" s="127"/>
      <c r="B1226" s="94" t="s">
        <v>835</v>
      </c>
      <c r="C1226" s="845" t="s">
        <v>442</v>
      </c>
      <c r="D1226" s="845"/>
      <c r="E1226" s="845"/>
      <c r="F1226" s="845"/>
      <c r="G1226" s="846"/>
    </row>
    <row r="1227" spans="1:8" ht="14.25" thickTop="1" thickBot="1">
      <c r="A1227" s="95"/>
      <c r="B1227" s="847"/>
      <c r="C1227" s="847"/>
      <c r="D1227" s="847"/>
      <c r="E1227" s="847"/>
      <c r="F1227" s="847"/>
      <c r="G1227" s="847"/>
    </row>
    <row r="1228" spans="1:8" ht="13.5" thickTop="1">
      <c r="A1228" s="95"/>
      <c r="B1228" s="811" t="s">
        <v>304</v>
      </c>
      <c r="C1228" s="812"/>
      <c r="D1228" s="812"/>
      <c r="E1228" s="812"/>
      <c r="F1228" s="812"/>
      <c r="G1228" s="825"/>
    </row>
    <row r="1229" spans="1:8">
      <c r="A1229" s="95"/>
      <c r="B1229" s="105"/>
      <c r="C1229" s="97"/>
      <c r="D1229" s="98" t="s">
        <v>301</v>
      </c>
      <c r="E1229" s="98" t="s">
        <v>1072</v>
      </c>
      <c r="F1229" s="99" t="s">
        <v>839</v>
      </c>
      <c r="G1229" s="107" t="s">
        <v>840</v>
      </c>
    </row>
    <row r="1230" spans="1:8">
      <c r="A1230" s="95"/>
      <c r="B1230" s="821" t="s">
        <v>838</v>
      </c>
      <c r="C1230" s="822"/>
      <c r="D1230" s="100" t="s">
        <v>308</v>
      </c>
      <c r="E1230" s="100" t="s">
        <v>305</v>
      </c>
      <c r="F1230" s="101" t="s">
        <v>306</v>
      </c>
      <c r="G1230" s="108" t="s">
        <v>310</v>
      </c>
    </row>
    <row r="1231" spans="1:8">
      <c r="A1231" s="95"/>
      <c r="B1231" s="115"/>
      <c r="C1231" s="102"/>
      <c r="D1231" s="103"/>
      <c r="E1231" s="103" t="s">
        <v>309</v>
      </c>
      <c r="F1231" s="104" t="s">
        <v>307</v>
      </c>
      <c r="G1231" s="109"/>
    </row>
    <row r="1232" spans="1:8">
      <c r="A1232" s="127"/>
      <c r="B1232" s="823" t="str">
        <f>'MAQUINARIA Y EQUIPOS'!C28</f>
        <v>HERRAMIENTAS MENORES</v>
      </c>
      <c r="C1232" s="824"/>
      <c r="D1232" s="87">
        <v>1</v>
      </c>
      <c r="E1232" s="82">
        <f>ROUND(G1265*0.05,0)</f>
        <v>608</v>
      </c>
      <c r="F1232" s="81">
        <v>1</v>
      </c>
      <c r="G1232" s="110">
        <f>ROUND(D1232*E1232/F1232,0)</f>
        <v>608</v>
      </c>
    </row>
    <row r="1233" spans="1:7">
      <c r="A1233" s="95"/>
      <c r="B1233" s="835"/>
      <c r="C1233" s="836"/>
      <c r="D1233" s="37"/>
      <c r="E1233" s="82"/>
      <c r="F1233" s="83"/>
      <c r="G1233" s="111"/>
    </row>
    <row r="1234" spans="1:7">
      <c r="A1234" s="95"/>
      <c r="B1234" s="835"/>
      <c r="C1234" s="836"/>
      <c r="D1234" s="89"/>
      <c r="E1234" s="82"/>
      <c r="F1234" s="83"/>
      <c r="G1234" s="111"/>
    </row>
    <row r="1235" spans="1:7">
      <c r="A1235" s="95"/>
      <c r="B1235" s="835"/>
      <c r="C1235" s="836"/>
      <c r="D1235" s="89"/>
      <c r="E1235" s="82"/>
      <c r="F1235" s="83"/>
      <c r="G1235" s="111"/>
    </row>
    <row r="1236" spans="1:7">
      <c r="A1236" s="95"/>
      <c r="B1236" s="835" t="s">
        <v>841</v>
      </c>
      <c r="C1236" s="836"/>
      <c r="D1236" s="37"/>
      <c r="E1236" s="82"/>
      <c r="F1236" s="83"/>
      <c r="G1236" s="111"/>
    </row>
    <row r="1237" spans="1:7" ht="13.5" thickBot="1">
      <c r="A1237" s="95"/>
      <c r="B1237" s="839" t="s">
        <v>841</v>
      </c>
      <c r="C1237" s="840"/>
      <c r="D1237" s="77"/>
      <c r="E1237" s="106"/>
      <c r="F1237" s="86"/>
      <c r="G1237" s="112"/>
    </row>
    <row r="1238" spans="1:7" ht="14.25" thickTop="1" thickBot="1">
      <c r="A1238" s="95"/>
      <c r="B1238" s="808"/>
      <c r="C1238" s="808"/>
      <c r="D1238" s="808"/>
      <c r="E1238" s="809"/>
      <c r="F1238" s="119" t="s">
        <v>856</v>
      </c>
      <c r="G1238" s="118">
        <f>SUM(G1232:G1237)</f>
        <v>608</v>
      </c>
    </row>
    <row r="1239" spans="1:7" ht="14.25" thickTop="1" thickBot="1">
      <c r="A1239" s="95"/>
      <c r="B1239" s="830"/>
      <c r="C1239" s="830"/>
      <c r="D1239" s="830"/>
      <c r="E1239" s="830"/>
      <c r="F1239" s="830"/>
      <c r="G1239" s="830"/>
    </row>
    <row r="1240" spans="1:7" ht="13.5" thickTop="1">
      <c r="A1240" s="95"/>
      <c r="B1240" s="811" t="s">
        <v>311</v>
      </c>
      <c r="C1240" s="812"/>
      <c r="D1240" s="812"/>
      <c r="E1240" s="812"/>
      <c r="F1240" s="812"/>
      <c r="G1240" s="825"/>
    </row>
    <row r="1241" spans="1:7">
      <c r="A1241" s="95"/>
      <c r="B1241" s="817" t="s">
        <v>838</v>
      </c>
      <c r="C1241" s="818"/>
      <c r="D1241" s="98" t="s">
        <v>842</v>
      </c>
      <c r="E1241" s="98" t="s">
        <v>853</v>
      </c>
      <c r="F1241" s="99" t="s">
        <v>1047</v>
      </c>
      <c r="G1241" s="107" t="s">
        <v>840</v>
      </c>
    </row>
    <row r="1242" spans="1:7">
      <c r="A1242" s="95"/>
      <c r="B1242" s="115"/>
      <c r="C1242" s="102"/>
      <c r="D1242" s="100"/>
      <c r="E1242" s="100" t="s">
        <v>312</v>
      </c>
      <c r="F1242" s="101" t="s">
        <v>313</v>
      </c>
      <c r="G1242" s="108" t="s">
        <v>314</v>
      </c>
    </row>
    <row r="1243" spans="1:7">
      <c r="A1243" s="125"/>
      <c r="B1243" s="841" t="str">
        <f>MATERIALES2!C704</f>
        <v>SOLDADURA PVC ¼</v>
      </c>
      <c r="C1243" s="842"/>
      <c r="D1243" s="87" t="s">
        <v>865</v>
      </c>
      <c r="E1243" s="142">
        <v>0.01</v>
      </c>
      <c r="F1243" s="80">
        <f>MATERIALES2!E704</f>
        <v>56298</v>
      </c>
      <c r="G1243" s="110">
        <f>ROUND(E1243*F1243,0)</f>
        <v>563</v>
      </c>
    </row>
    <row r="1244" spans="1:7">
      <c r="A1244" s="123"/>
      <c r="B1244" s="854" t="str">
        <f>MATERIALES2!C590</f>
        <v>TUBO PVC PRESION 2" x 6.0 M</v>
      </c>
      <c r="C1244" s="855"/>
      <c r="D1244" s="37" t="s">
        <v>865</v>
      </c>
      <c r="E1244" s="83">
        <v>0.17</v>
      </c>
      <c r="F1244" s="82">
        <f>MATERIALES2!E590</f>
        <v>35000</v>
      </c>
      <c r="G1244" s="111">
        <f>ROUND(E1244*F1244,0)</f>
        <v>5950</v>
      </c>
    </row>
    <row r="1245" spans="1:7">
      <c r="A1245" s="123"/>
      <c r="B1245" s="854" t="str">
        <f>MATERIALES2!C679</f>
        <v>CODO PRESION 2"</v>
      </c>
      <c r="C1245" s="855"/>
      <c r="D1245" s="37" t="s">
        <v>865</v>
      </c>
      <c r="E1245" s="83">
        <v>0.5</v>
      </c>
      <c r="F1245" s="82">
        <f>MATERIALES2!E679</f>
        <v>3600</v>
      </c>
      <c r="G1245" s="111">
        <f>ROUND(E1245*F1245,0)</f>
        <v>1800</v>
      </c>
    </row>
    <row r="1246" spans="1:7">
      <c r="A1246" s="123"/>
      <c r="B1246" s="854"/>
      <c r="C1246" s="855"/>
      <c r="D1246" s="37"/>
      <c r="E1246" s="83"/>
      <c r="F1246" s="82"/>
      <c r="G1246" s="111"/>
    </row>
    <row r="1247" spans="1:7">
      <c r="A1247" s="123"/>
      <c r="B1247" s="854"/>
      <c r="C1247" s="855"/>
      <c r="D1247" s="37"/>
      <c r="E1247" s="83"/>
      <c r="F1247" s="82"/>
      <c r="G1247" s="111"/>
    </row>
    <row r="1248" spans="1:7">
      <c r="A1248" s="95"/>
      <c r="B1248" s="938"/>
      <c r="C1248" s="939"/>
      <c r="D1248" s="53" t="s">
        <v>841</v>
      </c>
      <c r="E1248" s="53"/>
      <c r="F1248" s="82"/>
      <c r="G1248" s="111"/>
    </row>
    <row r="1249" spans="1:8">
      <c r="A1249" s="95"/>
      <c r="B1249" s="938" t="s">
        <v>841</v>
      </c>
      <c r="C1249" s="939"/>
      <c r="D1249" s="53" t="s">
        <v>841</v>
      </c>
      <c r="E1249" s="53"/>
      <c r="F1249" s="82"/>
      <c r="G1249" s="111"/>
    </row>
    <row r="1250" spans="1:8">
      <c r="A1250" s="95"/>
      <c r="B1250" s="837" t="s">
        <v>841</v>
      </c>
      <c r="C1250" s="838"/>
      <c r="D1250" s="53" t="s">
        <v>841</v>
      </c>
      <c r="E1250" s="53"/>
      <c r="F1250" s="82"/>
      <c r="G1250" s="111"/>
      <c r="H1250" s="505" t="s">
        <v>1670</v>
      </c>
    </row>
    <row r="1251" spans="1:8" ht="13.5" thickBot="1">
      <c r="A1251" s="95"/>
      <c r="B1251" s="839" t="s">
        <v>841</v>
      </c>
      <c r="C1251" s="840"/>
      <c r="D1251" s="84" t="s">
        <v>841</v>
      </c>
      <c r="E1251" s="84"/>
      <c r="F1251" s="85"/>
      <c r="G1251" s="112"/>
    </row>
    <row r="1252" spans="1:8" ht="13.5" thickTop="1">
      <c r="A1252" s="95"/>
      <c r="B1252" s="808"/>
      <c r="C1252" s="809"/>
      <c r="D1252" s="801" t="s">
        <v>856</v>
      </c>
      <c r="E1252" s="802"/>
      <c r="F1252" s="9"/>
      <c r="G1252" s="113">
        <f>SUM(G1243:G1251)</f>
        <v>8313</v>
      </c>
    </row>
    <row r="1253" spans="1:8">
      <c r="A1253" s="95"/>
      <c r="B1253" s="819"/>
      <c r="C1253" s="820"/>
      <c r="D1253" s="801" t="s">
        <v>857</v>
      </c>
      <c r="E1253" s="802"/>
      <c r="F1253" s="79">
        <f>'MANO DE OBRA'!D60</f>
        <v>0.05</v>
      </c>
      <c r="G1253" s="113">
        <f>ROUND(G1252*F1253,0)</f>
        <v>416</v>
      </c>
    </row>
    <row r="1254" spans="1:8" ht="13.5" thickBot="1">
      <c r="A1254" s="95"/>
      <c r="B1254" s="819"/>
      <c r="C1254" s="820"/>
      <c r="D1254" s="803" t="s">
        <v>320</v>
      </c>
      <c r="E1254" s="804"/>
      <c r="F1254" s="114"/>
      <c r="G1254" s="118">
        <f>+G1252+G1253</f>
        <v>8729</v>
      </c>
    </row>
    <row r="1255" spans="1:8" ht="14.25" thickTop="1" thickBot="1">
      <c r="A1255" s="95"/>
      <c r="B1255" s="830"/>
      <c r="C1255" s="830"/>
      <c r="D1255" s="830"/>
      <c r="E1255" s="830"/>
      <c r="F1255" s="830"/>
      <c r="G1255" s="830"/>
    </row>
    <row r="1256" spans="1:8" ht="13.5" thickTop="1">
      <c r="A1256" s="95"/>
      <c r="B1256" s="811" t="s">
        <v>858</v>
      </c>
      <c r="C1256" s="812"/>
      <c r="D1256" s="812"/>
      <c r="E1256" s="812"/>
      <c r="F1256" s="812"/>
      <c r="G1256" s="825"/>
    </row>
    <row r="1257" spans="1:8">
      <c r="A1257" s="95"/>
      <c r="B1257" s="817"/>
      <c r="C1257" s="818"/>
      <c r="D1257" s="98" t="s">
        <v>301</v>
      </c>
      <c r="E1257" s="98" t="s">
        <v>859</v>
      </c>
      <c r="F1257" s="99" t="s">
        <v>839</v>
      </c>
      <c r="G1257" s="107" t="s">
        <v>840</v>
      </c>
    </row>
    <row r="1258" spans="1:8">
      <c r="A1258" s="95"/>
      <c r="B1258" s="821" t="s">
        <v>838</v>
      </c>
      <c r="C1258" s="822"/>
      <c r="D1258" s="100" t="s">
        <v>316</v>
      </c>
      <c r="E1258" s="100" t="s">
        <v>315</v>
      </c>
      <c r="F1258" s="101" t="s">
        <v>306</v>
      </c>
      <c r="G1258" s="108" t="s">
        <v>319</v>
      </c>
    </row>
    <row r="1259" spans="1:8">
      <c r="A1259" s="95"/>
      <c r="B1259" s="115"/>
      <c r="C1259" s="102"/>
      <c r="D1259" s="103"/>
      <c r="E1259" s="103" t="s">
        <v>317</v>
      </c>
      <c r="F1259" s="104" t="s">
        <v>318</v>
      </c>
      <c r="G1259" s="109"/>
    </row>
    <row r="1260" spans="1:8">
      <c r="A1260" s="95"/>
      <c r="B1260" s="823" t="str">
        <f>'MANO DE OBRA'!B11</f>
        <v>AYUDANTE CUAD. TIPO BB</v>
      </c>
      <c r="C1260" s="824"/>
      <c r="D1260" s="87">
        <v>1</v>
      </c>
      <c r="E1260" s="80">
        <f>'MANO DE OBRA'!E11</f>
        <v>43077</v>
      </c>
      <c r="F1260" s="81">
        <v>10</v>
      </c>
      <c r="G1260" s="110">
        <f>ROUND(D1260*E1260/F1260,0)</f>
        <v>4308</v>
      </c>
    </row>
    <row r="1261" spans="1:8">
      <c r="A1261" s="95"/>
      <c r="B1261" s="835" t="str">
        <f>'MANO DE OBRA'!B16</f>
        <v>OFICIAL CUAD. TIPO BB</v>
      </c>
      <c r="C1261" s="836"/>
      <c r="D1261" s="37">
        <v>1</v>
      </c>
      <c r="E1261" s="82">
        <f>'MANO DE OBRA'!E16</f>
        <v>78577</v>
      </c>
      <c r="F1261" s="83">
        <v>10</v>
      </c>
      <c r="G1261" s="111">
        <f>ROUND(D1261*E1261/F1261,0)</f>
        <v>7858</v>
      </c>
    </row>
    <row r="1262" spans="1:8">
      <c r="A1262" s="95"/>
      <c r="B1262" s="835"/>
      <c r="C1262" s="836"/>
      <c r="D1262" s="89"/>
      <c r="E1262" s="82"/>
      <c r="F1262" s="83"/>
      <c r="G1262" s="111"/>
    </row>
    <row r="1263" spans="1:8">
      <c r="A1263" s="95"/>
      <c r="B1263" s="835" t="s">
        <v>841</v>
      </c>
      <c r="C1263" s="836"/>
      <c r="D1263" s="37"/>
      <c r="E1263" s="82"/>
      <c r="F1263" s="83"/>
      <c r="G1263" s="111"/>
    </row>
    <row r="1264" spans="1:8" ht="13.5" thickBot="1">
      <c r="A1264" s="95"/>
      <c r="B1264" s="828" t="s">
        <v>841</v>
      </c>
      <c r="C1264" s="829"/>
      <c r="D1264" s="77"/>
      <c r="E1264" s="82"/>
      <c r="F1264" s="86"/>
      <c r="G1264" s="112"/>
    </row>
    <row r="1265" spans="1:8" ht="14.25" thickTop="1" thickBot="1">
      <c r="A1265" s="95"/>
      <c r="B1265" s="808"/>
      <c r="C1265" s="808"/>
      <c r="D1265" s="808"/>
      <c r="E1265" s="809"/>
      <c r="F1265" s="120" t="s">
        <v>856</v>
      </c>
      <c r="G1265" s="118">
        <f>SUM(G1260:G1264)</f>
        <v>12166</v>
      </c>
    </row>
    <row r="1266" spans="1:8" ht="14.25" thickTop="1" thickBot="1">
      <c r="A1266" s="95"/>
      <c r="B1266" s="810"/>
      <c r="C1266" s="810"/>
      <c r="D1266" s="810"/>
      <c r="E1266" s="810"/>
      <c r="F1266" s="810"/>
      <c r="G1266" s="810"/>
    </row>
    <row r="1267" spans="1:8" ht="13.5" thickTop="1">
      <c r="A1267" s="95"/>
      <c r="B1267" s="811" t="s">
        <v>321</v>
      </c>
      <c r="C1267" s="812"/>
      <c r="D1267" s="812"/>
      <c r="E1267" s="812"/>
      <c r="F1267" s="812"/>
      <c r="G1267" s="825"/>
    </row>
    <row r="1268" spans="1:8">
      <c r="A1268" s="95"/>
      <c r="B1268" s="817" t="s">
        <v>838</v>
      </c>
      <c r="C1268" s="818"/>
      <c r="D1268" s="98" t="s">
        <v>301</v>
      </c>
      <c r="E1268" s="98" t="s">
        <v>297</v>
      </c>
      <c r="F1268" s="99" t="s">
        <v>839</v>
      </c>
      <c r="G1268" s="107" t="s">
        <v>840</v>
      </c>
    </row>
    <row r="1269" spans="1:8">
      <c r="A1269" s="95"/>
      <c r="B1269" s="115"/>
      <c r="C1269" s="102"/>
      <c r="D1269" s="103" t="s">
        <v>322</v>
      </c>
      <c r="E1269" s="103" t="s">
        <v>323</v>
      </c>
      <c r="F1269" s="104" t="s">
        <v>324</v>
      </c>
      <c r="G1269" s="109" t="s">
        <v>325</v>
      </c>
    </row>
    <row r="1270" spans="1:8">
      <c r="A1270" s="95"/>
      <c r="B1270" s="826"/>
      <c r="C1270" s="827"/>
      <c r="D1270" s="96"/>
      <c r="E1270" s="96"/>
      <c r="F1270" s="96"/>
      <c r="G1270" s="116"/>
    </row>
    <row r="1271" spans="1:8" ht="13.5" thickBot="1">
      <c r="A1271" s="95"/>
      <c r="B1271" s="828" t="s">
        <v>841</v>
      </c>
      <c r="C1271" s="829"/>
      <c r="D1271" s="77"/>
      <c r="E1271" s="82"/>
      <c r="F1271" s="86"/>
      <c r="G1271" s="112"/>
    </row>
    <row r="1272" spans="1:8" ht="14.25" thickTop="1" thickBot="1">
      <c r="A1272" s="95"/>
      <c r="B1272" s="808"/>
      <c r="C1272" s="808"/>
      <c r="D1272" s="808"/>
      <c r="E1272" s="809"/>
      <c r="F1272" s="120" t="s">
        <v>856</v>
      </c>
      <c r="G1272" s="118">
        <f>SUM(G1267:G1271)</f>
        <v>0</v>
      </c>
    </row>
    <row r="1273" spans="1:8" ht="14.25" thickTop="1" thickBot="1">
      <c r="A1273" s="95"/>
      <c r="B1273" s="810"/>
      <c r="C1273" s="810"/>
      <c r="D1273" s="810"/>
      <c r="E1273" s="810"/>
      <c r="F1273" s="810"/>
      <c r="G1273" s="834"/>
    </row>
    <row r="1274" spans="1:8" ht="13.5" thickTop="1">
      <c r="A1274" s="95"/>
      <c r="B1274" s="811" t="s">
        <v>326</v>
      </c>
      <c r="C1274" s="812"/>
      <c r="D1274" s="812"/>
      <c r="E1274" s="812"/>
      <c r="F1274" s="813"/>
      <c r="G1274" s="121">
        <f>+G1238+G1254+G1265</f>
        <v>21503</v>
      </c>
    </row>
    <row r="1275" spans="1:8">
      <c r="A1275" s="95"/>
      <c r="B1275" s="814" t="s">
        <v>861</v>
      </c>
      <c r="C1275" s="815"/>
      <c r="D1275" s="815"/>
      <c r="E1275" s="816"/>
      <c r="F1275" s="128">
        <f>'MANO DE OBRA'!D59</f>
        <v>0</v>
      </c>
      <c r="G1275" s="122">
        <f>ROUND(G1274*F1275,0)</f>
        <v>0</v>
      </c>
    </row>
    <row r="1276" spans="1:8" ht="13.5" thickBot="1">
      <c r="A1276" s="95"/>
      <c r="B1276" s="805" t="s">
        <v>1049</v>
      </c>
      <c r="C1276" s="806"/>
      <c r="D1276" s="806"/>
      <c r="E1276" s="806"/>
      <c r="F1276" s="807"/>
      <c r="G1276" s="118">
        <f>ROUND(G1274+G1275,-2)</f>
        <v>21500</v>
      </c>
      <c r="H1276" s="505" t="s">
        <v>1670</v>
      </c>
    </row>
    <row r="1277" spans="1:8" ht="14.25" thickTop="1" thickBot="1"/>
    <row r="1278" spans="1:8" ht="13.5" thickTop="1">
      <c r="B1278" s="90" t="s">
        <v>303</v>
      </c>
      <c r="C1278" s="843"/>
      <c r="D1278" s="843"/>
      <c r="E1278" s="843"/>
      <c r="F1278" s="92" t="s">
        <v>781</v>
      </c>
      <c r="G1278" s="93" t="s">
        <v>865</v>
      </c>
    </row>
    <row r="1279" spans="1:8">
      <c r="B1279" s="91" t="s">
        <v>834</v>
      </c>
      <c r="C1279" s="844" t="s">
        <v>382</v>
      </c>
      <c r="D1279" s="844"/>
      <c r="E1279" s="844"/>
      <c r="F1279" s="15" t="s">
        <v>833</v>
      </c>
      <c r="G1279" s="165" t="str">
        <f>'MANO DE OBRA'!D61</f>
        <v>Agosto de 2010</v>
      </c>
    </row>
    <row r="1280" spans="1:8" ht="13.5" thickBot="1">
      <c r="B1280" s="94" t="s">
        <v>835</v>
      </c>
      <c r="C1280" s="845" t="s">
        <v>581</v>
      </c>
      <c r="D1280" s="845"/>
      <c r="E1280" s="845"/>
      <c r="F1280" s="845"/>
      <c r="G1280" s="846"/>
    </row>
    <row r="1281" spans="2:7" ht="14.25" thickTop="1" thickBot="1">
      <c r="B1281" s="847"/>
      <c r="C1281" s="847"/>
      <c r="D1281" s="847"/>
      <c r="E1281" s="847"/>
      <c r="F1281" s="847"/>
      <c r="G1281" s="847"/>
    </row>
    <row r="1282" spans="2:7" ht="13.5" thickTop="1">
      <c r="B1282" s="811" t="s">
        <v>304</v>
      </c>
      <c r="C1282" s="812"/>
      <c r="D1282" s="812"/>
      <c r="E1282" s="812"/>
      <c r="F1282" s="812"/>
      <c r="G1282" s="825"/>
    </row>
    <row r="1283" spans="2:7">
      <c r="B1283" s="105"/>
      <c r="C1283" s="97"/>
      <c r="D1283" s="98" t="s">
        <v>301</v>
      </c>
      <c r="E1283" s="98" t="s">
        <v>1072</v>
      </c>
      <c r="F1283" s="99" t="s">
        <v>839</v>
      </c>
      <c r="G1283" s="107" t="s">
        <v>840</v>
      </c>
    </row>
    <row r="1284" spans="2:7">
      <c r="B1284" s="821" t="s">
        <v>838</v>
      </c>
      <c r="C1284" s="822"/>
      <c r="D1284" s="100" t="s">
        <v>308</v>
      </c>
      <c r="E1284" s="100" t="s">
        <v>305</v>
      </c>
      <c r="F1284" s="101" t="s">
        <v>306</v>
      </c>
      <c r="G1284" s="108" t="s">
        <v>310</v>
      </c>
    </row>
    <row r="1285" spans="2:7">
      <c r="B1285" s="115"/>
      <c r="C1285" s="102"/>
      <c r="D1285" s="103"/>
      <c r="E1285" s="103" t="s">
        <v>309</v>
      </c>
      <c r="F1285" s="104" t="s">
        <v>307</v>
      </c>
      <c r="G1285" s="109"/>
    </row>
    <row r="1286" spans="2:7">
      <c r="B1286" s="823" t="str">
        <f>'MAQUINARIA Y EQUIPOS'!C28</f>
        <v>HERRAMIENTAS MENORES</v>
      </c>
      <c r="C1286" s="824"/>
      <c r="D1286" s="87">
        <v>1</v>
      </c>
      <c r="E1286" s="82">
        <f>ROUND(G1319*0.05,0)</f>
        <v>265</v>
      </c>
      <c r="F1286" s="81">
        <v>1</v>
      </c>
      <c r="G1286" s="110">
        <f>ROUND(D1286*E1286/F1286,0)</f>
        <v>265</v>
      </c>
    </row>
    <row r="1287" spans="2:7">
      <c r="B1287" s="835"/>
      <c r="C1287" s="836"/>
      <c r="D1287" s="37"/>
      <c r="E1287" s="82"/>
      <c r="F1287" s="83"/>
      <c r="G1287" s="111"/>
    </row>
    <row r="1288" spans="2:7">
      <c r="B1288" s="835"/>
      <c r="C1288" s="836"/>
      <c r="D1288" s="89"/>
      <c r="E1288" s="82"/>
      <c r="F1288" s="83"/>
      <c r="G1288" s="111"/>
    </row>
    <row r="1289" spans="2:7">
      <c r="B1289" s="835"/>
      <c r="C1289" s="836"/>
      <c r="D1289" s="89"/>
      <c r="E1289" s="82"/>
      <c r="F1289" s="83"/>
      <c r="G1289" s="111"/>
    </row>
    <row r="1290" spans="2:7">
      <c r="B1290" s="835" t="s">
        <v>841</v>
      </c>
      <c r="C1290" s="836"/>
      <c r="D1290" s="37"/>
      <c r="E1290" s="82"/>
      <c r="F1290" s="83"/>
      <c r="G1290" s="111"/>
    </row>
    <row r="1291" spans="2:7" ht="13.5" thickBot="1">
      <c r="B1291" s="839" t="s">
        <v>841</v>
      </c>
      <c r="C1291" s="840"/>
      <c r="D1291" s="77"/>
      <c r="E1291" s="106"/>
      <c r="F1291" s="86"/>
      <c r="G1291" s="112"/>
    </row>
    <row r="1292" spans="2:7" ht="14.25" thickTop="1" thickBot="1">
      <c r="B1292" s="808"/>
      <c r="C1292" s="808"/>
      <c r="D1292" s="808"/>
      <c r="E1292" s="809"/>
      <c r="F1292" s="119" t="s">
        <v>856</v>
      </c>
      <c r="G1292" s="118">
        <f>SUM(G1286:G1291)</f>
        <v>265</v>
      </c>
    </row>
    <row r="1293" spans="2:7" ht="14.25" thickTop="1" thickBot="1">
      <c r="B1293" s="830"/>
      <c r="C1293" s="830"/>
      <c r="D1293" s="830"/>
      <c r="E1293" s="830"/>
      <c r="F1293" s="830"/>
      <c r="G1293" s="830"/>
    </row>
    <row r="1294" spans="2:7" ht="13.5" thickTop="1">
      <c r="B1294" s="811" t="s">
        <v>311</v>
      </c>
      <c r="C1294" s="812"/>
      <c r="D1294" s="812"/>
      <c r="E1294" s="812"/>
      <c r="F1294" s="812"/>
      <c r="G1294" s="825"/>
    </row>
    <row r="1295" spans="2:7">
      <c r="B1295" s="817" t="s">
        <v>838</v>
      </c>
      <c r="C1295" s="818"/>
      <c r="D1295" s="98" t="s">
        <v>842</v>
      </c>
      <c r="E1295" s="98" t="s">
        <v>853</v>
      </c>
      <c r="F1295" s="99" t="s">
        <v>1047</v>
      </c>
      <c r="G1295" s="107" t="s">
        <v>840</v>
      </c>
    </row>
    <row r="1296" spans="2:7">
      <c r="B1296" s="115"/>
      <c r="C1296" s="102"/>
      <c r="D1296" s="100"/>
      <c r="E1296" s="100" t="s">
        <v>312</v>
      </c>
      <c r="F1296" s="101" t="s">
        <v>313</v>
      </c>
      <c r="G1296" s="108" t="s">
        <v>314</v>
      </c>
    </row>
    <row r="1297" spans="2:8">
      <c r="B1297" s="841" t="str">
        <f>MATERIALES2!C897</f>
        <v>LLAVE CROMADA DE JARDIN CORRIENTE</v>
      </c>
      <c r="C1297" s="842"/>
      <c r="D1297" s="87" t="s">
        <v>865</v>
      </c>
      <c r="E1297" s="142">
        <v>1</v>
      </c>
      <c r="F1297" s="80">
        <f>MATERIALES2!E897</f>
        <v>20100</v>
      </c>
      <c r="G1297" s="110">
        <f>ROUND(E1297*F1297,0)</f>
        <v>20100</v>
      </c>
    </row>
    <row r="1298" spans="2:8">
      <c r="B1298" s="854" t="s">
        <v>582</v>
      </c>
      <c r="C1298" s="855"/>
      <c r="D1298" s="37" t="s">
        <v>556</v>
      </c>
      <c r="E1298" s="83">
        <v>1</v>
      </c>
      <c r="F1298" s="82">
        <v>1250</v>
      </c>
      <c r="G1298" s="111">
        <f>ROUND(E1298*F1298,0)</f>
        <v>1250</v>
      </c>
    </row>
    <row r="1299" spans="2:8">
      <c r="B1299" s="854"/>
      <c r="C1299" s="855"/>
      <c r="D1299" s="37"/>
      <c r="E1299" s="83"/>
      <c r="F1299" s="82"/>
      <c r="G1299" s="111">
        <f>ROUND(E1299*F1299,0)</f>
        <v>0</v>
      </c>
    </row>
    <row r="1300" spans="2:8">
      <c r="B1300" s="854"/>
      <c r="C1300" s="855"/>
      <c r="D1300" s="37"/>
      <c r="E1300" s="83"/>
      <c r="F1300" s="82"/>
      <c r="G1300" s="111"/>
    </row>
    <row r="1301" spans="2:8">
      <c r="B1301" s="854"/>
      <c r="C1301" s="855"/>
      <c r="D1301" s="37"/>
      <c r="E1301" s="83"/>
      <c r="F1301" s="82"/>
      <c r="G1301" s="111"/>
    </row>
    <row r="1302" spans="2:8">
      <c r="B1302" s="938"/>
      <c r="C1302" s="939"/>
      <c r="D1302" s="53" t="s">
        <v>841</v>
      </c>
      <c r="E1302" s="53"/>
      <c r="F1302" s="82"/>
      <c r="G1302" s="111"/>
    </row>
    <row r="1303" spans="2:8">
      <c r="B1303" s="938" t="s">
        <v>841</v>
      </c>
      <c r="C1303" s="939"/>
      <c r="D1303" s="53" t="s">
        <v>841</v>
      </c>
      <c r="E1303" s="53"/>
      <c r="F1303" s="82"/>
      <c r="G1303" s="111"/>
    </row>
    <row r="1304" spans="2:8">
      <c r="B1304" s="837" t="s">
        <v>841</v>
      </c>
      <c r="C1304" s="838"/>
      <c r="D1304" s="53" t="s">
        <v>841</v>
      </c>
      <c r="E1304" s="53"/>
      <c r="F1304" s="82"/>
      <c r="G1304" s="111"/>
      <c r="H1304" s="505" t="s">
        <v>1670</v>
      </c>
    </row>
    <row r="1305" spans="2:8" ht="13.5" thickBot="1">
      <c r="B1305" s="839" t="s">
        <v>841</v>
      </c>
      <c r="C1305" s="840"/>
      <c r="D1305" s="84" t="s">
        <v>841</v>
      </c>
      <c r="E1305" s="84"/>
      <c r="F1305" s="85"/>
      <c r="G1305" s="112"/>
    </row>
    <row r="1306" spans="2:8" ht="13.5" thickTop="1">
      <c r="B1306" s="808"/>
      <c r="C1306" s="809"/>
      <c r="D1306" s="801" t="s">
        <v>856</v>
      </c>
      <c r="E1306" s="802"/>
      <c r="F1306" s="9"/>
      <c r="G1306" s="113">
        <f>SUM(G1297:G1305)</f>
        <v>21350</v>
      </c>
    </row>
    <row r="1307" spans="2:8">
      <c r="B1307" s="819"/>
      <c r="C1307" s="820"/>
      <c r="D1307" s="801" t="s">
        <v>857</v>
      </c>
      <c r="E1307" s="802"/>
      <c r="F1307" s="79">
        <f>'MANO DE OBRA'!D114</f>
        <v>0</v>
      </c>
      <c r="G1307" s="113">
        <f>ROUND(G1306*F1307,0)</f>
        <v>0</v>
      </c>
    </row>
    <row r="1308" spans="2:8" ht="13.5" thickBot="1">
      <c r="B1308" s="819"/>
      <c r="C1308" s="820"/>
      <c r="D1308" s="803" t="s">
        <v>320</v>
      </c>
      <c r="E1308" s="804"/>
      <c r="F1308" s="114"/>
      <c r="G1308" s="118">
        <f>+G1306+G1307</f>
        <v>21350</v>
      </c>
    </row>
    <row r="1309" spans="2:8" ht="14.25" thickTop="1" thickBot="1">
      <c r="B1309" s="830"/>
      <c r="C1309" s="830"/>
      <c r="D1309" s="830"/>
      <c r="E1309" s="830"/>
      <c r="F1309" s="830"/>
      <c r="G1309" s="830"/>
    </row>
    <row r="1310" spans="2:8" ht="13.5" thickTop="1">
      <c r="B1310" s="811" t="s">
        <v>858</v>
      </c>
      <c r="C1310" s="812"/>
      <c r="D1310" s="812"/>
      <c r="E1310" s="812"/>
      <c r="F1310" s="812"/>
      <c r="G1310" s="825"/>
    </row>
    <row r="1311" spans="2:8">
      <c r="B1311" s="817"/>
      <c r="C1311" s="818"/>
      <c r="D1311" s="98" t="s">
        <v>301</v>
      </c>
      <c r="E1311" s="98" t="s">
        <v>859</v>
      </c>
      <c r="F1311" s="99" t="s">
        <v>839</v>
      </c>
      <c r="G1311" s="107" t="s">
        <v>840</v>
      </c>
    </row>
    <row r="1312" spans="2:8">
      <c r="B1312" s="821" t="s">
        <v>838</v>
      </c>
      <c r="C1312" s="822"/>
      <c r="D1312" s="100" t="s">
        <v>316</v>
      </c>
      <c r="E1312" s="100" t="s">
        <v>315</v>
      </c>
      <c r="F1312" s="101" t="s">
        <v>306</v>
      </c>
      <c r="G1312" s="108" t="s">
        <v>319</v>
      </c>
    </row>
    <row r="1313" spans="2:7">
      <c r="B1313" s="115"/>
      <c r="C1313" s="102"/>
      <c r="D1313" s="103"/>
      <c r="E1313" s="103" t="s">
        <v>317</v>
      </c>
      <c r="F1313" s="104" t="s">
        <v>318</v>
      </c>
      <c r="G1313" s="109"/>
    </row>
    <row r="1314" spans="2:7">
      <c r="B1314" s="823" t="str">
        <f>'MANO DE OBRA'!B10</f>
        <v>AYUDANTE CUAD. TIPO AA</v>
      </c>
      <c r="C1314" s="824"/>
      <c r="D1314" s="87">
        <v>1</v>
      </c>
      <c r="E1314" s="80">
        <f>'MANO DE OBRA'!E10</f>
        <v>34680</v>
      </c>
      <c r="F1314" s="81">
        <v>20</v>
      </c>
      <c r="G1314" s="110">
        <f>ROUND(D1314*E1314/F1314,0)</f>
        <v>1734</v>
      </c>
    </row>
    <row r="1315" spans="2:7">
      <c r="B1315" s="835" t="str">
        <f>'MANO DE OBRA'!B15</f>
        <v xml:space="preserve">OFICIAL CUAD. TIPO AA </v>
      </c>
      <c r="C1315" s="836"/>
      <c r="D1315" s="37">
        <v>1</v>
      </c>
      <c r="E1315" s="82">
        <f>'MANO DE OBRA'!E15</f>
        <v>71474</v>
      </c>
      <c r="F1315" s="83">
        <v>20</v>
      </c>
      <c r="G1315" s="111">
        <f>ROUND(D1315*E1315/F1315,0)</f>
        <v>3574</v>
      </c>
    </row>
    <row r="1316" spans="2:7">
      <c r="B1316" s="835"/>
      <c r="C1316" s="836"/>
      <c r="D1316" s="89"/>
      <c r="E1316" s="82"/>
      <c r="F1316" s="83"/>
      <c r="G1316" s="111"/>
    </row>
    <row r="1317" spans="2:7">
      <c r="B1317" s="835" t="s">
        <v>841</v>
      </c>
      <c r="C1317" s="836"/>
      <c r="D1317" s="37"/>
      <c r="E1317" s="82"/>
      <c r="F1317" s="83"/>
      <c r="G1317" s="111"/>
    </row>
    <row r="1318" spans="2:7" ht="13.5" thickBot="1">
      <c r="B1318" s="828" t="s">
        <v>841</v>
      </c>
      <c r="C1318" s="829"/>
      <c r="D1318" s="77"/>
      <c r="E1318" s="82"/>
      <c r="F1318" s="86"/>
      <c r="G1318" s="112"/>
    </row>
    <row r="1319" spans="2:7" ht="14.25" thickTop="1" thickBot="1">
      <c r="B1319" s="808"/>
      <c r="C1319" s="808"/>
      <c r="D1319" s="808"/>
      <c r="E1319" s="809"/>
      <c r="F1319" s="120" t="s">
        <v>856</v>
      </c>
      <c r="G1319" s="118">
        <f>SUM(G1314:G1318)</f>
        <v>5308</v>
      </c>
    </row>
    <row r="1320" spans="2:7" ht="14.25" thickTop="1" thickBot="1">
      <c r="B1320" s="810"/>
      <c r="C1320" s="810"/>
      <c r="D1320" s="810"/>
      <c r="E1320" s="810"/>
      <c r="F1320" s="810"/>
      <c r="G1320" s="810"/>
    </row>
    <row r="1321" spans="2:7" ht="13.5" thickTop="1">
      <c r="B1321" s="811" t="s">
        <v>321</v>
      </c>
      <c r="C1321" s="812"/>
      <c r="D1321" s="812"/>
      <c r="E1321" s="812"/>
      <c r="F1321" s="812"/>
      <c r="G1321" s="825"/>
    </row>
    <row r="1322" spans="2:7">
      <c r="B1322" s="817" t="s">
        <v>838</v>
      </c>
      <c r="C1322" s="818"/>
      <c r="D1322" s="98" t="s">
        <v>301</v>
      </c>
      <c r="E1322" s="98" t="s">
        <v>297</v>
      </c>
      <c r="F1322" s="99" t="s">
        <v>839</v>
      </c>
      <c r="G1322" s="107" t="s">
        <v>840</v>
      </c>
    </row>
    <row r="1323" spans="2:7">
      <c r="B1323" s="115"/>
      <c r="C1323" s="102"/>
      <c r="D1323" s="103" t="s">
        <v>322</v>
      </c>
      <c r="E1323" s="103" t="s">
        <v>323</v>
      </c>
      <c r="F1323" s="104" t="s">
        <v>324</v>
      </c>
      <c r="G1323" s="109" t="s">
        <v>325</v>
      </c>
    </row>
    <row r="1324" spans="2:7">
      <c r="B1324" s="826"/>
      <c r="C1324" s="827"/>
      <c r="D1324" s="96"/>
      <c r="E1324" s="96"/>
      <c r="F1324" s="96"/>
      <c r="G1324" s="116"/>
    </row>
    <row r="1325" spans="2:7" ht="13.5" thickBot="1">
      <c r="B1325" s="828" t="s">
        <v>841</v>
      </c>
      <c r="C1325" s="829"/>
      <c r="D1325" s="77"/>
      <c r="E1325" s="82"/>
      <c r="F1325" s="86"/>
      <c r="G1325" s="112"/>
    </row>
    <row r="1326" spans="2:7" ht="14.25" thickTop="1" thickBot="1">
      <c r="B1326" s="808"/>
      <c r="C1326" s="808"/>
      <c r="D1326" s="808"/>
      <c r="E1326" s="809"/>
      <c r="F1326" s="120" t="s">
        <v>856</v>
      </c>
      <c r="G1326" s="118">
        <f>SUM(G1321:G1325)</f>
        <v>0</v>
      </c>
    </row>
    <row r="1327" spans="2:7" ht="14.25" thickTop="1" thickBot="1">
      <c r="B1327" s="810"/>
      <c r="C1327" s="810"/>
      <c r="D1327" s="810"/>
      <c r="E1327" s="810"/>
      <c r="F1327" s="810"/>
      <c r="G1327" s="834"/>
    </row>
    <row r="1328" spans="2:7" ht="13.5" thickTop="1">
      <c r="B1328" s="811" t="s">
        <v>326</v>
      </c>
      <c r="C1328" s="812"/>
      <c r="D1328" s="812"/>
      <c r="E1328" s="812"/>
      <c r="F1328" s="813"/>
      <c r="G1328" s="121">
        <f>+G1292+G1308+G1319</f>
        <v>26923</v>
      </c>
    </row>
    <row r="1329" spans="2:8">
      <c r="B1329" s="814" t="s">
        <v>861</v>
      </c>
      <c r="C1329" s="815"/>
      <c r="D1329" s="815"/>
      <c r="E1329" s="816"/>
      <c r="F1329" s="128">
        <f>'MANO DE OBRA'!D113</f>
        <v>0</v>
      </c>
      <c r="G1329" s="122">
        <f>ROUND(G1328*F1329,0)</f>
        <v>0</v>
      </c>
    </row>
    <row r="1330" spans="2:8" ht="13.5" thickBot="1">
      <c r="B1330" s="805" t="s">
        <v>1049</v>
      </c>
      <c r="C1330" s="806"/>
      <c r="D1330" s="806"/>
      <c r="E1330" s="806"/>
      <c r="F1330" s="807"/>
      <c r="G1330" s="118">
        <f>ROUND(G1328+G1329,-2)</f>
        <v>26900</v>
      </c>
      <c r="H1330" s="505" t="s">
        <v>1670</v>
      </c>
    </row>
    <row r="1331" spans="2:8" ht="14.25" thickTop="1" thickBot="1"/>
    <row r="1332" spans="2:8" ht="13.5" thickTop="1">
      <c r="B1332" s="90" t="s">
        <v>303</v>
      </c>
      <c r="C1332" s="843"/>
      <c r="D1332" s="843"/>
      <c r="E1332" s="843"/>
      <c r="F1332" s="92" t="s">
        <v>781</v>
      </c>
      <c r="G1332" s="93" t="s">
        <v>865</v>
      </c>
    </row>
    <row r="1333" spans="2:8">
      <c r="B1333" s="91" t="s">
        <v>834</v>
      </c>
      <c r="C1333" s="844" t="s">
        <v>382</v>
      </c>
      <c r="D1333" s="844"/>
      <c r="E1333" s="844"/>
      <c r="F1333" s="15" t="s">
        <v>833</v>
      </c>
      <c r="G1333" s="165" t="str">
        <f>'MANO DE OBRA'!D61</f>
        <v>Agosto de 2010</v>
      </c>
    </row>
    <row r="1334" spans="2:8" ht="13.5" thickBot="1">
      <c r="B1334" s="94" t="s">
        <v>835</v>
      </c>
      <c r="C1334" s="845" t="s">
        <v>583</v>
      </c>
      <c r="D1334" s="845"/>
      <c r="E1334" s="845"/>
      <c r="F1334" s="845"/>
      <c r="G1334" s="846"/>
    </row>
    <row r="1335" spans="2:8" ht="14.25" thickTop="1" thickBot="1">
      <c r="B1335" s="847"/>
      <c r="C1335" s="847"/>
      <c r="D1335" s="847"/>
      <c r="E1335" s="847"/>
      <c r="F1335" s="847"/>
      <c r="G1335" s="847"/>
    </row>
    <row r="1336" spans="2:8" ht="13.5" thickTop="1">
      <c r="B1336" s="811" t="s">
        <v>304</v>
      </c>
      <c r="C1336" s="812"/>
      <c r="D1336" s="812"/>
      <c r="E1336" s="812"/>
      <c r="F1336" s="812"/>
      <c r="G1336" s="825"/>
    </row>
    <row r="1337" spans="2:8">
      <c r="B1337" s="105"/>
      <c r="C1337" s="97"/>
      <c r="D1337" s="98" t="s">
        <v>301</v>
      </c>
      <c r="E1337" s="98" t="s">
        <v>1072</v>
      </c>
      <c r="F1337" s="99" t="s">
        <v>839</v>
      </c>
      <c r="G1337" s="107" t="s">
        <v>840</v>
      </c>
    </row>
    <row r="1338" spans="2:8">
      <c r="B1338" s="821" t="s">
        <v>838</v>
      </c>
      <c r="C1338" s="822"/>
      <c r="D1338" s="100" t="s">
        <v>308</v>
      </c>
      <c r="E1338" s="100" t="s">
        <v>305</v>
      </c>
      <c r="F1338" s="101" t="s">
        <v>306</v>
      </c>
      <c r="G1338" s="108" t="s">
        <v>310</v>
      </c>
    </row>
    <row r="1339" spans="2:8">
      <c r="B1339" s="115"/>
      <c r="C1339" s="102"/>
      <c r="D1339" s="103"/>
      <c r="E1339" s="103" t="s">
        <v>309</v>
      </c>
      <c r="F1339" s="104" t="s">
        <v>307</v>
      </c>
      <c r="G1339" s="109"/>
    </row>
    <row r="1340" spans="2:8">
      <c r="B1340" s="823" t="str">
        <f>'MAQUINARIA Y EQUIPOS'!C28</f>
        <v>HERRAMIENTAS MENORES</v>
      </c>
      <c r="C1340" s="824"/>
      <c r="D1340" s="87">
        <v>1</v>
      </c>
      <c r="E1340" s="82">
        <f>ROUND(G1373*0.05,0)</f>
        <v>354</v>
      </c>
      <c r="F1340" s="81">
        <v>1</v>
      </c>
      <c r="G1340" s="110">
        <f>ROUND(D1340*E1340/F1340,0)</f>
        <v>354</v>
      </c>
    </row>
    <row r="1341" spans="2:8">
      <c r="B1341" s="835"/>
      <c r="C1341" s="836"/>
      <c r="D1341" s="37"/>
      <c r="E1341" s="82"/>
      <c r="F1341" s="83"/>
      <c r="G1341" s="111"/>
    </row>
    <row r="1342" spans="2:8">
      <c r="B1342" s="835"/>
      <c r="C1342" s="836"/>
      <c r="D1342" s="89"/>
      <c r="E1342" s="82"/>
      <c r="F1342" s="83"/>
      <c r="G1342" s="111"/>
    </row>
    <row r="1343" spans="2:8">
      <c r="B1343" s="835"/>
      <c r="C1343" s="836"/>
      <c r="D1343" s="89"/>
      <c r="E1343" s="82"/>
      <c r="F1343" s="83"/>
      <c r="G1343" s="111"/>
    </row>
    <row r="1344" spans="2:8">
      <c r="B1344" s="835" t="s">
        <v>841</v>
      </c>
      <c r="C1344" s="836"/>
      <c r="D1344" s="37"/>
      <c r="E1344" s="82"/>
      <c r="F1344" s="83"/>
      <c r="G1344" s="111"/>
    </row>
    <row r="1345" spans="2:8" ht="13.5" thickBot="1">
      <c r="B1345" s="839" t="s">
        <v>841</v>
      </c>
      <c r="C1345" s="840"/>
      <c r="D1345" s="77"/>
      <c r="E1345" s="106"/>
      <c r="F1345" s="86"/>
      <c r="G1345" s="112"/>
    </row>
    <row r="1346" spans="2:8" ht="14.25" thickTop="1" thickBot="1">
      <c r="B1346" s="808"/>
      <c r="C1346" s="808"/>
      <c r="D1346" s="808"/>
      <c r="E1346" s="809"/>
      <c r="F1346" s="119" t="s">
        <v>856</v>
      </c>
      <c r="G1346" s="118">
        <f>SUM(G1340:G1345)</f>
        <v>354</v>
      </c>
    </row>
    <row r="1347" spans="2:8" ht="14.25" thickTop="1" thickBot="1">
      <c r="B1347" s="830"/>
      <c r="C1347" s="830"/>
      <c r="D1347" s="830"/>
      <c r="E1347" s="830"/>
      <c r="F1347" s="830"/>
      <c r="G1347" s="830"/>
    </row>
    <row r="1348" spans="2:8" ht="13.5" thickTop="1">
      <c r="B1348" s="811" t="s">
        <v>311</v>
      </c>
      <c r="C1348" s="812"/>
      <c r="D1348" s="812"/>
      <c r="E1348" s="812"/>
      <c r="F1348" s="812"/>
      <c r="G1348" s="825"/>
    </row>
    <row r="1349" spans="2:8">
      <c r="B1349" s="817" t="s">
        <v>838</v>
      </c>
      <c r="C1349" s="818"/>
      <c r="D1349" s="98" t="s">
        <v>842</v>
      </c>
      <c r="E1349" s="98" t="s">
        <v>853</v>
      </c>
      <c r="F1349" s="99" t="s">
        <v>1047</v>
      </c>
      <c r="G1349" s="107" t="s">
        <v>840</v>
      </c>
    </row>
    <row r="1350" spans="2:8">
      <c r="B1350" s="115"/>
      <c r="C1350" s="102"/>
      <c r="D1350" s="100"/>
      <c r="E1350" s="100" t="s">
        <v>312</v>
      </c>
      <c r="F1350" s="104" t="s">
        <v>313</v>
      </c>
      <c r="G1350" s="108" t="s">
        <v>314</v>
      </c>
    </row>
    <row r="1351" spans="2:8">
      <c r="B1351" s="841" t="str">
        <f>MATERIALES2!C875</f>
        <v xml:space="preserve">REGISTRO 3/4" </v>
      </c>
      <c r="C1351" s="842"/>
      <c r="D1351" s="87" t="s">
        <v>865</v>
      </c>
      <c r="E1351" s="142">
        <v>1</v>
      </c>
      <c r="F1351" s="82">
        <f>MATERIALES2!E875</f>
        <v>27500</v>
      </c>
      <c r="G1351" s="110">
        <f>ROUND(E1351*F1351,0)</f>
        <v>27500</v>
      </c>
    </row>
    <row r="1352" spans="2:8">
      <c r="B1352" s="854" t="str">
        <f>MATERIALES2!C753</f>
        <v>UNIVERSAL LISA 3/4"</v>
      </c>
      <c r="C1352" s="855"/>
      <c r="D1352" s="37" t="s">
        <v>556</v>
      </c>
      <c r="E1352" s="83">
        <v>1</v>
      </c>
      <c r="F1352" s="82">
        <f>MATERIALES2!E753</f>
        <v>4454</v>
      </c>
      <c r="G1352" s="111">
        <f>ROUND(E1352*F1352,0)</f>
        <v>4454</v>
      </c>
    </row>
    <row r="1353" spans="2:8">
      <c r="B1353" s="854"/>
      <c r="C1353" s="855"/>
      <c r="D1353" s="37"/>
      <c r="E1353" s="83"/>
      <c r="F1353" s="82"/>
      <c r="G1353" s="111">
        <f>ROUND(E1353*F1353,0)</f>
        <v>0</v>
      </c>
    </row>
    <row r="1354" spans="2:8">
      <c r="B1354" s="854"/>
      <c r="C1354" s="855"/>
      <c r="D1354" s="37"/>
      <c r="E1354" s="83"/>
      <c r="F1354" s="82"/>
      <c r="G1354" s="111"/>
    </row>
    <row r="1355" spans="2:8">
      <c r="B1355" s="854"/>
      <c r="C1355" s="855"/>
      <c r="D1355" s="37"/>
      <c r="E1355" s="83"/>
      <c r="F1355" s="82"/>
      <c r="G1355" s="111"/>
    </row>
    <row r="1356" spans="2:8">
      <c r="B1356" s="938"/>
      <c r="C1356" s="939"/>
      <c r="D1356" s="53" t="s">
        <v>841</v>
      </c>
      <c r="E1356" s="53"/>
      <c r="F1356" s="82"/>
      <c r="G1356" s="111"/>
    </row>
    <row r="1357" spans="2:8">
      <c r="B1357" s="938" t="s">
        <v>841</v>
      </c>
      <c r="C1357" s="939"/>
      <c r="D1357" s="53" t="s">
        <v>841</v>
      </c>
      <c r="E1357" s="53"/>
      <c r="F1357" s="82"/>
      <c r="G1357" s="111"/>
    </row>
    <row r="1358" spans="2:8">
      <c r="B1358" s="837" t="s">
        <v>841</v>
      </c>
      <c r="C1358" s="838"/>
      <c r="D1358" s="53" t="s">
        <v>841</v>
      </c>
      <c r="E1358" s="53"/>
      <c r="F1358" s="82"/>
      <c r="G1358" s="111"/>
      <c r="H1358" s="505" t="s">
        <v>1670</v>
      </c>
    </row>
    <row r="1359" spans="2:8" ht="13.5" thickBot="1">
      <c r="B1359" s="839" t="s">
        <v>841</v>
      </c>
      <c r="C1359" s="840"/>
      <c r="D1359" s="84" t="s">
        <v>841</v>
      </c>
      <c r="E1359" s="84"/>
      <c r="F1359" s="85"/>
      <c r="G1359" s="112"/>
    </row>
    <row r="1360" spans="2:8" ht="13.5" thickTop="1">
      <c r="B1360" s="808"/>
      <c r="C1360" s="809"/>
      <c r="D1360" s="801" t="s">
        <v>856</v>
      </c>
      <c r="E1360" s="802"/>
      <c r="F1360" s="9"/>
      <c r="G1360" s="113">
        <f>SUM(G1351:G1359)</f>
        <v>31954</v>
      </c>
    </row>
    <row r="1361" spans="2:7">
      <c r="B1361" s="819"/>
      <c r="C1361" s="820"/>
      <c r="D1361" s="801" t="s">
        <v>857</v>
      </c>
      <c r="E1361" s="802"/>
      <c r="F1361" s="79">
        <f>'MANO DE OBRA'!D168</f>
        <v>0</v>
      </c>
      <c r="G1361" s="113">
        <f>ROUND(G1360*F1361,0)</f>
        <v>0</v>
      </c>
    </row>
    <row r="1362" spans="2:7" ht="13.5" thickBot="1">
      <c r="B1362" s="819"/>
      <c r="C1362" s="820"/>
      <c r="D1362" s="803" t="s">
        <v>320</v>
      </c>
      <c r="E1362" s="804"/>
      <c r="F1362" s="114"/>
      <c r="G1362" s="118">
        <f>+G1360+G1361</f>
        <v>31954</v>
      </c>
    </row>
    <row r="1363" spans="2:7" ht="14.25" thickTop="1" thickBot="1">
      <c r="B1363" s="830"/>
      <c r="C1363" s="830"/>
      <c r="D1363" s="830"/>
      <c r="E1363" s="830"/>
      <c r="F1363" s="830"/>
      <c r="G1363" s="830"/>
    </row>
    <row r="1364" spans="2:7" ht="13.5" thickTop="1">
      <c r="B1364" s="811" t="s">
        <v>858</v>
      </c>
      <c r="C1364" s="812"/>
      <c r="D1364" s="812"/>
      <c r="E1364" s="812"/>
      <c r="F1364" s="812"/>
      <c r="G1364" s="825"/>
    </row>
    <row r="1365" spans="2:7">
      <c r="B1365" s="817"/>
      <c r="C1365" s="818"/>
      <c r="D1365" s="98" t="s">
        <v>301</v>
      </c>
      <c r="E1365" s="98" t="s">
        <v>859</v>
      </c>
      <c r="F1365" s="99" t="s">
        <v>839</v>
      </c>
      <c r="G1365" s="107" t="s">
        <v>840</v>
      </c>
    </row>
    <row r="1366" spans="2:7">
      <c r="B1366" s="821" t="s">
        <v>838</v>
      </c>
      <c r="C1366" s="822"/>
      <c r="D1366" s="100" t="s">
        <v>316</v>
      </c>
      <c r="E1366" s="100" t="s">
        <v>315</v>
      </c>
      <c r="F1366" s="101" t="s">
        <v>306</v>
      </c>
      <c r="G1366" s="108" t="s">
        <v>319</v>
      </c>
    </row>
    <row r="1367" spans="2:7">
      <c r="B1367" s="115"/>
      <c r="C1367" s="102"/>
      <c r="D1367" s="103"/>
      <c r="E1367" s="103" t="s">
        <v>317</v>
      </c>
      <c r="F1367" s="104" t="s">
        <v>318</v>
      </c>
      <c r="G1367" s="109"/>
    </row>
    <row r="1368" spans="2:7">
      <c r="B1368" s="823" t="str">
        <f>'MANO DE OBRA'!B10</f>
        <v>AYUDANTE CUAD. TIPO AA</v>
      </c>
      <c r="C1368" s="824"/>
      <c r="D1368" s="87">
        <v>1</v>
      </c>
      <c r="E1368" s="80">
        <f>'MANO DE OBRA'!E10</f>
        <v>34680</v>
      </c>
      <c r="F1368" s="81">
        <v>15</v>
      </c>
      <c r="G1368" s="110">
        <f>ROUND(D1368*E1368/F1368,0)</f>
        <v>2312</v>
      </c>
    </row>
    <row r="1369" spans="2:7">
      <c r="B1369" s="835" t="str">
        <f>'MANO DE OBRA'!B15</f>
        <v xml:space="preserve">OFICIAL CUAD. TIPO AA </v>
      </c>
      <c r="C1369" s="836"/>
      <c r="D1369" s="37">
        <v>1</v>
      </c>
      <c r="E1369" s="82">
        <f>'MANO DE OBRA'!E15</f>
        <v>71474</v>
      </c>
      <c r="F1369" s="83">
        <v>15</v>
      </c>
      <c r="G1369" s="111">
        <f>ROUND(D1369*E1369/F1369,0)</f>
        <v>4765</v>
      </c>
    </row>
    <row r="1370" spans="2:7">
      <c r="B1370" s="835"/>
      <c r="C1370" s="836"/>
      <c r="D1370" s="89"/>
      <c r="E1370" s="82"/>
      <c r="F1370" s="83"/>
      <c r="G1370" s="111"/>
    </row>
    <row r="1371" spans="2:7">
      <c r="B1371" s="835" t="s">
        <v>841</v>
      </c>
      <c r="C1371" s="836"/>
      <c r="D1371" s="37"/>
      <c r="E1371" s="82"/>
      <c r="F1371" s="83"/>
      <c r="G1371" s="111"/>
    </row>
    <row r="1372" spans="2:7" ht="13.5" thickBot="1">
      <c r="B1372" s="828" t="s">
        <v>841</v>
      </c>
      <c r="C1372" s="829"/>
      <c r="D1372" s="77"/>
      <c r="E1372" s="82"/>
      <c r="F1372" s="86"/>
      <c r="G1372" s="112"/>
    </row>
    <row r="1373" spans="2:7" ht="14.25" thickTop="1" thickBot="1">
      <c r="B1373" s="808"/>
      <c r="C1373" s="808"/>
      <c r="D1373" s="808"/>
      <c r="E1373" s="809"/>
      <c r="F1373" s="120" t="s">
        <v>856</v>
      </c>
      <c r="G1373" s="118">
        <f>SUM(G1368:G1372)</f>
        <v>7077</v>
      </c>
    </row>
    <row r="1374" spans="2:7" ht="14.25" thickTop="1" thickBot="1">
      <c r="B1374" s="810"/>
      <c r="C1374" s="810"/>
      <c r="D1374" s="810"/>
      <c r="E1374" s="810"/>
      <c r="F1374" s="810"/>
      <c r="G1374" s="810"/>
    </row>
    <row r="1375" spans="2:7" ht="13.5" thickTop="1">
      <c r="B1375" s="811" t="s">
        <v>321</v>
      </c>
      <c r="C1375" s="812"/>
      <c r="D1375" s="812"/>
      <c r="E1375" s="812"/>
      <c r="F1375" s="812"/>
      <c r="G1375" s="825"/>
    </row>
    <row r="1376" spans="2:7">
      <c r="B1376" s="817" t="s">
        <v>838</v>
      </c>
      <c r="C1376" s="818"/>
      <c r="D1376" s="98" t="s">
        <v>301</v>
      </c>
      <c r="E1376" s="98" t="s">
        <v>297</v>
      </c>
      <c r="F1376" s="99" t="s">
        <v>839</v>
      </c>
      <c r="G1376" s="107" t="s">
        <v>840</v>
      </c>
    </row>
    <row r="1377" spans="2:8">
      <c r="B1377" s="115"/>
      <c r="C1377" s="102"/>
      <c r="D1377" s="103" t="s">
        <v>322</v>
      </c>
      <c r="E1377" s="103" t="s">
        <v>323</v>
      </c>
      <c r="F1377" s="104" t="s">
        <v>324</v>
      </c>
      <c r="G1377" s="109" t="s">
        <v>325</v>
      </c>
    </row>
    <row r="1378" spans="2:8">
      <c r="B1378" s="826"/>
      <c r="C1378" s="827"/>
      <c r="D1378" s="96"/>
      <c r="E1378" s="96"/>
      <c r="F1378" s="96"/>
      <c r="G1378" s="116"/>
    </row>
    <row r="1379" spans="2:8" ht="13.5" thickBot="1">
      <c r="B1379" s="828" t="s">
        <v>841</v>
      </c>
      <c r="C1379" s="829"/>
      <c r="D1379" s="77"/>
      <c r="E1379" s="82"/>
      <c r="F1379" s="86"/>
      <c r="G1379" s="112"/>
    </row>
    <row r="1380" spans="2:8" ht="14.25" thickTop="1" thickBot="1">
      <c r="B1380" s="808"/>
      <c r="C1380" s="808"/>
      <c r="D1380" s="808"/>
      <c r="E1380" s="809"/>
      <c r="F1380" s="120" t="s">
        <v>856</v>
      </c>
      <c r="G1380" s="118">
        <f>SUM(G1375:G1379)</f>
        <v>0</v>
      </c>
    </row>
    <row r="1381" spans="2:8" ht="14.25" thickTop="1" thickBot="1">
      <c r="B1381" s="810"/>
      <c r="C1381" s="810"/>
      <c r="D1381" s="810"/>
      <c r="E1381" s="810"/>
      <c r="F1381" s="810"/>
      <c r="G1381" s="834"/>
    </row>
    <row r="1382" spans="2:8" ht="13.5" thickTop="1">
      <c r="B1382" s="811" t="s">
        <v>326</v>
      </c>
      <c r="C1382" s="812"/>
      <c r="D1382" s="812"/>
      <c r="E1382" s="812"/>
      <c r="F1382" s="813"/>
      <c r="G1382" s="121">
        <f>+G1346+G1362+G1373</f>
        <v>39385</v>
      </c>
    </row>
    <row r="1383" spans="2:8">
      <c r="B1383" s="814" t="s">
        <v>861</v>
      </c>
      <c r="C1383" s="815"/>
      <c r="D1383" s="815"/>
      <c r="E1383" s="816"/>
      <c r="F1383" s="128">
        <f>'MANO DE OBRA'!D167</f>
        <v>0</v>
      </c>
      <c r="G1383" s="122">
        <f>ROUND(G1382*F1383,0)</f>
        <v>0</v>
      </c>
    </row>
    <row r="1384" spans="2:8" ht="13.5" thickBot="1">
      <c r="B1384" s="805" t="s">
        <v>1049</v>
      </c>
      <c r="C1384" s="806"/>
      <c r="D1384" s="806"/>
      <c r="E1384" s="806"/>
      <c r="F1384" s="807"/>
      <c r="G1384" s="118">
        <f>ROUND(G1382+G1383,-2)</f>
        <v>39400</v>
      </c>
      <c r="H1384" s="505" t="s">
        <v>1670</v>
      </c>
    </row>
    <row r="1385" spans="2:8" ht="13.5" thickTop="1"/>
  </sheetData>
  <mergeCells count="1278">
    <mergeCell ref="B1374:G1374"/>
    <mergeCell ref="B1375:G1375"/>
    <mergeCell ref="B1368:C1368"/>
    <mergeCell ref="B1369:C1369"/>
    <mergeCell ref="B1370:C1370"/>
    <mergeCell ref="B1371:C1371"/>
    <mergeCell ref="B1383:E1383"/>
    <mergeCell ref="B1384:F1384"/>
    <mergeCell ref="B1376:C1376"/>
    <mergeCell ref="B1378:C1378"/>
    <mergeCell ref="B1379:C1379"/>
    <mergeCell ref="B1380:E1380"/>
    <mergeCell ref="B1381:G1381"/>
    <mergeCell ref="B1382:F1382"/>
    <mergeCell ref="B1357:C1357"/>
    <mergeCell ref="B1358:C1358"/>
    <mergeCell ref="B1351:C1351"/>
    <mergeCell ref="B1352:C1352"/>
    <mergeCell ref="B1353:C1353"/>
    <mergeCell ref="B1354:C1354"/>
    <mergeCell ref="B1363:G1363"/>
    <mergeCell ref="B1364:G1364"/>
    <mergeCell ref="B1365:C1365"/>
    <mergeCell ref="B1366:C1366"/>
    <mergeCell ref="B1359:C1359"/>
    <mergeCell ref="B1360:C1362"/>
    <mergeCell ref="D1360:E1360"/>
    <mergeCell ref="D1361:E1361"/>
    <mergeCell ref="D1362:E1362"/>
    <mergeCell ref="B1372:C1372"/>
    <mergeCell ref="B1373:E1373"/>
    <mergeCell ref="B1338:C1338"/>
    <mergeCell ref="B1340:C1340"/>
    <mergeCell ref="B1341:C1341"/>
    <mergeCell ref="C1332:E1332"/>
    <mergeCell ref="C1333:E1333"/>
    <mergeCell ref="C1334:G1334"/>
    <mergeCell ref="B1335:G1335"/>
    <mergeCell ref="B1346:E1346"/>
    <mergeCell ref="B1347:G1347"/>
    <mergeCell ref="B1348:G1348"/>
    <mergeCell ref="B1349:C1349"/>
    <mergeCell ref="B1342:C1342"/>
    <mergeCell ref="B1343:C1343"/>
    <mergeCell ref="B1344:C1344"/>
    <mergeCell ref="B1345:C1345"/>
    <mergeCell ref="B1355:C1355"/>
    <mergeCell ref="B1356:C1356"/>
    <mergeCell ref="B1318:C1318"/>
    <mergeCell ref="B1319:E1319"/>
    <mergeCell ref="B1320:G1320"/>
    <mergeCell ref="B1321:G1321"/>
    <mergeCell ref="B1314:C1314"/>
    <mergeCell ref="B1315:C1315"/>
    <mergeCell ref="B1316:C1316"/>
    <mergeCell ref="B1317:C1317"/>
    <mergeCell ref="B1327:G1327"/>
    <mergeCell ref="B1328:F1328"/>
    <mergeCell ref="B1329:E1329"/>
    <mergeCell ref="B1330:F1330"/>
    <mergeCell ref="B1322:C1322"/>
    <mergeCell ref="B1324:C1324"/>
    <mergeCell ref="B1325:C1325"/>
    <mergeCell ref="B1326:E1326"/>
    <mergeCell ref="B1336:G1336"/>
    <mergeCell ref="B1301:C1301"/>
    <mergeCell ref="B1302:C1302"/>
    <mergeCell ref="B1303:C1303"/>
    <mergeCell ref="B1304:C1304"/>
    <mergeCell ref="B1297:C1297"/>
    <mergeCell ref="B1298:C1298"/>
    <mergeCell ref="B1299:C1299"/>
    <mergeCell ref="B1300:C1300"/>
    <mergeCell ref="B1309:G1309"/>
    <mergeCell ref="B1310:G1310"/>
    <mergeCell ref="B1311:C1311"/>
    <mergeCell ref="B1312:C1312"/>
    <mergeCell ref="B1305:C1305"/>
    <mergeCell ref="B1306:C1308"/>
    <mergeCell ref="D1306:E1306"/>
    <mergeCell ref="D1307:E1307"/>
    <mergeCell ref="D1308:E1308"/>
    <mergeCell ref="B1276:F1276"/>
    <mergeCell ref="B1268:C1268"/>
    <mergeCell ref="B1270:C1270"/>
    <mergeCell ref="B1271:C1271"/>
    <mergeCell ref="B1272:E1272"/>
    <mergeCell ref="B1282:G1282"/>
    <mergeCell ref="B1284:C1284"/>
    <mergeCell ref="B1286:C1286"/>
    <mergeCell ref="B1287:C1287"/>
    <mergeCell ref="C1278:E1278"/>
    <mergeCell ref="C1279:E1279"/>
    <mergeCell ref="C1280:G1280"/>
    <mergeCell ref="B1281:G1281"/>
    <mergeCell ref="B1292:E1292"/>
    <mergeCell ref="B1293:G1293"/>
    <mergeCell ref="B1294:G1294"/>
    <mergeCell ref="B1295:C1295"/>
    <mergeCell ref="B1288:C1288"/>
    <mergeCell ref="B1289:C1289"/>
    <mergeCell ref="B1290:C1290"/>
    <mergeCell ref="B1291:C1291"/>
    <mergeCell ref="B1257:C1257"/>
    <mergeCell ref="B1258:C1258"/>
    <mergeCell ref="B1252:C1254"/>
    <mergeCell ref="D1252:E1252"/>
    <mergeCell ref="D1253:E1253"/>
    <mergeCell ref="D1254:E1254"/>
    <mergeCell ref="B1264:C1264"/>
    <mergeCell ref="B1265:E1265"/>
    <mergeCell ref="B1266:G1266"/>
    <mergeCell ref="B1267:G1267"/>
    <mergeCell ref="B1260:C1260"/>
    <mergeCell ref="B1261:C1261"/>
    <mergeCell ref="B1262:C1262"/>
    <mergeCell ref="B1263:C1263"/>
    <mergeCell ref="B1273:G1273"/>
    <mergeCell ref="B1274:F1274"/>
    <mergeCell ref="B1275:E1275"/>
    <mergeCell ref="B1240:G1240"/>
    <mergeCell ref="B1241:C1241"/>
    <mergeCell ref="B1243:C1243"/>
    <mergeCell ref="B1235:C1235"/>
    <mergeCell ref="B1236:C1236"/>
    <mergeCell ref="B1237:C1237"/>
    <mergeCell ref="B1238:E1238"/>
    <mergeCell ref="B1248:C1248"/>
    <mergeCell ref="B1249:C1249"/>
    <mergeCell ref="B1250:C1250"/>
    <mergeCell ref="B1251:C1251"/>
    <mergeCell ref="B1244:C1244"/>
    <mergeCell ref="B1245:C1245"/>
    <mergeCell ref="B1246:C1246"/>
    <mergeCell ref="B1247:C1247"/>
    <mergeCell ref="B1255:G1255"/>
    <mergeCell ref="B1256:G1256"/>
    <mergeCell ref="B1221:F1221"/>
    <mergeCell ref="B1222:E1222"/>
    <mergeCell ref="B1223:F1223"/>
    <mergeCell ref="C1224:E1224"/>
    <mergeCell ref="B1217:C1217"/>
    <mergeCell ref="B1218:C1218"/>
    <mergeCell ref="B1219:E1219"/>
    <mergeCell ref="B1220:G1220"/>
    <mergeCell ref="B1230:C1230"/>
    <mergeCell ref="B1232:C1232"/>
    <mergeCell ref="B1233:C1233"/>
    <mergeCell ref="B1234:C1234"/>
    <mergeCell ref="C1225:E1225"/>
    <mergeCell ref="C1226:G1226"/>
    <mergeCell ref="B1227:G1227"/>
    <mergeCell ref="B1228:G1228"/>
    <mergeCell ref="B1239:G1239"/>
    <mergeCell ref="B1199:C1201"/>
    <mergeCell ref="B1192:C1192"/>
    <mergeCell ref="B1193:C1193"/>
    <mergeCell ref="B1194:C1194"/>
    <mergeCell ref="B1195:C1195"/>
    <mergeCell ref="B1203:G1203"/>
    <mergeCell ref="B1204:C1204"/>
    <mergeCell ref="B1205:C1205"/>
    <mergeCell ref="B1207:C1207"/>
    <mergeCell ref="D1199:E1199"/>
    <mergeCell ref="D1200:E1200"/>
    <mergeCell ref="D1201:E1201"/>
    <mergeCell ref="B1202:G1202"/>
    <mergeCell ref="B1212:E1212"/>
    <mergeCell ref="B1213:G1213"/>
    <mergeCell ref="B1214:G1214"/>
    <mergeCell ref="B1215:C1215"/>
    <mergeCell ref="B1208:C1208"/>
    <mergeCell ref="B1209:C1209"/>
    <mergeCell ref="B1210:C1210"/>
    <mergeCell ref="B1211:C1211"/>
    <mergeCell ref="B1181:C1181"/>
    <mergeCell ref="B1182:C1182"/>
    <mergeCell ref="C1173:G1173"/>
    <mergeCell ref="B1174:G1174"/>
    <mergeCell ref="B1175:G1175"/>
    <mergeCell ref="B1177:C1177"/>
    <mergeCell ref="B1187:G1187"/>
    <mergeCell ref="B1188:C1188"/>
    <mergeCell ref="B1190:C1190"/>
    <mergeCell ref="B1191:C1191"/>
    <mergeCell ref="B1183:C1183"/>
    <mergeCell ref="B1184:C1184"/>
    <mergeCell ref="B1185:E1185"/>
    <mergeCell ref="B1186:G1186"/>
    <mergeCell ref="B1196:C1196"/>
    <mergeCell ref="B1197:C1197"/>
    <mergeCell ref="B1198:C1198"/>
    <mergeCell ref="B1179:C1179"/>
    <mergeCell ref="B34:C36"/>
    <mergeCell ref="D34:E34"/>
    <mergeCell ref="D35:E35"/>
    <mergeCell ref="D36:E36"/>
    <mergeCell ref="B37:G37"/>
    <mergeCell ref="B38:G38"/>
    <mergeCell ref="B25:C25"/>
    <mergeCell ref="B26:C26"/>
    <mergeCell ref="B27:C27"/>
    <mergeCell ref="B28:C28"/>
    <mergeCell ref="B32:C32"/>
    <mergeCell ref="B33:C33"/>
    <mergeCell ref="C7:E7"/>
    <mergeCell ref="B19:C19"/>
    <mergeCell ref="C8:G8"/>
    <mergeCell ref="B1180:C1180"/>
    <mergeCell ref="B40:C40"/>
    <mergeCell ref="B42:C42"/>
    <mergeCell ref="B43:C43"/>
    <mergeCell ref="B44:C44"/>
    <mergeCell ref="B45:C45"/>
    <mergeCell ref="B18:C18"/>
    <mergeCell ref="B20:E20"/>
    <mergeCell ref="B21:G21"/>
    <mergeCell ref="B53:C53"/>
    <mergeCell ref="B54:E54"/>
    <mergeCell ref="B55:G55"/>
    <mergeCell ref="B56:F56"/>
    <mergeCell ref="B57:E57"/>
    <mergeCell ref="B58:F58"/>
    <mergeCell ref="B46:C46"/>
    <mergeCell ref="B47:E47"/>
    <mergeCell ref="C3:G3"/>
    <mergeCell ref="B4:G4"/>
    <mergeCell ref="C1:G1"/>
    <mergeCell ref="C2:G2"/>
    <mergeCell ref="C5:G5"/>
    <mergeCell ref="C6:E6"/>
    <mergeCell ref="C1171:E1171"/>
    <mergeCell ref="C1172:E1172"/>
    <mergeCell ref="B9:G9"/>
    <mergeCell ref="B10:G10"/>
    <mergeCell ref="B12:C12"/>
    <mergeCell ref="B14:C14"/>
    <mergeCell ref="B29:C29"/>
    <mergeCell ref="B30:C30"/>
    <mergeCell ref="B31:C31"/>
    <mergeCell ref="B23:C23"/>
    <mergeCell ref="B226:C226"/>
    <mergeCell ref="B227:C227"/>
    <mergeCell ref="B228:C228"/>
    <mergeCell ref="B229:C229"/>
    <mergeCell ref="B230:C230"/>
    <mergeCell ref="B231:C231"/>
    <mergeCell ref="C218:E218"/>
    <mergeCell ref="C219:E219"/>
    <mergeCell ref="C220:G220"/>
    <mergeCell ref="B221:G221"/>
    <mergeCell ref="B222:G222"/>
    <mergeCell ref="B224:C224"/>
    <mergeCell ref="B22:G22"/>
    <mergeCell ref="B15:C15"/>
    <mergeCell ref="B16:C16"/>
    <mergeCell ref="B17:C17"/>
    <mergeCell ref="B48:G48"/>
    <mergeCell ref="B49:G49"/>
    <mergeCell ref="B50:C50"/>
    <mergeCell ref="B52:C52"/>
    <mergeCell ref="B39:C39"/>
    <mergeCell ref="B255:C255"/>
    <mergeCell ref="B256:C256"/>
    <mergeCell ref="B245:C245"/>
    <mergeCell ref="B246:C248"/>
    <mergeCell ref="D246:E246"/>
    <mergeCell ref="D247:E247"/>
    <mergeCell ref="D248:E248"/>
    <mergeCell ref="B249:G249"/>
    <mergeCell ref="B239:C239"/>
    <mergeCell ref="B240:C240"/>
    <mergeCell ref="B241:C241"/>
    <mergeCell ref="B242:C242"/>
    <mergeCell ref="B243:C243"/>
    <mergeCell ref="B244:C244"/>
    <mergeCell ref="B232:E232"/>
    <mergeCell ref="B233:G233"/>
    <mergeCell ref="B234:G234"/>
    <mergeCell ref="B235:C235"/>
    <mergeCell ref="B237:C237"/>
    <mergeCell ref="B238:C238"/>
    <mergeCell ref="B84:C84"/>
    <mergeCell ref="B85:C85"/>
    <mergeCell ref="B86:C86"/>
    <mergeCell ref="B87:C89"/>
    <mergeCell ref="D87:E87"/>
    <mergeCell ref="D88:E88"/>
    <mergeCell ref="D89:E89"/>
    <mergeCell ref="B443:C443"/>
    <mergeCell ref="B444:E444"/>
    <mergeCell ref="B445:G445"/>
    <mergeCell ref="B446:G446"/>
    <mergeCell ref="B447:C447"/>
    <mergeCell ref="B449:C449"/>
    <mergeCell ref="B436:C436"/>
    <mergeCell ref="B438:C438"/>
    <mergeCell ref="B439:C439"/>
    <mergeCell ref="B440:C440"/>
    <mergeCell ref="B441:C441"/>
    <mergeCell ref="B442:C442"/>
    <mergeCell ref="B270:F270"/>
    <mergeCell ref="C430:E430"/>
    <mergeCell ref="C431:E431"/>
    <mergeCell ref="C432:G432"/>
    <mergeCell ref="B433:G433"/>
    <mergeCell ref="B434:G434"/>
    <mergeCell ref="B281:C281"/>
    <mergeCell ref="B282:C282"/>
    <mergeCell ref="B283:C283"/>
    <mergeCell ref="B284:C284"/>
    <mergeCell ref="B285:E285"/>
    <mergeCell ref="B286:G286"/>
    <mergeCell ref="B287:G287"/>
    <mergeCell ref="B288:C288"/>
    <mergeCell ref="B290:C290"/>
    <mergeCell ref="B291:C291"/>
    <mergeCell ref="B303:G303"/>
    <mergeCell ref="B304:C304"/>
    <mergeCell ref="B305:C305"/>
    <mergeCell ref="B307:C307"/>
    <mergeCell ref="B461:G461"/>
    <mergeCell ref="B462:G462"/>
    <mergeCell ref="B463:C463"/>
    <mergeCell ref="B464:C464"/>
    <mergeCell ref="B466:C466"/>
    <mergeCell ref="B467:C467"/>
    <mergeCell ref="B456:C456"/>
    <mergeCell ref="B457:C457"/>
    <mergeCell ref="B458:C460"/>
    <mergeCell ref="D458:E458"/>
    <mergeCell ref="D459:E459"/>
    <mergeCell ref="D460:E460"/>
    <mergeCell ref="B450:C450"/>
    <mergeCell ref="B451:C451"/>
    <mergeCell ref="B452:C452"/>
    <mergeCell ref="B453:C453"/>
    <mergeCell ref="B454:C454"/>
    <mergeCell ref="B455:C455"/>
    <mergeCell ref="B481:E481"/>
    <mergeCell ref="B482:F482"/>
    <mergeCell ref="C483:E483"/>
    <mergeCell ref="C484:E484"/>
    <mergeCell ref="C485:G485"/>
    <mergeCell ref="B486:G486"/>
    <mergeCell ref="B474:C474"/>
    <mergeCell ref="B476:C476"/>
    <mergeCell ref="B477:C477"/>
    <mergeCell ref="B478:E478"/>
    <mergeCell ref="B479:G479"/>
    <mergeCell ref="B480:F480"/>
    <mergeCell ref="B468:C468"/>
    <mergeCell ref="B469:C469"/>
    <mergeCell ref="B470:C470"/>
    <mergeCell ref="B471:E471"/>
    <mergeCell ref="B472:G472"/>
    <mergeCell ref="B473:G473"/>
    <mergeCell ref="B503:C503"/>
    <mergeCell ref="B504:C504"/>
    <mergeCell ref="B505:C505"/>
    <mergeCell ref="B506:C506"/>
    <mergeCell ref="B507:C507"/>
    <mergeCell ref="B508:C508"/>
    <mergeCell ref="B496:E496"/>
    <mergeCell ref="B497:G497"/>
    <mergeCell ref="B498:G498"/>
    <mergeCell ref="B499:C499"/>
    <mergeCell ref="B501:C501"/>
    <mergeCell ref="B502:C502"/>
    <mergeCell ref="B493:C493"/>
    <mergeCell ref="B494:C494"/>
    <mergeCell ref="B495:C495"/>
    <mergeCell ref="B487:G487"/>
    <mergeCell ref="B489:C489"/>
    <mergeCell ref="B491:C491"/>
    <mergeCell ref="B492:C492"/>
    <mergeCell ref="B523:C523"/>
    <mergeCell ref="B524:E524"/>
    <mergeCell ref="B525:G525"/>
    <mergeCell ref="B526:G526"/>
    <mergeCell ref="B527:C527"/>
    <mergeCell ref="B529:C529"/>
    <mergeCell ref="B516:C516"/>
    <mergeCell ref="B517:C517"/>
    <mergeCell ref="B519:C519"/>
    <mergeCell ref="B520:C520"/>
    <mergeCell ref="B521:C521"/>
    <mergeCell ref="B522:C522"/>
    <mergeCell ref="B511:C513"/>
    <mergeCell ref="D511:E511"/>
    <mergeCell ref="D512:E512"/>
    <mergeCell ref="D513:E513"/>
    <mergeCell ref="B514:G514"/>
    <mergeCell ref="B515:G515"/>
    <mergeCell ref="C537:E537"/>
    <mergeCell ref="C538:G538"/>
    <mergeCell ref="B805:G805"/>
    <mergeCell ref="B807:C807"/>
    <mergeCell ref="B809:C809"/>
    <mergeCell ref="B810:C810"/>
    <mergeCell ref="B539:G539"/>
    <mergeCell ref="B540:G540"/>
    <mergeCell ref="B542:C542"/>
    <mergeCell ref="B544:C544"/>
    <mergeCell ref="B530:C530"/>
    <mergeCell ref="B531:E531"/>
    <mergeCell ref="C801:E801"/>
    <mergeCell ref="C803:G803"/>
    <mergeCell ref="B804:G804"/>
    <mergeCell ref="B532:G532"/>
    <mergeCell ref="B533:F533"/>
    <mergeCell ref="B534:E534"/>
    <mergeCell ref="B535:F535"/>
    <mergeCell ref="C536:E536"/>
    <mergeCell ref="B545:C545"/>
    <mergeCell ref="B546:C546"/>
    <mergeCell ref="B547:C547"/>
    <mergeCell ref="B548:C548"/>
    <mergeCell ref="B549:E549"/>
    <mergeCell ref="B550:G550"/>
    <mergeCell ref="B558:C558"/>
    <mergeCell ref="B559:C559"/>
    <mergeCell ref="B560:C560"/>
    <mergeCell ref="B561:C561"/>
    <mergeCell ref="B562:C562"/>
    <mergeCell ref="B563:C563"/>
    <mergeCell ref="B836:C836"/>
    <mergeCell ref="B837:C837"/>
    <mergeCell ref="B838:C838"/>
    <mergeCell ref="B839:C839"/>
    <mergeCell ref="B850:F850"/>
    <mergeCell ref="B846:C846"/>
    <mergeCell ref="B847:C847"/>
    <mergeCell ref="B848:E848"/>
    <mergeCell ref="B825:C825"/>
    <mergeCell ref="B828:C830"/>
    <mergeCell ref="B826:C826"/>
    <mergeCell ref="B827:C827"/>
    <mergeCell ref="D828:E828"/>
    <mergeCell ref="D829:E829"/>
    <mergeCell ref="D830:E830"/>
    <mergeCell ref="B817:C817"/>
    <mergeCell ref="B811:C811"/>
    <mergeCell ref="B812:C812"/>
    <mergeCell ref="B813:C813"/>
    <mergeCell ref="B823:C823"/>
    <mergeCell ref="B824:C824"/>
    <mergeCell ref="B821:C821"/>
    <mergeCell ref="B814:E814"/>
    <mergeCell ref="B815:G815"/>
    <mergeCell ref="B816:G816"/>
    <mergeCell ref="B873:C873"/>
    <mergeCell ref="B876:C876"/>
    <mergeCell ref="B880:C880"/>
    <mergeCell ref="B881:C883"/>
    <mergeCell ref="B884:G884"/>
    <mergeCell ref="C853:E853"/>
    <mergeCell ref="C854:E854"/>
    <mergeCell ref="B1016:G1016"/>
    <mergeCell ref="B1018:C1018"/>
    <mergeCell ref="B868:G868"/>
    <mergeCell ref="B869:C869"/>
    <mergeCell ref="C1013:E1013"/>
    <mergeCell ref="B863:C863"/>
    <mergeCell ref="C855:G855"/>
    <mergeCell ref="D881:E881"/>
    <mergeCell ref="B877:C877"/>
    <mergeCell ref="B875:C875"/>
    <mergeCell ref="B878:C878"/>
    <mergeCell ref="C1014:G1014"/>
    <mergeCell ref="B1015:G1015"/>
    <mergeCell ref="D882:E882"/>
    <mergeCell ref="D883:E883"/>
    <mergeCell ref="B885:G885"/>
    <mergeCell ref="C1012:E1012"/>
    <mergeCell ref="B856:G856"/>
    <mergeCell ref="B857:G857"/>
    <mergeCell ref="B859:C859"/>
    <mergeCell ref="B861:C861"/>
    <mergeCell ref="B862:C862"/>
    <mergeCell ref="B887:C887"/>
    <mergeCell ref="B889:C889"/>
    <mergeCell ref="B890:C890"/>
    <mergeCell ref="B1032:C1032"/>
    <mergeCell ref="B1033:C1033"/>
    <mergeCell ref="B1034:C1034"/>
    <mergeCell ref="B1035:C1035"/>
    <mergeCell ref="B1036:C1036"/>
    <mergeCell ref="B1037:C1037"/>
    <mergeCell ref="B1025:C1025"/>
    <mergeCell ref="B1026:E1026"/>
    <mergeCell ref="B1027:G1027"/>
    <mergeCell ref="B1028:G1028"/>
    <mergeCell ref="B1029:C1029"/>
    <mergeCell ref="B1031:C1031"/>
    <mergeCell ref="B1022:C1022"/>
    <mergeCell ref="B1023:C1023"/>
    <mergeCell ref="B1024:C1024"/>
    <mergeCell ref="B879:C879"/>
    <mergeCell ref="B874:C874"/>
    <mergeCell ref="B1020:C1020"/>
    <mergeCell ref="B1021:C1021"/>
    <mergeCell ref="B900:C900"/>
    <mergeCell ref="B901:E901"/>
    <mergeCell ref="B902:G902"/>
    <mergeCell ref="B903:F903"/>
    <mergeCell ref="B904:E904"/>
    <mergeCell ref="B905:F905"/>
    <mergeCell ref="B893:C893"/>
    <mergeCell ref="B894:E894"/>
    <mergeCell ref="B895:G895"/>
    <mergeCell ref="B896:G896"/>
    <mergeCell ref="B897:C897"/>
    <mergeCell ref="B899:C899"/>
    <mergeCell ref="B886:C886"/>
    <mergeCell ref="C1067:G1067"/>
    <mergeCell ref="B1068:G1068"/>
    <mergeCell ref="B1061:G1061"/>
    <mergeCell ref="B1062:F1062"/>
    <mergeCell ref="B1063:E1063"/>
    <mergeCell ref="B1064:F1064"/>
    <mergeCell ref="C1066:E1066"/>
    <mergeCell ref="C1065:E1065"/>
    <mergeCell ref="B1051:C1051"/>
    <mergeCell ref="B1052:C1052"/>
    <mergeCell ref="B1043:G1043"/>
    <mergeCell ref="B1044:G1044"/>
    <mergeCell ref="B1045:C1045"/>
    <mergeCell ref="B1046:C1046"/>
    <mergeCell ref="B1038:C1038"/>
    <mergeCell ref="B1039:C1039"/>
    <mergeCell ref="B1040:C1042"/>
    <mergeCell ref="D1040:E1040"/>
    <mergeCell ref="D1041:E1041"/>
    <mergeCell ref="D1042:E1042"/>
    <mergeCell ref="B1056:C1056"/>
    <mergeCell ref="B1058:C1058"/>
    <mergeCell ref="B1053:E1053"/>
    <mergeCell ref="B1054:G1054"/>
    <mergeCell ref="B1055:G1055"/>
    <mergeCell ref="B1048:C1048"/>
    <mergeCell ref="B1049:C1049"/>
    <mergeCell ref="B1050:C1050"/>
    <mergeCell ref="B1084:C1084"/>
    <mergeCell ref="B1085:C1085"/>
    <mergeCell ref="B1086:C1086"/>
    <mergeCell ref="B1087:C1087"/>
    <mergeCell ref="B1088:C1088"/>
    <mergeCell ref="B1089:C1089"/>
    <mergeCell ref="B1077:C1077"/>
    <mergeCell ref="B1078:C1078"/>
    <mergeCell ref="B1079:E1079"/>
    <mergeCell ref="B1080:G1080"/>
    <mergeCell ref="B1081:G1081"/>
    <mergeCell ref="B1082:C1082"/>
    <mergeCell ref="B1069:G1069"/>
    <mergeCell ref="B1071:C1071"/>
    <mergeCell ref="B1073:C1073"/>
    <mergeCell ref="B1074:C1074"/>
    <mergeCell ref="B1075:C1075"/>
    <mergeCell ref="B1076:C1076"/>
    <mergeCell ref="B1103:C1103"/>
    <mergeCell ref="B1104:C1104"/>
    <mergeCell ref="B1105:C1105"/>
    <mergeCell ref="B1106:E1106"/>
    <mergeCell ref="B1107:G1107"/>
    <mergeCell ref="B1108:G1108"/>
    <mergeCell ref="B1096:G1096"/>
    <mergeCell ref="B1097:G1097"/>
    <mergeCell ref="B1098:C1098"/>
    <mergeCell ref="B1099:C1099"/>
    <mergeCell ref="B1101:C1101"/>
    <mergeCell ref="B1102:C1102"/>
    <mergeCell ref="B1090:C1090"/>
    <mergeCell ref="B1091:C1091"/>
    <mergeCell ref="B1092:C1092"/>
    <mergeCell ref="B1093:C1095"/>
    <mergeCell ref="D1093:E1093"/>
    <mergeCell ref="D1094:E1094"/>
    <mergeCell ref="D1095:E1095"/>
    <mergeCell ref="B1124:C1124"/>
    <mergeCell ref="B1126:C1126"/>
    <mergeCell ref="B1127:C1127"/>
    <mergeCell ref="B1128:C1128"/>
    <mergeCell ref="B1129:C1129"/>
    <mergeCell ref="B1116:E1116"/>
    <mergeCell ref="B1117:F1117"/>
    <mergeCell ref="C1118:E1118"/>
    <mergeCell ref="C1119:E1119"/>
    <mergeCell ref="C1120:G1120"/>
    <mergeCell ref="B1121:G1121"/>
    <mergeCell ref="B1109:C1109"/>
    <mergeCell ref="B1111:C1111"/>
    <mergeCell ref="B1112:C1112"/>
    <mergeCell ref="B1113:E1113"/>
    <mergeCell ref="B1114:G1114"/>
    <mergeCell ref="B1115:F1115"/>
    <mergeCell ref="B1170:F1170"/>
    <mergeCell ref="B1059:C1059"/>
    <mergeCell ref="B1060:E1060"/>
    <mergeCell ref="B509:C509"/>
    <mergeCell ref="B510:C510"/>
    <mergeCell ref="C802:E802"/>
    <mergeCell ref="B822:C822"/>
    <mergeCell ref="B819:C819"/>
    <mergeCell ref="B820:C820"/>
    <mergeCell ref="B1162:C1162"/>
    <mergeCell ref="B1164:C1164"/>
    <mergeCell ref="B1165:C1165"/>
    <mergeCell ref="B1166:E1166"/>
    <mergeCell ref="B1167:G1167"/>
    <mergeCell ref="B1168:F1168"/>
    <mergeCell ref="B1156:C1156"/>
    <mergeCell ref="B1157:C1157"/>
    <mergeCell ref="B1158:C1158"/>
    <mergeCell ref="B1159:E1159"/>
    <mergeCell ref="B1160:G1160"/>
    <mergeCell ref="B1161:G1161"/>
    <mergeCell ref="B1149:G1149"/>
    <mergeCell ref="B1150:G1150"/>
    <mergeCell ref="B1151:C1151"/>
    <mergeCell ref="B1152:C1152"/>
    <mergeCell ref="B1154:C1154"/>
    <mergeCell ref="B1155:C1155"/>
    <mergeCell ref="B1143:C1143"/>
    <mergeCell ref="B1144:C1144"/>
    <mergeCell ref="B1145:C1145"/>
    <mergeCell ref="B1146:C1148"/>
    <mergeCell ref="D1146:E1146"/>
    <mergeCell ref="B1169:E1169"/>
    <mergeCell ref="D1147:E1147"/>
    <mergeCell ref="D1148:E1148"/>
    <mergeCell ref="B1137:C1137"/>
    <mergeCell ref="B1138:C1138"/>
    <mergeCell ref="B1139:C1139"/>
    <mergeCell ref="B1140:C1140"/>
    <mergeCell ref="B1141:C1141"/>
    <mergeCell ref="B1142:C1142"/>
    <mergeCell ref="B1130:C1130"/>
    <mergeCell ref="B1131:C1131"/>
    <mergeCell ref="B1132:E1132"/>
    <mergeCell ref="B1133:G1133"/>
    <mergeCell ref="B1134:G1134"/>
    <mergeCell ref="B1135:C1135"/>
    <mergeCell ref="B1122:G1122"/>
    <mergeCell ref="B564:C566"/>
    <mergeCell ref="D564:E564"/>
    <mergeCell ref="D565:E565"/>
    <mergeCell ref="D566:E566"/>
    <mergeCell ref="B567:G567"/>
    <mergeCell ref="B568:G568"/>
    <mergeCell ref="B603:G603"/>
    <mergeCell ref="B604:G604"/>
    <mergeCell ref="B605:C605"/>
    <mergeCell ref="B607:C607"/>
    <mergeCell ref="B608:C608"/>
    <mergeCell ref="B609:C609"/>
    <mergeCell ref="B597:C597"/>
    <mergeCell ref="B598:C598"/>
    <mergeCell ref="B599:C599"/>
    <mergeCell ref="B600:C600"/>
    <mergeCell ref="B551:G551"/>
    <mergeCell ref="B552:C552"/>
    <mergeCell ref="B554:C554"/>
    <mergeCell ref="B555:C555"/>
    <mergeCell ref="B556:C556"/>
    <mergeCell ref="B557:C557"/>
    <mergeCell ref="B583:C583"/>
    <mergeCell ref="B584:E584"/>
    <mergeCell ref="B585:G585"/>
    <mergeCell ref="B586:F586"/>
    <mergeCell ref="B587:E587"/>
    <mergeCell ref="B588:F588"/>
    <mergeCell ref="B576:C576"/>
    <mergeCell ref="B577:E577"/>
    <mergeCell ref="B578:G578"/>
    <mergeCell ref="B579:G579"/>
    <mergeCell ref="B580:C580"/>
    <mergeCell ref="B582:C582"/>
    <mergeCell ref="B569:C569"/>
    <mergeCell ref="B570:C570"/>
    <mergeCell ref="B572:C572"/>
    <mergeCell ref="B573:C573"/>
    <mergeCell ref="B574:C574"/>
    <mergeCell ref="B575:C575"/>
    <mergeCell ref="B601:C601"/>
    <mergeCell ref="B602:E602"/>
    <mergeCell ref="C589:E589"/>
    <mergeCell ref="C590:E590"/>
    <mergeCell ref="C591:G591"/>
    <mergeCell ref="B592:G592"/>
    <mergeCell ref="B593:G593"/>
    <mergeCell ref="B595:C595"/>
    <mergeCell ref="B621:G621"/>
    <mergeCell ref="B622:C622"/>
    <mergeCell ref="B623:C623"/>
    <mergeCell ref="B625:C625"/>
    <mergeCell ref="B626:C626"/>
    <mergeCell ref="B627:C627"/>
    <mergeCell ref="B616:C616"/>
    <mergeCell ref="B617:C619"/>
    <mergeCell ref="D617:E617"/>
    <mergeCell ref="D618:E618"/>
    <mergeCell ref="D619:E619"/>
    <mergeCell ref="B620:G620"/>
    <mergeCell ref="B610:C610"/>
    <mergeCell ref="B611:C611"/>
    <mergeCell ref="B612:C612"/>
    <mergeCell ref="B613:C613"/>
    <mergeCell ref="B614:C614"/>
    <mergeCell ref="B615:C615"/>
    <mergeCell ref="B641:F641"/>
    <mergeCell ref="C642:E642"/>
    <mergeCell ref="C643:E643"/>
    <mergeCell ref="C644:G644"/>
    <mergeCell ref="B645:G645"/>
    <mergeCell ref="B646:G646"/>
    <mergeCell ref="B635:C635"/>
    <mergeCell ref="B636:C636"/>
    <mergeCell ref="B637:E637"/>
    <mergeCell ref="B638:G638"/>
    <mergeCell ref="B639:F639"/>
    <mergeCell ref="B640:E640"/>
    <mergeCell ref="B628:C628"/>
    <mergeCell ref="B629:C629"/>
    <mergeCell ref="B630:E630"/>
    <mergeCell ref="B631:G631"/>
    <mergeCell ref="B632:G632"/>
    <mergeCell ref="B633:C633"/>
    <mergeCell ref="B662:C662"/>
    <mergeCell ref="B663:C663"/>
    <mergeCell ref="B664:C664"/>
    <mergeCell ref="B665:C665"/>
    <mergeCell ref="B666:C666"/>
    <mergeCell ref="B667:C667"/>
    <mergeCell ref="B655:E655"/>
    <mergeCell ref="B656:G656"/>
    <mergeCell ref="B657:G657"/>
    <mergeCell ref="B658:C658"/>
    <mergeCell ref="B660:C660"/>
    <mergeCell ref="B661:C661"/>
    <mergeCell ref="B648:C648"/>
    <mergeCell ref="B650:C650"/>
    <mergeCell ref="B651:C651"/>
    <mergeCell ref="B652:C652"/>
    <mergeCell ref="B653:C653"/>
    <mergeCell ref="B654:C654"/>
    <mergeCell ref="B680:C680"/>
    <mergeCell ref="B681:C681"/>
    <mergeCell ref="B682:C682"/>
    <mergeCell ref="B683:E683"/>
    <mergeCell ref="B684:G684"/>
    <mergeCell ref="B685:G685"/>
    <mergeCell ref="B673:G673"/>
    <mergeCell ref="B674:G674"/>
    <mergeCell ref="B675:C675"/>
    <mergeCell ref="B676:C676"/>
    <mergeCell ref="B678:C678"/>
    <mergeCell ref="B679:C679"/>
    <mergeCell ref="B668:C668"/>
    <mergeCell ref="B669:C669"/>
    <mergeCell ref="B670:C672"/>
    <mergeCell ref="D670:E670"/>
    <mergeCell ref="D671:E671"/>
    <mergeCell ref="D672:E672"/>
    <mergeCell ref="B699:G699"/>
    <mergeCell ref="B701:C701"/>
    <mergeCell ref="B703:C703"/>
    <mergeCell ref="B704:C704"/>
    <mergeCell ref="B705:C705"/>
    <mergeCell ref="B706:C706"/>
    <mergeCell ref="B693:E693"/>
    <mergeCell ref="B694:F694"/>
    <mergeCell ref="C695:E695"/>
    <mergeCell ref="C696:E696"/>
    <mergeCell ref="C697:G697"/>
    <mergeCell ref="B698:G698"/>
    <mergeCell ref="B686:C686"/>
    <mergeCell ref="B688:C688"/>
    <mergeCell ref="B689:C689"/>
    <mergeCell ref="B690:E690"/>
    <mergeCell ref="B691:G691"/>
    <mergeCell ref="B692:F692"/>
    <mergeCell ref="B720:C720"/>
    <mergeCell ref="B721:C721"/>
    <mergeCell ref="B722:C722"/>
    <mergeCell ref="B723:C725"/>
    <mergeCell ref="D723:E723"/>
    <mergeCell ref="D724:E724"/>
    <mergeCell ref="D725:E725"/>
    <mergeCell ref="B714:C714"/>
    <mergeCell ref="B715:C715"/>
    <mergeCell ref="B716:C716"/>
    <mergeCell ref="B717:C717"/>
    <mergeCell ref="B718:C718"/>
    <mergeCell ref="B719:C719"/>
    <mergeCell ref="B707:C707"/>
    <mergeCell ref="B708:E708"/>
    <mergeCell ref="B709:G709"/>
    <mergeCell ref="B710:G710"/>
    <mergeCell ref="B711:C711"/>
    <mergeCell ref="B713:C713"/>
    <mergeCell ref="B739:C739"/>
    <mergeCell ref="B741:C741"/>
    <mergeCell ref="B742:C742"/>
    <mergeCell ref="B743:E743"/>
    <mergeCell ref="B744:G744"/>
    <mergeCell ref="B745:F745"/>
    <mergeCell ref="B733:C733"/>
    <mergeCell ref="B734:C734"/>
    <mergeCell ref="B735:C735"/>
    <mergeCell ref="B736:E736"/>
    <mergeCell ref="B737:G737"/>
    <mergeCell ref="B738:G738"/>
    <mergeCell ref="B726:G726"/>
    <mergeCell ref="B727:G727"/>
    <mergeCell ref="B728:C728"/>
    <mergeCell ref="B729:C729"/>
    <mergeCell ref="B731:C731"/>
    <mergeCell ref="B732:C732"/>
    <mergeCell ref="B760:C760"/>
    <mergeCell ref="B761:E761"/>
    <mergeCell ref="B762:G762"/>
    <mergeCell ref="B763:G763"/>
    <mergeCell ref="B764:C764"/>
    <mergeCell ref="B766:C766"/>
    <mergeCell ref="B752:G752"/>
    <mergeCell ref="B754:C754"/>
    <mergeCell ref="B756:C756"/>
    <mergeCell ref="B757:C757"/>
    <mergeCell ref="B758:C758"/>
    <mergeCell ref="B759:C759"/>
    <mergeCell ref="B746:E746"/>
    <mergeCell ref="B747:F747"/>
    <mergeCell ref="C748:E748"/>
    <mergeCell ref="C749:E749"/>
    <mergeCell ref="C750:G750"/>
    <mergeCell ref="B751:G751"/>
    <mergeCell ref="B779:G779"/>
    <mergeCell ref="B780:G780"/>
    <mergeCell ref="B781:C781"/>
    <mergeCell ref="B782:C782"/>
    <mergeCell ref="B784:C784"/>
    <mergeCell ref="B785:C785"/>
    <mergeCell ref="B773:C773"/>
    <mergeCell ref="B774:C774"/>
    <mergeCell ref="B775:C775"/>
    <mergeCell ref="B776:C778"/>
    <mergeCell ref="D776:E776"/>
    <mergeCell ref="D777:E777"/>
    <mergeCell ref="D778:E778"/>
    <mergeCell ref="B767:C767"/>
    <mergeCell ref="B768:C768"/>
    <mergeCell ref="B769:C769"/>
    <mergeCell ref="B770:C770"/>
    <mergeCell ref="B771:C771"/>
    <mergeCell ref="B772:C772"/>
    <mergeCell ref="B799:E799"/>
    <mergeCell ref="B800:F800"/>
    <mergeCell ref="B871:C871"/>
    <mergeCell ref="B872:C872"/>
    <mergeCell ref="B864:C864"/>
    <mergeCell ref="B865:C865"/>
    <mergeCell ref="B866:E866"/>
    <mergeCell ref="B867:G867"/>
    <mergeCell ref="B851:E851"/>
    <mergeCell ref="B852:F852"/>
    <mergeCell ref="B792:C792"/>
    <mergeCell ref="B794:C794"/>
    <mergeCell ref="B795:C795"/>
    <mergeCell ref="B796:E796"/>
    <mergeCell ref="B797:G797"/>
    <mergeCell ref="B798:F798"/>
    <mergeCell ref="B786:C786"/>
    <mergeCell ref="B787:C787"/>
    <mergeCell ref="B788:C788"/>
    <mergeCell ref="B789:E789"/>
    <mergeCell ref="B790:G790"/>
    <mergeCell ref="B791:G791"/>
    <mergeCell ref="B840:C840"/>
    <mergeCell ref="B841:E841"/>
    <mergeCell ref="B842:G842"/>
    <mergeCell ref="B849:G849"/>
    <mergeCell ref="B843:G843"/>
    <mergeCell ref="B844:C844"/>
    <mergeCell ref="B831:G831"/>
    <mergeCell ref="B832:G832"/>
    <mergeCell ref="B833:C833"/>
    <mergeCell ref="B834:C834"/>
    <mergeCell ref="B891:C891"/>
    <mergeCell ref="B892:C892"/>
    <mergeCell ref="B920:G920"/>
    <mergeCell ref="B921:G921"/>
    <mergeCell ref="B922:C922"/>
    <mergeCell ref="B924:C924"/>
    <mergeCell ref="B925:C925"/>
    <mergeCell ref="B926:C926"/>
    <mergeCell ref="B914:C914"/>
    <mergeCell ref="B915:C915"/>
    <mergeCell ref="B916:C916"/>
    <mergeCell ref="B917:C917"/>
    <mergeCell ref="B918:C918"/>
    <mergeCell ref="B919:E919"/>
    <mergeCell ref="C906:E906"/>
    <mergeCell ref="C907:E907"/>
    <mergeCell ref="C908:G908"/>
    <mergeCell ref="B909:G909"/>
    <mergeCell ref="B910:G910"/>
    <mergeCell ref="B912:C912"/>
    <mergeCell ref="B938:G938"/>
    <mergeCell ref="B939:C939"/>
    <mergeCell ref="B940:C940"/>
    <mergeCell ref="B942:C942"/>
    <mergeCell ref="B943:C943"/>
    <mergeCell ref="B944:C944"/>
    <mergeCell ref="B933:C933"/>
    <mergeCell ref="B934:C936"/>
    <mergeCell ref="D934:E934"/>
    <mergeCell ref="D935:E935"/>
    <mergeCell ref="D936:E936"/>
    <mergeCell ref="B937:G937"/>
    <mergeCell ref="B927:C927"/>
    <mergeCell ref="B928:C928"/>
    <mergeCell ref="B929:C929"/>
    <mergeCell ref="B930:C930"/>
    <mergeCell ref="B931:C931"/>
    <mergeCell ref="B932:C932"/>
    <mergeCell ref="B958:F958"/>
    <mergeCell ref="C959:E959"/>
    <mergeCell ref="C960:E960"/>
    <mergeCell ref="C961:G961"/>
    <mergeCell ref="B962:G962"/>
    <mergeCell ref="B963:G963"/>
    <mergeCell ref="B952:C952"/>
    <mergeCell ref="B953:C953"/>
    <mergeCell ref="B954:E954"/>
    <mergeCell ref="B955:G955"/>
    <mergeCell ref="B956:F956"/>
    <mergeCell ref="B957:E957"/>
    <mergeCell ref="B945:C945"/>
    <mergeCell ref="B946:C946"/>
    <mergeCell ref="B947:E947"/>
    <mergeCell ref="B948:G948"/>
    <mergeCell ref="B949:G949"/>
    <mergeCell ref="B950:C950"/>
    <mergeCell ref="D988:E988"/>
    <mergeCell ref="D989:E989"/>
    <mergeCell ref="B979:C979"/>
    <mergeCell ref="B980:C980"/>
    <mergeCell ref="B981:C981"/>
    <mergeCell ref="B982:C982"/>
    <mergeCell ref="B983:C983"/>
    <mergeCell ref="B984:C984"/>
    <mergeCell ref="B972:E972"/>
    <mergeCell ref="B973:G973"/>
    <mergeCell ref="B974:G974"/>
    <mergeCell ref="B975:C975"/>
    <mergeCell ref="B977:C977"/>
    <mergeCell ref="B978:C978"/>
    <mergeCell ref="B965:C965"/>
    <mergeCell ref="B967:C967"/>
    <mergeCell ref="B968:C968"/>
    <mergeCell ref="B969:C969"/>
    <mergeCell ref="B970:C970"/>
    <mergeCell ref="B971:C971"/>
    <mergeCell ref="B1010:E1010"/>
    <mergeCell ref="B1011:F1011"/>
    <mergeCell ref="B67:C67"/>
    <mergeCell ref="B68:C68"/>
    <mergeCell ref="C59:E59"/>
    <mergeCell ref="C60:E60"/>
    <mergeCell ref="B62:G62"/>
    <mergeCell ref="B63:G63"/>
    <mergeCell ref="B65:C65"/>
    <mergeCell ref="C61:G61"/>
    <mergeCell ref="B1003:C1003"/>
    <mergeCell ref="B1005:C1005"/>
    <mergeCell ref="B1006:C1006"/>
    <mergeCell ref="B1007:E1007"/>
    <mergeCell ref="B1008:G1008"/>
    <mergeCell ref="B1009:F1009"/>
    <mergeCell ref="B997:C997"/>
    <mergeCell ref="B998:C998"/>
    <mergeCell ref="B999:C999"/>
    <mergeCell ref="B1000:E1000"/>
    <mergeCell ref="B1001:G1001"/>
    <mergeCell ref="B1002:G1002"/>
    <mergeCell ref="B990:G990"/>
    <mergeCell ref="B991:G991"/>
    <mergeCell ref="B992:C992"/>
    <mergeCell ref="B993:C993"/>
    <mergeCell ref="B995:C995"/>
    <mergeCell ref="B996:C996"/>
    <mergeCell ref="B985:C985"/>
    <mergeCell ref="B986:C986"/>
    <mergeCell ref="B987:C989"/>
    <mergeCell ref="D987:E987"/>
    <mergeCell ref="B78:C78"/>
    <mergeCell ref="B79:C79"/>
    <mergeCell ref="B80:C80"/>
    <mergeCell ref="B81:C81"/>
    <mergeCell ref="B82:C82"/>
    <mergeCell ref="B83:C83"/>
    <mergeCell ref="B74:G74"/>
    <mergeCell ref="B75:G75"/>
    <mergeCell ref="B76:C76"/>
    <mergeCell ref="B69:C69"/>
    <mergeCell ref="B70:C70"/>
    <mergeCell ref="B71:C71"/>
    <mergeCell ref="B72:C72"/>
    <mergeCell ref="B73:E73"/>
    <mergeCell ref="B103:C103"/>
    <mergeCell ref="B105:C105"/>
    <mergeCell ref="B106:C106"/>
    <mergeCell ref="B107:E107"/>
    <mergeCell ref="C112:E112"/>
    <mergeCell ref="C113:E113"/>
    <mergeCell ref="B97:C97"/>
    <mergeCell ref="B98:C98"/>
    <mergeCell ref="B99:C99"/>
    <mergeCell ref="B100:E100"/>
    <mergeCell ref="B101:G101"/>
    <mergeCell ref="B102:G102"/>
    <mergeCell ref="B90:G90"/>
    <mergeCell ref="B91:G91"/>
    <mergeCell ref="B92:C92"/>
    <mergeCell ref="B93:C93"/>
    <mergeCell ref="B95:C95"/>
    <mergeCell ref="B96:C96"/>
    <mergeCell ref="B124:C124"/>
    <mergeCell ref="B125:C125"/>
    <mergeCell ref="B126:E126"/>
    <mergeCell ref="B127:G127"/>
    <mergeCell ref="B128:G128"/>
    <mergeCell ref="B129:C129"/>
    <mergeCell ref="B116:G116"/>
    <mergeCell ref="B118:C118"/>
    <mergeCell ref="B120:C120"/>
    <mergeCell ref="B121:C121"/>
    <mergeCell ref="B122:C122"/>
    <mergeCell ref="B123:C123"/>
    <mergeCell ref="B115:G115"/>
    <mergeCell ref="B108:G108"/>
    <mergeCell ref="B109:F109"/>
    <mergeCell ref="B110:E110"/>
    <mergeCell ref="B111:F111"/>
    <mergeCell ref="C114:G114"/>
    <mergeCell ref="B143:G143"/>
    <mergeCell ref="B144:G144"/>
    <mergeCell ref="B145:C145"/>
    <mergeCell ref="B146:C146"/>
    <mergeCell ref="B148:C148"/>
    <mergeCell ref="B149:C149"/>
    <mergeCell ref="B137:C137"/>
    <mergeCell ref="B138:C138"/>
    <mergeCell ref="B139:C139"/>
    <mergeCell ref="B140:C142"/>
    <mergeCell ref="D140:E140"/>
    <mergeCell ref="D141:E141"/>
    <mergeCell ref="D142:E142"/>
    <mergeCell ref="B131:C131"/>
    <mergeCell ref="B132:C132"/>
    <mergeCell ref="B133:C133"/>
    <mergeCell ref="B134:C134"/>
    <mergeCell ref="B135:C135"/>
    <mergeCell ref="B136:C136"/>
    <mergeCell ref="B168:G168"/>
    <mergeCell ref="B161:G161"/>
    <mergeCell ref="B162:F162"/>
    <mergeCell ref="B163:E163"/>
    <mergeCell ref="B164:F164"/>
    <mergeCell ref="C167:G167"/>
    <mergeCell ref="B156:C156"/>
    <mergeCell ref="B158:C158"/>
    <mergeCell ref="B159:C159"/>
    <mergeCell ref="B160:E160"/>
    <mergeCell ref="C165:E165"/>
    <mergeCell ref="C166:E166"/>
    <mergeCell ref="B150:C150"/>
    <mergeCell ref="B151:C151"/>
    <mergeCell ref="B152:C152"/>
    <mergeCell ref="B153:E153"/>
    <mergeCell ref="B154:G154"/>
    <mergeCell ref="B155:G155"/>
    <mergeCell ref="B184:C184"/>
    <mergeCell ref="B185:C185"/>
    <mergeCell ref="B186:C186"/>
    <mergeCell ref="B187:C187"/>
    <mergeCell ref="B188:C188"/>
    <mergeCell ref="B189:C189"/>
    <mergeCell ref="B177:C177"/>
    <mergeCell ref="B178:C178"/>
    <mergeCell ref="B179:E179"/>
    <mergeCell ref="B180:G180"/>
    <mergeCell ref="B181:G181"/>
    <mergeCell ref="B182:C182"/>
    <mergeCell ref="B169:G169"/>
    <mergeCell ref="B171:C171"/>
    <mergeCell ref="B173:C173"/>
    <mergeCell ref="B174:C174"/>
    <mergeCell ref="B175:C175"/>
    <mergeCell ref="B176:C176"/>
    <mergeCell ref="B203:C203"/>
    <mergeCell ref="B204:C204"/>
    <mergeCell ref="B205:C205"/>
    <mergeCell ref="B206:E206"/>
    <mergeCell ref="B207:G207"/>
    <mergeCell ref="B208:G208"/>
    <mergeCell ref="B196:G196"/>
    <mergeCell ref="B197:G197"/>
    <mergeCell ref="B198:C198"/>
    <mergeCell ref="B199:C199"/>
    <mergeCell ref="B201:C201"/>
    <mergeCell ref="B202:C202"/>
    <mergeCell ref="B190:C190"/>
    <mergeCell ref="B191:C191"/>
    <mergeCell ref="B192:C192"/>
    <mergeCell ref="B193:C195"/>
    <mergeCell ref="D193:E193"/>
    <mergeCell ref="D194:E194"/>
    <mergeCell ref="D195:E195"/>
    <mergeCell ref="B216:E216"/>
    <mergeCell ref="B217:F217"/>
    <mergeCell ref="B279:C279"/>
    <mergeCell ref="B280:C280"/>
    <mergeCell ref="C271:E271"/>
    <mergeCell ref="C272:E272"/>
    <mergeCell ref="C273:G273"/>
    <mergeCell ref="B274:G274"/>
    <mergeCell ref="B275:G275"/>
    <mergeCell ref="B277:C277"/>
    <mergeCell ref="B209:C209"/>
    <mergeCell ref="B211:C211"/>
    <mergeCell ref="B212:C212"/>
    <mergeCell ref="B213:E213"/>
    <mergeCell ref="B214:G214"/>
    <mergeCell ref="B215:F215"/>
    <mergeCell ref="B264:C264"/>
    <mergeCell ref="B265:C265"/>
    <mergeCell ref="B266:E266"/>
    <mergeCell ref="B267:G267"/>
    <mergeCell ref="B268:F268"/>
    <mergeCell ref="B269:E269"/>
    <mergeCell ref="B257:C257"/>
    <mergeCell ref="B258:C258"/>
    <mergeCell ref="B259:E259"/>
    <mergeCell ref="B260:G260"/>
    <mergeCell ref="B261:G261"/>
    <mergeCell ref="B262:C262"/>
    <mergeCell ref="B250:G250"/>
    <mergeCell ref="B251:C251"/>
    <mergeCell ref="B252:C252"/>
    <mergeCell ref="B254:C254"/>
    <mergeCell ref="B308:C308"/>
    <mergeCell ref="B309:C309"/>
    <mergeCell ref="B298:C298"/>
    <mergeCell ref="B299:C301"/>
    <mergeCell ref="D299:E299"/>
    <mergeCell ref="D300:E300"/>
    <mergeCell ref="D301:E301"/>
    <mergeCell ref="B302:G302"/>
    <mergeCell ref="B292:C292"/>
    <mergeCell ref="B293:C293"/>
    <mergeCell ref="B294:C294"/>
    <mergeCell ref="B295:C295"/>
    <mergeCell ref="B296:C296"/>
    <mergeCell ref="B297:C297"/>
    <mergeCell ref="B323:F323"/>
    <mergeCell ref="C324:E324"/>
    <mergeCell ref="C325:E325"/>
    <mergeCell ref="C326:G326"/>
    <mergeCell ref="B327:G327"/>
    <mergeCell ref="B328:G328"/>
    <mergeCell ref="B317:C317"/>
    <mergeCell ref="B318:C318"/>
    <mergeCell ref="B319:E319"/>
    <mergeCell ref="B320:G320"/>
    <mergeCell ref="B321:F321"/>
    <mergeCell ref="B322:E322"/>
    <mergeCell ref="B310:C310"/>
    <mergeCell ref="B311:C311"/>
    <mergeCell ref="B312:E312"/>
    <mergeCell ref="B313:G313"/>
    <mergeCell ref="B314:G314"/>
    <mergeCell ref="B315:C315"/>
    <mergeCell ref="B344:C344"/>
    <mergeCell ref="B345:C345"/>
    <mergeCell ref="B346:C346"/>
    <mergeCell ref="B347:C347"/>
    <mergeCell ref="B348:C348"/>
    <mergeCell ref="B349:C349"/>
    <mergeCell ref="B337:C337"/>
    <mergeCell ref="B338:E338"/>
    <mergeCell ref="B339:G339"/>
    <mergeCell ref="B340:G340"/>
    <mergeCell ref="B341:C341"/>
    <mergeCell ref="B343:C343"/>
    <mergeCell ref="B330:C330"/>
    <mergeCell ref="B332:C332"/>
    <mergeCell ref="B333:C333"/>
    <mergeCell ref="B334:C334"/>
    <mergeCell ref="B335:C335"/>
    <mergeCell ref="B336:C336"/>
    <mergeCell ref="B362:C362"/>
    <mergeCell ref="B363:C363"/>
    <mergeCell ref="B364:C364"/>
    <mergeCell ref="B365:E365"/>
    <mergeCell ref="B366:G366"/>
    <mergeCell ref="B367:G367"/>
    <mergeCell ref="B355:G355"/>
    <mergeCell ref="B356:G356"/>
    <mergeCell ref="B357:C357"/>
    <mergeCell ref="B358:C358"/>
    <mergeCell ref="B360:C360"/>
    <mergeCell ref="B361:C361"/>
    <mergeCell ref="B350:C350"/>
    <mergeCell ref="B351:C351"/>
    <mergeCell ref="B352:C354"/>
    <mergeCell ref="D352:E352"/>
    <mergeCell ref="D353:E353"/>
    <mergeCell ref="D354:E354"/>
    <mergeCell ref="B381:G381"/>
    <mergeCell ref="B383:C383"/>
    <mergeCell ref="B385:C385"/>
    <mergeCell ref="B386:C386"/>
    <mergeCell ref="B387:C387"/>
    <mergeCell ref="B388:C388"/>
    <mergeCell ref="B375:E375"/>
    <mergeCell ref="B376:F376"/>
    <mergeCell ref="C377:E377"/>
    <mergeCell ref="C378:E378"/>
    <mergeCell ref="C379:G379"/>
    <mergeCell ref="B380:G380"/>
    <mergeCell ref="B368:C368"/>
    <mergeCell ref="B370:C370"/>
    <mergeCell ref="B371:C371"/>
    <mergeCell ref="B372:E372"/>
    <mergeCell ref="B373:G373"/>
    <mergeCell ref="B374:F374"/>
    <mergeCell ref="B402:C402"/>
    <mergeCell ref="B403:C403"/>
    <mergeCell ref="B404:C404"/>
    <mergeCell ref="B405:C407"/>
    <mergeCell ref="D405:E405"/>
    <mergeCell ref="D406:E406"/>
    <mergeCell ref="D407:E407"/>
    <mergeCell ref="B396:C396"/>
    <mergeCell ref="B397:C397"/>
    <mergeCell ref="B398:C398"/>
    <mergeCell ref="B399:C399"/>
    <mergeCell ref="B400:C400"/>
    <mergeCell ref="B401:C401"/>
    <mergeCell ref="B389:C389"/>
    <mergeCell ref="B390:C390"/>
    <mergeCell ref="B391:E391"/>
    <mergeCell ref="B392:G392"/>
    <mergeCell ref="B393:G393"/>
    <mergeCell ref="B394:C394"/>
    <mergeCell ref="B428:E428"/>
    <mergeCell ref="B429:F429"/>
    <mergeCell ref="B421:C421"/>
    <mergeCell ref="B423:C423"/>
    <mergeCell ref="B424:C424"/>
    <mergeCell ref="B425:E425"/>
    <mergeCell ref="B426:G426"/>
    <mergeCell ref="B427:F427"/>
    <mergeCell ref="B415:C415"/>
    <mergeCell ref="B416:C416"/>
    <mergeCell ref="B417:C417"/>
    <mergeCell ref="B418:E418"/>
    <mergeCell ref="B419:G419"/>
    <mergeCell ref="B420:G420"/>
    <mergeCell ref="B408:G408"/>
    <mergeCell ref="B409:G409"/>
    <mergeCell ref="B410:C410"/>
    <mergeCell ref="B411:C411"/>
    <mergeCell ref="B413:C413"/>
    <mergeCell ref="B414:C414"/>
  </mergeCells>
  <phoneticPr fontId="0" type="noConversion"/>
  <hyperlinks>
    <hyperlink ref="H6" location="'ITEMS RESUMEN'!INSTALACIONES_HIDRAULICAS" display="volver"/>
    <hyperlink ref="H32" location="'ITEMS RESUMEN'!INSTALACIONES_HIDRAULICAS" display="volver"/>
    <hyperlink ref="H58" location="'ITEMS RESUMEN'!INSTALACIONES_HIDRAULICAS" display="volver"/>
    <hyperlink ref="H85" location="'ITEMS RESUMEN'!INSTALACIONES_HIDRAULICAS" display="volver"/>
    <hyperlink ref="H111" location="'ITEMS RESUMEN'!INSTALACIONES_HIDRAULICAS" display="volver"/>
    <hyperlink ref="H138" location="'ITEMS RESUMEN'!INSTALACIONES_HIDRAULICAS" display="volver"/>
    <hyperlink ref="H164" location="'ITEMS RESUMEN'!INSTALACIONES_HIDRAULICAS" display="volver"/>
    <hyperlink ref="H191" location="'ITEMS RESUMEN'!INSTALACIONES_HIDRAULICAS" display="volver"/>
    <hyperlink ref="H217" location="'ITEMS RESUMEN'!INSTALACIONES_HIDRAULICAS" display="volver"/>
    <hyperlink ref="H244" location="'ITEMS RESUMEN'!INSTALACIONES_HIDRAULICAS" display="volver"/>
    <hyperlink ref="H270" location="'ITEMS RESUMEN'!INSTALACIONES_HIDRAULICAS" display="volver"/>
    <hyperlink ref="H297" location="'ITEMS RESUMEN'!INSTALACIONES_HIDRAULICAS" display="volver"/>
    <hyperlink ref="H323" location="'ITEMS RESUMEN'!INSTALACIONES_HIDRAULICAS" display="volver"/>
    <hyperlink ref="H350" location="'ITEMS RESUMEN'!INSTALACIONES_HIDRAULICAS" display="volver"/>
    <hyperlink ref="H376" location="'ITEMS RESUMEN'!INSTALACIONES_HIDRAULICAS" display="volver"/>
    <hyperlink ref="H403" location="'ITEMS RESUMEN'!INSTALACIONES_HIDRAULICAS" display="volver"/>
    <hyperlink ref="H429" location="'ITEMS RESUMEN'!INSTALACIONES_HIDRAULICAS" display="volver"/>
    <hyperlink ref="H456" location="'ITEMS RESUMEN'!INSTALACIONES_HIDRAULICAS" display="volver"/>
    <hyperlink ref="H482" location="'ITEMS RESUMEN'!INSTALACIONES_HIDRAULICAS" display="volver"/>
    <hyperlink ref="H509" location="'ITEMS RESUMEN'!INSTALACIONES_HIDRAULICAS" display="volver"/>
    <hyperlink ref="H535" location="'ITEMS RESUMEN'!INSTALACIONES_HIDRAULICAS" display="volver"/>
    <hyperlink ref="H562" location="'ITEMS RESUMEN'!INSTALACIONES_HIDRAULICAS" display="volver"/>
    <hyperlink ref="H588" location="'ITEMS RESUMEN'!INSTALACIONES_HIDRAULICAS" display="volver"/>
    <hyperlink ref="H615" location="'ITEMS RESUMEN'!INSTALACIONES_HIDRAULICAS" display="volver"/>
    <hyperlink ref="H641" location="'ITEMS RESUMEN'!INSTALACIONES_HIDRAULICAS" display="volver"/>
    <hyperlink ref="H668" location="'ITEMS RESUMEN'!INSTALACIONES_HIDRAULICAS" display="volver"/>
    <hyperlink ref="H694" location="'ITEMS RESUMEN'!INSTALACIONES_HIDRAULICAS" display="volver"/>
    <hyperlink ref="H721" location="'ITEMS RESUMEN'!INSTALACIONES_HIDRAULICAS" display="volver"/>
    <hyperlink ref="H747" location="'ITEMS RESUMEN'!INSTALACIONES_HIDRAULICAS" display="volver"/>
    <hyperlink ref="H774" location="'ITEMS RESUMEN'!INSTALACIONES_HIDRAULICAS" display="volver"/>
    <hyperlink ref="H800" location="'ITEMS RESUMEN'!INSTALACIONES_HIDRAULICAS" display="volver"/>
    <hyperlink ref="H826" location="'ITEMS RESUMEN'!INSTALACIONES_HIDRAULICAS" display="volver"/>
    <hyperlink ref="H852" location="'ITEMS RESUMEN'!INSTALACIONES_HIDRAULICAS" display="volver"/>
    <hyperlink ref="H879" location="'ITEMS RESUMEN'!INSTALACIONES_HIDRAULICAS" display="volver"/>
    <hyperlink ref="H905" location="'ITEMS RESUMEN'!INSTALACIONES_HIDRAULICAS" display="volver"/>
    <hyperlink ref="H932" location="'ITEMS RESUMEN'!INSTALACIONES_HIDRAULICAS" display="volver"/>
    <hyperlink ref="H958" location="'ITEMS RESUMEN'!INSTALACIONES_HIDRAULICAS" display="volver"/>
    <hyperlink ref="H985" location="'ITEMS RESUMEN'!INSTALACIONES_HIDRAULICAS" display="volver"/>
    <hyperlink ref="H1011" location="'ITEMS RESUMEN'!INSTALACIONES_HIDRAULICAS" display="volver"/>
    <hyperlink ref="H1038" location="'ITEMS RESUMEN'!INSTALACIONES_HIDRAULICAS" display="volver"/>
    <hyperlink ref="H1064" location="'ITEMS RESUMEN'!INSTALACIONES_HIDRAULICAS" display="volver"/>
    <hyperlink ref="H1091" location="'ITEMS RESUMEN'!INSTALACIONES_HIDRAULICAS" display="volver"/>
    <hyperlink ref="H1117" location="'ITEMS RESUMEN'!INSTALACIONES_HIDRAULICAS" display="volver"/>
    <hyperlink ref="H1144" location="'ITEMS RESUMEN'!INSTALACIONES_HIDRAULICAS" display="volver"/>
    <hyperlink ref="H1170" location="'ITEMS RESUMEN'!INSTALACIONES_HIDRAULICAS" display="volver"/>
    <hyperlink ref="H1197" location="'ITEMS RESUMEN'!INSTALACIONES_HIDRAULICAS" display="volver"/>
    <hyperlink ref="H1223" location="'ITEMS RESUMEN'!INSTALACIONES_HIDRAULICAS" display="volver"/>
    <hyperlink ref="H1250" location="'ITEMS RESUMEN'!INSTALACIONES_HIDRAULICAS" display="volver"/>
    <hyperlink ref="H1276" location="'ITEMS RESUMEN'!INSTALACIONES_HIDRAULICAS" display="volver"/>
    <hyperlink ref="H1304" location="'ITEMS RESUMEN'!INSTALACIONES_HIDRAULICAS" display="volver"/>
    <hyperlink ref="H1330" location="'ITEMS RESUMEN'!INSTALACIONES_HIDRAULICAS" display="volver"/>
    <hyperlink ref="H1358" location="'ITEMS RESUMEN'!INSTALACIONES_HIDRAULICAS" display="volver"/>
    <hyperlink ref="H1384" location="'ITEMS RESUMEN'!INSTALACIONES_HIDRAULICAS" display="volver"/>
  </hyperlinks>
  <printOptions horizontalCentered="1" verticalCentered="1"/>
  <pageMargins left="0" right="0" top="0.59055118110236227" bottom="0.59055118110236227" header="0" footer="0"/>
  <pageSetup scale="85" orientation="portrait" r:id="rId1"/>
  <headerFooter alignWithMargins="0"/>
  <rowBreaks count="26" manualBreakCount="26">
    <brk id="58" min="1" max="6" man="1"/>
    <brk id="111" min="1" max="6" man="1"/>
    <brk id="164" min="1" max="6" man="1"/>
    <brk id="217" min="1" max="6" man="1"/>
    <brk id="270" min="1" max="6" man="1"/>
    <brk id="323" min="1" max="6" man="1"/>
    <brk id="376" min="1" max="6" man="1"/>
    <brk id="429" min="1" max="6" man="1"/>
    <brk id="482" min="1" max="6" man="1"/>
    <brk id="535" min="1" max="6" man="1"/>
    <brk id="588" min="1" max="6" man="1"/>
    <brk id="641" min="1" max="6" man="1"/>
    <brk id="694" min="1" max="6" man="1"/>
    <brk id="747" min="1" max="6" man="1"/>
    <brk id="800" min="1" max="6" man="1"/>
    <brk id="852" min="1" max="6" man="1"/>
    <brk id="905" min="1" max="6" man="1"/>
    <brk id="958" min="1" max="6" man="1"/>
    <brk id="1011" min="1" max="6" man="1"/>
    <brk id="1064" min="1" max="6" man="1"/>
    <brk id="1117" min="1" max="6" man="1"/>
    <brk id="1170" max="16383" man="1"/>
    <brk id="1223" min="1" max="6" man="1"/>
    <brk id="1277" min="1" max="6" man="1"/>
    <brk id="1330" min="1" max="6" man="1"/>
    <brk id="1384" min="1" max="6" man="1"/>
  </rowBreaks>
  <colBreaks count="1" manualBreakCount="1">
    <brk id="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4" enableFormatConditionsCalculation="0">
    <tabColor indexed="34"/>
  </sheetPr>
  <dimension ref="A1:K2306"/>
  <sheetViews>
    <sheetView topLeftCell="A81" zoomScale="70" zoomScaleNormal="70" zoomScaleSheetLayoutView="85" workbookViewId="0">
      <selection activeCell="H111" sqref="H111"/>
    </sheetView>
  </sheetViews>
  <sheetFormatPr baseColWidth="10" defaultRowHeight="12.75"/>
  <cols>
    <col min="2" max="2" width="12.7109375" style="231" customWidth="1"/>
    <col min="3" max="3" width="25.7109375" customWidth="1"/>
    <col min="4" max="4" width="12.7109375" customWidth="1"/>
    <col min="5" max="5" width="13.7109375" customWidth="1"/>
    <col min="6" max="6" width="14.7109375" customWidth="1"/>
    <col min="7" max="7" width="16.7109375" customWidth="1"/>
    <col min="8" max="9" width="19.85546875" customWidth="1"/>
  </cols>
  <sheetData>
    <row r="1" spans="1:8" ht="19.5" thickTop="1">
      <c r="A1" s="95"/>
      <c r="B1" s="225"/>
      <c r="C1" s="848" t="s">
        <v>1054</v>
      </c>
      <c r="D1" s="848"/>
      <c r="E1" s="848"/>
      <c r="F1" s="848"/>
      <c r="G1" s="849"/>
    </row>
    <row r="2" spans="1:8" ht="18.75">
      <c r="A2" s="95"/>
      <c r="B2" s="226"/>
      <c r="C2" s="780" t="s">
        <v>1381</v>
      </c>
      <c r="D2" s="780"/>
      <c r="E2" s="780"/>
      <c r="F2" s="780"/>
      <c r="G2" s="850"/>
    </row>
    <row r="3" spans="1:8" ht="18.75">
      <c r="A3" s="95"/>
      <c r="B3" s="226"/>
      <c r="C3" s="781"/>
      <c r="D3" s="781"/>
      <c r="E3" s="781"/>
      <c r="F3" s="781"/>
      <c r="G3" s="851"/>
    </row>
    <row r="4" spans="1:8" ht="15.75">
      <c r="A4" s="95"/>
      <c r="B4" s="881" t="s">
        <v>780</v>
      </c>
      <c r="C4" s="852"/>
      <c r="D4" s="852"/>
      <c r="E4" s="852"/>
      <c r="F4" s="852"/>
      <c r="G4" s="853"/>
    </row>
    <row r="5" spans="1:8" ht="15.75" thickBot="1">
      <c r="A5" s="95"/>
      <c r="B5" s="227"/>
      <c r="C5" s="856"/>
      <c r="D5" s="856"/>
      <c r="E5" s="856"/>
      <c r="F5" s="856"/>
      <c r="G5" s="857"/>
    </row>
    <row r="6" spans="1:8" ht="13.5" thickTop="1">
      <c r="A6" s="95"/>
      <c r="B6" s="225" t="s">
        <v>303</v>
      </c>
      <c r="C6" s="843"/>
      <c r="D6" s="843"/>
      <c r="E6" s="843"/>
      <c r="F6" s="92" t="s">
        <v>781</v>
      </c>
      <c r="G6" s="93" t="s">
        <v>1351</v>
      </c>
    </row>
    <row r="7" spans="1:8">
      <c r="A7" s="95"/>
      <c r="B7" s="226" t="s">
        <v>834</v>
      </c>
      <c r="C7" s="844" t="s">
        <v>423</v>
      </c>
      <c r="D7" s="844"/>
      <c r="E7" s="844"/>
      <c r="F7" s="15" t="s">
        <v>833</v>
      </c>
      <c r="G7" s="165" t="str">
        <f>'MANO DE OBRA'!D61</f>
        <v>Agosto de 2010</v>
      </c>
    </row>
    <row r="8" spans="1:8" ht="37.5" customHeight="1" thickBot="1">
      <c r="A8" s="127"/>
      <c r="B8" s="228" t="s">
        <v>835</v>
      </c>
      <c r="C8" s="940" t="s">
        <v>1499</v>
      </c>
      <c r="D8" s="940"/>
      <c r="E8" s="940"/>
      <c r="F8" s="940"/>
      <c r="G8" s="941"/>
    </row>
    <row r="9" spans="1:8" ht="14.25" thickTop="1" thickBot="1">
      <c r="A9" s="95"/>
      <c r="B9" s="986"/>
      <c r="C9" s="986"/>
      <c r="D9" s="986"/>
      <c r="E9" s="986"/>
      <c r="F9" s="986"/>
      <c r="G9" s="986"/>
    </row>
    <row r="10" spans="1:8" ht="13.5" thickTop="1">
      <c r="A10" s="95"/>
      <c r="B10" s="950" t="s">
        <v>304</v>
      </c>
      <c r="C10" s="951"/>
      <c r="D10" s="951"/>
      <c r="E10" s="951"/>
      <c r="F10" s="951"/>
      <c r="G10" s="952"/>
      <c r="H10" s="505" t="s">
        <v>1670</v>
      </c>
    </row>
    <row r="11" spans="1:8">
      <c r="A11" s="95"/>
      <c r="B11" s="229"/>
      <c r="C11" s="97"/>
      <c r="D11" s="98" t="s">
        <v>301</v>
      </c>
      <c r="E11" s="98" t="s">
        <v>1072</v>
      </c>
      <c r="F11" s="99" t="s">
        <v>839</v>
      </c>
      <c r="G11" s="107" t="s">
        <v>840</v>
      </c>
    </row>
    <row r="12" spans="1:8">
      <c r="A12" s="95"/>
      <c r="B12" s="982" t="s">
        <v>838</v>
      </c>
      <c r="C12" s="983"/>
      <c r="D12" s="100" t="s">
        <v>308</v>
      </c>
      <c r="E12" s="100" t="s">
        <v>305</v>
      </c>
      <c r="F12" s="101" t="s">
        <v>306</v>
      </c>
      <c r="G12" s="108" t="s">
        <v>310</v>
      </c>
    </row>
    <row r="13" spans="1:8">
      <c r="A13" s="95"/>
      <c r="B13" s="230"/>
      <c r="C13" s="102"/>
      <c r="D13" s="103"/>
      <c r="E13" s="103" t="s">
        <v>309</v>
      </c>
      <c r="F13" s="104" t="s">
        <v>307</v>
      </c>
      <c r="G13" s="109"/>
    </row>
    <row r="14" spans="1:8">
      <c r="A14" s="127"/>
      <c r="B14" s="841" t="str">
        <f>'MAQUINARIA Y EQUIPOS'!$C$28</f>
        <v>HERRAMIENTAS MENORES</v>
      </c>
      <c r="C14" s="842"/>
      <c r="D14" s="87">
        <v>1</v>
      </c>
      <c r="E14" s="82">
        <f>ROUND(G47*0.05,0)</f>
        <v>3849</v>
      </c>
      <c r="F14" s="81">
        <v>1</v>
      </c>
      <c r="G14" s="110">
        <f>ROUND(D14*E14/F14,0)</f>
        <v>3849</v>
      </c>
    </row>
    <row r="15" spans="1:8">
      <c r="A15" s="95"/>
      <c r="B15" s="854"/>
      <c r="C15" s="855"/>
      <c r="D15" s="37"/>
      <c r="E15" s="129"/>
      <c r="F15" s="83"/>
      <c r="G15" s="111"/>
    </row>
    <row r="16" spans="1:8">
      <c r="A16" s="95"/>
      <c r="B16" s="854"/>
      <c r="C16" s="855"/>
      <c r="D16" s="37"/>
      <c r="E16" s="129"/>
      <c r="F16" s="83"/>
      <c r="G16" s="111"/>
    </row>
    <row r="17" spans="1:8">
      <c r="A17" s="95"/>
      <c r="B17" s="854"/>
      <c r="C17" s="855"/>
      <c r="D17" s="89"/>
      <c r="E17" s="82"/>
      <c r="F17" s="83"/>
      <c r="G17" s="111"/>
    </row>
    <row r="18" spans="1:8">
      <c r="A18" s="95"/>
      <c r="B18" s="854" t="s">
        <v>841</v>
      </c>
      <c r="C18" s="855"/>
      <c r="D18" s="37"/>
      <c r="E18" s="82"/>
      <c r="F18" s="83"/>
      <c r="G18" s="111"/>
    </row>
    <row r="19" spans="1:8" ht="13.5" thickBot="1">
      <c r="A19" s="95"/>
      <c r="B19" s="942" t="s">
        <v>841</v>
      </c>
      <c r="C19" s="943"/>
      <c r="D19" s="77"/>
      <c r="E19" s="106"/>
      <c r="F19" s="86"/>
      <c r="G19" s="112"/>
    </row>
    <row r="20" spans="1:8" ht="14.25" thickTop="1" thickBot="1">
      <c r="A20" s="95"/>
      <c r="B20" s="946"/>
      <c r="C20" s="946"/>
      <c r="D20" s="946"/>
      <c r="E20" s="947"/>
      <c r="F20" s="119" t="s">
        <v>856</v>
      </c>
      <c r="G20" s="118">
        <f>SUM(G14:G19)</f>
        <v>3849</v>
      </c>
    </row>
    <row r="21" spans="1:8" ht="14.25" thickTop="1" thickBot="1">
      <c r="A21" s="95"/>
      <c r="B21" s="970"/>
      <c r="C21" s="970"/>
      <c r="D21" s="970"/>
      <c r="E21" s="970"/>
      <c r="F21" s="970"/>
      <c r="G21" s="970"/>
    </row>
    <row r="22" spans="1:8" ht="13.5" thickTop="1">
      <c r="A22" s="95"/>
      <c r="B22" s="950" t="s">
        <v>311</v>
      </c>
      <c r="C22" s="951"/>
      <c r="D22" s="951"/>
      <c r="E22" s="951"/>
      <c r="F22" s="951"/>
      <c r="G22" s="952"/>
    </row>
    <row r="23" spans="1:8">
      <c r="A23" s="95"/>
      <c r="B23" s="978" t="s">
        <v>838</v>
      </c>
      <c r="C23" s="979"/>
      <c r="D23" s="98" t="s">
        <v>842</v>
      </c>
      <c r="E23" s="98" t="s">
        <v>853</v>
      </c>
      <c r="F23" s="99" t="s">
        <v>1047</v>
      </c>
      <c r="G23" s="107" t="s">
        <v>840</v>
      </c>
    </row>
    <row r="24" spans="1:8">
      <c r="A24" s="95"/>
      <c r="B24" s="230"/>
      <c r="C24" s="102"/>
      <c r="D24" s="100"/>
      <c r="E24" s="100" t="s">
        <v>312</v>
      </c>
      <c r="F24" s="101" t="s">
        <v>313</v>
      </c>
      <c r="G24" s="109" t="s">
        <v>314</v>
      </c>
    </row>
    <row r="25" spans="1:8">
      <c r="A25" s="123"/>
      <c r="B25" s="841" t="s">
        <v>1493</v>
      </c>
      <c r="C25" s="842"/>
      <c r="D25" s="87" t="s">
        <v>831</v>
      </c>
      <c r="E25" s="81">
        <v>120</v>
      </c>
      <c r="F25" s="359">
        <v>10000</v>
      </c>
      <c r="G25" s="111">
        <f>ROUND(E25*F25,0)</f>
        <v>1200000</v>
      </c>
    </row>
    <row r="26" spans="1:8">
      <c r="A26" s="123"/>
      <c r="B26" s="854" t="s">
        <v>1320</v>
      </c>
      <c r="C26" s="855"/>
      <c r="D26" s="37" t="s">
        <v>865</v>
      </c>
      <c r="E26" s="83">
        <v>1</v>
      </c>
      <c r="F26" s="82">
        <v>200000</v>
      </c>
      <c r="G26" s="111">
        <f>ROUND(E26*F26,0)</f>
        <v>200000</v>
      </c>
    </row>
    <row r="27" spans="1:8">
      <c r="A27" s="123"/>
      <c r="B27" s="854" t="s">
        <v>1321</v>
      </c>
      <c r="C27" s="855"/>
      <c r="D27" s="37" t="s">
        <v>831</v>
      </c>
      <c r="E27" s="83">
        <v>120</v>
      </c>
      <c r="F27" s="82">
        <v>3500</v>
      </c>
      <c r="G27" s="111">
        <f>ROUND(E27*F27,0)</f>
        <v>420000</v>
      </c>
    </row>
    <row r="28" spans="1:8">
      <c r="A28" s="123"/>
      <c r="B28" s="854" t="s">
        <v>1495</v>
      </c>
      <c r="C28" s="855"/>
      <c r="D28" s="37" t="s">
        <v>865</v>
      </c>
      <c r="E28" s="83">
        <v>2</v>
      </c>
      <c r="F28" s="82">
        <v>260000</v>
      </c>
      <c r="G28" s="111">
        <f>ROUND(E28*F28,0)</f>
        <v>520000</v>
      </c>
    </row>
    <row r="29" spans="1:8">
      <c r="A29" s="123"/>
      <c r="B29" s="854"/>
      <c r="C29" s="855"/>
      <c r="D29" s="37"/>
      <c r="E29" s="83"/>
      <c r="F29" s="82"/>
      <c r="G29" s="111"/>
    </row>
    <row r="30" spans="1:8">
      <c r="A30" s="123"/>
      <c r="B30" s="854"/>
      <c r="C30" s="855"/>
      <c r="D30" s="37"/>
      <c r="E30" s="83"/>
      <c r="F30" s="82"/>
      <c r="G30" s="111"/>
    </row>
    <row r="31" spans="1:8">
      <c r="A31" s="123"/>
      <c r="B31" s="854"/>
      <c r="C31" s="855"/>
      <c r="D31" s="37"/>
      <c r="E31" s="83"/>
      <c r="F31" s="82"/>
      <c r="G31" s="111"/>
    </row>
    <row r="32" spans="1:8">
      <c r="A32" s="95"/>
      <c r="B32" s="938" t="s">
        <v>841</v>
      </c>
      <c r="C32" s="939"/>
      <c r="D32" s="53" t="s">
        <v>841</v>
      </c>
      <c r="E32" s="53"/>
      <c r="F32" s="82"/>
      <c r="G32" s="111"/>
      <c r="H32" s="505" t="s">
        <v>1670</v>
      </c>
    </row>
    <row r="33" spans="1:7" ht="13.5" thickBot="1">
      <c r="A33" s="95"/>
      <c r="B33" s="942" t="s">
        <v>841</v>
      </c>
      <c r="C33" s="943"/>
      <c r="D33" s="84" t="s">
        <v>841</v>
      </c>
      <c r="E33" s="84"/>
      <c r="F33" s="85"/>
      <c r="G33" s="112"/>
    </row>
    <row r="34" spans="1:7" ht="13.5" thickTop="1">
      <c r="A34" s="95"/>
      <c r="B34" s="946"/>
      <c r="C34" s="947"/>
      <c r="D34" s="801" t="s">
        <v>856</v>
      </c>
      <c r="E34" s="802"/>
      <c r="F34" s="9"/>
      <c r="G34" s="113">
        <f>SUM(G25:G33)</f>
        <v>2340000</v>
      </c>
    </row>
    <row r="35" spans="1:7">
      <c r="A35" s="95"/>
      <c r="B35" s="948"/>
      <c r="C35" s="949"/>
      <c r="D35" s="801" t="s">
        <v>857</v>
      </c>
      <c r="E35" s="802"/>
      <c r="F35" s="79">
        <f>'MANO DE OBRA'!$D$60</f>
        <v>0.05</v>
      </c>
      <c r="G35" s="113">
        <f>ROUND(G34*F35,0)</f>
        <v>117000</v>
      </c>
    </row>
    <row r="36" spans="1:7" ht="13.5" thickBot="1">
      <c r="A36" s="95"/>
      <c r="B36" s="948"/>
      <c r="C36" s="949"/>
      <c r="D36" s="803" t="s">
        <v>320</v>
      </c>
      <c r="E36" s="804"/>
      <c r="F36" s="114"/>
      <c r="G36" s="118">
        <f>+G34+G35</f>
        <v>2457000</v>
      </c>
    </row>
    <row r="37" spans="1:7" ht="14.25" thickTop="1" thickBot="1">
      <c r="A37" s="95"/>
      <c r="B37" s="970"/>
      <c r="C37" s="970"/>
      <c r="D37" s="970"/>
      <c r="E37" s="970"/>
      <c r="F37" s="970"/>
      <c r="G37" s="970"/>
    </row>
    <row r="38" spans="1:7" ht="13.5" thickTop="1">
      <c r="A38" s="95"/>
      <c r="B38" s="950" t="s">
        <v>858</v>
      </c>
      <c r="C38" s="951"/>
      <c r="D38" s="951"/>
      <c r="E38" s="951"/>
      <c r="F38" s="951"/>
      <c r="G38" s="952"/>
    </row>
    <row r="39" spans="1:7">
      <c r="A39" s="95"/>
      <c r="B39" s="978"/>
      <c r="C39" s="979"/>
      <c r="D39" s="98" t="s">
        <v>301</v>
      </c>
      <c r="E39" s="98" t="s">
        <v>859</v>
      </c>
      <c r="F39" s="99" t="s">
        <v>839</v>
      </c>
      <c r="G39" s="107" t="s">
        <v>840</v>
      </c>
    </row>
    <row r="40" spans="1:7">
      <c r="A40" s="95"/>
      <c r="B40" s="982" t="s">
        <v>838</v>
      </c>
      <c r="C40" s="983"/>
      <c r="D40" s="100" t="s">
        <v>316</v>
      </c>
      <c r="E40" s="100" t="s">
        <v>315</v>
      </c>
      <c r="F40" s="101" t="s">
        <v>306</v>
      </c>
      <c r="G40" s="108" t="s">
        <v>319</v>
      </c>
    </row>
    <row r="41" spans="1:7">
      <c r="A41" s="95"/>
      <c r="B41" s="230"/>
      <c r="C41" s="102"/>
      <c r="D41" s="103"/>
      <c r="E41" s="103" t="s">
        <v>317</v>
      </c>
      <c r="F41" s="104" t="s">
        <v>318</v>
      </c>
      <c r="G41" s="109"/>
    </row>
    <row r="42" spans="1:7">
      <c r="A42" s="95"/>
      <c r="B42" s="841" t="str">
        <f>'MANO DE OBRA'!$B$13</f>
        <v>AYUDANTE CUAD. TIPO DD</v>
      </c>
      <c r="C42" s="842"/>
      <c r="D42" s="87">
        <v>1</v>
      </c>
      <c r="E42" s="80">
        <f>'MANO DE OBRA'!$E$13</f>
        <v>49276</v>
      </c>
      <c r="F42" s="81">
        <v>4</v>
      </c>
      <c r="G42" s="110">
        <f>ROUND(D42*E42/F42,0)</f>
        <v>12319</v>
      </c>
    </row>
    <row r="43" spans="1:7">
      <c r="A43" s="95"/>
      <c r="B43" s="854" t="str">
        <f>'MANO DE OBRA'!$B$18</f>
        <v>OFICIAL CUAD. TIPO DD</v>
      </c>
      <c r="C43" s="855"/>
      <c r="D43" s="37">
        <v>1</v>
      </c>
      <c r="E43" s="82">
        <f>'MANO DE OBRA'!$E$18</f>
        <v>85666</v>
      </c>
      <c r="F43" s="83">
        <v>4</v>
      </c>
      <c r="G43" s="111">
        <f>ROUND(D43*E43/F43,0)</f>
        <v>21417</v>
      </c>
    </row>
    <row r="44" spans="1:7">
      <c r="A44" s="95"/>
      <c r="B44" s="854" t="s">
        <v>1322</v>
      </c>
      <c r="C44" s="855"/>
      <c r="D44" s="37">
        <v>1</v>
      </c>
      <c r="E44" s="82">
        <v>86500</v>
      </c>
      <c r="F44" s="83">
        <v>2</v>
      </c>
      <c r="G44" s="111">
        <f>ROUND(D44*E44/F44,0)</f>
        <v>43250</v>
      </c>
    </row>
    <row r="45" spans="1:7">
      <c r="A45" s="95"/>
      <c r="B45" s="854" t="s">
        <v>841</v>
      </c>
      <c r="C45" s="855"/>
      <c r="D45" s="37"/>
      <c r="E45" s="82"/>
      <c r="F45" s="83"/>
      <c r="G45" s="111"/>
    </row>
    <row r="46" spans="1:7" ht="13.5" thickBot="1">
      <c r="A46" s="95"/>
      <c r="B46" s="980" t="s">
        <v>841</v>
      </c>
      <c r="C46" s="981"/>
      <c r="D46" s="77"/>
      <c r="E46" s="82"/>
      <c r="F46" s="86"/>
      <c r="G46" s="112"/>
    </row>
    <row r="47" spans="1:7" ht="14.25" thickTop="1" thickBot="1">
      <c r="A47" s="95"/>
      <c r="B47" s="946"/>
      <c r="C47" s="946"/>
      <c r="D47" s="946"/>
      <c r="E47" s="947"/>
      <c r="F47" s="120" t="s">
        <v>856</v>
      </c>
      <c r="G47" s="118">
        <f>SUM(G42:G46)</f>
        <v>76986</v>
      </c>
    </row>
    <row r="48" spans="1:7" ht="14.25" thickTop="1" thickBot="1">
      <c r="A48" s="95"/>
      <c r="B48" s="970"/>
      <c r="C48" s="970"/>
      <c r="D48" s="970"/>
      <c r="E48" s="970"/>
      <c r="F48" s="970"/>
      <c r="G48" s="970"/>
    </row>
    <row r="49" spans="1:8" ht="13.5" thickTop="1">
      <c r="A49" s="95"/>
      <c r="B49" s="950" t="s">
        <v>321</v>
      </c>
      <c r="C49" s="951"/>
      <c r="D49" s="951"/>
      <c r="E49" s="951"/>
      <c r="F49" s="951"/>
      <c r="G49" s="952"/>
    </row>
    <row r="50" spans="1:8">
      <c r="A50" s="95"/>
      <c r="B50" s="978" t="s">
        <v>838</v>
      </c>
      <c r="C50" s="979"/>
      <c r="D50" s="98" t="s">
        <v>301</v>
      </c>
      <c r="E50" s="98" t="s">
        <v>297</v>
      </c>
      <c r="F50" s="99" t="s">
        <v>839</v>
      </c>
      <c r="G50" s="107" t="s">
        <v>840</v>
      </c>
    </row>
    <row r="51" spans="1:8">
      <c r="A51" s="95"/>
      <c r="B51" s="230"/>
      <c r="C51" s="102"/>
      <c r="D51" s="103" t="s">
        <v>322</v>
      </c>
      <c r="E51" s="103" t="s">
        <v>323</v>
      </c>
      <c r="F51" s="104" t="s">
        <v>324</v>
      </c>
      <c r="G51" s="109" t="s">
        <v>325</v>
      </c>
    </row>
    <row r="52" spans="1:8">
      <c r="A52" s="95"/>
      <c r="B52" s="841"/>
      <c r="C52" s="842"/>
      <c r="D52" s="96"/>
      <c r="E52" s="96"/>
      <c r="F52" s="96"/>
      <c r="G52" s="116"/>
    </row>
    <row r="53" spans="1:8" ht="13.5" thickBot="1">
      <c r="A53" s="95"/>
      <c r="B53" s="980" t="s">
        <v>841</v>
      </c>
      <c r="C53" s="981"/>
      <c r="D53" s="77"/>
      <c r="E53" s="82"/>
      <c r="F53" s="86"/>
      <c r="G53" s="112"/>
    </row>
    <row r="54" spans="1:8" ht="14.25" thickTop="1" thickBot="1">
      <c r="A54" s="95"/>
      <c r="B54" s="946"/>
      <c r="C54" s="946"/>
      <c r="D54" s="946"/>
      <c r="E54" s="947"/>
      <c r="F54" s="120" t="s">
        <v>856</v>
      </c>
      <c r="G54" s="118">
        <f>SUM(G49:G53)</f>
        <v>0</v>
      </c>
    </row>
    <row r="55" spans="1:8" ht="14.25" thickTop="1" thickBot="1">
      <c r="A55" s="95"/>
      <c r="B55" s="970"/>
      <c r="C55" s="970"/>
      <c r="D55" s="970"/>
      <c r="E55" s="970"/>
      <c r="F55" s="970"/>
      <c r="G55" s="943"/>
    </row>
    <row r="56" spans="1:8" ht="13.5" thickTop="1">
      <c r="A56" s="95"/>
      <c r="B56" s="950" t="s">
        <v>326</v>
      </c>
      <c r="C56" s="951"/>
      <c r="D56" s="951"/>
      <c r="E56" s="951"/>
      <c r="F56" s="971"/>
      <c r="G56" s="121">
        <f>+G20+G36+G47</f>
        <v>2537835</v>
      </c>
    </row>
    <row r="57" spans="1:8">
      <c r="A57" s="95"/>
      <c r="B57" s="972" t="s">
        <v>861</v>
      </c>
      <c r="C57" s="973"/>
      <c r="D57" s="973"/>
      <c r="E57" s="974"/>
      <c r="F57" s="128">
        <f>'MANO DE OBRA'!$D$59</f>
        <v>0</v>
      </c>
      <c r="G57" s="122">
        <f>ROUND(G56*F57,0)</f>
        <v>0</v>
      </c>
    </row>
    <row r="58" spans="1:8" ht="13.5" thickBot="1">
      <c r="A58" s="95"/>
      <c r="B58" s="975" t="s">
        <v>1049</v>
      </c>
      <c r="C58" s="976"/>
      <c r="D58" s="976"/>
      <c r="E58" s="976"/>
      <c r="F58" s="977"/>
      <c r="G58" s="118">
        <f>ROUND(G56+G57,-2)</f>
        <v>2537800</v>
      </c>
      <c r="H58" s="505" t="s">
        <v>1670</v>
      </c>
    </row>
    <row r="59" spans="1:8" ht="13.5" thickTop="1">
      <c r="A59" s="95"/>
      <c r="B59" s="225" t="s">
        <v>303</v>
      </c>
      <c r="C59" s="843"/>
      <c r="D59" s="843"/>
      <c r="E59" s="843"/>
      <c r="F59" s="92" t="s">
        <v>781</v>
      </c>
      <c r="G59" s="93" t="s">
        <v>1351</v>
      </c>
    </row>
    <row r="60" spans="1:8">
      <c r="A60" s="95"/>
      <c r="B60" s="226" t="s">
        <v>834</v>
      </c>
      <c r="C60" s="844" t="s">
        <v>423</v>
      </c>
      <c r="D60" s="844"/>
      <c r="E60" s="844"/>
      <c r="F60" s="15" t="s">
        <v>833</v>
      </c>
      <c r="G60" s="165" t="str">
        <f>'MANO DE OBRA'!D61</f>
        <v>Agosto de 2010</v>
      </c>
    </row>
    <row r="61" spans="1:8" ht="28.5" customHeight="1" thickBot="1">
      <c r="A61" s="127"/>
      <c r="B61" s="228" t="s">
        <v>835</v>
      </c>
      <c r="C61" s="940" t="s">
        <v>1496</v>
      </c>
      <c r="D61" s="940"/>
      <c r="E61" s="940"/>
      <c r="F61" s="940"/>
      <c r="G61" s="941"/>
    </row>
    <row r="62" spans="1:8" ht="14.25" thickTop="1" thickBot="1">
      <c r="A62" s="95"/>
      <c r="B62" s="986"/>
      <c r="C62" s="986"/>
      <c r="D62" s="986"/>
      <c r="E62" s="986"/>
      <c r="F62" s="986"/>
      <c r="G62" s="986"/>
    </row>
    <row r="63" spans="1:8" ht="13.5" thickTop="1">
      <c r="A63" s="95"/>
      <c r="B63" s="950" t="s">
        <v>304</v>
      </c>
      <c r="C63" s="951"/>
      <c r="D63" s="951"/>
      <c r="E63" s="951"/>
      <c r="F63" s="951"/>
      <c r="G63" s="952"/>
    </row>
    <row r="64" spans="1:8">
      <c r="A64" s="95"/>
      <c r="B64" s="229"/>
      <c r="C64" s="97"/>
      <c r="D64" s="98" t="s">
        <v>301</v>
      </c>
      <c r="E64" s="98" t="s">
        <v>1072</v>
      </c>
      <c r="F64" s="99" t="s">
        <v>839</v>
      </c>
      <c r="G64" s="107" t="s">
        <v>840</v>
      </c>
    </row>
    <row r="65" spans="1:7">
      <c r="A65" s="95"/>
      <c r="B65" s="982" t="s">
        <v>838</v>
      </c>
      <c r="C65" s="983"/>
      <c r="D65" s="100" t="s">
        <v>308</v>
      </c>
      <c r="E65" s="100" t="s">
        <v>305</v>
      </c>
      <c r="F65" s="101" t="s">
        <v>306</v>
      </c>
      <c r="G65" s="108" t="s">
        <v>310</v>
      </c>
    </row>
    <row r="66" spans="1:7">
      <c r="A66" s="95"/>
      <c r="B66" s="230"/>
      <c r="C66" s="102"/>
      <c r="D66" s="103"/>
      <c r="E66" s="103" t="s">
        <v>309</v>
      </c>
      <c r="F66" s="104" t="s">
        <v>307</v>
      </c>
      <c r="G66" s="109"/>
    </row>
    <row r="67" spans="1:7">
      <c r="A67" s="127"/>
      <c r="B67" s="841" t="str">
        <f>'MAQUINARIA Y EQUIPOS'!$C$28</f>
        <v>HERRAMIENTAS MENORES</v>
      </c>
      <c r="C67" s="842"/>
      <c r="D67" s="87">
        <v>1</v>
      </c>
      <c r="E67" s="82">
        <f>ROUND(G100*0.05,0)</f>
        <v>10296</v>
      </c>
      <c r="F67" s="81">
        <v>0.1</v>
      </c>
      <c r="G67" s="110">
        <f>ROUND(D67*E67/F67,0)</f>
        <v>102960</v>
      </c>
    </row>
    <row r="68" spans="1:7">
      <c r="A68" s="95"/>
      <c r="B68" s="854"/>
      <c r="C68" s="855"/>
      <c r="D68" s="37"/>
      <c r="E68" s="129"/>
      <c r="F68" s="83"/>
      <c r="G68" s="111"/>
    </row>
    <row r="69" spans="1:7">
      <c r="A69" s="95"/>
      <c r="B69" s="854"/>
      <c r="C69" s="855"/>
      <c r="D69" s="37"/>
      <c r="E69" s="129"/>
      <c r="F69" s="321"/>
      <c r="G69" s="111"/>
    </row>
    <row r="70" spans="1:7">
      <c r="A70" s="95"/>
      <c r="B70" s="854"/>
      <c r="C70" s="855"/>
      <c r="D70" s="89"/>
      <c r="E70" s="82"/>
      <c r="F70" s="83"/>
      <c r="G70" s="111"/>
    </row>
    <row r="71" spans="1:7">
      <c r="A71" s="95"/>
      <c r="B71" s="854" t="s">
        <v>841</v>
      </c>
      <c r="C71" s="855"/>
      <c r="D71" s="37"/>
      <c r="E71" s="82"/>
      <c r="F71" s="83"/>
      <c r="G71" s="111"/>
    </row>
    <row r="72" spans="1:7" ht="13.5" thickBot="1">
      <c r="A72" s="95"/>
      <c r="B72" s="942" t="s">
        <v>841</v>
      </c>
      <c r="C72" s="943"/>
      <c r="D72" s="77"/>
      <c r="E72" s="106"/>
      <c r="F72" s="86"/>
      <c r="G72" s="112"/>
    </row>
    <row r="73" spans="1:7" ht="14.25" thickTop="1" thickBot="1">
      <c r="A73" s="95"/>
      <c r="B73" s="946"/>
      <c r="C73" s="946"/>
      <c r="D73" s="946"/>
      <c r="E73" s="947"/>
      <c r="F73" s="119" t="s">
        <v>856</v>
      </c>
      <c r="G73" s="118">
        <f>SUM(G67:G72)</f>
        <v>102960</v>
      </c>
    </row>
    <row r="74" spans="1:7" ht="14.25" thickTop="1" thickBot="1">
      <c r="A74" s="95"/>
      <c r="B74" s="970"/>
      <c r="C74" s="970"/>
      <c r="D74" s="970"/>
      <c r="E74" s="970"/>
      <c r="F74" s="970"/>
      <c r="G74" s="970"/>
    </row>
    <row r="75" spans="1:7" ht="13.5" thickTop="1">
      <c r="A75" s="95"/>
      <c r="B75" s="950" t="s">
        <v>311</v>
      </c>
      <c r="C75" s="951"/>
      <c r="D75" s="951"/>
      <c r="E75" s="951"/>
      <c r="F75" s="951"/>
      <c r="G75" s="952"/>
    </row>
    <row r="76" spans="1:7">
      <c r="A76" s="95"/>
      <c r="B76" s="978" t="s">
        <v>838</v>
      </c>
      <c r="C76" s="979"/>
      <c r="D76" s="98" t="s">
        <v>842</v>
      </c>
      <c r="E76" s="98" t="s">
        <v>853</v>
      </c>
      <c r="F76" s="99" t="s">
        <v>1047</v>
      </c>
      <c r="G76" s="107" t="s">
        <v>840</v>
      </c>
    </row>
    <row r="77" spans="1:7">
      <c r="A77" s="95"/>
      <c r="B77" s="230"/>
      <c r="C77" s="102"/>
      <c r="D77" s="100"/>
      <c r="E77" s="100" t="s">
        <v>312</v>
      </c>
      <c r="F77" s="101" t="s">
        <v>313</v>
      </c>
      <c r="G77" s="108" t="s">
        <v>314</v>
      </c>
    </row>
    <row r="78" spans="1:7">
      <c r="A78" s="123"/>
      <c r="B78" s="841" t="s">
        <v>1323</v>
      </c>
      <c r="C78" s="842"/>
      <c r="D78" s="87" t="s">
        <v>865</v>
      </c>
      <c r="E78" s="81">
        <v>1</v>
      </c>
      <c r="F78" s="80">
        <v>365000</v>
      </c>
      <c r="G78" s="110">
        <f>ROUND(E78*F78,0)</f>
        <v>365000</v>
      </c>
    </row>
    <row r="79" spans="1:7">
      <c r="A79" s="123"/>
      <c r="B79" s="854" t="s">
        <v>1324</v>
      </c>
      <c r="C79" s="855"/>
      <c r="D79" s="37" t="s">
        <v>865</v>
      </c>
      <c r="E79" s="83">
        <v>1</v>
      </c>
      <c r="F79" s="82">
        <v>274000</v>
      </c>
      <c r="G79" s="111">
        <f>ROUND(E79*F79,0)</f>
        <v>274000</v>
      </c>
    </row>
    <row r="80" spans="1:7">
      <c r="A80" s="123"/>
      <c r="B80" s="854" t="s">
        <v>1325</v>
      </c>
      <c r="C80" s="855"/>
      <c r="D80" s="37" t="s">
        <v>865</v>
      </c>
      <c r="E80" s="83">
        <v>3</v>
      </c>
      <c r="F80" s="82">
        <v>125000</v>
      </c>
      <c r="G80" s="111">
        <f>ROUND(E80*F80,0)</f>
        <v>375000</v>
      </c>
    </row>
    <row r="81" spans="1:8">
      <c r="A81" s="123"/>
      <c r="B81" s="854" t="s">
        <v>1494</v>
      </c>
      <c r="C81" s="855"/>
      <c r="D81" s="37" t="s">
        <v>865</v>
      </c>
      <c r="E81" s="83">
        <v>5</v>
      </c>
      <c r="F81" s="82">
        <v>136000</v>
      </c>
      <c r="G81" s="111">
        <f>ROUND(E81*F81,0)</f>
        <v>680000</v>
      </c>
    </row>
    <row r="82" spans="1:8">
      <c r="A82" s="123"/>
      <c r="B82" s="854" t="s">
        <v>1327</v>
      </c>
      <c r="C82" s="855"/>
      <c r="D82" s="37" t="s">
        <v>1351</v>
      </c>
      <c r="E82" s="83">
        <v>1</v>
      </c>
      <c r="F82" s="82">
        <v>64500</v>
      </c>
      <c r="G82" s="111">
        <f>ROUND(E82*F82,0)</f>
        <v>64500</v>
      </c>
    </row>
    <row r="83" spans="1:8">
      <c r="A83" s="123"/>
      <c r="B83" s="854"/>
      <c r="C83" s="855"/>
      <c r="D83" s="37"/>
      <c r="E83" s="83"/>
      <c r="F83" s="82"/>
      <c r="G83" s="111"/>
    </row>
    <row r="84" spans="1:8">
      <c r="A84" s="123"/>
      <c r="B84" s="854"/>
      <c r="C84" s="855"/>
      <c r="D84" s="37"/>
      <c r="E84" s="83"/>
      <c r="F84" s="82"/>
      <c r="G84" s="111"/>
    </row>
    <row r="85" spans="1:8">
      <c r="A85" s="95"/>
      <c r="B85" s="938" t="s">
        <v>841</v>
      </c>
      <c r="C85" s="939"/>
      <c r="D85" s="53" t="s">
        <v>841</v>
      </c>
      <c r="E85" s="53"/>
      <c r="F85" s="82"/>
      <c r="G85" s="111"/>
      <c r="H85" s="505" t="s">
        <v>1670</v>
      </c>
    </row>
    <row r="86" spans="1:8" ht="13.5" thickBot="1">
      <c r="A86" s="95"/>
      <c r="B86" s="942" t="s">
        <v>841</v>
      </c>
      <c r="C86" s="943"/>
      <c r="D86" s="84" t="s">
        <v>841</v>
      </c>
      <c r="E86" s="84"/>
      <c r="F86" s="85"/>
      <c r="G86" s="112"/>
    </row>
    <row r="87" spans="1:8" ht="13.5" thickTop="1">
      <c r="A87" s="95"/>
      <c r="B87" s="946"/>
      <c r="C87" s="947"/>
      <c r="D87" s="801" t="s">
        <v>856</v>
      </c>
      <c r="E87" s="802"/>
      <c r="F87" s="9"/>
      <c r="G87" s="113">
        <f>SUM(G78:G86)</f>
        <v>1758500</v>
      </c>
    </row>
    <row r="88" spans="1:8">
      <c r="A88" s="95"/>
      <c r="B88" s="948"/>
      <c r="C88" s="949"/>
      <c r="D88" s="801" t="s">
        <v>857</v>
      </c>
      <c r="E88" s="802"/>
      <c r="F88" s="79">
        <f>'MANO DE OBRA'!$D$60</f>
        <v>0.05</v>
      </c>
      <c r="G88" s="113">
        <f>ROUND(G87*F88,0)</f>
        <v>87925</v>
      </c>
    </row>
    <row r="89" spans="1:8" ht="13.5" thickBot="1">
      <c r="A89" s="95"/>
      <c r="B89" s="948"/>
      <c r="C89" s="949"/>
      <c r="D89" s="803" t="s">
        <v>320</v>
      </c>
      <c r="E89" s="804"/>
      <c r="F89" s="114"/>
      <c r="G89" s="118">
        <f>+G87+G88</f>
        <v>1846425</v>
      </c>
    </row>
    <row r="90" spans="1:8" ht="14.25" thickTop="1" thickBot="1">
      <c r="A90" s="95"/>
      <c r="B90" s="970"/>
      <c r="C90" s="970"/>
      <c r="D90" s="970"/>
      <c r="E90" s="970"/>
      <c r="F90" s="970"/>
      <c r="G90" s="970"/>
    </row>
    <row r="91" spans="1:8" ht="13.5" thickTop="1">
      <c r="A91" s="95"/>
      <c r="B91" s="950" t="s">
        <v>858</v>
      </c>
      <c r="C91" s="951"/>
      <c r="D91" s="951"/>
      <c r="E91" s="951"/>
      <c r="F91" s="951"/>
      <c r="G91" s="952"/>
    </row>
    <row r="92" spans="1:8">
      <c r="A92" s="95"/>
      <c r="B92" s="978"/>
      <c r="C92" s="979"/>
      <c r="D92" s="98" t="s">
        <v>301</v>
      </c>
      <c r="E92" s="98" t="s">
        <v>859</v>
      </c>
      <c r="F92" s="99" t="s">
        <v>839</v>
      </c>
      <c r="G92" s="107" t="s">
        <v>840</v>
      </c>
    </row>
    <row r="93" spans="1:8">
      <c r="A93" s="95"/>
      <c r="B93" s="982" t="s">
        <v>838</v>
      </c>
      <c r="C93" s="983"/>
      <c r="D93" s="100" t="s">
        <v>316</v>
      </c>
      <c r="E93" s="100" t="s">
        <v>315</v>
      </c>
      <c r="F93" s="101" t="s">
        <v>306</v>
      </c>
      <c r="G93" s="108" t="s">
        <v>319</v>
      </c>
    </row>
    <row r="94" spans="1:8">
      <c r="A94" s="95"/>
      <c r="B94" s="230"/>
      <c r="C94" s="102"/>
      <c r="D94" s="103"/>
      <c r="E94" s="103" t="s">
        <v>317</v>
      </c>
      <c r="F94" s="104" t="s">
        <v>318</v>
      </c>
      <c r="G94" s="109"/>
    </row>
    <row r="95" spans="1:8">
      <c r="A95" s="95"/>
      <c r="B95" s="841" t="str">
        <f>'MANO DE OBRA'!$B$11</f>
        <v>AYUDANTE CUAD. TIPO BB</v>
      </c>
      <c r="C95" s="842"/>
      <c r="D95" s="87">
        <v>2</v>
      </c>
      <c r="E95" s="80">
        <f>'MANO DE OBRA'!$E$11</f>
        <v>43077</v>
      </c>
      <c r="F95" s="81">
        <v>0.8</v>
      </c>
      <c r="G95" s="110">
        <f>ROUND(D95*E95/F95,0)</f>
        <v>107693</v>
      </c>
    </row>
    <row r="96" spans="1:8">
      <c r="A96" s="95"/>
      <c r="B96" s="854" t="str">
        <f>'MANO DE OBRA'!$B$16</f>
        <v>OFICIAL CUAD. TIPO BB</v>
      </c>
      <c r="C96" s="855"/>
      <c r="D96" s="37">
        <v>1</v>
      </c>
      <c r="E96" s="82">
        <f>'MANO DE OBRA'!$E$16</f>
        <v>78577</v>
      </c>
      <c r="F96" s="83">
        <v>0.8</v>
      </c>
      <c r="G96" s="111">
        <f>ROUND(D96*E96/F96,0)</f>
        <v>98221</v>
      </c>
    </row>
    <row r="97" spans="1:8">
      <c r="A97" s="95"/>
      <c r="B97" s="854"/>
      <c r="C97" s="855"/>
      <c r="D97" s="89"/>
      <c r="E97" s="82"/>
      <c r="F97" s="83"/>
      <c r="G97" s="111"/>
    </row>
    <row r="98" spans="1:8">
      <c r="A98" s="95"/>
      <c r="B98" s="854" t="s">
        <v>841</v>
      </c>
      <c r="C98" s="855"/>
      <c r="D98" s="37"/>
      <c r="E98" s="82"/>
      <c r="F98" s="83"/>
      <c r="G98" s="111"/>
    </row>
    <row r="99" spans="1:8" ht="13.5" thickBot="1">
      <c r="A99" s="95"/>
      <c r="B99" s="980" t="s">
        <v>841</v>
      </c>
      <c r="C99" s="981"/>
      <c r="D99" s="77"/>
      <c r="E99" s="82"/>
      <c r="F99" s="86"/>
      <c r="G99" s="112"/>
    </row>
    <row r="100" spans="1:8" ht="14.25" thickTop="1" thickBot="1">
      <c r="A100" s="95"/>
      <c r="B100" s="946"/>
      <c r="C100" s="946"/>
      <c r="D100" s="946"/>
      <c r="E100" s="947"/>
      <c r="F100" s="120" t="s">
        <v>856</v>
      </c>
      <c r="G100" s="118">
        <f>SUM(G95:G99)</f>
        <v>205914</v>
      </c>
    </row>
    <row r="101" spans="1:8" ht="14.25" thickTop="1" thickBot="1">
      <c r="A101" s="95"/>
      <c r="B101" s="970"/>
      <c r="C101" s="970"/>
      <c r="D101" s="970"/>
      <c r="E101" s="970"/>
      <c r="F101" s="970"/>
      <c r="G101" s="970"/>
    </row>
    <row r="102" spans="1:8" ht="13.5" thickTop="1">
      <c r="A102" s="95"/>
      <c r="B102" s="950" t="s">
        <v>321</v>
      </c>
      <c r="C102" s="951"/>
      <c r="D102" s="951"/>
      <c r="E102" s="951"/>
      <c r="F102" s="951"/>
      <c r="G102" s="952"/>
    </row>
    <row r="103" spans="1:8">
      <c r="A103" s="95"/>
      <c r="B103" s="978" t="s">
        <v>838</v>
      </c>
      <c r="C103" s="979"/>
      <c r="D103" s="98" t="s">
        <v>301</v>
      </c>
      <c r="E103" s="98" t="s">
        <v>297</v>
      </c>
      <c r="F103" s="99" t="s">
        <v>839</v>
      </c>
      <c r="G103" s="107" t="s">
        <v>840</v>
      </c>
    </row>
    <row r="104" spans="1:8">
      <c r="A104" s="95"/>
      <c r="B104" s="230"/>
      <c r="C104" s="102"/>
      <c r="D104" s="103" t="s">
        <v>322</v>
      </c>
      <c r="E104" s="103" t="s">
        <v>323</v>
      </c>
      <c r="F104" s="104" t="s">
        <v>324</v>
      </c>
      <c r="G104" s="109" t="s">
        <v>325</v>
      </c>
    </row>
    <row r="105" spans="1:8">
      <c r="A105" s="95"/>
      <c r="B105" s="841"/>
      <c r="C105" s="842"/>
      <c r="D105" s="96"/>
      <c r="E105" s="96"/>
      <c r="F105" s="96"/>
      <c r="G105" s="116"/>
    </row>
    <row r="106" spans="1:8" ht="13.5" thickBot="1">
      <c r="A106" s="95"/>
      <c r="B106" s="980" t="s">
        <v>841</v>
      </c>
      <c r="C106" s="981"/>
      <c r="D106" s="77"/>
      <c r="E106" s="82"/>
      <c r="F106" s="86"/>
      <c r="G106" s="112"/>
    </row>
    <row r="107" spans="1:8" ht="14.25" thickTop="1" thickBot="1">
      <c r="A107" s="95"/>
      <c r="B107" s="946"/>
      <c r="C107" s="946"/>
      <c r="D107" s="946"/>
      <c r="E107" s="947"/>
      <c r="F107" s="120" t="s">
        <v>856</v>
      </c>
      <c r="G107" s="118">
        <f>SUM(G102:G106)</f>
        <v>0</v>
      </c>
    </row>
    <row r="108" spans="1:8" ht="14.25" thickTop="1" thickBot="1">
      <c r="A108" s="95"/>
      <c r="B108" s="970"/>
      <c r="C108" s="970"/>
      <c r="D108" s="970"/>
      <c r="E108" s="970"/>
      <c r="F108" s="970"/>
      <c r="G108" s="943"/>
    </row>
    <row r="109" spans="1:8" ht="13.5" thickTop="1">
      <c r="A109" s="95"/>
      <c r="B109" s="950" t="s">
        <v>326</v>
      </c>
      <c r="C109" s="951"/>
      <c r="D109" s="951"/>
      <c r="E109" s="951"/>
      <c r="F109" s="971"/>
      <c r="G109" s="121">
        <f>+G73+G89+G100</f>
        <v>2155299</v>
      </c>
    </row>
    <row r="110" spans="1:8">
      <c r="A110" s="95"/>
      <c r="B110" s="972" t="s">
        <v>861</v>
      </c>
      <c r="C110" s="973"/>
      <c r="D110" s="973"/>
      <c r="E110" s="974"/>
      <c r="F110" s="128">
        <f>'MANO DE OBRA'!$D$59</f>
        <v>0</v>
      </c>
      <c r="G110" s="122">
        <f>ROUND(G109*F110,0)</f>
        <v>0</v>
      </c>
    </row>
    <row r="111" spans="1:8" ht="13.5" thickBot="1">
      <c r="A111" s="95"/>
      <c r="B111" s="975" t="s">
        <v>1049</v>
      </c>
      <c r="C111" s="976"/>
      <c r="D111" s="976"/>
      <c r="E111" s="976"/>
      <c r="F111" s="977"/>
      <c r="G111" s="118">
        <f>ROUND(G109+G110,-2)</f>
        <v>2155300</v>
      </c>
      <c r="H111" s="505" t="s">
        <v>1670</v>
      </c>
    </row>
    <row r="112" spans="1:8" ht="13.5" thickTop="1">
      <c r="A112" s="95"/>
      <c r="B112" s="225" t="s">
        <v>303</v>
      </c>
      <c r="C112" s="843"/>
      <c r="D112" s="843"/>
      <c r="E112" s="843"/>
      <c r="F112" s="92" t="s">
        <v>781</v>
      </c>
      <c r="G112" s="93" t="s">
        <v>865</v>
      </c>
    </row>
    <row r="113" spans="1:7">
      <c r="A113" s="95"/>
      <c r="B113" s="226" t="s">
        <v>834</v>
      </c>
      <c r="C113" s="844" t="s">
        <v>423</v>
      </c>
      <c r="D113" s="844"/>
      <c r="E113" s="844"/>
      <c r="F113" s="15" t="s">
        <v>833</v>
      </c>
      <c r="G113" s="165" t="str">
        <f>'MANO DE OBRA'!D61</f>
        <v>Agosto de 2010</v>
      </c>
    </row>
    <row r="114" spans="1:7" ht="27.75" customHeight="1" thickBot="1">
      <c r="A114" s="127"/>
      <c r="B114" s="228" t="s">
        <v>835</v>
      </c>
      <c r="C114" s="940" t="s">
        <v>1497</v>
      </c>
      <c r="D114" s="940"/>
      <c r="E114" s="940"/>
      <c r="F114" s="940"/>
      <c r="G114" s="941"/>
    </row>
    <row r="115" spans="1:7" ht="14.25" thickTop="1" thickBot="1">
      <c r="A115" s="95"/>
      <c r="B115" s="986"/>
      <c r="C115" s="986"/>
      <c r="D115" s="986"/>
      <c r="E115" s="986"/>
      <c r="F115" s="986"/>
      <c r="G115" s="986"/>
    </row>
    <row r="116" spans="1:7" ht="13.5" thickTop="1">
      <c r="A116" s="95"/>
      <c r="B116" s="950" t="s">
        <v>304</v>
      </c>
      <c r="C116" s="951"/>
      <c r="D116" s="951"/>
      <c r="E116" s="951"/>
      <c r="F116" s="951"/>
      <c r="G116" s="952"/>
    </row>
    <row r="117" spans="1:7">
      <c r="A117" s="95"/>
      <c r="B117" s="229"/>
      <c r="C117" s="97"/>
      <c r="D117" s="98" t="s">
        <v>301</v>
      </c>
      <c r="E117" s="98" t="s">
        <v>1072</v>
      </c>
      <c r="F117" s="99" t="s">
        <v>839</v>
      </c>
      <c r="G117" s="107" t="s">
        <v>840</v>
      </c>
    </row>
    <row r="118" spans="1:7">
      <c r="A118" s="95"/>
      <c r="B118" s="982" t="s">
        <v>838</v>
      </c>
      <c r="C118" s="983"/>
      <c r="D118" s="100" t="s">
        <v>308</v>
      </c>
      <c r="E118" s="100" t="s">
        <v>305</v>
      </c>
      <c r="F118" s="101" t="s">
        <v>306</v>
      </c>
      <c r="G118" s="108" t="s">
        <v>310</v>
      </c>
    </row>
    <row r="119" spans="1:7">
      <c r="A119" s="95"/>
      <c r="B119" s="230"/>
      <c r="C119" s="102"/>
      <c r="D119" s="103"/>
      <c r="E119" s="103" t="s">
        <v>309</v>
      </c>
      <c r="F119" s="104" t="s">
        <v>307</v>
      </c>
      <c r="G119" s="109"/>
    </row>
    <row r="120" spans="1:7">
      <c r="A120" s="127"/>
      <c r="B120" s="841" t="str">
        <f>'MAQUINARIA Y EQUIPOS'!$C$28</f>
        <v>HERRAMIENTAS MENORES</v>
      </c>
      <c r="C120" s="842"/>
      <c r="D120" s="87">
        <v>1</v>
      </c>
      <c r="E120" s="82">
        <f>ROUND(G153*0.05,0)</f>
        <v>2078</v>
      </c>
      <c r="F120" s="81">
        <v>0.1</v>
      </c>
      <c r="G120" s="110">
        <f>ROUND(D120*E120/F120,0)</f>
        <v>20780</v>
      </c>
    </row>
    <row r="121" spans="1:7">
      <c r="A121" s="95"/>
      <c r="B121" s="854"/>
      <c r="C121" s="855"/>
      <c r="D121" s="37"/>
      <c r="E121" s="129"/>
      <c r="F121" s="83"/>
      <c r="G121" s="111"/>
    </row>
    <row r="122" spans="1:7">
      <c r="A122" s="95"/>
      <c r="B122" s="854"/>
      <c r="C122" s="855"/>
      <c r="D122" s="37"/>
      <c r="E122" s="129"/>
      <c r="F122" s="83"/>
      <c r="G122" s="111"/>
    </row>
    <row r="123" spans="1:7">
      <c r="A123" s="95"/>
      <c r="B123" s="854"/>
      <c r="C123" s="855"/>
      <c r="D123" s="89"/>
      <c r="E123" s="82"/>
      <c r="F123" s="83"/>
      <c r="G123" s="111"/>
    </row>
    <row r="124" spans="1:7">
      <c r="A124" s="95"/>
      <c r="B124" s="854" t="s">
        <v>841</v>
      </c>
      <c r="C124" s="855"/>
      <c r="D124" s="37"/>
      <c r="E124" s="82"/>
      <c r="F124" s="83"/>
      <c r="G124" s="111"/>
    </row>
    <row r="125" spans="1:7" ht="13.5" thickBot="1">
      <c r="A125" s="95"/>
      <c r="B125" s="942" t="s">
        <v>841</v>
      </c>
      <c r="C125" s="943"/>
      <c r="D125" s="77"/>
      <c r="E125" s="106"/>
      <c r="F125" s="86"/>
      <c r="G125" s="112"/>
    </row>
    <row r="126" spans="1:7" ht="14.25" thickTop="1" thickBot="1">
      <c r="A126" s="95"/>
      <c r="B126" s="946"/>
      <c r="C126" s="946"/>
      <c r="D126" s="946"/>
      <c r="E126" s="947"/>
      <c r="F126" s="119" t="s">
        <v>856</v>
      </c>
      <c r="G126" s="118">
        <f>SUM(G120:G125)</f>
        <v>20780</v>
      </c>
    </row>
    <row r="127" spans="1:7" ht="14.25" thickTop="1" thickBot="1">
      <c r="A127" s="95"/>
      <c r="B127" s="970"/>
      <c r="C127" s="970"/>
      <c r="D127" s="970"/>
      <c r="E127" s="970"/>
      <c r="F127" s="970"/>
      <c r="G127" s="970"/>
    </row>
    <row r="128" spans="1:7" ht="13.5" thickTop="1">
      <c r="A128" s="95"/>
      <c r="B128" s="950" t="s">
        <v>311</v>
      </c>
      <c r="C128" s="951"/>
      <c r="D128" s="951"/>
      <c r="E128" s="951"/>
      <c r="F128" s="951"/>
      <c r="G128" s="952"/>
    </row>
    <row r="129" spans="1:8">
      <c r="A129" s="95"/>
      <c r="B129" s="978" t="s">
        <v>838</v>
      </c>
      <c r="C129" s="979"/>
      <c r="D129" s="98" t="s">
        <v>842</v>
      </c>
      <c r="E129" s="98" t="s">
        <v>853</v>
      </c>
      <c r="F129" s="99" t="s">
        <v>1047</v>
      </c>
      <c r="G129" s="107" t="s">
        <v>840</v>
      </c>
    </row>
    <row r="130" spans="1:8">
      <c r="A130" s="95"/>
      <c r="B130" s="230"/>
      <c r="C130" s="102"/>
      <c r="D130" s="100"/>
      <c r="E130" s="100" t="s">
        <v>312</v>
      </c>
      <c r="F130" s="101" t="s">
        <v>313</v>
      </c>
      <c r="G130" s="108" t="s">
        <v>314</v>
      </c>
    </row>
    <row r="131" spans="1:8">
      <c r="A131" s="123"/>
      <c r="B131" s="841" t="s">
        <v>1328</v>
      </c>
      <c r="C131" s="842"/>
      <c r="D131" s="87" t="s">
        <v>831</v>
      </c>
      <c r="E131" s="81">
        <v>60</v>
      </c>
      <c r="F131" s="80">
        <v>4000</v>
      </c>
      <c r="G131" s="110">
        <f>ROUND(E131*F131,0)</f>
        <v>240000</v>
      </c>
    </row>
    <row r="132" spans="1:8">
      <c r="A132" s="123"/>
      <c r="B132" s="854"/>
      <c r="C132" s="855"/>
      <c r="D132" s="37"/>
      <c r="E132" s="83"/>
      <c r="F132" s="82"/>
      <c r="G132" s="111"/>
    </row>
    <row r="133" spans="1:8">
      <c r="A133" s="123"/>
      <c r="B133" s="854"/>
      <c r="C133" s="855"/>
      <c r="D133" s="37"/>
      <c r="E133" s="83"/>
      <c r="F133" s="82"/>
      <c r="G133" s="111"/>
    </row>
    <row r="134" spans="1:8">
      <c r="A134" s="123"/>
      <c r="B134" s="854"/>
      <c r="C134" s="855"/>
      <c r="D134" s="37"/>
      <c r="E134" s="83"/>
      <c r="F134" s="82"/>
      <c r="G134" s="111"/>
    </row>
    <row r="135" spans="1:8">
      <c r="A135" s="123"/>
      <c r="B135" s="854"/>
      <c r="C135" s="855"/>
      <c r="D135" s="37"/>
      <c r="E135" s="83"/>
      <c r="F135" s="82"/>
      <c r="G135" s="111"/>
    </row>
    <row r="136" spans="1:8">
      <c r="A136" s="123"/>
      <c r="B136" s="854"/>
      <c r="C136" s="855"/>
      <c r="D136" s="37"/>
      <c r="E136" s="83"/>
      <c r="F136" s="82"/>
      <c r="G136" s="111"/>
    </row>
    <row r="137" spans="1:8">
      <c r="A137" s="123"/>
      <c r="B137" s="854"/>
      <c r="C137" s="855"/>
      <c r="D137" s="37"/>
      <c r="E137" s="83"/>
      <c r="F137" s="82"/>
      <c r="G137" s="111"/>
    </row>
    <row r="138" spans="1:8">
      <c r="A138" s="95"/>
      <c r="B138" s="938" t="s">
        <v>841</v>
      </c>
      <c r="C138" s="939"/>
      <c r="D138" s="53" t="s">
        <v>841</v>
      </c>
      <c r="E138" s="53"/>
      <c r="F138" s="82"/>
      <c r="G138" s="111"/>
      <c r="H138" s="505" t="s">
        <v>1670</v>
      </c>
    </row>
    <row r="139" spans="1:8" ht="13.5" thickBot="1">
      <c r="A139" s="95"/>
      <c r="B139" s="942" t="s">
        <v>841</v>
      </c>
      <c r="C139" s="943"/>
      <c r="D139" s="84" t="s">
        <v>841</v>
      </c>
      <c r="E139" s="84"/>
      <c r="F139" s="85"/>
      <c r="G139" s="112"/>
    </row>
    <row r="140" spans="1:8" ht="13.5" thickTop="1">
      <c r="A140" s="95"/>
      <c r="B140" s="946"/>
      <c r="C140" s="947"/>
      <c r="D140" s="801" t="s">
        <v>856</v>
      </c>
      <c r="E140" s="802"/>
      <c r="F140" s="9"/>
      <c r="G140" s="113">
        <f>SUM(G131:G139)</f>
        <v>240000</v>
      </c>
    </row>
    <row r="141" spans="1:8">
      <c r="A141" s="95"/>
      <c r="B141" s="948"/>
      <c r="C141" s="949"/>
      <c r="D141" s="801" t="s">
        <v>857</v>
      </c>
      <c r="E141" s="802"/>
      <c r="F141" s="79">
        <f>'MANO DE OBRA'!$D$60</f>
        <v>0.05</v>
      </c>
      <c r="G141" s="113">
        <f>ROUND(G140*F141,0)</f>
        <v>12000</v>
      </c>
    </row>
    <row r="142" spans="1:8" ht="13.5" thickBot="1">
      <c r="A142" s="95"/>
      <c r="B142" s="948"/>
      <c r="C142" s="949"/>
      <c r="D142" s="803" t="s">
        <v>320</v>
      </c>
      <c r="E142" s="804"/>
      <c r="F142" s="114"/>
      <c r="G142" s="118">
        <f>+G140+G141</f>
        <v>252000</v>
      </c>
    </row>
    <row r="143" spans="1:8" ht="14.25" thickTop="1" thickBot="1">
      <c r="A143" s="95"/>
      <c r="B143" s="970"/>
      <c r="C143" s="970"/>
      <c r="D143" s="970"/>
      <c r="E143" s="970"/>
      <c r="F143" s="970"/>
      <c r="G143" s="970"/>
    </row>
    <row r="144" spans="1:8" ht="13.5" thickTop="1">
      <c r="A144" s="95"/>
      <c r="B144" s="950" t="s">
        <v>858</v>
      </c>
      <c r="C144" s="951"/>
      <c r="D144" s="951"/>
      <c r="E144" s="951"/>
      <c r="F144" s="951"/>
      <c r="G144" s="952"/>
    </row>
    <row r="145" spans="1:7">
      <c r="A145" s="95"/>
      <c r="B145" s="978"/>
      <c r="C145" s="979"/>
      <c r="D145" s="98" t="s">
        <v>301</v>
      </c>
      <c r="E145" s="98" t="s">
        <v>859</v>
      </c>
      <c r="F145" s="99" t="s">
        <v>839</v>
      </c>
      <c r="G145" s="107" t="s">
        <v>840</v>
      </c>
    </row>
    <row r="146" spans="1:7">
      <c r="A146" s="95"/>
      <c r="B146" s="982" t="s">
        <v>838</v>
      </c>
      <c r="C146" s="983"/>
      <c r="D146" s="100" t="s">
        <v>316</v>
      </c>
      <c r="E146" s="100" t="s">
        <v>315</v>
      </c>
      <c r="F146" s="101" t="s">
        <v>306</v>
      </c>
      <c r="G146" s="108" t="s">
        <v>319</v>
      </c>
    </row>
    <row r="147" spans="1:7">
      <c r="A147" s="95"/>
      <c r="B147" s="230"/>
      <c r="C147" s="102"/>
      <c r="D147" s="103"/>
      <c r="E147" s="103" t="s">
        <v>317</v>
      </c>
      <c r="F147" s="104" t="s">
        <v>318</v>
      </c>
      <c r="G147" s="109"/>
    </row>
    <row r="148" spans="1:7">
      <c r="A148" s="95"/>
      <c r="B148" s="841" t="str">
        <f>'MANO DE OBRA'!$B$11</f>
        <v>AYUDANTE CUAD. TIPO BB</v>
      </c>
      <c r="C148" s="842"/>
      <c r="D148" s="87">
        <v>3</v>
      </c>
      <c r="E148" s="80">
        <f>'MANO DE OBRA'!$E$11</f>
        <v>43077</v>
      </c>
      <c r="F148" s="81">
        <v>5</v>
      </c>
      <c r="G148" s="110">
        <f>ROUND(D148*E148/F148,0)</f>
        <v>25846</v>
      </c>
    </row>
    <row r="149" spans="1:7">
      <c r="A149" s="95"/>
      <c r="B149" s="854" t="str">
        <f>'MANO DE OBRA'!$B$16</f>
        <v>OFICIAL CUAD. TIPO BB</v>
      </c>
      <c r="C149" s="855"/>
      <c r="D149" s="37">
        <v>1</v>
      </c>
      <c r="E149" s="82">
        <f>'MANO DE OBRA'!$E$16</f>
        <v>78577</v>
      </c>
      <c r="F149" s="83">
        <v>5</v>
      </c>
      <c r="G149" s="111">
        <f>ROUND(D149*E149/F149,0)</f>
        <v>15715</v>
      </c>
    </row>
    <row r="150" spans="1:7">
      <c r="A150" s="95"/>
      <c r="B150" s="854"/>
      <c r="C150" s="855"/>
      <c r="D150" s="89"/>
      <c r="E150" s="82"/>
      <c r="F150" s="83"/>
      <c r="G150" s="111"/>
    </row>
    <row r="151" spans="1:7">
      <c r="A151" s="95"/>
      <c r="B151" s="854" t="s">
        <v>841</v>
      </c>
      <c r="C151" s="855"/>
      <c r="D151" s="37"/>
      <c r="E151" s="82"/>
      <c r="F151" s="83"/>
      <c r="G151" s="111"/>
    </row>
    <row r="152" spans="1:7" ht="13.5" thickBot="1">
      <c r="A152" s="95"/>
      <c r="B152" s="980" t="s">
        <v>841</v>
      </c>
      <c r="C152" s="981"/>
      <c r="D152" s="77"/>
      <c r="E152" s="82"/>
      <c r="F152" s="86"/>
      <c r="G152" s="112"/>
    </row>
    <row r="153" spans="1:7" ht="14.25" thickTop="1" thickBot="1">
      <c r="A153" s="95"/>
      <c r="B153" s="946"/>
      <c r="C153" s="946"/>
      <c r="D153" s="946"/>
      <c r="E153" s="947"/>
      <c r="F153" s="120" t="s">
        <v>856</v>
      </c>
      <c r="G153" s="118">
        <f>SUM(G148:G152)</f>
        <v>41561</v>
      </c>
    </row>
    <row r="154" spans="1:7" ht="14.25" thickTop="1" thickBot="1">
      <c r="A154" s="95"/>
      <c r="B154" s="970"/>
      <c r="C154" s="970"/>
      <c r="D154" s="970"/>
      <c r="E154" s="970"/>
      <c r="F154" s="970"/>
      <c r="G154" s="970"/>
    </row>
    <row r="155" spans="1:7" ht="13.5" thickTop="1">
      <c r="A155" s="95"/>
      <c r="B155" s="950" t="s">
        <v>321</v>
      </c>
      <c r="C155" s="951"/>
      <c r="D155" s="951"/>
      <c r="E155" s="951"/>
      <c r="F155" s="951"/>
      <c r="G155" s="952"/>
    </row>
    <row r="156" spans="1:7">
      <c r="A156" s="95"/>
      <c r="B156" s="978" t="s">
        <v>838</v>
      </c>
      <c r="C156" s="979"/>
      <c r="D156" s="98" t="s">
        <v>301</v>
      </c>
      <c r="E156" s="98" t="s">
        <v>297</v>
      </c>
      <c r="F156" s="99" t="s">
        <v>839</v>
      </c>
      <c r="G156" s="107" t="s">
        <v>840</v>
      </c>
    </row>
    <row r="157" spans="1:7">
      <c r="A157" s="95"/>
      <c r="B157" s="230"/>
      <c r="C157" s="102"/>
      <c r="D157" s="103" t="s">
        <v>322</v>
      </c>
      <c r="E157" s="103" t="s">
        <v>323</v>
      </c>
      <c r="F157" s="104" t="s">
        <v>324</v>
      </c>
      <c r="G157" s="109" t="s">
        <v>325</v>
      </c>
    </row>
    <row r="158" spans="1:7">
      <c r="A158" s="95"/>
      <c r="B158" s="841"/>
      <c r="C158" s="842"/>
      <c r="D158" s="96"/>
      <c r="E158" s="96"/>
      <c r="F158" s="96"/>
      <c r="G158" s="116"/>
    </row>
    <row r="159" spans="1:7" ht="13.5" thickBot="1">
      <c r="A159" s="95"/>
      <c r="B159" s="980" t="s">
        <v>841</v>
      </c>
      <c r="C159" s="981"/>
      <c r="D159" s="77"/>
      <c r="E159" s="82"/>
      <c r="F159" s="86"/>
      <c r="G159" s="112"/>
    </row>
    <row r="160" spans="1:7" ht="14.25" thickTop="1" thickBot="1">
      <c r="A160" s="95"/>
      <c r="B160" s="946"/>
      <c r="C160" s="946"/>
      <c r="D160" s="946"/>
      <c r="E160" s="947"/>
      <c r="F160" s="120" t="s">
        <v>856</v>
      </c>
      <c r="G160" s="118">
        <f>SUM(G155:G159)</f>
        <v>0</v>
      </c>
    </row>
    <row r="161" spans="1:8" ht="14.25" thickTop="1" thickBot="1">
      <c r="A161" s="95"/>
      <c r="B161" s="970"/>
      <c r="C161" s="970"/>
      <c r="D161" s="970"/>
      <c r="E161" s="970"/>
      <c r="F161" s="970"/>
      <c r="G161" s="943"/>
    </row>
    <row r="162" spans="1:8" ht="13.5" thickTop="1">
      <c r="A162" s="95"/>
      <c r="B162" s="950" t="s">
        <v>326</v>
      </c>
      <c r="C162" s="951"/>
      <c r="D162" s="951"/>
      <c r="E162" s="951"/>
      <c r="F162" s="971"/>
      <c r="G162" s="121">
        <f>+G126+G142+G153</f>
        <v>314341</v>
      </c>
    </row>
    <row r="163" spans="1:8">
      <c r="A163" s="95"/>
      <c r="B163" s="972" t="s">
        <v>861</v>
      </c>
      <c r="C163" s="973"/>
      <c r="D163" s="973"/>
      <c r="E163" s="974"/>
      <c r="F163" s="128">
        <f>'MANO DE OBRA'!$D$59</f>
        <v>0</v>
      </c>
      <c r="G163" s="122">
        <f>ROUND(G162*F163,0)</f>
        <v>0</v>
      </c>
    </row>
    <row r="164" spans="1:8" ht="13.5" thickBot="1">
      <c r="A164" s="95"/>
      <c r="B164" s="975" t="s">
        <v>1049</v>
      </c>
      <c r="C164" s="976"/>
      <c r="D164" s="976"/>
      <c r="E164" s="976"/>
      <c r="F164" s="977"/>
      <c r="G164" s="118">
        <f>ROUND(G162+G163,-2)</f>
        <v>314300</v>
      </c>
      <c r="H164" s="505" t="s">
        <v>1670</v>
      </c>
    </row>
    <row r="165" spans="1:8" ht="13.5" thickTop="1">
      <c r="A165" s="95"/>
      <c r="B165" s="225" t="s">
        <v>303</v>
      </c>
      <c r="C165" s="843"/>
      <c r="D165" s="843"/>
      <c r="E165" s="843"/>
      <c r="F165" s="92" t="s">
        <v>781</v>
      </c>
      <c r="G165" s="93" t="s">
        <v>865</v>
      </c>
    </row>
    <row r="166" spans="1:8">
      <c r="A166" s="95"/>
      <c r="B166" s="226" t="s">
        <v>834</v>
      </c>
      <c r="C166" s="844" t="s">
        <v>423</v>
      </c>
      <c r="D166" s="844"/>
      <c r="E166" s="844"/>
      <c r="F166" s="15" t="s">
        <v>833</v>
      </c>
      <c r="G166" s="165" t="str">
        <f>'MANO DE OBRA'!D61</f>
        <v>Agosto de 2010</v>
      </c>
    </row>
    <row r="167" spans="1:8" ht="27.75" customHeight="1" thickBot="1">
      <c r="A167" s="127"/>
      <c r="B167" s="228" t="s">
        <v>835</v>
      </c>
      <c r="C167" s="940" t="s">
        <v>1498</v>
      </c>
      <c r="D167" s="940"/>
      <c r="E167" s="940"/>
      <c r="F167" s="940"/>
      <c r="G167" s="941"/>
    </row>
    <row r="168" spans="1:8" ht="14.25" thickTop="1" thickBot="1">
      <c r="A168" s="95"/>
      <c r="B168" s="986"/>
      <c r="C168" s="986"/>
      <c r="D168" s="986"/>
      <c r="E168" s="986"/>
      <c r="F168" s="986"/>
      <c r="G168" s="986"/>
    </row>
    <row r="169" spans="1:8" ht="13.5" thickTop="1">
      <c r="A169" s="95"/>
      <c r="B169" s="950" t="s">
        <v>304</v>
      </c>
      <c r="C169" s="951"/>
      <c r="D169" s="951"/>
      <c r="E169" s="951"/>
      <c r="F169" s="951"/>
      <c r="G169" s="952"/>
    </row>
    <row r="170" spans="1:8">
      <c r="A170" s="95"/>
      <c r="B170" s="229"/>
      <c r="C170" s="97"/>
      <c r="D170" s="98" t="s">
        <v>301</v>
      </c>
      <c r="E170" s="98" t="s">
        <v>1072</v>
      </c>
      <c r="F170" s="99" t="s">
        <v>839</v>
      </c>
      <c r="G170" s="107" t="s">
        <v>840</v>
      </c>
    </row>
    <row r="171" spans="1:8">
      <c r="A171" s="95"/>
      <c r="B171" s="982" t="s">
        <v>838</v>
      </c>
      <c r="C171" s="983"/>
      <c r="D171" s="100" t="s">
        <v>308</v>
      </c>
      <c r="E171" s="100" t="s">
        <v>305</v>
      </c>
      <c r="F171" s="101" t="s">
        <v>306</v>
      </c>
      <c r="G171" s="108" t="s">
        <v>310</v>
      </c>
    </row>
    <row r="172" spans="1:8">
      <c r="A172" s="95"/>
      <c r="B172" s="230"/>
      <c r="C172" s="102"/>
      <c r="D172" s="103"/>
      <c r="E172" s="103" t="s">
        <v>309</v>
      </c>
      <c r="F172" s="104" t="s">
        <v>307</v>
      </c>
      <c r="G172" s="109"/>
    </row>
    <row r="173" spans="1:8">
      <c r="A173" s="127"/>
      <c r="B173" s="841" t="str">
        <f>'MAQUINARIA Y EQUIPOS'!$C$28</f>
        <v>HERRAMIENTAS MENORES</v>
      </c>
      <c r="C173" s="842"/>
      <c r="D173" s="87">
        <v>1</v>
      </c>
      <c r="E173" s="82">
        <f>ROUND(G206*0.05,0)</f>
        <v>3463</v>
      </c>
      <c r="F173" s="81">
        <v>0.5</v>
      </c>
      <c r="G173" s="110">
        <f>ROUND(D173*E173/F173,0)</f>
        <v>6926</v>
      </c>
    </row>
    <row r="174" spans="1:8">
      <c r="A174" s="95"/>
      <c r="B174" s="854"/>
      <c r="C174" s="855"/>
      <c r="D174" s="37"/>
      <c r="E174" s="129"/>
      <c r="F174" s="83"/>
      <c r="G174" s="111"/>
    </row>
    <row r="175" spans="1:8">
      <c r="A175" s="95"/>
      <c r="B175" s="854"/>
      <c r="C175" s="855"/>
      <c r="D175" s="37"/>
      <c r="E175" s="129"/>
      <c r="F175" s="83"/>
      <c r="G175" s="111"/>
    </row>
    <row r="176" spans="1:8">
      <c r="A176" s="95"/>
      <c r="B176" s="854"/>
      <c r="C176" s="855"/>
      <c r="D176" s="89"/>
      <c r="E176" s="82"/>
      <c r="F176" s="83"/>
      <c r="G176" s="111"/>
    </row>
    <row r="177" spans="1:8">
      <c r="A177" s="95"/>
      <c r="B177" s="854" t="s">
        <v>841</v>
      </c>
      <c r="C177" s="855"/>
      <c r="D177" s="37"/>
      <c r="E177" s="82"/>
      <c r="F177" s="83"/>
      <c r="G177" s="111"/>
    </row>
    <row r="178" spans="1:8" ht="13.5" thickBot="1">
      <c r="A178" s="95"/>
      <c r="B178" s="942" t="s">
        <v>841</v>
      </c>
      <c r="C178" s="943"/>
      <c r="D178" s="77"/>
      <c r="E178" s="106"/>
      <c r="F178" s="86"/>
      <c r="G178" s="112"/>
    </row>
    <row r="179" spans="1:8" ht="14.25" thickTop="1" thickBot="1">
      <c r="A179" s="95"/>
      <c r="B179" s="946"/>
      <c r="C179" s="946"/>
      <c r="D179" s="946"/>
      <c r="E179" s="947"/>
      <c r="F179" s="119" t="s">
        <v>856</v>
      </c>
      <c r="G179" s="118">
        <f>SUM(G173:G178)</f>
        <v>6926</v>
      </c>
    </row>
    <row r="180" spans="1:8" ht="14.25" thickTop="1" thickBot="1">
      <c r="A180" s="95"/>
      <c r="B180" s="970"/>
      <c r="C180" s="970"/>
      <c r="D180" s="970"/>
      <c r="E180" s="970"/>
      <c r="F180" s="970"/>
      <c r="G180" s="970"/>
    </row>
    <row r="181" spans="1:8" ht="13.5" thickTop="1">
      <c r="A181" s="95"/>
      <c r="B181" s="950" t="s">
        <v>311</v>
      </c>
      <c r="C181" s="951"/>
      <c r="D181" s="951"/>
      <c r="E181" s="951"/>
      <c r="F181" s="951"/>
      <c r="G181" s="952"/>
    </row>
    <row r="182" spans="1:8">
      <c r="A182" s="95"/>
      <c r="B182" s="978" t="s">
        <v>838</v>
      </c>
      <c r="C182" s="979"/>
      <c r="D182" s="98" t="s">
        <v>842</v>
      </c>
      <c r="E182" s="98" t="s">
        <v>853</v>
      </c>
      <c r="F182" s="99" t="s">
        <v>1047</v>
      </c>
      <c r="G182" s="107" t="s">
        <v>840</v>
      </c>
    </row>
    <row r="183" spans="1:8">
      <c r="A183" s="95"/>
      <c r="B183" s="230"/>
      <c r="C183" s="102"/>
      <c r="D183" s="100"/>
      <c r="E183" s="100" t="s">
        <v>312</v>
      </c>
      <c r="F183" s="101" t="s">
        <v>313</v>
      </c>
      <c r="G183" s="108" t="s">
        <v>314</v>
      </c>
    </row>
    <row r="184" spans="1:8">
      <c r="A184" s="123"/>
      <c r="B184" s="841" t="s">
        <v>1329</v>
      </c>
      <c r="C184" s="842"/>
      <c r="D184" s="87" t="s">
        <v>865</v>
      </c>
      <c r="E184" s="81">
        <v>1</v>
      </c>
      <c r="F184" s="80">
        <v>150000</v>
      </c>
      <c r="G184" s="110">
        <f t="shared" ref="G184:G189" si="0">ROUND(E184*F184,0)</f>
        <v>150000</v>
      </c>
    </row>
    <row r="185" spans="1:8">
      <c r="A185" s="123"/>
      <c r="B185" s="854" t="s">
        <v>1326</v>
      </c>
      <c r="C185" s="855"/>
      <c r="D185" s="37" t="s">
        <v>1351</v>
      </c>
      <c r="E185" s="83">
        <v>1</v>
      </c>
      <c r="F185" s="82">
        <v>74400</v>
      </c>
      <c r="G185" s="111">
        <f t="shared" si="0"/>
        <v>74400</v>
      </c>
    </row>
    <row r="186" spans="1:8">
      <c r="A186" s="123"/>
      <c r="B186" s="854"/>
      <c r="C186" s="855"/>
      <c r="D186" s="37"/>
      <c r="E186" s="83"/>
      <c r="F186" s="82"/>
      <c r="G186" s="111">
        <f t="shared" si="0"/>
        <v>0</v>
      </c>
    </row>
    <row r="187" spans="1:8">
      <c r="A187" s="123"/>
      <c r="B187" s="854"/>
      <c r="C187" s="855"/>
      <c r="D187" s="37"/>
      <c r="E187" s="83"/>
      <c r="F187" s="82"/>
      <c r="G187" s="111">
        <f t="shared" si="0"/>
        <v>0</v>
      </c>
    </row>
    <row r="188" spans="1:8">
      <c r="A188" s="123"/>
      <c r="B188" s="854"/>
      <c r="C188" s="855"/>
      <c r="D188" s="37"/>
      <c r="E188" s="83"/>
      <c r="F188" s="82"/>
      <c r="G188" s="111">
        <f t="shared" si="0"/>
        <v>0</v>
      </c>
    </row>
    <row r="189" spans="1:8">
      <c r="A189" s="123"/>
      <c r="B189" s="854"/>
      <c r="C189" s="855"/>
      <c r="D189" s="37"/>
      <c r="E189" s="83"/>
      <c r="F189" s="82"/>
      <c r="G189" s="111">
        <f t="shared" si="0"/>
        <v>0</v>
      </c>
    </row>
    <row r="190" spans="1:8">
      <c r="A190" s="123"/>
      <c r="B190" s="854"/>
      <c r="C190" s="855"/>
      <c r="D190" s="37"/>
      <c r="E190" s="83"/>
      <c r="F190" s="82"/>
      <c r="G190" s="111"/>
    </row>
    <row r="191" spans="1:8">
      <c r="A191" s="95"/>
      <c r="B191" s="938" t="s">
        <v>841</v>
      </c>
      <c r="C191" s="939"/>
      <c r="D191" s="53" t="s">
        <v>841</v>
      </c>
      <c r="E191" s="53"/>
      <c r="F191" s="82"/>
      <c r="G191" s="111"/>
      <c r="H191" s="505" t="s">
        <v>1670</v>
      </c>
    </row>
    <row r="192" spans="1:8" ht="13.5" thickBot="1">
      <c r="A192" s="95"/>
      <c r="B192" s="942" t="s">
        <v>841</v>
      </c>
      <c r="C192" s="943"/>
      <c r="D192" s="84" t="s">
        <v>841</v>
      </c>
      <c r="E192" s="84"/>
      <c r="F192" s="85"/>
      <c r="G192" s="112"/>
    </row>
    <row r="193" spans="1:7" ht="13.5" thickTop="1">
      <c r="A193" s="95"/>
      <c r="B193" s="946"/>
      <c r="C193" s="947"/>
      <c r="D193" s="801" t="s">
        <v>856</v>
      </c>
      <c r="E193" s="802"/>
      <c r="F193" s="9"/>
      <c r="G193" s="113">
        <f>SUM(G184:G192)</f>
        <v>224400</v>
      </c>
    </row>
    <row r="194" spans="1:7">
      <c r="A194" s="95"/>
      <c r="B194" s="948"/>
      <c r="C194" s="949"/>
      <c r="D194" s="801" t="s">
        <v>857</v>
      </c>
      <c r="E194" s="802"/>
      <c r="F194" s="79">
        <f>'MANO DE OBRA'!$D$60</f>
        <v>0.05</v>
      </c>
      <c r="G194" s="113">
        <f>ROUND(G193*F194,0)</f>
        <v>11220</v>
      </c>
    </row>
    <row r="195" spans="1:7" ht="13.5" thickBot="1">
      <c r="A195" s="95"/>
      <c r="B195" s="948"/>
      <c r="C195" s="949"/>
      <c r="D195" s="803" t="s">
        <v>320</v>
      </c>
      <c r="E195" s="804"/>
      <c r="F195" s="114"/>
      <c r="G195" s="118">
        <f>+G193+G194</f>
        <v>235620</v>
      </c>
    </row>
    <row r="196" spans="1:7" ht="14.25" thickTop="1" thickBot="1">
      <c r="A196" s="95"/>
      <c r="B196" s="970"/>
      <c r="C196" s="970"/>
      <c r="D196" s="970"/>
      <c r="E196" s="970"/>
      <c r="F196" s="970"/>
      <c r="G196" s="970"/>
    </row>
    <row r="197" spans="1:7" ht="13.5" thickTop="1">
      <c r="A197" s="95"/>
      <c r="B197" s="950" t="s">
        <v>858</v>
      </c>
      <c r="C197" s="951"/>
      <c r="D197" s="951"/>
      <c r="E197" s="951"/>
      <c r="F197" s="951"/>
      <c r="G197" s="952"/>
    </row>
    <row r="198" spans="1:7">
      <c r="A198" s="95"/>
      <c r="B198" s="978"/>
      <c r="C198" s="979"/>
      <c r="D198" s="98" t="s">
        <v>301</v>
      </c>
      <c r="E198" s="98" t="s">
        <v>859</v>
      </c>
      <c r="F198" s="99" t="s">
        <v>839</v>
      </c>
      <c r="G198" s="107" t="s">
        <v>840</v>
      </c>
    </row>
    <row r="199" spans="1:7">
      <c r="A199" s="95"/>
      <c r="B199" s="982" t="s">
        <v>838</v>
      </c>
      <c r="C199" s="983"/>
      <c r="D199" s="100" t="s">
        <v>316</v>
      </c>
      <c r="E199" s="100" t="s">
        <v>315</v>
      </c>
      <c r="F199" s="101" t="s">
        <v>306</v>
      </c>
      <c r="G199" s="108" t="s">
        <v>319</v>
      </c>
    </row>
    <row r="200" spans="1:7">
      <c r="A200" s="95"/>
      <c r="B200" s="230"/>
      <c r="C200" s="102"/>
      <c r="D200" s="103"/>
      <c r="E200" s="103" t="s">
        <v>317</v>
      </c>
      <c r="F200" s="104" t="s">
        <v>318</v>
      </c>
      <c r="G200" s="109"/>
    </row>
    <row r="201" spans="1:7">
      <c r="A201" s="95"/>
      <c r="B201" s="841" t="str">
        <f>'MANO DE OBRA'!$B$11</f>
        <v>AYUDANTE CUAD. TIPO BB</v>
      </c>
      <c r="C201" s="842"/>
      <c r="D201" s="87">
        <v>3</v>
      </c>
      <c r="E201" s="80">
        <f>'MANO DE OBRA'!$E$11</f>
        <v>43077</v>
      </c>
      <c r="F201" s="81">
        <v>3</v>
      </c>
      <c r="G201" s="110">
        <f>ROUND(D201*E201/F201,0)</f>
        <v>43077</v>
      </c>
    </row>
    <row r="202" spans="1:7">
      <c r="A202" s="95"/>
      <c r="B202" s="854" t="str">
        <f>'MANO DE OBRA'!$B$16</f>
        <v>OFICIAL CUAD. TIPO BB</v>
      </c>
      <c r="C202" s="855"/>
      <c r="D202" s="37">
        <v>1</v>
      </c>
      <c r="E202" s="82">
        <f>'MANO DE OBRA'!$E$16</f>
        <v>78577</v>
      </c>
      <c r="F202" s="83">
        <v>3</v>
      </c>
      <c r="G202" s="111">
        <f>ROUND(D202*E202/F202,0)</f>
        <v>26192</v>
      </c>
    </row>
    <row r="203" spans="1:7">
      <c r="A203" s="95"/>
      <c r="B203" s="854"/>
      <c r="C203" s="855"/>
      <c r="D203" s="89"/>
      <c r="E203" s="82"/>
      <c r="F203" s="83"/>
      <c r="G203" s="111"/>
    </row>
    <row r="204" spans="1:7">
      <c r="A204" s="95"/>
      <c r="B204" s="854" t="s">
        <v>841</v>
      </c>
      <c r="C204" s="855"/>
      <c r="D204" s="37"/>
      <c r="E204" s="82"/>
      <c r="F204" s="83"/>
      <c r="G204" s="111"/>
    </row>
    <row r="205" spans="1:7" ht="13.5" thickBot="1">
      <c r="A205" s="95"/>
      <c r="B205" s="980" t="s">
        <v>841</v>
      </c>
      <c r="C205" s="981"/>
      <c r="D205" s="77"/>
      <c r="E205" s="82"/>
      <c r="F205" s="86"/>
      <c r="G205" s="112"/>
    </row>
    <row r="206" spans="1:7" ht="14.25" thickTop="1" thickBot="1">
      <c r="A206" s="95"/>
      <c r="B206" s="946"/>
      <c r="C206" s="946"/>
      <c r="D206" s="946"/>
      <c r="E206" s="947"/>
      <c r="F206" s="120" t="s">
        <v>856</v>
      </c>
      <c r="G206" s="118">
        <f>SUM(G201:G205)</f>
        <v>69269</v>
      </c>
    </row>
    <row r="207" spans="1:7" ht="14.25" thickTop="1" thickBot="1">
      <c r="A207" s="95"/>
      <c r="B207" s="970"/>
      <c r="C207" s="970"/>
      <c r="D207" s="970"/>
      <c r="E207" s="970"/>
      <c r="F207" s="970"/>
      <c r="G207" s="970"/>
    </row>
    <row r="208" spans="1:7" ht="13.5" thickTop="1">
      <c r="A208" s="95"/>
      <c r="B208" s="950" t="s">
        <v>321</v>
      </c>
      <c r="C208" s="951"/>
      <c r="D208" s="951"/>
      <c r="E208" s="951"/>
      <c r="F208" s="951"/>
      <c r="G208" s="952"/>
    </row>
    <row r="209" spans="1:8">
      <c r="A209" s="95"/>
      <c r="B209" s="978" t="s">
        <v>838</v>
      </c>
      <c r="C209" s="979"/>
      <c r="D209" s="98" t="s">
        <v>301</v>
      </c>
      <c r="E209" s="98" t="s">
        <v>297</v>
      </c>
      <c r="F209" s="99" t="s">
        <v>839</v>
      </c>
      <c r="G209" s="107" t="s">
        <v>840</v>
      </c>
    </row>
    <row r="210" spans="1:8">
      <c r="A210" s="95"/>
      <c r="B210" s="230"/>
      <c r="C210" s="102"/>
      <c r="D210" s="103" t="s">
        <v>322</v>
      </c>
      <c r="E210" s="103" t="s">
        <v>323</v>
      </c>
      <c r="F210" s="104" t="s">
        <v>324</v>
      </c>
      <c r="G210" s="109" t="s">
        <v>325</v>
      </c>
    </row>
    <row r="211" spans="1:8">
      <c r="A211" s="95"/>
      <c r="B211" s="841"/>
      <c r="C211" s="842"/>
      <c r="D211" s="96"/>
      <c r="E211" s="96"/>
      <c r="F211" s="96"/>
      <c r="G211" s="116"/>
    </row>
    <row r="212" spans="1:8" ht="13.5" thickBot="1">
      <c r="A212" s="95"/>
      <c r="B212" s="980" t="s">
        <v>841</v>
      </c>
      <c r="C212" s="981"/>
      <c r="D212" s="77"/>
      <c r="E212" s="82"/>
      <c r="F212" s="86"/>
      <c r="G212" s="112"/>
    </row>
    <row r="213" spans="1:8" ht="14.25" thickTop="1" thickBot="1">
      <c r="A213" s="95"/>
      <c r="B213" s="946"/>
      <c r="C213" s="946"/>
      <c r="D213" s="946"/>
      <c r="E213" s="947"/>
      <c r="F213" s="120" t="s">
        <v>856</v>
      </c>
      <c r="G213" s="118">
        <f>SUM(G208:G212)</f>
        <v>0</v>
      </c>
    </row>
    <row r="214" spans="1:8" ht="14.25" thickTop="1" thickBot="1">
      <c r="A214" s="95"/>
      <c r="B214" s="970"/>
      <c r="C214" s="970"/>
      <c r="D214" s="970"/>
      <c r="E214" s="970"/>
      <c r="F214" s="970"/>
      <c r="G214" s="943"/>
    </row>
    <row r="215" spans="1:8" ht="13.5" thickTop="1">
      <c r="A215" s="95"/>
      <c r="B215" s="950" t="s">
        <v>326</v>
      </c>
      <c r="C215" s="951"/>
      <c r="D215" s="951"/>
      <c r="E215" s="951"/>
      <c r="F215" s="971"/>
      <c r="G215" s="121">
        <f>+G179+G195+G206</f>
        <v>311815</v>
      </c>
    </row>
    <row r="216" spans="1:8">
      <c r="A216" s="95"/>
      <c r="B216" s="972" t="s">
        <v>861</v>
      </c>
      <c r="C216" s="973"/>
      <c r="D216" s="973"/>
      <c r="E216" s="974"/>
      <c r="F216" s="128">
        <f>'MANO DE OBRA'!$D$59</f>
        <v>0</v>
      </c>
      <c r="G216" s="122">
        <f>ROUND(G215*F216,0)</f>
        <v>0</v>
      </c>
    </row>
    <row r="217" spans="1:8" ht="13.5" thickBot="1">
      <c r="A217" s="95"/>
      <c r="B217" s="975" t="s">
        <v>1049</v>
      </c>
      <c r="C217" s="976"/>
      <c r="D217" s="976"/>
      <c r="E217" s="976"/>
      <c r="F217" s="977"/>
      <c r="G217" s="118">
        <f>ROUND(G215+G216,-2)</f>
        <v>311800</v>
      </c>
      <c r="H217" s="505" t="s">
        <v>1670</v>
      </c>
    </row>
    <row r="218" spans="1:8" ht="13.5" thickTop="1">
      <c r="A218" s="95"/>
      <c r="B218" s="225" t="s">
        <v>303</v>
      </c>
      <c r="C218" s="843"/>
      <c r="D218" s="843"/>
      <c r="E218" s="843"/>
      <c r="F218" s="92" t="s">
        <v>781</v>
      </c>
      <c r="G218" s="93" t="s">
        <v>865</v>
      </c>
    </row>
    <row r="219" spans="1:8">
      <c r="A219" s="95"/>
      <c r="B219" s="226" t="s">
        <v>834</v>
      </c>
      <c r="C219" s="844" t="s">
        <v>1352</v>
      </c>
      <c r="D219" s="844"/>
      <c r="E219" s="844"/>
      <c r="F219" s="15" t="s">
        <v>833</v>
      </c>
      <c r="G219" s="165" t="str">
        <f>'MANO DE OBRA'!D61</f>
        <v>Agosto de 2010</v>
      </c>
    </row>
    <row r="220" spans="1:8" ht="25.5" customHeight="1" thickBot="1">
      <c r="A220" s="127"/>
      <c r="B220" s="228" t="s">
        <v>835</v>
      </c>
      <c r="C220" s="940" t="s">
        <v>1330</v>
      </c>
      <c r="D220" s="940"/>
      <c r="E220" s="940"/>
      <c r="F220" s="940"/>
      <c r="G220" s="941"/>
    </row>
    <row r="221" spans="1:8" ht="14.25" thickTop="1" thickBot="1">
      <c r="A221" s="95"/>
      <c r="B221" s="986"/>
      <c r="C221" s="986"/>
      <c r="D221" s="986"/>
      <c r="E221" s="986"/>
      <c r="F221" s="986"/>
      <c r="G221" s="986"/>
    </row>
    <row r="222" spans="1:8" ht="13.5" thickTop="1">
      <c r="A222" s="95"/>
      <c r="B222" s="950" t="s">
        <v>304</v>
      </c>
      <c r="C222" s="951"/>
      <c r="D222" s="951"/>
      <c r="E222" s="951"/>
      <c r="F222" s="951"/>
      <c r="G222" s="952"/>
    </row>
    <row r="223" spans="1:8">
      <c r="A223" s="95"/>
      <c r="B223" s="229"/>
      <c r="C223" s="97"/>
      <c r="D223" s="98" t="s">
        <v>301</v>
      </c>
      <c r="E223" s="98" t="s">
        <v>1072</v>
      </c>
      <c r="F223" s="99" t="s">
        <v>839</v>
      </c>
      <c r="G223" s="107" t="s">
        <v>840</v>
      </c>
    </row>
    <row r="224" spans="1:8">
      <c r="A224" s="95"/>
      <c r="B224" s="982" t="s">
        <v>838</v>
      </c>
      <c r="C224" s="983"/>
      <c r="D224" s="100" t="s">
        <v>308</v>
      </c>
      <c r="E224" s="100" t="s">
        <v>305</v>
      </c>
      <c r="F224" s="101" t="s">
        <v>306</v>
      </c>
      <c r="G224" s="108" t="s">
        <v>310</v>
      </c>
    </row>
    <row r="225" spans="1:7">
      <c r="A225" s="95"/>
      <c r="B225" s="230"/>
      <c r="C225" s="102"/>
      <c r="D225" s="103"/>
      <c r="E225" s="103" t="s">
        <v>309</v>
      </c>
      <c r="F225" s="104" t="s">
        <v>307</v>
      </c>
      <c r="G225" s="109"/>
    </row>
    <row r="226" spans="1:7">
      <c r="A226" s="127"/>
      <c r="B226" s="841" t="str">
        <f>'MAQUINARIA Y EQUIPOS'!$C$28</f>
        <v>HERRAMIENTAS MENORES</v>
      </c>
      <c r="C226" s="842"/>
      <c r="D226" s="87">
        <v>1</v>
      </c>
      <c r="E226" s="82">
        <f>ROUND(G259*0.05,0)</f>
        <v>3463</v>
      </c>
      <c r="F226" s="81">
        <v>0.4</v>
      </c>
      <c r="G226" s="110">
        <f>ROUND(D226*E226/F226,0)</f>
        <v>8658</v>
      </c>
    </row>
    <row r="227" spans="1:7">
      <c r="A227" s="95"/>
      <c r="B227" s="854"/>
      <c r="C227" s="855"/>
      <c r="D227" s="37"/>
      <c r="E227" s="129"/>
      <c r="F227" s="83"/>
      <c r="G227" s="111"/>
    </row>
    <row r="228" spans="1:7">
      <c r="A228" s="95"/>
      <c r="B228" s="854"/>
      <c r="C228" s="855"/>
      <c r="D228" s="37"/>
      <c r="E228" s="129"/>
      <c r="F228" s="83"/>
      <c r="G228" s="111"/>
    </row>
    <row r="229" spans="1:7">
      <c r="A229" s="95"/>
      <c r="B229" s="854"/>
      <c r="C229" s="855"/>
      <c r="D229" s="89"/>
      <c r="E229" s="82"/>
      <c r="F229" s="83"/>
      <c r="G229" s="111"/>
    </row>
    <row r="230" spans="1:7">
      <c r="A230" s="95"/>
      <c r="B230" s="854" t="s">
        <v>841</v>
      </c>
      <c r="C230" s="855"/>
      <c r="D230" s="37"/>
      <c r="E230" s="82"/>
      <c r="F230" s="83"/>
      <c r="G230" s="111"/>
    </row>
    <row r="231" spans="1:7" ht="13.5" thickBot="1">
      <c r="A231" s="95"/>
      <c r="B231" s="942" t="s">
        <v>841</v>
      </c>
      <c r="C231" s="943"/>
      <c r="D231" s="77"/>
      <c r="E231" s="106"/>
      <c r="F231" s="86"/>
      <c r="G231" s="112"/>
    </row>
    <row r="232" spans="1:7" ht="14.25" thickTop="1" thickBot="1">
      <c r="A232" s="95"/>
      <c r="B232" s="946"/>
      <c r="C232" s="946"/>
      <c r="D232" s="946"/>
      <c r="E232" s="947"/>
      <c r="F232" s="119" t="s">
        <v>856</v>
      </c>
      <c r="G232" s="118">
        <f>SUM(G226:G231)</f>
        <v>8658</v>
      </c>
    </row>
    <row r="233" spans="1:7" ht="14.25" thickTop="1" thickBot="1">
      <c r="A233" s="95"/>
      <c r="B233" s="970"/>
      <c r="C233" s="970"/>
      <c r="D233" s="970"/>
      <c r="E233" s="970"/>
      <c r="F233" s="970"/>
      <c r="G233" s="970"/>
    </row>
    <row r="234" spans="1:7" ht="13.5" thickTop="1">
      <c r="A234" s="95"/>
      <c r="B234" s="950" t="s">
        <v>311</v>
      </c>
      <c r="C234" s="951"/>
      <c r="D234" s="951"/>
      <c r="E234" s="951"/>
      <c r="F234" s="951"/>
      <c r="G234" s="952"/>
    </row>
    <row r="235" spans="1:7">
      <c r="A235" s="95"/>
      <c r="B235" s="978" t="s">
        <v>838</v>
      </c>
      <c r="C235" s="979"/>
      <c r="D235" s="98" t="s">
        <v>842</v>
      </c>
      <c r="E235" s="98" t="s">
        <v>853</v>
      </c>
      <c r="F235" s="99" t="s">
        <v>1047</v>
      </c>
      <c r="G235" s="107" t="s">
        <v>840</v>
      </c>
    </row>
    <row r="236" spans="1:7">
      <c r="A236" s="95"/>
      <c r="B236" s="230"/>
      <c r="C236" s="102"/>
      <c r="D236" s="100"/>
      <c r="E236" s="100" t="s">
        <v>312</v>
      </c>
      <c r="F236" s="101" t="s">
        <v>313</v>
      </c>
      <c r="G236" s="108" t="s">
        <v>314</v>
      </c>
    </row>
    <row r="237" spans="1:7">
      <c r="A237" s="123"/>
      <c r="B237" s="841" t="s">
        <v>1329</v>
      </c>
      <c r="C237" s="842"/>
      <c r="D237" s="87" t="s">
        <v>865</v>
      </c>
      <c r="E237" s="81">
        <v>1</v>
      </c>
      <c r="F237" s="80">
        <v>150000</v>
      </c>
      <c r="G237" s="110">
        <f t="shared" ref="G237:G242" si="1">ROUND(E237*F237,0)</f>
        <v>150000</v>
      </c>
    </row>
    <row r="238" spans="1:7">
      <c r="A238" s="123"/>
      <c r="B238" s="854" t="s">
        <v>1326</v>
      </c>
      <c r="C238" s="855"/>
      <c r="D238" s="37" t="s">
        <v>1351</v>
      </c>
      <c r="E238" s="83">
        <v>1</v>
      </c>
      <c r="F238" s="82">
        <v>76500</v>
      </c>
      <c r="G238" s="111">
        <f t="shared" si="1"/>
        <v>76500</v>
      </c>
    </row>
    <row r="239" spans="1:7">
      <c r="A239" s="123"/>
      <c r="B239" s="854"/>
      <c r="C239" s="855"/>
      <c r="D239" s="37"/>
      <c r="E239" s="83"/>
      <c r="F239" s="82"/>
      <c r="G239" s="111">
        <f t="shared" si="1"/>
        <v>0</v>
      </c>
    </row>
    <row r="240" spans="1:7">
      <c r="A240" s="123"/>
      <c r="B240" s="854"/>
      <c r="C240" s="855"/>
      <c r="D240" s="37"/>
      <c r="E240" s="83"/>
      <c r="F240" s="82"/>
      <c r="G240" s="111">
        <f t="shared" si="1"/>
        <v>0</v>
      </c>
    </row>
    <row r="241" spans="1:8">
      <c r="A241" s="123"/>
      <c r="B241" s="854"/>
      <c r="C241" s="855"/>
      <c r="D241" s="37"/>
      <c r="E241" s="83"/>
      <c r="F241" s="82"/>
      <c r="G241" s="111">
        <f t="shared" si="1"/>
        <v>0</v>
      </c>
    </row>
    <row r="242" spans="1:8">
      <c r="A242" s="123"/>
      <c r="B242" s="854"/>
      <c r="C242" s="855"/>
      <c r="D242" s="37"/>
      <c r="E242" s="83"/>
      <c r="F242" s="82"/>
      <c r="G242" s="111">
        <f t="shared" si="1"/>
        <v>0</v>
      </c>
    </row>
    <row r="243" spans="1:8">
      <c r="A243" s="123"/>
      <c r="B243" s="854"/>
      <c r="C243" s="855"/>
      <c r="D243" s="37"/>
      <c r="E243" s="83"/>
      <c r="F243" s="82"/>
      <c r="G243" s="111"/>
    </row>
    <row r="244" spans="1:8">
      <c r="A244" s="95"/>
      <c r="B244" s="938" t="s">
        <v>841</v>
      </c>
      <c r="C244" s="939"/>
      <c r="D244" s="53" t="s">
        <v>841</v>
      </c>
      <c r="E244" s="53"/>
      <c r="F244" s="82"/>
      <c r="G244" s="111"/>
      <c r="H244" s="505" t="s">
        <v>1670</v>
      </c>
    </row>
    <row r="245" spans="1:8" ht="13.5" thickBot="1">
      <c r="A245" s="95"/>
      <c r="B245" s="942" t="s">
        <v>841</v>
      </c>
      <c r="C245" s="943"/>
      <c r="D245" s="84" t="s">
        <v>841</v>
      </c>
      <c r="E245" s="84"/>
      <c r="F245" s="85"/>
      <c r="G245" s="112"/>
    </row>
    <row r="246" spans="1:8" ht="13.5" thickTop="1">
      <c r="A246" s="95"/>
      <c r="B246" s="946"/>
      <c r="C246" s="947"/>
      <c r="D246" s="801" t="s">
        <v>856</v>
      </c>
      <c r="E246" s="802"/>
      <c r="F246" s="9"/>
      <c r="G246" s="113">
        <f>SUM(G237:G245)</f>
        <v>226500</v>
      </c>
    </row>
    <row r="247" spans="1:8">
      <c r="A247" s="95"/>
      <c r="B247" s="948"/>
      <c r="C247" s="949"/>
      <c r="D247" s="801" t="s">
        <v>857</v>
      </c>
      <c r="E247" s="802"/>
      <c r="F247" s="79">
        <f>'MANO DE OBRA'!$D$60</f>
        <v>0.05</v>
      </c>
      <c r="G247" s="113">
        <f>ROUND(G246*F247,0)</f>
        <v>11325</v>
      </c>
    </row>
    <row r="248" spans="1:8" ht="13.5" thickBot="1">
      <c r="A248" s="95"/>
      <c r="B248" s="948"/>
      <c r="C248" s="949"/>
      <c r="D248" s="803" t="s">
        <v>320</v>
      </c>
      <c r="E248" s="804"/>
      <c r="F248" s="114"/>
      <c r="G248" s="118">
        <f>+G246+G247</f>
        <v>237825</v>
      </c>
    </row>
    <row r="249" spans="1:8" ht="14.25" thickTop="1" thickBot="1">
      <c r="A249" s="95"/>
      <c r="B249" s="970"/>
      <c r="C249" s="970"/>
      <c r="D249" s="970"/>
      <c r="E249" s="970"/>
      <c r="F249" s="970"/>
      <c r="G249" s="970"/>
    </row>
    <row r="250" spans="1:8" ht="13.5" thickTop="1">
      <c r="A250" s="95"/>
      <c r="B250" s="950" t="s">
        <v>858</v>
      </c>
      <c r="C250" s="951"/>
      <c r="D250" s="951"/>
      <c r="E250" s="951"/>
      <c r="F250" s="951"/>
      <c r="G250" s="952"/>
    </row>
    <row r="251" spans="1:8">
      <c r="A251" s="95"/>
      <c r="B251" s="978"/>
      <c r="C251" s="979"/>
      <c r="D251" s="98" t="s">
        <v>301</v>
      </c>
      <c r="E251" s="98" t="s">
        <v>859</v>
      </c>
      <c r="F251" s="99" t="s">
        <v>839</v>
      </c>
      <c r="G251" s="107" t="s">
        <v>840</v>
      </c>
    </row>
    <row r="252" spans="1:8">
      <c r="A252" s="95"/>
      <c r="B252" s="982" t="s">
        <v>838</v>
      </c>
      <c r="C252" s="983"/>
      <c r="D252" s="100" t="s">
        <v>316</v>
      </c>
      <c r="E252" s="100" t="s">
        <v>315</v>
      </c>
      <c r="F252" s="101" t="s">
        <v>306</v>
      </c>
      <c r="G252" s="108" t="s">
        <v>319</v>
      </c>
    </row>
    <row r="253" spans="1:8">
      <c r="A253" s="95"/>
      <c r="B253" s="230"/>
      <c r="C253" s="102"/>
      <c r="D253" s="103"/>
      <c r="E253" s="103" t="s">
        <v>317</v>
      </c>
      <c r="F253" s="104" t="s">
        <v>318</v>
      </c>
      <c r="G253" s="109"/>
    </row>
    <row r="254" spans="1:8">
      <c r="A254" s="95"/>
      <c r="B254" s="841" t="str">
        <f>'MANO DE OBRA'!$B$11</f>
        <v>AYUDANTE CUAD. TIPO BB</v>
      </c>
      <c r="C254" s="842"/>
      <c r="D254" s="87">
        <v>3</v>
      </c>
      <c r="E254" s="80">
        <f>'MANO DE OBRA'!$E$11</f>
        <v>43077</v>
      </c>
      <c r="F254" s="81">
        <v>3</v>
      </c>
      <c r="G254" s="110">
        <f>ROUND(D254*E254/F254,0)</f>
        <v>43077</v>
      </c>
    </row>
    <row r="255" spans="1:8">
      <c r="A255" s="95"/>
      <c r="B255" s="854" t="str">
        <f>'MANO DE OBRA'!$B$16</f>
        <v>OFICIAL CUAD. TIPO BB</v>
      </c>
      <c r="C255" s="855"/>
      <c r="D255" s="37">
        <v>1</v>
      </c>
      <c r="E255" s="82">
        <f>'MANO DE OBRA'!$E$16</f>
        <v>78577</v>
      </c>
      <c r="F255" s="83">
        <v>3</v>
      </c>
      <c r="G255" s="111">
        <f>ROUND(D255*E255/F255,0)</f>
        <v>26192</v>
      </c>
    </row>
    <row r="256" spans="1:8">
      <c r="A256" s="95"/>
      <c r="B256" s="854"/>
      <c r="C256" s="855"/>
      <c r="D256" s="89"/>
      <c r="E256" s="82"/>
      <c r="F256" s="83"/>
      <c r="G256" s="111"/>
    </row>
    <row r="257" spans="1:8">
      <c r="A257" s="95"/>
      <c r="B257" s="854" t="s">
        <v>841</v>
      </c>
      <c r="C257" s="855"/>
      <c r="D257" s="37"/>
      <c r="E257" s="82"/>
      <c r="F257" s="83"/>
      <c r="G257" s="111"/>
    </row>
    <row r="258" spans="1:8" ht="13.5" thickBot="1">
      <c r="A258" s="95"/>
      <c r="B258" s="980" t="s">
        <v>841</v>
      </c>
      <c r="C258" s="981"/>
      <c r="D258" s="77"/>
      <c r="E258" s="82"/>
      <c r="F258" s="86"/>
      <c r="G258" s="112"/>
    </row>
    <row r="259" spans="1:8" ht="14.25" thickTop="1" thickBot="1">
      <c r="A259" s="95"/>
      <c r="B259" s="946"/>
      <c r="C259" s="946"/>
      <c r="D259" s="946"/>
      <c r="E259" s="947"/>
      <c r="F259" s="120" t="s">
        <v>856</v>
      </c>
      <c r="G259" s="118">
        <f>SUM(G254:G258)</f>
        <v>69269</v>
      </c>
    </row>
    <row r="260" spans="1:8" ht="14.25" thickTop="1" thickBot="1">
      <c r="A260" s="95"/>
      <c r="B260" s="970"/>
      <c r="C260" s="970"/>
      <c r="D260" s="970"/>
      <c r="E260" s="970"/>
      <c r="F260" s="970"/>
      <c r="G260" s="970"/>
    </row>
    <row r="261" spans="1:8" ht="13.5" thickTop="1">
      <c r="A261" s="95"/>
      <c r="B261" s="950" t="s">
        <v>321</v>
      </c>
      <c r="C261" s="951"/>
      <c r="D261" s="951"/>
      <c r="E261" s="951"/>
      <c r="F261" s="951"/>
      <c r="G261" s="952"/>
    </row>
    <row r="262" spans="1:8">
      <c r="A262" s="95"/>
      <c r="B262" s="978" t="s">
        <v>838</v>
      </c>
      <c r="C262" s="979"/>
      <c r="D262" s="98" t="s">
        <v>301</v>
      </c>
      <c r="E262" s="98" t="s">
        <v>297</v>
      </c>
      <c r="F262" s="99" t="s">
        <v>839</v>
      </c>
      <c r="G262" s="107" t="s">
        <v>840</v>
      </c>
    </row>
    <row r="263" spans="1:8">
      <c r="A263" s="95"/>
      <c r="B263" s="230"/>
      <c r="C263" s="102"/>
      <c r="D263" s="103" t="s">
        <v>322</v>
      </c>
      <c r="E263" s="103" t="s">
        <v>323</v>
      </c>
      <c r="F263" s="104" t="s">
        <v>324</v>
      </c>
      <c r="G263" s="109" t="s">
        <v>325</v>
      </c>
    </row>
    <row r="264" spans="1:8">
      <c r="A264" s="95"/>
      <c r="B264" s="841"/>
      <c r="C264" s="842"/>
      <c r="D264" s="96"/>
      <c r="E264" s="96"/>
      <c r="F264" s="96"/>
      <c r="G264" s="116"/>
    </row>
    <row r="265" spans="1:8" ht="13.5" thickBot="1">
      <c r="A265" s="95"/>
      <c r="B265" s="980" t="s">
        <v>841</v>
      </c>
      <c r="C265" s="981"/>
      <c r="D265" s="77"/>
      <c r="E265" s="82"/>
      <c r="F265" s="86"/>
      <c r="G265" s="112"/>
    </row>
    <row r="266" spans="1:8" ht="14.25" thickTop="1" thickBot="1">
      <c r="A266" s="95"/>
      <c r="B266" s="946"/>
      <c r="C266" s="946"/>
      <c r="D266" s="946"/>
      <c r="E266" s="947"/>
      <c r="F266" s="120" t="s">
        <v>856</v>
      </c>
      <c r="G266" s="118">
        <f>SUM(G261:G265)</f>
        <v>0</v>
      </c>
    </row>
    <row r="267" spans="1:8" ht="14.25" thickTop="1" thickBot="1">
      <c r="A267" s="95"/>
      <c r="B267" s="970"/>
      <c r="C267" s="970"/>
      <c r="D267" s="970"/>
      <c r="E267" s="970"/>
      <c r="F267" s="970"/>
      <c r="G267" s="943"/>
    </row>
    <row r="268" spans="1:8" ht="13.5" thickTop="1">
      <c r="A268" s="95"/>
      <c r="B268" s="950" t="s">
        <v>326</v>
      </c>
      <c r="C268" s="951"/>
      <c r="D268" s="951"/>
      <c r="E268" s="951"/>
      <c r="F268" s="971"/>
      <c r="G268" s="121">
        <f>+G232+G248+G259</f>
        <v>315752</v>
      </c>
    </row>
    <row r="269" spans="1:8">
      <c r="A269" s="95"/>
      <c r="B269" s="972" t="s">
        <v>861</v>
      </c>
      <c r="C269" s="973"/>
      <c r="D269" s="973"/>
      <c r="E269" s="974"/>
      <c r="F269" s="128">
        <f>'MANO DE OBRA'!$D$59</f>
        <v>0</v>
      </c>
      <c r="G269" s="122">
        <f>ROUND(G268*F269,0)</f>
        <v>0</v>
      </c>
    </row>
    <row r="270" spans="1:8" ht="13.5" thickBot="1">
      <c r="A270" s="95"/>
      <c r="B270" s="975" t="s">
        <v>1049</v>
      </c>
      <c r="C270" s="976"/>
      <c r="D270" s="976"/>
      <c r="E270" s="976"/>
      <c r="F270" s="977"/>
      <c r="G270" s="118">
        <f>ROUND(G268+G269,-2)</f>
        <v>315800</v>
      </c>
      <c r="H270" s="505" t="s">
        <v>1670</v>
      </c>
    </row>
    <row r="271" spans="1:8" ht="13.5" thickTop="1">
      <c r="A271" s="95"/>
      <c r="B271" s="225" t="s">
        <v>303</v>
      </c>
      <c r="C271" s="843"/>
      <c r="D271" s="843"/>
      <c r="E271" s="843"/>
      <c r="F271" s="92" t="s">
        <v>781</v>
      </c>
      <c r="G271" s="93" t="s">
        <v>865</v>
      </c>
    </row>
    <row r="272" spans="1:8">
      <c r="A272" s="95"/>
      <c r="B272" s="226" t="s">
        <v>834</v>
      </c>
      <c r="C272" s="844" t="s">
        <v>1352</v>
      </c>
      <c r="D272" s="844"/>
      <c r="E272" s="844"/>
      <c r="F272" s="15" t="s">
        <v>833</v>
      </c>
      <c r="G272" s="165" t="str">
        <f>'MANO DE OBRA'!D61</f>
        <v>Agosto de 2010</v>
      </c>
    </row>
    <row r="273" spans="1:7" ht="13.5" thickBot="1">
      <c r="A273" s="127"/>
      <c r="B273" s="228" t="s">
        <v>835</v>
      </c>
      <c r="C273" s="845" t="s">
        <v>1319</v>
      </c>
      <c r="D273" s="845"/>
      <c r="E273" s="845"/>
      <c r="F273" s="845"/>
      <c r="G273" s="846"/>
    </row>
    <row r="274" spans="1:7" ht="14.25" thickTop="1" thickBot="1">
      <c r="A274" s="95"/>
      <c r="B274" s="986"/>
      <c r="C274" s="986"/>
      <c r="D274" s="986"/>
      <c r="E274" s="986"/>
      <c r="F274" s="986"/>
      <c r="G274" s="986"/>
    </row>
    <row r="275" spans="1:7" ht="13.5" thickTop="1">
      <c r="A275" s="95"/>
      <c r="B275" s="950" t="s">
        <v>304</v>
      </c>
      <c r="C275" s="951"/>
      <c r="D275" s="951"/>
      <c r="E275" s="951"/>
      <c r="F275" s="951"/>
      <c r="G275" s="952"/>
    </row>
    <row r="276" spans="1:7">
      <c r="A276" s="95"/>
      <c r="B276" s="229"/>
      <c r="C276" s="97"/>
      <c r="D276" s="98" t="s">
        <v>301</v>
      </c>
      <c r="E276" s="98" t="s">
        <v>1072</v>
      </c>
      <c r="F276" s="99" t="s">
        <v>839</v>
      </c>
      <c r="G276" s="107" t="s">
        <v>840</v>
      </c>
    </row>
    <row r="277" spans="1:7">
      <c r="A277" s="95"/>
      <c r="B277" s="982" t="s">
        <v>838</v>
      </c>
      <c r="C277" s="983"/>
      <c r="D277" s="100" t="s">
        <v>308</v>
      </c>
      <c r="E277" s="100" t="s">
        <v>305</v>
      </c>
      <c r="F277" s="101" t="s">
        <v>306</v>
      </c>
      <c r="G277" s="108" t="s">
        <v>310</v>
      </c>
    </row>
    <row r="278" spans="1:7">
      <c r="A278" s="95"/>
      <c r="B278" s="230"/>
      <c r="C278" s="102"/>
      <c r="D278" s="103"/>
      <c r="E278" s="103" t="s">
        <v>309</v>
      </c>
      <c r="F278" s="104" t="s">
        <v>307</v>
      </c>
      <c r="G278" s="109"/>
    </row>
    <row r="279" spans="1:7">
      <c r="A279" s="127"/>
      <c r="B279" s="841" t="str">
        <f>'MAQUINARIA Y EQUIPOS'!$C$28</f>
        <v>HERRAMIENTAS MENORES</v>
      </c>
      <c r="C279" s="842"/>
      <c r="D279" s="87">
        <v>1</v>
      </c>
      <c r="E279" s="82">
        <f>ROUND(G312*0.05,0)</f>
        <v>608</v>
      </c>
      <c r="F279" s="81">
        <v>0.3</v>
      </c>
      <c r="G279" s="110">
        <f>ROUND(D279*E279/F279,0)</f>
        <v>2027</v>
      </c>
    </row>
    <row r="280" spans="1:7">
      <c r="A280" s="95"/>
      <c r="B280" s="854"/>
      <c r="C280" s="855"/>
      <c r="D280" s="37"/>
      <c r="E280" s="129"/>
      <c r="F280" s="83"/>
      <c r="G280" s="111"/>
    </row>
    <row r="281" spans="1:7">
      <c r="A281" s="95"/>
      <c r="B281" s="854"/>
      <c r="C281" s="855"/>
      <c r="D281" s="37"/>
      <c r="E281" s="129"/>
      <c r="F281" s="83"/>
      <c r="G281" s="111"/>
    </row>
    <row r="282" spans="1:7">
      <c r="A282" s="95"/>
      <c r="B282" s="854"/>
      <c r="C282" s="855"/>
      <c r="D282" s="89"/>
      <c r="E282" s="82"/>
      <c r="F282" s="83"/>
      <c r="G282" s="111"/>
    </row>
    <row r="283" spans="1:7">
      <c r="A283" s="95"/>
      <c r="B283" s="854" t="s">
        <v>841</v>
      </c>
      <c r="C283" s="855"/>
      <c r="D283" s="37"/>
      <c r="E283" s="82"/>
      <c r="F283" s="83"/>
      <c r="G283" s="111"/>
    </row>
    <row r="284" spans="1:7" ht="13.5" thickBot="1">
      <c r="A284" s="95"/>
      <c r="B284" s="942" t="s">
        <v>841</v>
      </c>
      <c r="C284" s="943"/>
      <c r="D284" s="77"/>
      <c r="E284" s="106"/>
      <c r="F284" s="86"/>
      <c r="G284" s="112"/>
    </row>
    <row r="285" spans="1:7" ht="14.25" thickTop="1" thickBot="1">
      <c r="A285" s="95"/>
      <c r="B285" s="946"/>
      <c r="C285" s="946"/>
      <c r="D285" s="946"/>
      <c r="E285" s="947"/>
      <c r="F285" s="119" t="s">
        <v>856</v>
      </c>
      <c r="G285" s="118">
        <f>SUM(G279:G284)</f>
        <v>2027</v>
      </c>
    </row>
    <row r="286" spans="1:7" ht="14.25" thickTop="1" thickBot="1">
      <c r="A286" s="95"/>
      <c r="B286" s="970"/>
      <c r="C286" s="970"/>
      <c r="D286" s="970"/>
      <c r="E286" s="970"/>
      <c r="F286" s="970"/>
      <c r="G286" s="970"/>
    </row>
    <row r="287" spans="1:7" ht="13.5" thickTop="1">
      <c r="A287" s="95"/>
      <c r="B287" s="950" t="s">
        <v>311</v>
      </c>
      <c r="C287" s="951"/>
      <c r="D287" s="951"/>
      <c r="E287" s="951"/>
      <c r="F287" s="951"/>
      <c r="G287" s="952"/>
    </row>
    <row r="288" spans="1:7">
      <c r="A288" s="95"/>
      <c r="B288" s="978" t="s">
        <v>838</v>
      </c>
      <c r="C288" s="979"/>
      <c r="D288" s="98" t="s">
        <v>842</v>
      </c>
      <c r="E288" s="98" t="s">
        <v>853</v>
      </c>
      <c r="F288" s="99" t="s">
        <v>1047</v>
      </c>
      <c r="G288" s="107" t="s">
        <v>840</v>
      </c>
    </row>
    <row r="289" spans="1:11">
      <c r="A289" s="95"/>
      <c r="B289" s="230"/>
      <c r="C289" s="102"/>
      <c r="D289" s="100"/>
      <c r="E289" s="100" t="s">
        <v>312</v>
      </c>
      <c r="F289" s="101" t="s">
        <v>313</v>
      </c>
      <c r="G289" s="108" t="s">
        <v>314</v>
      </c>
    </row>
    <row r="290" spans="1:11">
      <c r="A290" s="123"/>
      <c r="B290" s="841" t="s">
        <v>1331</v>
      </c>
      <c r="C290" s="842"/>
      <c r="D290" s="87" t="s">
        <v>865</v>
      </c>
      <c r="E290" s="81">
        <v>2</v>
      </c>
      <c r="F290" s="80">
        <v>600</v>
      </c>
      <c r="G290" s="110">
        <f t="shared" ref="G290:G295" si="2">ROUND(E290*F290,0)</f>
        <v>1200</v>
      </c>
      <c r="H290" s="355"/>
      <c r="I290" s="352"/>
      <c r="J290" s="353"/>
      <c r="K290" s="352"/>
    </row>
    <row r="291" spans="1:11">
      <c r="A291" s="123"/>
      <c r="B291" s="854" t="s">
        <v>1332</v>
      </c>
      <c r="C291" s="855"/>
      <c r="D291" s="37" t="s">
        <v>831</v>
      </c>
      <c r="E291" s="83">
        <v>35</v>
      </c>
      <c r="F291" s="82">
        <v>750</v>
      </c>
      <c r="G291" s="111">
        <f t="shared" si="2"/>
        <v>26250</v>
      </c>
      <c r="H291" s="355"/>
      <c r="I291" s="352"/>
      <c r="J291" s="353"/>
      <c r="K291" s="352"/>
    </row>
    <row r="292" spans="1:11">
      <c r="A292" s="123"/>
      <c r="B292" s="854" t="s">
        <v>1333</v>
      </c>
      <c r="C292" s="855"/>
      <c r="D292" s="37" t="s">
        <v>831</v>
      </c>
      <c r="E292" s="83">
        <v>25</v>
      </c>
      <c r="F292" s="82">
        <v>450</v>
      </c>
      <c r="G292" s="111">
        <f t="shared" si="2"/>
        <v>11250</v>
      </c>
      <c r="H292" s="355"/>
      <c r="I292" s="352"/>
      <c r="J292" s="353"/>
      <c r="K292" s="352"/>
    </row>
    <row r="293" spans="1:11">
      <c r="A293" s="123"/>
      <c r="B293" s="854" t="s">
        <v>1334</v>
      </c>
      <c r="C293" s="855"/>
      <c r="D293" s="37" t="s">
        <v>865</v>
      </c>
      <c r="E293" s="83">
        <v>3</v>
      </c>
      <c r="F293" s="82">
        <v>950</v>
      </c>
      <c r="G293" s="111">
        <f t="shared" si="2"/>
        <v>2850</v>
      </c>
      <c r="H293" s="355"/>
      <c r="I293" s="352"/>
      <c r="J293" s="353"/>
      <c r="K293" s="352"/>
    </row>
    <row r="294" spans="1:11">
      <c r="A294" s="123"/>
      <c r="B294" s="854" t="s">
        <v>1336</v>
      </c>
      <c r="C294" s="855"/>
      <c r="D294" s="37" t="s">
        <v>865</v>
      </c>
      <c r="E294" s="83">
        <v>2</v>
      </c>
      <c r="F294" s="82">
        <v>1600</v>
      </c>
      <c r="G294" s="111">
        <f t="shared" si="2"/>
        <v>3200</v>
      </c>
      <c r="H294" s="355"/>
      <c r="I294" s="352"/>
      <c r="J294" s="353"/>
      <c r="K294" s="352"/>
    </row>
    <row r="295" spans="1:11">
      <c r="A295" s="123"/>
      <c r="B295" s="854" t="s">
        <v>1337</v>
      </c>
      <c r="C295" s="855"/>
      <c r="D295" s="37" t="s">
        <v>865</v>
      </c>
      <c r="E295" s="83">
        <v>1</v>
      </c>
      <c r="F295" s="82">
        <v>4500</v>
      </c>
      <c r="G295" s="111">
        <f t="shared" si="2"/>
        <v>4500</v>
      </c>
      <c r="H295" s="355"/>
      <c r="I295" s="352"/>
      <c r="J295" s="354"/>
      <c r="K295" s="352"/>
    </row>
    <row r="296" spans="1:11">
      <c r="A296" s="123"/>
      <c r="B296" s="854"/>
      <c r="C296" s="855"/>
      <c r="D296" s="37"/>
      <c r="E296" s="83"/>
      <c r="F296" s="82"/>
      <c r="G296" s="111"/>
    </row>
    <row r="297" spans="1:11">
      <c r="A297" s="95"/>
      <c r="B297" s="938" t="s">
        <v>841</v>
      </c>
      <c r="C297" s="939"/>
      <c r="D297" s="53" t="s">
        <v>841</v>
      </c>
      <c r="E297" s="53"/>
      <c r="F297" s="82"/>
      <c r="G297" s="111"/>
      <c r="H297" s="505" t="s">
        <v>1670</v>
      </c>
    </row>
    <row r="298" spans="1:11" ht="13.5" thickBot="1">
      <c r="A298" s="95"/>
      <c r="B298" s="942" t="s">
        <v>841</v>
      </c>
      <c r="C298" s="943"/>
      <c r="D298" s="84" t="s">
        <v>841</v>
      </c>
      <c r="E298" s="84"/>
      <c r="F298" s="85"/>
      <c r="G298" s="112"/>
    </row>
    <row r="299" spans="1:11" ht="13.5" thickTop="1">
      <c r="A299" s="95"/>
      <c r="B299" s="946"/>
      <c r="C299" s="947"/>
      <c r="D299" s="801" t="s">
        <v>856</v>
      </c>
      <c r="E299" s="802"/>
      <c r="F299" s="9"/>
      <c r="G299" s="113">
        <f>SUM(G290:G298)</f>
        <v>49250</v>
      </c>
    </row>
    <row r="300" spans="1:11">
      <c r="A300" s="95"/>
      <c r="B300" s="948"/>
      <c r="C300" s="949"/>
      <c r="D300" s="801" t="s">
        <v>857</v>
      </c>
      <c r="E300" s="802"/>
      <c r="F300" s="79">
        <f>'MANO DE OBRA'!$D$60</f>
        <v>0.05</v>
      </c>
      <c r="G300" s="113">
        <f>ROUND(G299*F300,0)</f>
        <v>2463</v>
      </c>
    </row>
    <row r="301" spans="1:11" ht="13.5" thickBot="1">
      <c r="A301" s="95"/>
      <c r="B301" s="948"/>
      <c r="C301" s="949"/>
      <c r="D301" s="803" t="s">
        <v>320</v>
      </c>
      <c r="E301" s="804"/>
      <c r="F301" s="114"/>
      <c r="G301" s="118">
        <f>+G299+G300</f>
        <v>51713</v>
      </c>
    </row>
    <row r="302" spans="1:11" ht="14.25" thickTop="1" thickBot="1">
      <c r="A302" s="95"/>
      <c r="B302" s="970"/>
      <c r="C302" s="970"/>
      <c r="D302" s="970"/>
      <c r="E302" s="970"/>
      <c r="F302" s="970"/>
      <c r="G302" s="970"/>
    </row>
    <row r="303" spans="1:11" ht="13.5" thickTop="1">
      <c r="A303" s="95"/>
      <c r="B303" s="950" t="s">
        <v>858</v>
      </c>
      <c r="C303" s="951"/>
      <c r="D303" s="951"/>
      <c r="E303" s="951"/>
      <c r="F303" s="951"/>
      <c r="G303" s="952"/>
    </row>
    <row r="304" spans="1:11">
      <c r="A304" s="95"/>
      <c r="B304" s="978"/>
      <c r="C304" s="979"/>
      <c r="D304" s="98" t="s">
        <v>301</v>
      </c>
      <c r="E304" s="98" t="s">
        <v>859</v>
      </c>
      <c r="F304" s="99" t="s">
        <v>839</v>
      </c>
      <c r="G304" s="107" t="s">
        <v>840</v>
      </c>
    </row>
    <row r="305" spans="1:7">
      <c r="A305" s="95"/>
      <c r="B305" s="982" t="s">
        <v>838</v>
      </c>
      <c r="C305" s="983"/>
      <c r="D305" s="100" t="s">
        <v>316</v>
      </c>
      <c r="E305" s="100" t="s">
        <v>315</v>
      </c>
      <c r="F305" s="101" t="s">
        <v>306</v>
      </c>
      <c r="G305" s="108" t="s">
        <v>319</v>
      </c>
    </row>
    <row r="306" spans="1:7">
      <c r="A306" s="95"/>
      <c r="B306" s="230"/>
      <c r="C306" s="102"/>
      <c r="D306" s="103"/>
      <c r="E306" s="103" t="s">
        <v>317</v>
      </c>
      <c r="F306" s="104" t="s">
        <v>318</v>
      </c>
      <c r="G306" s="109"/>
    </row>
    <row r="307" spans="1:7">
      <c r="A307" s="95"/>
      <c r="B307" s="841" t="str">
        <f>'MANO DE OBRA'!$B$11</f>
        <v>AYUDANTE CUAD. TIPO BB</v>
      </c>
      <c r="C307" s="842"/>
      <c r="D307" s="87">
        <v>1</v>
      </c>
      <c r="E307" s="80">
        <f>'MANO DE OBRA'!$E$11</f>
        <v>43077</v>
      </c>
      <c r="F307" s="81">
        <v>10</v>
      </c>
      <c r="G307" s="110">
        <f>ROUND(D307*E307/F307,0)</f>
        <v>4308</v>
      </c>
    </row>
    <row r="308" spans="1:7">
      <c r="A308" s="95"/>
      <c r="B308" s="854" t="str">
        <f>'MANO DE OBRA'!$B$16</f>
        <v>OFICIAL CUAD. TIPO BB</v>
      </c>
      <c r="C308" s="855"/>
      <c r="D308" s="37">
        <v>1</v>
      </c>
      <c r="E308" s="82">
        <f>'MANO DE OBRA'!$E$16</f>
        <v>78577</v>
      </c>
      <c r="F308" s="83">
        <v>10</v>
      </c>
      <c r="G308" s="111">
        <f>ROUND(D308*E308/F308,0)</f>
        <v>7858</v>
      </c>
    </row>
    <row r="309" spans="1:7">
      <c r="A309" s="95"/>
      <c r="B309" s="854"/>
      <c r="C309" s="855"/>
      <c r="D309" s="89"/>
      <c r="E309" s="82"/>
      <c r="F309" s="83"/>
      <c r="G309" s="111"/>
    </row>
    <row r="310" spans="1:7">
      <c r="A310" s="95"/>
      <c r="B310" s="854" t="s">
        <v>841</v>
      </c>
      <c r="C310" s="855"/>
      <c r="D310" s="37"/>
      <c r="E310" s="82"/>
      <c r="F310" s="83"/>
      <c r="G310" s="111"/>
    </row>
    <row r="311" spans="1:7" ht="13.5" thickBot="1">
      <c r="A311" s="95"/>
      <c r="B311" s="980" t="s">
        <v>841</v>
      </c>
      <c r="C311" s="981"/>
      <c r="D311" s="77"/>
      <c r="E311" s="82"/>
      <c r="F311" s="86"/>
      <c r="G311" s="112"/>
    </row>
    <row r="312" spans="1:7" ht="14.25" thickTop="1" thickBot="1">
      <c r="A312" s="95"/>
      <c r="B312" s="946"/>
      <c r="C312" s="946"/>
      <c r="D312" s="946"/>
      <c r="E312" s="947"/>
      <c r="F312" s="120" t="s">
        <v>856</v>
      </c>
      <c r="G312" s="118">
        <f>SUM(G307:G311)</f>
        <v>12166</v>
      </c>
    </row>
    <row r="313" spans="1:7" ht="14.25" thickTop="1" thickBot="1">
      <c r="A313" s="95"/>
      <c r="B313" s="970"/>
      <c r="C313" s="970"/>
      <c r="D313" s="970"/>
      <c r="E313" s="970"/>
      <c r="F313" s="970"/>
      <c r="G313" s="970"/>
    </row>
    <row r="314" spans="1:7" ht="13.5" thickTop="1">
      <c r="A314" s="95"/>
      <c r="B314" s="950" t="s">
        <v>321</v>
      </c>
      <c r="C314" s="951"/>
      <c r="D314" s="951"/>
      <c r="E314" s="951"/>
      <c r="F314" s="951"/>
      <c r="G314" s="952"/>
    </row>
    <row r="315" spans="1:7">
      <c r="A315" s="95"/>
      <c r="B315" s="978" t="s">
        <v>838</v>
      </c>
      <c r="C315" s="979"/>
      <c r="D315" s="98" t="s">
        <v>301</v>
      </c>
      <c r="E315" s="98" t="s">
        <v>297</v>
      </c>
      <c r="F315" s="99" t="s">
        <v>839</v>
      </c>
      <c r="G315" s="107" t="s">
        <v>840</v>
      </c>
    </row>
    <row r="316" spans="1:7">
      <c r="A316" s="95"/>
      <c r="B316" s="230"/>
      <c r="C316" s="102"/>
      <c r="D316" s="103" t="s">
        <v>322</v>
      </c>
      <c r="E316" s="103" t="s">
        <v>323</v>
      </c>
      <c r="F316" s="104" t="s">
        <v>324</v>
      </c>
      <c r="G316" s="109" t="s">
        <v>325</v>
      </c>
    </row>
    <row r="317" spans="1:7">
      <c r="A317" s="95"/>
      <c r="B317" s="841"/>
      <c r="C317" s="842"/>
      <c r="D317" s="96"/>
      <c r="E317" s="96"/>
      <c r="F317" s="96"/>
      <c r="G317" s="116"/>
    </row>
    <row r="318" spans="1:7" ht="13.5" thickBot="1">
      <c r="A318" s="95"/>
      <c r="B318" s="980" t="s">
        <v>841</v>
      </c>
      <c r="C318" s="981"/>
      <c r="D318" s="77"/>
      <c r="E318" s="82"/>
      <c r="F318" s="86"/>
      <c r="G318" s="112"/>
    </row>
    <row r="319" spans="1:7" ht="14.25" thickTop="1" thickBot="1">
      <c r="A319" s="95"/>
      <c r="B319" s="946"/>
      <c r="C319" s="946"/>
      <c r="D319" s="946"/>
      <c r="E319" s="947"/>
      <c r="F319" s="120" t="s">
        <v>856</v>
      </c>
      <c r="G319" s="118">
        <f>SUM(G314:G318)</f>
        <v>0</v>
      </c>
    </row>
    <row r="320" spans="1:7" ht="14.25" thickTop="1" thickBot="1">
      <c r="A320" s="95"/>
      <c r="B320" s="970"/>
      <c r="C320" s="970"/>
      <c r="D320" s="970"/>
      <c r="E320" s="970"/>
      <c r="F320" s="970"/>
      <c r="G320" s="943"/>
    </row>
    <row r="321" spans="1:8" ht="13.5" thickTop="1">
      <c r="A321" s="95"/>
      <c r="B321" s="950" t="s">
        <v>326</v>
      </c>
      <c r="C321" s="951"/>
      <c r="D321" s="951"/>
      <c r="E321" s="951"/>
      <c r="F321" s="971"/>
      <c r="G321" s="121">
        <f>+G285+G301+G312</f>
        <v>65906</v>
      </c>
    </row>
    <row r="322" spans="1:8">
      <c r="A322" s="95"/>
      <c r="B322" s="972" t="s">
        <v>861</v>
      </c>
      <c r="C322" s="973"/>
      <c r="D322" s="973"/>
      <c r="E322" s="974"/>
      <c r="F322" s="128">
        <f>'MANO DE OBRA'!$D$59</f>
        <v>0</v>
      </c>
      <c r="G322" s="122">
        <f>ROUND(G321*F322,0)</f>
        <v>0</v>
      </c>
    </row>
    <row r="323" spans="1:8" ht="13.5" thickBot="1">
      <c r="A323" s="95"/>
      <c r="B323" s="975" t="s">
        <v>1049</v>
      </c>
      <c r="C323" s="976"/>
      <c r="D323" s="976"/>
      <c r="E323" s="976"/>
      <c r="F323" s="977"/>
      <c r="G323" s="118">
        <f>ROUND(G321+G322,-2)</f>
        <v>65900</v>
      </c>
      <c r="H323" s="505" t="s">
        <v>1670</v>
      </c>
    </row>
    <row r="324" spans="1:8" ht="13.5" thickTop="1">
      <c r="A324" s="95"/>
      <c r="B324" s="225" t="s">
        <v>303</v>
      </c>
      <c r="C324" s="843"/>
      <c r="D324" s="843"/>
      <c r="E324" s="843"/>
      <c r="F324" s="92" t="s">
        <v>781</v>
      </c>
      <c r="G324" s="93" t="s">
        <v>865</v>
      </c>
    </row>
    <row r="325" spans="1:8">
      <c r="A325" s="95"/>
      <c r="B325" s="226" t="s">
        <v>834</v>
      </c>
      <c r="C325" s="844" t="s">
        <v>423</v>
      </c>
      <c r="D325" s="844"/>
      <c r="E325" s="844"/>
      <c r="F325" s="15" t="s">
        <v>833</v>
      </c>
      <c r="G325" s="165" t="str">
        <f>'MANO DE OBRA'!D61</f>
        <v>Agosto de 2010</v>
      </c>
    </row>
    <row r="326" spans="1:8" ht="13.5" thickBot="1">
      <c r="A326" s="127"/>
      <c r="B326" s="228" t="s">
        <v>835</v>
      </c>
      <c r="C326" s="845" t="s">
        <v>1500</v>
      </c>
      <c r="D326" s="845"/>
      <c r="E326" s="845"/>
      <c r="F326" s="845"/>
      <c r="G326" s="846"/>
    </row>
    <row r="327" spans="1:8" ht="14.25" thickTop="1" thickBot="1">
      <c r="A327" s="95"/>
      <c r="B327" s="986"/>
      <c r="C327" s="986"/>
      <c r="D327" s="986"/>
      <c r="E327" s="986"/>
      <c r="F327" s="986"/>
      <c r="G327" s="986"/>
    </row>
    <row r="328" spans="1:8" ht="13.5" thickTop="1">
      <c r="A328" s="95"/>
      <c r="B328" s="950" t="s">
        <v>304</v>
      </c>
      <c r="C328" s="951"/>
      <c r="D328" s="951"/>
      <c r="E328" s="951"/>
      <c r="F328" s="951"/>
      <c r="G328" s="952"/>
    </row>
    <row r="329" spans="1:8">
      <c r="A329" s="95"/>
      <c r="B329" s="229"/>
      <c r="C329" s="97"/>
      <c r="D329" s="98" t="s">
        <v>301</v>
      </c>
      <c r="E329" s="98" t="s">
        <v>1072</v>
      </c>
      <c r="F329" s="99" t="s">
        <v>839</v>
      </c>
      <c r="G329" s="107" t="s">
        <v>840</v>
      </c>
    </row>
    <row r="330" spans="1:8">
      <c r="A330" s="95"/>
      <c r="B330" s="982" t="s">
        <v>838</v>
      </c>
      <c r="C330" s="983"/>
      <c r="D330" s="100" t="s">
        <v>308</v>
      </c>
      <c r="E330" s="100" t="s">
        <v>305</v>
      </c>
      <c r="F330" s="101" t="s">
        <v>306</v>
      </c>
      <c r="G330" s="108" t="s">
        <v>310</v>
      </c>
    </row>
    <row r="331" spans="1:8">
      <c r="A331" s="95"/>
      <c r="B331" s="230"/>
      <c r="C331" s="102"/>
      <c r="D331" s="103"/>
      <c r="E331" s="103" t="s">
        <v>309</v>
      </c>
      <c r="F331" s="104" t="s">
        <v>307</v>
      </c>
      <c r="G331" s="109"/>
    </row>
    <row r="332" spans="1:8">
      <c r="A332" s="127"/>
      <c r="B332" s="841" t="str">
        <f>'MAQUINARIA Y EQUIPOS'!$C$28</f>
        <v>HERRAMIENTAS MENORES</v>
      </c>
      <c r="C332" s="842"/>
      <c r="D332" s="87">
        <v>1</v>
      </c>
      <c r="E332" s="82">
        <f>ROUND(G365*0.05,0)</f>
        <v>802</v>
      </c>
      <c r="F332" s="81">
        <v>0.6</v>
      </c>
      <c r="G332" s="110">
        <f>ROUND(D332*E332/F332,0)</f>
        <v>1337</v>
      </c>
    </row>
    <row r="333" spans="1:8">
      <c r="A333" s="95"/>
      <c r="B333" s="854"/>
      <c r="C333" s="855"/>
      <c r="D333" s="37"/>
      <c r="E333" s="129"/>
      <c r="F333" s="83"/>
      <c r="G333" s="111"/>
    </row>
    <row r="334" spans="1:8">
      <c r="A334" s="95"/>
      <c r="B334" s="854"/>
      <c r="C334" s="855"/>
      <c r="D334" s="37"/>
      <c r="E334" s="129"/>
      <c r="F334" s="83"/>
      <c r="G334" s="111"/>
    </row>
    <row r="335" spans="1:8">
      <c r="A335" s="95"/>
      <c r="B335" s="854"/>
      <c r="C335" s="855"/>
      <c r="D335" s="89"/>
      <c r="E335" s="82"/>
      <c r="F335" s="83"/>
      <c r="G335" s="111"/>
    </row>
    <row r="336" spans="1:8">
      <c r="A336" s="95"/>
      <c r="B336" s="854" t="s">
        <v>841</v>
      </c>
      <c r="C336" s="855"/>
      <c r="D336" s="37"/>
      <c r="E336" s="82"/>
      <c r="F336" s="83"/>
      <c r="G336" s="111"/>
    </row>
    <row r="337" spans="1:11" ht="13.5" thickBot="1">
      <c r="A337" s="95"/>
      <c r="B337" s="942" t="s">
        <v>841</v>
      </c>
      <c r="C337" s="943"/>
      <c r="D337" s="77"/>
      <c r="E337" s="106"/>
      <c r="F337" s="86"/>
      <c r="G337" s="112"/>
    </row>
    <row r="338" spans="1:11" ht="14.25" thickTop="1" thickBot="1">
      <c r="A338" s="95"/>
      <c r="B338" s="946"/>
      <c r="C338" s="946"/>
      <c r="D338" s="946"/>
      <c r="E338" s="947"/>
      <c r="F338" s="119" t="s">
        <v>856</v>
      </c>
      <c r="G338" s="118">
        <f>SUM(G332:G337)</f>
        <v>1337</v>
      </c>
    </row>
    <row r="339" spans="1:11" ht="14.25" thickTop="1" thickBot="1">
      <c r="A339" s="95"/>
      <c r="B339" s="970"/>
      <c r="C339" s="970"/>
      <c r="D339" s="970"/>
      <c r="E339" s="970"/>
      <c r="F339" s="970"/>
      <c r="G339" s="970"/>
    </row>
    <row r="340" spans="1:11" ht="13.5" thickTop="1">
      <c r="A340" s="95"/>
      <c r="B340" s="950" t="s">
        <v>311</v>
      </c>
      <c r="C340" s="951"/>
      <c r="D340" s="951"/>
      <c r="E340" s="951"/>
      <c r="F340" s="951"/>
      <c r="G340" s="952"/>
    </row>
    <row r="341" spans="1:11">
      <c r="A341" s="95"/>
      <c r="B341" s="978" t="s">
        <v>838</v>
      </c>
      <c r="C341" s="979"/>
      <c r="D341" s="98" t="s">
        <v>842</v>
      </c>
      <c r="E341" s="98" t="s">
        <v>853</v>
      </c>
      <c r="F341" s="99" t="s">
        <v>1047</v>
      </c>
      <c r="G341" s="107" t="s">
        <v>840</v>
      </c>
    </row>
    <row r="342" spans="1:11">
      <c r="A342" s="95"/>
      <c r="B342" s="230"/>
      <c r="C342" s="102"/>
      <c r="D342" s="100"/>
      <c r="E342" s="100" t="s">
        <v>312</v>
      </c>
      <c r="F342" s="101" t="s">
        <v>313</v>
      </c>
      <c r="G342" s="108" t="s">
        <v>314</v>
      </c>
    </row>
    <row r="343" spans="1:11">
      <c r="A343" s="123"/>
      <c r="B343" s="841" t="s">
        <v>1331</v>
      </c>
      <c r="C343" s="842"/>
      <c r="D343" s="87" t="s">
        <v>865</v>
      </c>
      <c r="E343" s="81">
        <v>2</v>
      </c>
      <c r="F343" s="80">
        <v>600</v>
      </c>
      <c r="G343" s="110">
        <f t="shared" ref="G343:G349" si="3">ROUND(E343*F343,0)</f>
        <v>1200</v>
      </c>
      <c r="H343" s="355"/>
      <c r="I343" s="352"/>
      <c r="J343" s="353"/>
      <c r="K343" s="352"/>
    </row>
    <row r="344" spans="1:11">
      <c r="A344" s="123"/>
      <c r="B344" s="854" t="s">
        <v>1332</v>
      </c>
      <c r="C344" s="855"/>
      <c r="D344" s="37" t="s">
        <v>831</v>
      </c>
      <c r="E344" s="83">
        <v>20</v>
      </c>
      <c r="F344" s="82">
        <v>750</v>
      </c>
      <c r="G344" s="111">
        <f t="shared" si="3"/>
        <v>15000</v>
      </c>
      <c r="H344" s="355"/>
      <c r="I344" s="352"/>
      <c r="J344" s="353"/>
      <c r="K344" s="352"/>
    </row>
    <row r="345" spans="1:11">
      <c r="A345" s="123"/>
      <c r="B345" s="854" t="s">
        <v>1333</v>
      </c>
      <c r="C345" s="855"/>
      <c r="D345" s="37" t="s">
        <v>831</v>
      </c>
      <c r="E345" s="83">
        <v>15</v>
      </c>
      <c r="F345" s="82">
        <v>450</v>
      </c>
      <c r="G345" s="111">
        <f t="shared" si="3"/>
        <v>6750</v>
      </c>
      <c r="H345" s="355"/>
      <c r="I345" s="352"/>
      <c r="J345" s="353"/>
      <c r="K345" s="352"/>
    </row>
    <row r="346" spans="1:11">
      <c r="A346" s="123"/>
      <c r="B346" s="854" t="s">
        <v>1334</v>
      </c>
      <c r="C346" s="855"/>
      <c r="D346" s="37" t="s">
        <v>865</v>
      </c>
      <c r="E346" s="83">
        <v>2</v>
      </c>
      <c r="F346" s="82">
        <v>950</v>
      </c>
      <c r="G346" s="111">
        <f t="shared" si="3"/>
        <v>1900</v>
      </c>
      <c r="H346" s="355"/>
      <c r="I346" s="352"/>
      <c r="J346" s="353"/>
      <c r="K346" s="352"/>
    </row>
    <row r="347" spans="1:11">
      <c r="A347" s="123"/>
      <c r="B347" s="854" t="s">
        <v>1338</v>
      </c>
      <c r="C347" s="855"/>
      <c r="D347" s="37" t="s">
        <v>865</v>
      </c>
      <c r="E347" s="83">
        <v>2</v>
      </c>
      <c r="F347" s="82">
        <v>3200</v>
      </c>
      <c r="G347" s="111">
        <f t="shared" si="3"/>
        <v>6400</v>
      </c>
      <c r="H347" s="355"/>
      <c r="I347" s="352"/>
      <c r="J347" s="353"/>
      <c r="K347" s="352"/>
    </row>
    <row r="348" spans="1:11">
      <c r="A348" s="123"/>
      <c r="B348" s="854" t="s">
        <v>1339</v>
      </c>
      <c r="C348" s="855"/>
      <c r="D348" s="37" t="s">
        <v>865</v>
      </c>
      <c r="E348" s="83">
        <v>1</v>
      </c>
      <c r="F348" s="82">
        <v>3900</v>
      </c>
      <c r="G348" s="111">
        <f t="shared" si="3"/>
        <v>3900</v>
      </c>
      <c r="H348" s="355"/>
      <c r="I348" s="352"/>
      <c r="J348" s="353"/>
      <c r="K348" s="352"/>
    </row>
    <row r="349" spans="1:11">
      <c r="A349" s="123"/>
      <c r="B349" s="854" t="s">
        <v>1340</v>
      </c>
      <c r="C349" s="855"/>
      <c r="D349" s="37" t="s">
        <v>865</v>
      </c>
      <c r="E349" s="83">
        <v>1</v>
      </c>
      <c r="F349" s="82">
        <v>3500</v>
      </c>
      <c r="G349" s="111">
        <f t="shared" si="3"/>
        <v>3500</v>
      </c>
      <c r="H349" s="355"/>
      <c r="I349" s="352"/>
      <c r="J349" s="354"/>
      <c r="K349" s="352"/>
    </row>
    <row r="350" spans="1:11">
      <c r="A350" s="95"/>
      <c r="B350" s="938" t="s">
        <v>841</v>
      </c>
      <c r="C350" s="939"/>
      <c r="D350" s="53" t="s">
        <v>841</v>
      </c>
      <c r="E350" s="53"/>
      <c r="F350" s="82"/>
      <c r="G350" s="111"/>
      <c r="H350" s="505" t="s">
        <v>1670</v>
      </c>
    </row>
    <row r="351" spans="1:11" ht="13.5" thickBot="1">
      <c r="A351" s="95"/>
      <c r="B351" s="942" t="s">
        <v>841</v>
      </c>
      <c r="C351" s="943"/>
      <c r="D351" s="84" t="s">
        <v>841</v>
      </c>
      <c r="E351" s="84"/>
      <c r="F351" s="85"/>
      <c r="G351" s="112"/>
    </row>
    <row r="352" spans="1:11" ht="13.5" thickTop="1">
      <c r="A352" s="95"/>
      <c r="B352" s="946"/>
      <c r="C352" s="947"/>
      <c r="D352" s="801" t="s">
        <v>856</v>
      </c>
      <c r="E352" s="802"/>
      <c r="F352" s="9"/>
      <c r="G352" s="113">
        <f>SUM(G343:G351)</f>
        <v>38650</v>
      </c>
    </row>
    <row r="353" spans="1:7">
      <c r="A353" s="95"/>
      <c r="B353" s="948"/>
      <c r="C353" s="949"/>
      <c r="D353" s="801" t="s">
        <v>857</v>
      </c>
      <c r="E353" s="802"/>
      <c r="F353" s="79">
        <f>'MANO DE OBRA'!$D$60</f>
        <v>0.05</v>
      </c>
      <c r="G353" s="113">
        <f>ROUND(G352*F353,0)</f>
        <v>1933</v>
      </c>
    </row>
    <row r="354" spans="1:7" ht="13.5" thickBot="1">
      <c r="A354" s="95"/>
      <c r="B354" s="948"/>
      <c r="C354" s="949"/>
      <c r="D354" s="803" t="s">
        <v>320</v>
      </c>
      <c r="E354" s="804"/>
      <c r="F354" s="114"/>
      <c r="G354" s="118">
        <f>+G352+G353</f>
        <v>40583</v>
      </c>
    </row>
    <row r="355" spans="1:7" ht="14.25" thickTop="1" thickBot="1">
      <c r="A355" s="95"/>
      <c r="B355" s="970"/>
      <c r="C355" s="970"/>
      <c r="D355" s="970"/>
      <c r="E355" s="970"/>
      <c r="F355" s="970"/>
      <c r="G355" s="970"/>
    </row>
    <row r="356" spans="1:7" ht="13.5" thickTop="1">
      <c r="A356" s="95"/>
      <c r="B356" s="950" t="s">
        <v>858</v>
      </c>
      <c r="C356" s="951"/>
      <c r="D356" s="951"/>
      <c r="E356" s="951"/>
      <c r="F356" s="951"/>
      <c r="G356" s="952"/>
    </row>
    <row r="357" spans="1:7">
      <c r="A357" s="95"/>
      <c r="B357" s="978"/>
      <c r="C357" s="979"/>
      <c r="D357" s="98" t="s">
        <v>301</v>
      </c>
      <c r="E357" s="98" t="s">
        <v>859</v>
      </c>
      <c r="F357" s="99" t="s">
        <v>839</v>
      </c>
      <c r="G357" s="107" t="s">
        <v>840</v>
      </c>
    </row>
    <row r="358" spans="1:7">
      <c r="A358" s="95"/>
      <c r="B358" s="982" t="s">
        <v>838</v>
      </c>
      <c r="C358" s="983"/>
      <c r="D358" s="100" t="s">
        <v>316</v>
      </c>
      <c r="E358" s="100" t="s">
        <v>315</v>
      </c>
      <c r="F358" s="101" t="s">
        <v>306</v>
      </c>
      <c r="G358" s="108" t="s">
        <v>319</v>
      </c>
    </row>
    <row r="359" spans="1:7">
      <c r="A359" s="95"/>
      <c r="B359" s="230"/>
      <c r="C359" s="102"/>
      <c r="D359" s="103"/>
      <c r="E359" s="103" t="s">
        <v>317</v>
      </c>
      <c r="F359" s="104" t="s">
        <v>318</v>
      </c>
      <c r="G359" s="109"/>
    </row>
    <row r="360" spans="1:7">
      <c r="A360" s="95"/>
      <c r="B360" s="841" t="str">
        <f>'MANO DE OBRA'!$B$11</f>
        <v>AYUDANTE CUAD. TIPO BB</v>
      </c>
      <c r="C360" s="842"/>
      <c r="D360" s="87">
        <v>1</v>
      </c>
      <c r="E360" s="80">
        <f>'MANO DE OBRA'!$E$11</f>
        <v>43077</v>
      </c>
      <c r="F360" s="81">
        <v>7.58</v>
      </c>
      <c r="G360" s="110">
        <f>ROUND(D360*E360/F360,0)</f>
        <v>5683</v>
      </c>
    </row>
    <row r="361" spans="1:7">
      <c r="A361" s="95"/>
      <c r="B361" s="854" t="str">
        <f>'MANO DE OBRA'!$B$16</f>
        <v>OFICIAL CUAD. TIPO BB</v>
      </c>
      <c r="C361" s="855"/>
      <c r="D361" s="37">
        <v>1</v>
      </c>
      <c r="E361" s="82">
        <f>'MANO DE OBRA'!$E$16</f>
        <v>78577</v>
      </c>
      <c r="F361" s="83">
        <v>7.58</v>
      </c>
      <c r="G361" s="111">
        <f>ROUND(D361*E361/F361,0)</f>
        <v>10366</v>
      </c>
    </row>
    <row r="362" spans="1:7">
      <c r="A362" s="95"/>
      <c r="B362" s="854"/>
      <c r="C362" s="855"/>
      <c r="D362" s="89"/>
      <c r="E362" s="82"/>
      <c r="F362" s="83"/>
      <c r="G362" s="111"/>
    </row>
    <row r="363" spans="1:7">
      <c r="A363" s="95"/>
      <c r="B363" s="854" t="s">
        <v>841</v>
      </c>
      <c r="C363" s="855"/>
      <c r="D363" s="37"/>
      <c r="E363" s="82"/>
      <c r="F363" s="83"/>
      <c r="G363" s="111"/>
    </row>
    <row r="364" spans="1:7" ht="13.5" thickBot="1">
      <c r="A364" s="95"/>
      <c r="B364" s="980" t="s">
        <v>841</v>
      </c>
      <c r="C364" s="981"/>
      <c r="D364" s="77"/>
      <c r="E364" s="82"/>
      <c r="F364" s="86"/>
      <c r="G364" s="112"/>
    </row>
    <row r="365" spans="1:7" ht="14.25" thickTop="1" thickBot="1">
      <c r="A365" s="95"/>
      <c r="B365" s="946"/>
      <c r="C365" s="946"/>
      <c r="D365" s="946"/>
      <c r="E365" s="947"/>
      <c r="F365" s="120" t="s">
        <v>856</v>
      </c>
      <c r="G365" s="118">
        <f>SUM(G360:G364)</f>
        <v>16049</v>
      </c>
    </row>
    <row r="366" spans="1:7" ht="14.25" thickTop="1" thickBot="1">
      <c r="A366" s="95"/>
      <c r="B366" s="970"/>
      <c r="C366" s="970"/>
      <c r="D366" s="970"/>
      <c r="E366" s="970"/>
      <c r="F366" s="970"/>
      <c r="G366" s="970"/>
    </row>
    <row r="367" spans="1:7" ht="13.5" thickTop="1">
      <c r="A367" s="95"/>
      <c r="B367" s="950" t="s">
        <v>321</v>
      </c>
      <c r="C367" s="951"/>
      <c r="D367" s="951"/>
      <c r="E367" s="951"/>
      <c r="F367" s="951"/>
      <c r="G367" s="952"/>
    </row>
    <row r="368" spans="1:7">
      <c r="A368" s="95"/>
      <c r="B368" s="978" t="s">
        <v>838</v>
      </c>
      <c r="C368" s="979"/>
      <c r="D368" s="98" t="s">
        <v>301</v>
      </c>
      <c r="E368" s="98" t="s">
        <v>297</v>
      </c>
      <c r="F368" s="99" t="s">
        <v>839</v>
      </c>
      <c r="G368" s="107" t="s">
        <v>840</v>
      </c>
    </row>
    <row r="369" spans="1:8">
      <c r="A369" s="95"/>
      <c r="B369" s="230"/>
      <c r="C369" s="102"/>
      <c r="D369" s="103" t="s">
        <v>322</v>
      </c>
      <c r="E369" s="103" t="s">
        <v>323</v>
      </c>
      <c r="F369" s="104" t="s">
        <v>324</v>
      </c>
      <c r="G369" s="109" t="s">
        <v>325</v>
      </c>
    </row>
    <row r="370" spans="1:8">
      <c r="A370" s="95"/>
      <c r="B370" s="841"/>
      <c r="C370" s="842"/>
      <c r="D370" s="96"/>
      <c r="E370" s="96"/>
      <c r="F370" s="96"/>
      <c r="G370" s="116"/>
    </row>
    <row r="371" spans="1:8" ht="13.5" thickBot="1">
      <c r="A371" s="95"/>
      <c r="B371" s="980" t="s">
        <v>841</v>
      </c>
      <c r="C371" s="981"/>
      <c r="D371" s="77"/>
      <c r="E371" s="82"/>
      <c r="F371" s="86"/>
      <c r="G371" s="112"/>
    </row>
    <row r="372" spans="1:8" ht="14.25" thickTop="1" thickBot="1">
      <c r="A372" s="95"/>
      <c r="B372" s="946"/>
      <c r="C372" s="946"/>
      <c r="D372" s="946"/>
      <c r="E372" s="947"/>
      <c r="F372" s="120" t="s">
        <v>856</v>
      </c>
      <c r="G372" s="118">
        <f>SUM(G367:G371)</f>
        <v>0</v>
      </c>
    </row>
    <row r="373" spans="1:8" ht="14.25" thickTop="1" thickBot="1">
      <c r="A373" s="95"/>
      <c r="B373" s="970"/>
      <c r="C373" s="970"/>
      <c r="D373" s="970"/>
      <c r="E373" s="970"/>
      <c r="F373" s="970"/>
      <c r="G373" s="943"/>
    </row>
    <row r="374" spans="1:8" ht="13.5" thickTop="1">
      <c r="A374" s="95"/>
      <c r="B374" s="950" t="s">
        <v>326</v>
      </c>
      <c r="C374" s="951"/>
      <c r="D374" s="951"/>
      <c r="E374" s="951"/>
      <c r="F374" s="971"/>
      <c r="G374" s="121">
        <f>+G338+G354+G365</f>
        <v>57969</v>
      </c>
    </row>
    <row r="375" spans="1:8">
      <c r="A375" s="95"/>
      <c r="B375" s="972" t="s">
        <v>861</v>
      </c>
      <c r="C375" s="973"/>
      <c r="D375" s="973"/>
      <c r="E375" s="974"/>
      <c r="F375" s="128">
        <f>'MANO DE OBRA'!$D$59</f>
        <v>0</v>
      </c>
      <c r="G375" s="122">
        <f>ROUND(G374*F375,0)</f>
        <v>0</v>
      </c>
    </row>
    <row r="376" spans="1:8" ht="13.5" thickBot="1">
      <c r="A376" s="95"/>
      <c r="B376" s="975" t="s">
        <v>1049</v>
      </c>
      <c r="C376" s="976"/>
      <c r="D376" s="976"/>
      <c r="E376" s="976"/>
      <c r="F376" s="977"/>
      <c r="G376" s="118">
        <f>ROUND(G374+G375,-2)</f>
        <v>58000</v>
      </c>
      <c r="H376" s="505" t="s">
        <v>1670</v>
      </c>
    </row>
    <row r="377" spans="1:8" ht="13.5" thickTop="1">
      <c r="A377" s="95"/>
      <c r="B377" s="225" t="s">
        <v>303</v>
      </c>
      <c r="C377" s="843"/>
      <c r="D377" s="843"/>
      <c r="E377" s="843"/>
      <c r="F377" s="92" t="s">
        <v>781</v>
      </c>
      <c r="G377" s="93" t="s">
        <v>865</v>
      </c>
    </row>
    <row r="378" spans="1:8">
      <c r="A378" s="95"/>
      <c r="B378" s="226" t="s">
        <v>834</v>
      </c>
      <c r="C378" s="844" t="s">
        <v>1352</v>
      </c>
      <c r="D378" s="844"/>
      <c r="E378" s="844"/>
      <c r="F378" s="15" t="s">
        <v>833</v>
      </c>
      <c r="G378" s="165" t="str">
        <f>'MANO DE OBRA'!D61</f>
        <v>Agosto de 2010</v>
      </c>
    </row>
    <row r="379" spans="1:8" ht="13.5" thickBot="1">
      <c r="A379" s="127"/>
      <c r="B379" s="228" t="s">
        <v>835</v>
      </c>
      <c r="C379" s="845" t="s">
        <v>1341</v>
      </c>
      <c r="D379" s="845"/>
      <c r="E379" s="845"/>
      <c r="F379" s="845"/>
      <c r="G379" s="846"/>
    </row>
    <row r="380" spans="1:8" ht="14.25" thickTop="1" thickBot="1">
      <c r="A380" s="95"/>
      <c r="B380" s="986"/>
      <c r="C380" s="986"/>
      <c r="D380" s="986"/>
      <c r="E380" s="986"/>
      <c r="F380" s="986"/>
      <c r="G380" s="986"/>
    </row>
    <row r="381" spans="1:8" ht="13.5" thickTop="1">
      <c r="A381" s="95"/>
      <c r="B381" s="950" t="s">
        <v>304</v>
      </c>
      <c r="C381" s="951"/>
      <c r="D381" s="951"/>
      <c r="E381" s="951"/>
      <c r="F381" s="951"/>
      <c r="G381" s="952"/>
    </row>
    <row r="382" spans="1:8">
      <c r="A382" s="95"/>
      <c r="B382" s="229"/>
      <c r="C382" s="97"/>
      <c r="D382" s="98" t="s">
        <v>301</v>
      </c>
      <c r="E382" s="98" t="s">
        <v>1072</v>
      </c>
      <c r="F382" s="99" t="s">
        <v>839</v>
      </c>
      <c r="G382" s="107" t="s">
        <v>840</v>
      </c>
    </row>
    <row r="383" spans="1:8">
      <c r="A383" s="95"/>
      <c r="B383" s="982" t="s">
        <v>838</v>
      </c>
      <c r="C383" s="983"/>
      <c r="D383" s="100" t="s">
        <v>308</v>
      </c>
      <c r="E383" s="100" t="s">
        <v>305</v>
      </c>
      <c r="F383" s="101" t="s">
        <v>306</v>
      </c>
      <c r="G383" s="108" t="s">
        <v>310</v>
      </c>
    </row>
    <row r="384" spans="1:8">
      <c r="A384" s="95"/>
      <c r="B384" s="230"/>
      <c r="C384" s="102"/>
      <c r="D384" s="103"/>
      <c r="E384" s="103" t="s">
        <v>309</v>
      </c>
      <c r="F384" s="104" t="s">
        <v>307</v>
      </c>
      <c r="G384" s="109"/>
    </row>
    <row r="385" spans="1:11">
      <c r="A385" s="127"/>
      <c r="B385" s="841" t="str">
        <f>'MAQUINARIA Y EQUIPOS'!$C$28</f>
        <v>HERRAMIENTAS MENORES</v>
      </c>
      <c r="C385" s="842"/>
      <c r="D385" s="87">
        <v>1</v>
      </c>
      <c r="E385" s="82">
        <f>ROUND(G418*0.05,0)</f>
        <v>560</v>
      </c>
      <c r="F385" s="81">
        <v>0.3</v>
      </c>
      <c r="G385" s="110">
        <f>ROUND(D385*E385/F385,0)</f>
        <v>1867</v>
      </c>
    </row>
    <row r="386" spans="1:11">
      <c r="A386" s="95"/>
      <c r="B386" s="854"/>
      <c r="C386" s="855"/>
      <c r="D386" s="37"/>
      <c r="E386" s="129"/>
      <c r="F386" s="83"/>
      <c r="G386" s="111"/>
    </row>
    <row r="387" spans="1:11">
      <c r="A387" s="95"/>
      <c r="B387" s="854"/>
      <c r="C387" s="855"/>
      <c r="D387" s="37"/>
      <c r="E387" s="129"/>
      <c r="F387" s="83"/>
      <c r="G387" s="111"/>
    </row>
    <row r="388" spans="1:11">
      <c r="A388" s="95"/>
      <c r="B388" s="854"/>
      <c r="C388" s="855"/>
      <c r="D388" s="89"/>
      <c r="E388" s="82"/>
      <c r="F388" s="83"/>
      <c r="G388" s="111"/>
    </row>
    <row r="389" spans="1:11">
      <c r="A389" s="95"/>
      <c r="B389" s="854" t="s">
        <v>841</v>
      </c>
      <c r="C389" s="855"/>
      <c r="D389" s="37"/>
      <c r="E389" s="82"/>
      <c r="F389" s="83"/>
      <c r="G389" s="111"/>
    </row>
    <row r="390" spans="1:11" ht="13.5" thickBot="1">
      <c r="A390" s="95"/>
      <c r="B390" s="942" t="s">
        <v>841</v>
      </c>
      <c r="C390" s="943"/>
      <c r="D390" s="77"/>
      <c r="E390" s="106"/>
      <c r="F390" s="86"/>
      <c r="G390" s="112"/>
    </row>
    <row r="391" spans="1:11" ht="14.25" thickTop="1" thickBot="1">
      <c r="A391" s="95"/>
      <c r="B391" s="946"/>
      <c r="C391" s="946"/>
      <c r="D391" s="946"/>
      <c r="E391" s="947"/>
      <c r="F391" s="119" t="s">
        <v>856</v>
      </c>
      <c r="G391" s="118">
        <f>SUM(G385:G390)</f>
        <v>1867</v>
      </c>
    </row>
    <row r="392" spans="1:11" ht="14.25" thickTop="1" thickBot="1">
      <c r="A392" s="95"/>
      <c r="B392" s="970"/>
      <c r="C392" s="970"/>
      <c r="D392" s="970"/>
      <c r="E392" s="970"/>
      <c r="F392" s="970"/>
      <c r="G392" s="970"/>
    </row>
    <row r="393" spans="1:11" ht="13.5" thickTop="1">
      <c r="A393" s="95"/>
      <c r="B393" s="950" t="s">
        <v>311</v>
      </c>
      <c r="C393" s="951"/>
      <c r="D393" s="951"/>
      <c r="E393" s="951"/>
      <c r="F393" s="951"/>
      <c r="G393" s="952"/>
    </row>
    <row r="394" spans="1:11">
      <c r="A394" s="95"/>
      <c r="B394" s="978" t="s">
        <v>838</v>
      </c>
      <c r="C394" s="979"/>
      <c r="D394" s="98" t="s">
        <v>842</v>
      </c>
      <c r="E394" s="98" t="s">
        <v>853</v>
      </c>
      <c r="F394" s="99" t="s">
        <v>1047</v>
      </c>
      <c r="G394" s="107" t="s">
        <v>840</v>
      </c>
    </row>
    <row r="395" spans="1:11">
      <c r="A395" s="95"/>
      <c r="B395" s="230"/>
      <c r="C395" s="102"/>
      <c r="D395" s="100"/>
      <c r="E395" s="100" t="s">
        <v>312</v>
      </c>
      <c r="F395" s="101" t="s">
        <v>313</v>
      </c>
      <c r="G395" s="108" t="s">
        <v>314</v>
      </c>
    </row>
    <row r="396" spans="1:11">
      <c r="A396" s="123"/>
      <c r="B396" s="841" t="s">
        <v>1342</v>
      </c>
      <c r="C396" s="842"/>
      <c r="D396" s="87" t="s">
        <v>865</v>
      </c>
      <c r="E396" s="81">
        <v>2</v>
      </c>
      <c r="F396" s="80">
        <v>600</v>
      </c>
      <c r="G396" s="110">
        <f t="shared" ref="G396:G401" si="4">ROUND(E396*F396,0)</f>
        <v>1200</v>
      </c>
      <c r="H396" s="355"/>
      <c r="I396" s="352"/>
      <c r="J396" s="353"/>
      <c r="K396" s="352"/>
    </row>
    <row r="397" spans="1:11">
      <c r="A397" s="123"/>
      <c r="B397" s="854" t="s">
        <v>1332</v>
      </c>
      <c r="C397" s="855"/>
      <c r="D397" s="37" t="s">
        <v>831</v>
      </c>
      <c r="E397" s="83">
        <v>40</v>
      </c>
      <c r="F397" s="82">
        <v>750</v>
      </c>
      <c r="G397" s="111">
        <f t="shared" si="4"/>
        <v>30000</v>
      </c>
      <c r="H397" s="355"/>
      <c r="I397" s="352"/>
      <c r="J397" s="353"/>
      <c r="K397" s="352"/>
    </row>
    <row r="398" spans="1:11">
      <c r="A398" s="123"/>
      <c r="B398" s="854" t="s">
        <v>1333</v>
      </c>
      <c r="C398" s="855"/>
      <c r="D398" s="37" t="s">
        <v>831</v>
      </c>
      <c r="E398" s="83">
        <v>20</v>
      </c>
      <c r="F398" s="82">
        <v>450</v>
      </c>
      <c r="G398" s="111">
        <f t="shared" si="4"/>
        <v>9000</v>
      </c>
      <c r="H398" s="355"/>
      <c r="I398" s="352"/>
      <c r="J398" s="353"/>
      <c r="K398" s="352"/>
    </row>
    <row r="399" spans="1:11">
      <c r="A399" s="123"/>
      <c r="B399" s="854" t="s">
        <v>1334</v>
      </c>
      <c r="C399" s="855"/>
      <c r="D399" s="37" t="s">
        <v>865</v>
      </c>
      <c r="E399" s="83">
        <v>3</v>
      </c>
      <c r="F399" s="82">
        <v>950</v>
      </c>
      <c r="G399" s="111">
        <f t="shared" si="4"/>
        <v>2850</v>
      </c>
      <c r="H399" s="355"/>
      <c r="I399" s="352"/>
      <c r="J399" s="353"/>
      <c r="K399" s="352"/>
    </row>
    <row r="400" spans="1:11">
      <c r="A400" s="123"/>
      <c r="B400" s="854" t="s">
        <v>1335</v>
      </c>
      <c r="C400" s="855"/>
      <c r="D400" s="37" t="s">
        <v>865</v>
      </c>
      <c r="E400" s="83">
        <v>2</v>
      </c>
      <c r="F400" s="82">
        <v>1600</v>
      </c>
      <c r="G400" s="111">
        <f t="shared" si="4"/>
        <v>3200</v>
      </c>
      <c r="H400" s="355"/>
      <c r="I400" s="352"/>
      <c r="J400" s="353"/>
      <c r="K400" s="352"/>
    </row>
    <row r="401" spans="1:11">
      <c r="A401" s="123"/>
      <c r="B401" s="854" t="s">
        <v>1337</v>
      </c>
      <c r="C401" s="855"/>
      <c r="D401" s="37" t="s">
        <v>865</v>
      </c>
      <c r="E401" s="83">
        <v>1</v>
      </c>
      <c r="F401" s="82">
        <v>4500</v>
      </c>
      <c r="G401" s="111">
        <f t="shared" si="4"/>
        <v>4500</v>
      </c>
      <c r="H401" s="355"/>
      <c r="I401" s="352"/>
      <c r="J401" s="354"/>
      <c r="K401" s="352"/>
    </row>
    <row r="402" spans="1:11">
      <c r="A402" s="123"/>
      <c r="B402" s="854"/>
      <c r="C402" s="855"/>
      <c r="D402" s="37"/>
      <c r="E402" s="83"/>
      <c r="F402" s="82"/>
      <c r="G402" s="111"/>
    </row>
    <row r="403" spans="1:11">
      <c r="A403" s="95"/>
      <c r="B403" s="938" t="s">
        <v>841</v>
      </c>
      <c r="C403" s="939"/>
      <c r="D403" s="53" t="s">
        <v>841</v>
      </c>
      <c r="E403" s="53"/>
      <c r="F403" s="82"/>
      <c r="G403" s="111"/>
      <c r="H403" s="505" t="s">
        <v>1670</v>
      </c>
    </row>
    <row r="404" spans="1:11" ht="13.5" thickBot="1">
      <c r="A404" s="95"/>
      <c r="B404" s="942" t="s">
        <v>841</v>
      </c>
      <c r="C404" s="943"/>
      <c r="D404" s="84" t="s">
        <v>841</v>
      </c>
      <c r="E404" s="84"/>
      <c r="F404" s="85"/>
      <c r="G404" s="112"/>
    </row>
    <row r="405" spans="1:11" ht="13.5" thickTop="1">
      <c r="A405" s="95"/>
      <c r="B405" s="946"/>
      <c r="C405" s="947"/>
      <c r="D405" s="801" t="s">
        <v>856</v>
      </c>
      <c r="E405" s="802"/>
      <c r="F405" s="9"/>
      <c r="G405" s="113">
        <f>SUM(G396:G404)</f>
        <v>50750</v>
      </c>
    </row>
    <row r="406" spans="1:11">
      <c r="A406" s="95"/>
      <c r="B406" s="948"/>
      <c r="C406" s="949"/>
      <c r="D406" s="801" t="s">
        <v>857</v>
      </c>
      <c r="E406" s="802"/>
      <c r="F406" s="79">
        <f>'MANO DE OBRA'!$D$60</f>
        <v>0.05</v>
      </c>
      <c r="G406" s="113">
        <f>ROUND(G405*F406,0)</f>
        <v>2538</v>
      </c>
    </row>
    <row r="407" spans="1:11" ht="13.5" thickBot="1">
      <c r="A407" s="95"/>
      <c r="B407" s="948"/>
      <c r="C407" s="949"/>
      <c r="D407" s="803" t="s">
        <v>320</v>
      </c>
      <c r="E407" s="804"/>
      <c r="F407" s="114"/>
      <c r="G407" s="118">
        <f>+G405+G406</f>
        <v>53288</v>
      </c>
    </row>
    <row r="408" spans="1:11" ht="14.25" thickTop="1" thickBot="1">
      <c r="A408" s="95"/>
      <c r="B408" s="970"/>
      <c r="C408" s="970"/>
      <c r="D408" s="970"/>
      <c r="E408" s="970"/>
      <c r="F408" s="970"/>
      <c r="G408" s="970"/>
    </row>
    <row r="409" spans="1:11" ht="13.5" thickTop="1">
      <c r="A409" s="95"/>
      <c r="B409" s="950" t="s">
        <v>858</v>
      </c>
      <c r="C409" s="951"/>
      <c r="D409" s="951"/>
      <c r="E409" s="951"/>
      <c r="F409" s="951"/>
      <c r="G409" s="952"/>
    </row>
    <row r="410" spans="1:11">
      <c r="A410" s="95"/>
      <c r="B410" s="978"/>
      <c r="C410" s="979"/>
      <c r="D410" s="98" t="s">
        <v>301</v>
      </c>
      <c r="E410" s="98" t="s">
        <v>859</v>
      </c>
      <c r="F410" s="99" t="s">
        <v>839</v>
      </c>
      <c r="G410" s="107" t="s">
        <v>840</v>
      </c>
    </row>
    <row r="411" spans="1:11">
      <c r="A411" s="95"/>
      <c r="B411" s="982" t="s">
        <v>838</v>
      </c>
      <c r="C411" s="983"/>
      <c r="D411" s="100" t="s">
        <v>316</v>
      </c>
      <c r="E411" s="100" t="s">
        <v>315</v>
      </c>
      <c r="F411" s="101" t="s">
        <v>306</v>
      </c>
      <c r="G411" s="108" t="s">
        <v>319</v>
      </c>
    </row>
    <row r="412" spans="1:11">
      <c r="A412" s="95"/>
      <c r="B412" s="230"/>
      <c r="C412" s="102"/>
      <c r="D412" s="103"/>
      <c r="E412" s="103" t="s">
        <v>317</v>
      </c>
      <c r="F412" s="104" t="s">
        <v>318</v>
      </c>
      <c r="G412" s="109"/>
    </row>
    <row r="413" spans="1:11">
      <c r="A413" s="95"/>
      <c r="B413" s="841" t="str">
        <f>'MANO DE OBRA'!$B$11</f>
        <v>AYUDANTE CUAD. TIPO BB</v>
      </c>
      <c r="C413" s="842"/>
      <c r="D413" s="87">
        <v>1</v>
      </c>
      <c r="E413" s="80">
        <f>'MANO DE OBRA'!$E$11</f>
        <v>43077</v>
      </c>
      <c r="F413" s="81">
        <v>10.86</v>
      </c>
      <c r="G413" s="110">
        <f>ROUND(D413*E413/F413,0)</f>
        <v>3967</v>
      </c>
    </row>
    <row r="414" spans="1:11">
      <c r="A414" s="95"/>
      <c r="B414" s="854" t="str">
        <f>'MANO DE OBRA'!$B$16</f>
        <v>OFICIAL CUAD. TIPO BB</v>
      </c>
      <c r="C414" s="855"/>
      <c r="D414" s="37">
        <v>1</v>
      </c>
      <c r="E414" s="82">
        <f>'MANO DE OBRA'!$E$16</f>
        <v>78577</v>
      </c>
      <c r="F414" s="83">
        <v>10.86</v>
      </c>
      <c r="G414" s="111">
        <f>ROUND(D414*E414/F414,0)</f>
        <v>7235</v>
      </c>
    </row>
    <row r="415" spans="1:11">
      <c r="A415" s="95"/>
      <c r="B415" s="854"/>
      <c r="C415" s="855"/>
      <c r="D415" s="89"/>
      <c r="E415" s="82"/>
      <c r="F415" s="83"/>
      <c r="G415" s="111"/>
    </row>
    <row r="416" spans="1:11">
      <c r="A416" s="95"/>
      <c r="B416" s="854" t="s">
        <v>841</v>
      </c>
      <c r="C416" s="855"/>
      <c r="D416" s="37"/>
      <c r="E416" s="82"/>
      <c r="F416" s="83"/>
      <c r="G416" s="111"/>
    </row>
    <row r="417" spans="1:8" ht="13.5" thickBot="1">
      <c r="A417" s="95"/>
      <c r="B417" s="980" t="s">
        <v>841</v>
      </c>
      <c r="C417" s="981"/>
      <c r="D417" s="77"/>
      <c r="E417" s="82"/>
      <c r="F417" s="86"/>
      <c r="G417" s="112"/>
    </row>
    <row r="418" spans="1:8" ht="14.25" thickTop="1" thickBot="1">
      <c r="A418" s="95"/>
      <c r="B418" s="946"/>
      <c r="C418" s="946"/>
      <c r="D418" s="946"/>
      <c r="E418" s="947"/>
      <c r="F418" s="120" t="s">
        <v>856</v>
      </c>
      <c r="G418" s="118">
        <f>SUM(G413:G417)</f>
        <v>11202</v>
      </c>
    </row>
    <row r="419" spans="1:8" ht="14.25" thickTop="1" thickBot="1">
      <c r="A419" s="95"/>
      <c r="B419" s="970"/>
      <c r="C419" s="970"/>
      <c r="D419" s="970"/>
      <c r="E419" s="970"/>
      <c r="F419" s="970"/>
      <c r="G419" s="970"/>
    </row>
    <row r="420" spans="1:8" ht="13.5" thickTop="1">
      <c r="A420" s="95"/>
      <c r="B420" s="950" t="s">
        <v>321</v>
      </c>
      <c r="C420" s="951"/>
      <c r="D420" s="951"/>
      <c r="E420" s="951"/>
      <c r="F420" s="951"/>
      <c r="G420" s="952"/>
    </row>
    <row r="421" spans="1:8">
      <c r="A421" s="95"/>
      <c r="B421" s="978" t="s">
        <v>838</v>
      </c>
      <c r="C421" s="979"/>
      <c r="D421" s="98" t="s">
        <v>301</v>
      </c>
      <c r="E421" s="98" t="s">
        <v>297</v>
      </c>
      <c r="F421" s="99" t="s">
        <v>839</v>
      </c>
      <c r="G421" s="107" t="s">
        <v>840</v>
      </c>
    </row>
    <row r="422" spans="1:8">
      <c r="A422" s="95"/>
      <c r="B422" s="230"/>
      <c r="C422" s="102"/>
      <c r="D422" s="103" t="s">
        <v>322</v>
      </c>
      <c r="E422" s="103" t="s">
        <v>323</v>
      </c>
      <c r="F422" s="104" t="s">
        <v>324</v>
      </c>
      <c r="G422" s="109" t="s">
        <v>325</v>
      </c>
    </row>
    <row r="423" spans="1:8">
      <c r="A423" s="95"/>
      <c r="B423" s="841"/>
      <c r="C423" s="842"/>
      <c r="D423" s="96"/>
      <c r="E423" s="96"/>
      <c r="F423" s="96"/>
      <c r="G423" s="116"/>
    </row>
    <row r="424" spans="1:8" ht="13.5" thickBot="1">
      <c r="A424" s="95"/>
      <c r="B424" s="980" t="s">
        <v>841</v>
      </c>
      <c r="C424" s="981"/>
      <c r="D424" s="77"/>
      <c r="E424" s="82"/>
      <c r="F424" s="86"/>
      <c r="G424" s="112"/>
    </row>
    <row r="425" spans="1:8" ht="14.25" thickTop="1" thickBot="1">
      <c r="A425" s="95"/>
      <c r="B425" s="946"/>
      <c r="C425" s="946"/>
      <c r="D425" s="946"/>
      <c r="E425" s="947"/>
      <c r="F425" s="120" t="s">
        <v>856</v>
      </c>
      <c r="G425" s="118">
        <f>SUM(G420:G424)</f>
        <v>0</v>
      </c>
    </row>
    <row r="426" spans="1:8" ht="14.25" thickTop="1" thickBot="1">
      <c r="A426" s="95"/>
      <c r="B426" s="970"/>
      <c r="C426" s="970"/>
      <c r="D426" s="970"/>
      <c r="E426" s="970"/>
      <c r="F426" s="970"/>
      <c r="G426" s="943"/>
    </row>
    <row r="427" spans="1:8" ht="13.5" thickTop="1">
      <c r="A427" s="95"/>
      <c r="B427" s="950" t="s">
        <v>326</v>
      </c>
      <c r="C427" s="951"/>
      <c r="D427" s="951"/>
      <c r="E427" s="951"/>
      <c r="F427" s="971"/>
      <c r="G427" s="121">
        <f>+G391+G407+G418</f>
        <v>66357</v>
      </c>
    </row>
    <row r="428" spans="1:8">
      <c r="A428" s="95"/>
      <c r="B428" s="972" t="s">
        <v>861</v>
      </c>
      <c r="C428" s="973"/>
      <c r="D428" s="973"/>
      <c r="E428" s="974"/>
      <c r="F428" s="128">
        <f>'MANO DE OBRA'!$D$59</f>
        <v>0</v>
      </c>
      <c r="G428" s="122">
        <f>ROUND(G427*F428,0)</f>
        <v>0</v>
      </c>
    </row>
    <row r="429" spans="1:8" ht="13.5" thickBot="1">
      <c r="A429" s="95"/>
      <c r="B429" s="975" t="s">
        <v>1049</v>
      </c>
      <c r="C429" s="976"/>
      <c r="D429" s="976"/>
      <c r="E429" s="976"/>
      <c r="F429" s="977"/>
      <c r="G429" s="118">
        <f>ROUND(G427+G428,-2)</f>
        <v>66400</v>
      </c>
      <c r="H429" s="505" t="s">
        <v>1670</v>
      </c>
    </row>
    <row r="430" spans="1:8" ht="13.5" thickTop="1">
      <c r="A430" s="95"/>
      <c r="B430" s="225" t="s">
        <v>303</v>
      </c>
      <c r="C430" s="843"/>
      <c r="D430" s="843"/>
      <c r="E430" s="843"/>
      <c r="F430" s="92" t="s">
        <v>781</v>
      </c>
      <c r="G430" s="93" t="s">
        <v>831</v>
      </c>
    </row>
    <row r="431" spans="1:8">
      <c r="A431" s="95"/>
      <c r="B431" s="226" t="s">
        <v>834</v>
      </c>
      <c r="C431" s="844" t="s">
        <v>1352</v>
      </c>
      <c r="D431" s="844"/>
      <c r="E431" s="844"/>
      <c r="F431" s="15" t="s">
        <v>833</v>
      </c>
      <c r="G431" s="165" t="str">
        <f>'MANO DE OBRA'!D61</f>
        <v>Agosto de 2010</v>
      </c>
    </row>
    <row r="432" spans="1:8" ht="13.5" thickBot="1">
      <c r="A432" s="127"/>
      <c r="B432" s="228" t="s">
        <v>835</v>
      </c>
      <c r="C432" s="1001" t="s">
        <v>1353</v>
      </c>
      <c r="D432" s="1001"/>
      <c r="E432" s="1001"/>
      <c r="F432" s="1001"/>
      <c r="G432" s="1002"/>
    </row>
    <row r="433" spans="1:7" ht="14.25" thickTop="1" thickBot="1">
      <c r="A433" s="95"/>
      <c r="B433" s="986"/>
      <c r="C433" s="986"/>
      <c r="D433" s="986"/>
      <c r="E433" s="986"/>
      <c r="F433" s="986"/>
      <c r="G433" s="986"/>
    </row>
    <row r="434" spans="1:7" ht="13.5" thickTop="1">
      <c r="A434" s="95"/>
      <c r="B434" s="950" t="s">
        <v>304</v>
      </c>
      <c r="C434" s="951"/>
      <c r="D434" s="951"/>
      <c r="E434" s="951"/>
      <c r="F434" s="951"/>
      <c r="G434" s="952"/>
    </row>
    <row r="435" spans="1:7">
      <c r="A435" s="95"/>
      <c r="B435" s="229"/>
      <c r="C435" s="97"/>
      <c r="D435" s="98" t="s">
        <v>301</v>
      </c>
      <c r="E435" s="98" t="s">
        <v>1072</v>
      </c>
      <c r="F435" s="99" t="s">
        <v>839</v>
      </c>
      <c r="G435" s="107" t="s">
        <v>840</v>
      </c>
    </row>
    <row r="436" spans="1:7">
      <c r="A436" s="95"/>
      <c r="B436" s="982" t="s">
        <v>838</v>
      </c>
      <c r="C436" s="983"/>
      <c r="D436" s="100" t="s">
        <v>308</v>
      </c>
      <c r="E436" s="100" t="s">
        <v>305</v>
      </c>
      <c r="F436" s="101" t="s">
        <v>306</v>
      </c>
      <c r="G436" s="108" t="s">
        <v>310</v>
      </c>
    </row>
    <row r="437" spans="1:7">
      <c r="A437" s="95"/>
      <c r="B437" s="230"/>
      <c r="C437" s="102"/>
      <c r="D437" s="103"/>
      <c r="E437" s="103" t="s">
        <v>309</v>
      </c>
      <c r="F437" s="104" t="s">
        <v>307</v>
      </c>
      <c r="G437" s="109"/>
    </row>
    <row r="438" spans="1:7">
      <c r="A438" s="127"/>
      <c r="B438" s="841" t="str">
        <f>'MAQUINARIA Y EQUIPOS'!$C$28</f>
        <v>HERRAMIENTAS MENORES</v>
      </c>
      <c r="C438" s="842"/>
      <c r="D438" s="87">
        <v>1</v>
      </c>
      <c r="E438" s="82">
        <f>ROUND(G471*0.05,0)</f>
        <v>404</v>
      </c>
      <c r="F438" s="81">
        <v>1</v>
      </c>
      <c r="G438" s="110">
        <f>ROUND(D438*E438/F438,0)</f>
        <v>404</v>
      </c>
    </row>
    <row r="439" spans="1:7">
      <c r="A439" s="95"/>
      <c r="B439" s="854"/>
      <c r="C439" s="855"/>
      <c r="D439" s="37"/>
      <c r="E439" s="129"/>
      <c r="F439" s="83"/>
      <c r="G439" s="111"/>
    </row>
    <row r="440" spans="1:7">
      <c r="A440" s="95"/>
      <c r="B440" s="854"/>
      <c r="C440" s="855"/>
      <c r="D440" s="37"/>
      <c r="E440" s="129"/>
      <c r="F440" s="83"/>
      <c r="G440" s="111"/>
    </row>
    <row r="441" spans="1:7">
      <c r="A441" s="95"/>
      <c r="B441" s="854"/>
      <c r="C441" s="855"/>
      <c r="D441" s="89"/>
      <c r="E441" s="82"/>
      <c r="F441" s="83"/>
      <c r="G441" s="111"/>
    </row>
    <row r="442" spans="1:7">
      <c r="A442" s="95"/>
      <c r="B442" s="854" t="s">
        <v>841</v>
      </c>
      <c r="C442" s="855"/>
      <c r="D442" s="37"/>
      <c r="E442" s="82"/>
      <c r="F442" s="83"/>
      <c r="G442" s="111"/>
    </row>
    <row r="443" spans="1:7" ht="13.5" thickBot="1">
      <c r="A443" s="95"/>
      <c r="B443" s="942" t="s">
        <v>841</v>
      </c>
      <c r="C443" s="943"/>
      <c r="D443" s="77"/>
      <c r="E443" s="106"/>
      <c r="F443" s="86"/>
      <c r="G443" s="112"/>
    </row>
    <row r="444" spans="1:7" ht="14.25" thickTop="1" thickBot="1">
      <c r="A444" s="95"/>
      <c r="B444" s="946"/>
      <c r="C444" s="946"/>
      <c r="D444" s="946"/>
      <c r="E444" s="947"/>
      <c r="F444" s="119" t="s">
        <v>856</v>
      </c>
      <c r="G444" s="118">
        <f>SUM(G438:G443)</f>
        <v>404</v>
      </c>
    </row>
    <row r="445" spans="1:7" ht="14.25" thickTop="1" thickBot="1">
      <c r="A445" s="95"/>
      <c r="B445" s="970"/>
      <c r="C445" s="970"/>
      <c r="D445" s="970"/>
      <c r="E445" s="970"/>
      <c r="F445" s="970"/>
      <c r="G445" s="970"/>
    </row>
    <row r="446" spans="1:7" ht="13.5" thickTop="1">
      <c r="A446" s="95"/>
      <c r="B446" s="950" t="s">
        <v>311</v>
      </c>
      <c r="C446" s="951"/>
      <c r="D446" s="951"/>
      <c r="E446" s="951"/>
      <c r="F446" s="951"/>
      <c r="G446" s="952"/>
    </row>
    <row r="447" spans="1:7">
      <c r="A447" s="95"/>
      <c r="B447" s="978" t="s">
        <v>838</v>
      </c>
      <c r="C447" s="979"/>
      <c r="D447" s="98" t="s">
        <v>842</v>
      </c>
      <c r="E447" s="98" t="s">
        <v>853</v>
      </c>
      <c r="F447" s="99" t="s">
        <v>1047</v>
      </c>
      <c r="G447" s="107" t="s">
        <v>840</v>
      </c>
    </row>
    <row r="448" spans="1:7">
      <c r="A448" s="95"/>
      <c r="B448" s="230"/>
      <c r="C448" s="102"/>
      <c r="D448" s="100"/>
      <c r="E448" s="100" t="s">
        <v>312</v>
      </c>
      <c r="F448" s="101" t="s">
        <v>313</v>
      </c>
      <c r="G448" s="108" t="s">
        <v>314</v>
      </c>
    </row>
    <row r="449" spans="1:8">
      <c r="A449" s="123"/>
      <c r="B449" s="841" t="str">
        <f>MATERIALES2!$C$446</f>
        <v>ALAMBRE DE COBRE AISLADO #10</v>
      </c>
      <c r="C449" s="842"/>
      <c r="D449" s="87" t="s">
        <v>831</v>
      </c>
      <c r="E449" s="81">
        <v>1</v>
      </c>
      <c r="F449" s="80">
        <f>MATERIALES2!$E$446</f>
        <v>1191</v>
      </c>
      <c r="G449" s="110">
        <f t="shared" ref="G449:G454" si="5">ROUND(E449*F449,0)</f>
        <v>1191</v>
      </c>
    </row>
    <row r="450" spans="1:8">
      <c r="A450" s="123"/>
      <c r="B450" s="854" t="str">
        <f>MATERIALES2!$C$446</f>
        <v>ALAMBRE DE COBRE AISLADO #10</v>
      </c>
      <c r="C450" s="855"/>
      <c r="D450" s="37" t="s">
        <v>831</v>
      </c>
      <c r="E450" s="83">
        <v>1</v>
      </c>
      <c r="F450" s="82">
        <f>MATERIALES2!$E$446</f>
        <v>1191</v>
      </c>
      <c r="G450" s="111">
        <f t="shared" si="5"/>
        <v>1191</v>
      </c>
    </row>
    <row r="451" spans="1:8">
      <c r="A451" s="123"/>
      <c r="B451" s="854" t="str">
        <f>MATERIALES2!$C$487</f>
        <v>CONECTOR BIMETALICO</v>
      </c>
      <c r="C451" s="855"/>
      <c r="D451" s="37" t="s">
        <v>865</v>
      </c>
      <c r="E451" s="83">
        <v>0.2</v>
      </c>
      <c r="F451" s="82">
        <f>MATERIALES2!$E$487</f>
        <v>2362</v>
      </c>
      <c r="G451" s="111">
        <f t="shared" si="5"/>
        <v>472</v>
      </c>
    </row>
    <row r="452" spans="1:8">
      <c r="A452" s="123"/>
      <c r="B452" s="854" t="str">
        <f>MATERIALES2!$C$548</f>
        <v>TUBO PVC CONDUIT 1 1/4" x 3.0 M</v>
      </c>
      <c r="C452" s="855"/>
      <c r="D452" s="37" t="s">
        <v>865</v>
      </c>
      <c r="E452" s="83">
        <v>0.33</v>
      </c>
      <c r="F452" s="82">
        <f>MATERIALES2!$E$548</f>
        <v>14396</v>
      </c>
      <c r="G452" s="111">
        <f t="shared" si="5"/>
        <v>4751</v>
      </c>
    </row>
    <row r="453" spans="1:8">
      <c r="A453" s="123"/>
      <c r="B453" s="854" t="str">
        <f>MATERIALES2!$C$485</f>
        <v>CINTA AISLANTE 3M</v>
      </c>
      <c r="C453" s="855"/>
      <c r="D453" s="37" t="s">
        <v>865</v>
      </c>
      <c r="E453" s="83">
        <v>0.1</v>
      </c>
      <c r="F453" s="82">
        <f>MATERIALES2!$E$485</f>
        <v>5500</v>
      </c>
      <c r="G453" s="111">
        <f t="shared" si="5"/>
        <v>550</v>
      </c>
    </row>
    <row r="454" spans="1:8">
      <c r="A454" s="123"/>
      <c r="B454" s="854" t="str">
        <f>MATERIALES2!$C$494</f>
        <v>CURVA 1 1/4"</v>
      </c>
      <c r="C454" s="855"/>
      <c r="D454" s="37" t="s">
        <v>865</v>
      </c>
      <c r="E454" s="83">
        <v>0.1</v>
      </c>
      <c r="F454" s="82">
        <f>MATERIALES2!$E$494</f>
        <v>3421</v>
      </c>
      <c r="G454" s="111">
        <f t="shared" si="5"/>
        <v>342</v>
      </c>
    </row>
    <row r="455" spans="1:8">
      <c r="A455" s="123"/>
      <c r="B455" s="854"/>
      <c r="C455" s="855"/>
      <c r="D455" s="37"/>
      <c r="E455" s="83"/>
      <c r="F455" s="82"/>
      <c r="G455" s="111"/>
    </row>
    <row r="456" spans="1:8">
      <c r="A456" s="95"/>
      <c r="B456" s="938" t="s">
        <v>841</v>
      </c>
      <c r="C456" s="939"/>
      <c r="D456" s="53" t="s">
        <v>841</v>
      </c>
      <c r="E456" s="53"/>
      <c r="F456" s="82"/>
      <c r="G456" s="111"/>
      <c r="H456" s="505" t="s">
        <v>1670</v>
      </c>
    </row>
    <row r="457" spans="1:8" ht="13.5" thickBot="1">
      <c r="A457" s="95"/>
      <c r="B457" s="942" t="s">
        <v>841</v>
      </c>
      <c r="C457" s="943"/>
      <c r="D457" s="84" t="s">
        <v>841</v>
      </c>
      <c r="E457" s="84"/>
      <c r="F457" s="85"/>
      <c r="G457" s="112"/>
    </row>
    <row r="458" spans="1:8" ht="13.5" thickTop="1">
      <c r="A458" s="95"/>
      <c r="B458" s="946"/>
      <c r="C458" s="947"/>
      <c r="D458" s="801" t="s">
        <v>856</v>
      </c>
      <c r="E458" s="802"/>
      <c r="F458" s="9"/>
      <c r="G458" s="113">
        <f>SUM(G449:G457)</f>
        <v>8497</v>
      </c>
    </row>
    <row r="459" spans="1:8">
      <c r="A459" s="95"/>
      <c r="B459" s="948"/>
      <c r="C459" s="949"/>
      <c r="D459" s="801" t="s">
        <v>857</v>
      </c>
      <c r="E459" s="802"/>
      <c r="F459" s="79">
        <f>'MANO DE OBRA'!$D$60</f>
        <v>0.05</v>
      </c>
      <c r="G459" s="113">
        <f>ROUND(G458*F459,0)</f>
        <v>425</v>
      </c>
    </row>
    <row r="460" spans="1:8" ht="13.5" thickBot="1">
      <c r="A460" s="95"/>
      <c r="B460" s="948"/>
      <c r="C460" s="949"/>
      <c r="D460" s="803" t="s">
        <v>320</v>
      </c>
      <c r="E460" s="804"/>
      <c r="F460" s="114"/>
      <c r="G460" s="118">
        <f>+G458+G459</f>
        <v>8922</v>
      </c>
    </row>
    <row r="461" spans="1:8" ht="14.25" thickTop="1" thickBot="1">
      <c r="A461" s="95"/>
      <c r="B461" s="970"/>
      <c r="C461" s="970"/>
      <c r="D461" s="970"/>
      <c r="E461" s="970"/>
      <c r="F461" s="970"/>
      <c r="G461" s="970"/>
    </row>
    <row r="462" spans="1:8" ht="13.5" thickTop="1">
      <c r="A462" s="95"/>
      <c r="B462" s="950" t="s">
        <v>858</v>
      </c>
      <c r="C462" s="951"/>
      <c r="D462" s="951"/>
      <c r="E462" s="951"/>
      <c r="F462" s="951"/>
      <c r="G462" s="952"/>
    </row>
    <row r="463" spans="1:8">
      <c r="A463" s="95"/>
      <c r="B463" s="978"/>
      <c r="C463" s="979"/>
      <c r="D463" s="98" t="s">
        <v>301</v>
      </c>
      <c r="E463" s="98" t="s">
        <v>859</v>
      </c>
      <c r="F463" s="99" t="s">
        <v>839</v>
      </c>
      <c r="G463" s="107" t="s">
        <v>840</v>
      </c>
    </row>
    <row r="464" spans="1:8">
      <c r="A464" s="95"/>
      <c r="B464" s="982" t="s">
        <v>838</v>
      </c>
      <c r="C464" s="983"/>
      <c r="D464" s="100" t="s">
        <v>316</v>
      </c>
      <c r="E464" s="100" t="s">
        <v>315</v>
      </c>
      <c r="F464" s="101" t="s">
        <v>306</v>
      </c>
      <c r="G464" s="108" t="s">
        <v>319</v>
      </c>
    </row>
    <row r="465" spans="1:7">
      <c r="A465" s="95"/>
      <c r="B465" s="230"/>
      <c r="C465" s="102"/>
      <c r="D465" s="103"/>
      <c r="E465" s="103" t="s">
        <v>317</v>
      </c>
      <c r="F465" s="104" t="s">
        <v>318</v>
      </c>
      <c r="G465" s="109"/>
    </row>
    <row r="466" spans="1:7">
      <c r="A466" s="95"/>
      <c r="B466" s="841" t="str">
        <f>'MANO DE OBRA'!$B$11</f>
        <v>AYUDANTE CUAD. TIPO BB</v>
      </c>
      <c r="C466" s="842"/>
      <c r="D466" s="87">
        <v>1</v>
      </c>
      <c r="E466" s="80">
        <f>'MANO DE OBRA'!$E$11</f>
        <v>43077</v>
      </c>
      <c r="F466" s="81">
        <v>15.05</v>
      </c>
      <c r="G466" s="110">
        <f>ROUND(D466*E466/F466,0)</f>
        <v>2862</v>
      </c>
    </row>
    <row r="467" spans="1:7">
      <c r="A467" s="95"/>
      <c r="B467" s="854" t="str">
        <f>'MANO DE OBRA'!$B$16</f>
        <v>OFICIAL CUAD. TIPO BB</v>
      </c>
      <c r="C467" s="855"/>
      <c r="D467" s="37">
        <v>1</v>
      </c>
      <c r="E467" s="82">
        <f>'MANO DE OBRA'!$E$16</f>
        <v>78577</v>
      </c>
      <c r="F467" s="83">
        <v>15.05</v>
      </c>
      <c r="G467" s="111">
        <f>ROUND(D467*E467/F467,0)</f>
        <v>5221</v>
      </c>
    </row>
    <row r="468" spans="1:7">
      <c r="A468" s="95"/>
      <c r="B468" s="854"/>
      <c r="C468" s="855"/>
      <c r="D468" s="89"/>
      <c r="E468" s="82"/>
      <c r="F468" s="83"/>
      <c r="G468" s="111"/>
    </row>
    <row r="469" spans="1:7">
      <c r="A469" s="95"/>
      <c r="B469" s="854" t="s">
        <v>841</v>
      </c>
      <c r="C469" s="855"/>
      <c r="D469" s="37"/>
      <c r="E469" s="82"/>
      <c r="F469" s="83"/>
      <c r="G469" s="111"/>
    </row>
    <row r="470" spans="1:7" ht="13.5" thickBot="1">
      <c r="A470" s="95"/>
      <c r="B470" s="980" t="s">
        <v>841</v>
      </c>
      <c r="C470" s="981"/>
      <c r="D470" s="77"/>
      <c r="E470" s="82"/>
      <c r="F470" s="86"/>
      <c r="G470" s="112"/>
    </row>
    <row r="471" spans="1:7" ht="14.25" thickTop="1" thickBot="1">
      <c r="A471" s="95"/>
      <c r="B471" s="946"/>
      <c r="C471" s="946"/>
      <c r="D471" s="946"/>
      <c r="E471" s="947"/>
      <c r="F471" s="120" t="s">
        <v>856</v>
      </c>
      <c r="G471" s="118">
        <f>SUM(G466:G470)</f>
        <v>8083</v>
      </c>
    </row>
    <row r="472" spans="1:7" ht="14.25" thickTop="1" thickBot="1">
      <c r="A472" s="95"/>
      <c r="B472" s="970"/>
      <c r="C472" s="970"/>
      <c r="D472" s="970"/>
      <c r="E472" s="970"/>
      <c r="F472" s="970"/>
      <c r="G472" s="970"/>
    </row>
    <row r="473" spans="1:7" ht="13.5" thickTop="1">
      <c r="A473" s="95"/>
      <c r="B473" s="950" t="s">
        <v>321</v>
      </c>
      <c r="C473" s="951"/>
      <c r="D473" s="951"/>
      <c r="E473" s="951"/>
      <c r="F473" s="951"/>
      <c r="G473" s="952"/>
    </row>
    <row r="474" spans="1:7">
      <c r="A474" s="95"/>
      <c r="B474" s="978" t="s">
        <v>838</v>
      </c>
      <c r="C474" s="979"/>
      <c r="D474" s="98" t="s">
        <v>301</v>
      </c>
      <c r="E474" s="98" t="s">
        <v>297</v>
      </c>
      <c r="F474" s="99" t="s">
        <v>839</v>
      </c>
      <c r="G474" s="107" t="s">
        <v>840</v>
      </c>
    </row>
    <row r="475" spans="1:7">
      <c r="A475" s="95"/>
      <c r="B475" s="230"/>
      <c r="C475" s="102"/>
      <c r="D475" s="103" t="s">
        <v>322</v>
      </c>
      <c r="E475" s="103" t="s">
        <v>323</v>
      </c>
      <c r="F475" s="104" t="s">
        <v>324</v>
      </c>
      <c r="G475" s="109" t="s">
        <v>325</v>
      </c>
    </row>
    <row r="476" spans="1:7">
      <c r="A476" s="95"/>
      <c r="B476" s="841"/>
      <c r="C476" s="842"/>
      <c r="D476" s="96"/>
      <c r="E476" s="96"/>
      <c r="F476" s="96"/>
      <c r="G476" s="116"/>
    </row>
    <row r="477" spans="1:7" ht="13.5" thickBot="1">
      <c r="A477" s="95"/>
      <c r="B477" s="980" t="s">
        <v>841</v>
      </c>
      <c r="C477" s="981"/>
      <c r="D477" s="77"/>
      <c r="E477" s="82"/>
      <c r="F477" s="86"/>
      <c r="G477" s="112"/>
    </row>
    <row r="478" spans="1:7" ht="14.25" thickTop="1" thickBot="1">
      <c r="A478" s="95"/>
      <c r="B478" s="946"/>
      <c r="C478" s="946"/>
      <c r="D478" s="946"/>
      <c r="E478" s="947"/>
      <c r="F478" s="120" t="s">
        <v>856</v>
      </c>
      <c r="G478" s="118">
        <f>SUM(G473:G477)</f>
        <v>0</v>
      </c>
    </row>
    <row r="479" spans="1:7" ht="14.25" thickTop="1" thickBot="1">
      <c r="A479" s="95"/>
      <c r="B479" s="970"/>
      <c r="C479" s="970"/>
      <c r="D479" s="970"/>
      <c r="E479" s="970"/>
      <c r="F479" s="970"/>
      <c r="G479" s="943"/>
    </row>
    <row r="480" spans="1:7" ht="13.5" thickTop="1">
      <c r="A480" s="95"/>
      <c r="B480" s="950" t="s">
        <v>326</v>
      </c>
      <c r="C480" s="951"/>
      <c r="D480" s="951"/>
      <c r="E480" s="951"/>
      <c r="F480" s="971"/>
      <c r="G480" s="121">
        <f>+G444+G460+G471</f>
        <v>17409</v>
      </c>
    </row>
    <row r="481" spans="1:8">
      <c r="A481" s="95"/>
      <c r="B481" s="972" t="s">
        <v>861</v>
      </c>
      <c r="C481" s="973"/>
      <c r="D481" s="973"/>
      <c r="E481" s="974"/>
      <c r="F481" s="128">
        <f>'MANO DE OBRA'!$D$59</f>
        <v>0</v>
      </c>
      <c r="G481" s="122">
        <f>ROUND(G480*F481,0)</f>
        <v>0</v>
      </c>
    </row>
    <row r="482" spans="1:8" ht="13.5" thickBot="1">
      <c r="A482" s="95"/>
      <c r="B482" s="975" t="s">
        <v>1049</v>
      </c>
      <c r="C482" s="976"/>
      <c r="D482" s="976"/>
      <c r="E482" s="976"/>
      <c r="F482" s="977"/>
      <c r="G482" s="118">
        <f>ROUND(G480+G481,-2)</f>
        <v>17400</v>
      </c>
      <c r="H482" s="505" t="s">
        <v>1670</v>
      </c>
    </row>
    <row r="483" spans="1:8" ht="13.5" thickTop="1">
      <c r="A483" s="95"/>
      <c r="B483" s="225" t="s">
        <v>303</v>
      </c>
      <c r="C483" s="843"/>
      <c r="D483" s="843"/>
      <c r="E483" s="843"/>
      <c r="F483" s="92" t="s">
        <v>781</v>
      </c>
      <c r="G483" s="93" t="s">
        <v>865</v>
      </c>
    </row>
    <row r="484" spans="1:8">
      <c r="A484" s="95"/>
      <c r="B484" s="226" t="s">
        <v>834</v>
      </c>
      <c r="C484" s="844" t="s">
        <v>1352</v>
      </c>
      <c r="D484" s="844"/>
      <c r="E484" s="844"/>
      <c r="F484" s="15" t="s">
        <v>833</v>
      </c>
      <c r="G484" s="165" t="str">
        <f>'MANO DE OBRA'!D61</f>
        <v>Agosto de 2010</v>
      </c>
    </row>
    <row r="485" spans="1:8" ht="27.75" customHeight="1" thickBot="1">
      <c r="A485" s="236"/>
      <c r="B485" s="240" t="s">
        <v>835</v>
      </c>
      <c r="C485" s="995" t="s">
        <v>1354</v>
      </c>
      <c r="D485" s="995"/>
      <c r="E485" s="995"/>
      <c r="F485" s="995"/>
      <c r="G485" s="996"/>
    </row>
    <row r="486" spans="1:8" ht="14.25" thickTop="1" thickBot="1">
      <c r="A486" s="95"/>
      <c r="B486" s="986"/>
      <c r="C486" s="986"/>
      <c r="D486" s="986"/>
      <c r="E486" s="986"/>
      <c r="F486" s="986"/>
      <c r="G486" s="986"/>
    </row>
    <row r="487" spans="1:8" ht="13.5" thickTop="1">
      <c r="A487" s="95"/>
      <c r="B487" s="950" t="s">
        <v>304</v>
      </c>
      <c r="C487" s="951"/>
      <c r="D487" s="951"/>
      <c r="E487" s="951"/>
      <c r="F487" s="951"/>
      <c r="G487" s="952"/>
    </row>
    <row r="488" spans="1:8">
      <c r="A488" s="95"/>
      <c r="B488" s="229"/>
      <c r="C488" s="97"/>
      <c r="D488" s="98" t="s">
        <v>301</v>
      </c>
      <c r="E488" s="98" t="s">
        <v>1072</v>
      </c>
      <c r="F488" s="99" t="s">
        <v>839</v>
      </c>
      <c r="G488" s="107" t="s">
        <v>840</v>
      </c>
    </row>
    <row r="489" spans="1:8">
      <c r="A489" s="95"/>
      <c r="B489" s="982" t="s">
        <v>838</v>
      </c>
      <c r="C489" s="983"/>
      <c r="D489" s="100" t="s">
        <v>308</v>
      </c>
      <c r="E489" s="100" t="s">
        <v>305</v>
      </c>
      <c r="F489" s="101" t="s">
        <v>306</v>
      </c>
      <c r="G489" s="108" t="s">
        <v>310</v>
      </c>
    </row>
    <row r="490" spans="1:8">
      <c r="A490" s="95"/>
      <c r="B490" s="230"/>
      <c r="C490" s="102"/>
      <c r="D490" s="103"/>
      <c r="E490" s="103" t="s">
        <v>309</v>
      </c>
      <c r="F490" s="104" t="s">
        <v>307</v>
      </c>
      <c r="G490" s="109"/>
    </row>
    <row r="491" spans="1:8">
      <c r="A491" s="127"/>
      <c r="B491" s="841" t="str">
        <f>'MAQUINARIA Y EQUIPOS'!$C$28</f>
        <v>HERRAMIENTAS MENORES</v>
      </c>
      <c r="C491" s="842"/>
      <c r="D491" s="87">
        <v>1</v>
      </c>
      <c r="E491" s="82">
        <f>ROUND(G523*0.05,0)</f>
        <v>6207</v>
      </c>
      <c r="F491" s="81">
        <v>1</v>
      </c>
      <c r="G491" s="110">
        <f>ROUND(D491*E491/F491,0)</f>
        <v>6207</v>
      </c>
    </row>
    <row r="492" spans="1:8">
      <c r="A492" s="95"/>
      <c r="B492" s="854"/>
      <c r="C492" s="855"/>
      <c r="D492" s="37"/>
      <c r="E492" s="129"/>
      <c r="F492" s="83"/>
      <c r="G492" s="111"/>
    </row>
    <row r="493" spans="1:8">
      <c r="A493" s="95"/>
      <c r="B493" s="854"/>
      <c r="C493" s="855"/>
      <c r="D493" s="37"/>
      <c r="E493" s="129"/>
      <c r="F493" s="83"/>
      <c r="G493" s="111"/>
    </row>
    <row r="494" spans="1:8">
      <c r="A494" s="95"/>
      <c r="B494" s="854" t="s">
        <v>841</v>
      </c>
      <c r="C494" s="855"/>
      <c r="D494" s="37"/>
      <c r="E494" s="82"/>
      <c r="F494" s="83"/>
      <c r="G494" s="111"/>
    </row>
    <row r="495" spans="1:8" ht="13.5" thickBot="1">
      <c r="A495" s="95"/>
      <c r="B495" s="942" t="s">
        <v>841</v>
      </c>
      <c r="C495" s="943"/>
      <c r="D495" s="77"/>
      <c r="E495" s="106"/>
      <c r="F495" s="86"/>
      <c r="G495" s="112"/>
    </row>
    <row r="496" spans="1:8" ht="14.25" thickTop="1" thickBot="1">
      <c r="A496" s="95"/>
      <c r="B496" s="946"/>
      <c r="C496" s="946"/>
      <c r="D496" s="946"/>
      <c r="E496" s="947"/>
      <c r="F496" s="119" t="s">
        <v>856</v>
      </c>
      <c r="G496" s="118">
        <f>SUM(G491:G495)</f>
        <v>6207</v>
      </c>
    </row>
    <row r="497" spans="1:8" ht="14.25" thickTop="1" thickBot="1">
      <c r="A497" s="95"/>
      <c r="B497" s="970"/>
      <c r="C497" s="970"/>
      <c r="D497" s="970"/>
      <c r="E497" s="970"/>
      <c r="F497" s="970"/>
      <c r="G497" s="970"/>
    </row>
    <row r="498" spans="1:8" ht="13.5" thickTop="1">
      <c r="A498" s="95"/>
      <c r="B498" s="950" t="s">
        <v>311</v>
      </c>
      <c r="C498" s="951"/>
      <c r="D498" s="951"/>
      <c r="E498" s="951"/>
      <c r="F498" s="951"/>
      <c r="G498" s="952"/>
    </row>
    <row r="499" spans="1:8">
      <c r="A499" s="95"/>
      <c r="B499" s="978" t="s">
        <v>838</v>
      </c>
      <c r="C499" s="979"/>
      <c r="D499" s="98" t="s">
        <v>842</v>
      </c>
      <c r="E499" s="98" t="s">
        <v>853</v>
      </c>
      <c r="F499" s="99" t="s">
        <v>1047</v>
      </c>
      <c r="G499" s="107" t="s">
        <v>840</v>
      </c>
    </row>
    <row r="500" spans="1:8">
      <c r="A500" s="95"/>
      <c r="B500" s="230"/>
      <c r="C500" s="102"/>
      <c r="D500" s="100"/>
      <c r="E500" s="100" t="s">
        <v>312</v>
      </c>
      <c r="F500" s="101" t="s">
        <v>313</v>
      </c>
      <c r="G500" s="108" t="s">
        <v>314</v>
      </c>
    </row>
    <row r="501" spans="1:8">
      <c r="A501" s="123"/>
      <c r="B501" s="841" t="str">
        <f>MATERIALES2!$C$446</f>
        <v>ALAMBRE DE COBRE AISLADO #10</v>
      </c>
      <c r="C501" s="842"/>
      <c r="D501" s="87" t="s">
        <v>831</v>
      </c>
      <c r="E501" s="81">
        <v>16</v>
      </c>
      <c r="F501" s="80">
        <f>MATERIALES2!$E$446</f>
        <v>1191</v>
      </c>
      <c r="G501" s="110">
        <f t="shared" ref="G501:G508" si="6">ROUND(E501*F501,0)</f>
        <v>19056</v>
      </c>
    </row>
    <row r="502" spans="1:8">
      <c r="A502" s="123"/>
      <c r="B502" s="854" t="str">
        <f>MATERIALES2!$C$466</f>
        <v>CABLE CU THW # 8</v>
      </c>
      <c r="C502" s="855"/>
      <c r="D502" s="37" t="s">
        <v>831</v>
      </c>
      <c r="E502" s="83">
        <v>32</v>
      </c>
      <c r="F502" s="82">
        <f>MATERIALES2!$E$466</f>
        <v>1200</v>
      </c>
      <c r="G502" s="111">
        <f t="shared" si="6"/>
        <v>38400</v>
      </c>
    </row>
    <row r="503" spans="1:8">
      <c r="A503" s="123"/>
      <c r="B503" s="854" t="str">
        <f>MATERIALES2!$C$487</f>
        <v>CONECTOR BIMETALICO</v>
      </c>
      <c r="C503" s="855"/>
      <c r="D503" s="37" t="s">
        <v>865</v>
      </c>
      <c r="E503" s="83">
        <v>3</v>
      </c>
      <c r="F503" s="82">
        <f>MATERIALES2!$E$487</f>
        <v>2362</v>
      </c>
      <c r="G503" s="111">
        <f t="shared" si="6"/>
        <v>7086</v>
      </c>
    </row>
    <row r="504" spans="1:8">
      <c r="A504" s="123"/>
      <c r="B504" s="854" t="str">
        <f>MATERIALES2!$C$549</f>
        <v>TUBO PVC CONDUIT 1" x 3.0 M</v>
      </c>
      <c r="C504" s="855"/>
      <c r="D504" s="37" t="s">
        <v>865</v>
      </c>
      <c r="E504" s="83">
        <v>2</v>
      </c>
      <c r="F504" s="82">
        <f>MATERIALES2!$E$549</f>
        <v>9315</v>
      </c>
      <c r="G504" s="111">
        <f t="shared" si="6"/>
        <v>18630</v>
      </c>
    </row>
    <row r="505" spans="1:8">
      <c r="A505" s="123"/>
      <c r="B505" s="854" t="str">
        <f>MATERIALES2!$C$553</f>
        <v>TUBO PVC CONDUIT 3/4" x 3.0 M</v>
      </c>
      <c r="C505" s="855"/>
      <c r="D505" s="37" t="s">
        <v>865</v>
      </c>
      <c r="E505" s="83">
        <v>2</v>
      </c>
      <c r="F505" s="82">
        <f>MATERIALES2!$E$553</f>
        <v>6722</v>
      </c>
      <c r="G505" s="111">
        <f t="shared" si="6"/>
        <v>13444</v>
      </c>
    </row>
    <row r="506" spans="1:8">
      <c r="A506" s="123"/>
      <c r="B506" s="854" t="str">
        <f>MATERIALES2!$C$485</f>
        <v>CINTA AISLANTE 3M</v>
      </c>
      <c r="C506" s="855"/>
      <c r="D506" s="37" t="s">
        <v>865</v>
      </c>
      <c r="E506" s="83">
        <v>0.2</v>
      </c>
      <c r="F506" s="82">
        <f>MATERIALES2!$E$485</f>
        <v>5500</v>
      </c>
      <c r="G506" s="111">
        <f t="shared" si="6"/>
        <v>1100</v>
      </c>
    </row>
    <row r="507" spans="1:8">
      <c r="A507" s="123"/>
      <c r="B507" s="854" t="str">
        <f>MATERIALES2!$C$444</f>
        <v>ADAPTADOR TERMINAL 3/4"</v>
      </c>
      <c r="C507" s="855"/>
      <c r="D507" s="37" t="s">
        <v>865</v>
      </c>
      <c r="E507" s="83">
        <v>4</v>
      </c>
      <c r="F507" s="82">
        <f>MATERIALES2!$E$444</f>
        <v>283</v>
      </c>
      <c r="G507" s="111">
        <f t="shared" si="6"/>
        <v>1132</v>
      </c>
    </row>
    <row r="508" spans="1:8">
      <c r="A508" s="123"/>
      <c r="B508" s="854" t="str">
        <f>MATERIALES2!$C$440</f>
        <v>ADAPTADOR TERMINAL 1"</v>
      </c>
      <c r="C508" s="855"/>
      <c r="D508" s="37" t="s">
        <v>865</v>
      </c>
      <c r="E508" s="83">
        <v>3</v>
      </c>
      <c r="F508" s="82">
        <f>MATERIALES2!$E$440</f>
        <v>641</v>
      </c>
      <c r="G508" s="111">
        <f t="shared" si="6"/>
        <v>1923</v>
      </c>
      <c r="H508" s="505" t="s">
        <v>1670</v>
      </c>
    </row>
    <row r="509" spans="1:8" ht="13.5" thickBot="1">
      <c r="B509" s="999"/>
      <c r="C509" s="1000"/>
      <c r="D509" s="53"/>
      <c r="E509" s="53"/>
      <c r="F509" s="53"/>
      <c r="G509" s="247"/>
    </row>
    <row r="510" spans="1:8" ht="13.5" thickTop="1">
      <c r="A510" s="95"/>
      <c r="B510" s="946"/>
      <c r="C510" s="947"/>
      <c r="D510" s="801" t="s">
        <v>856</v>
      </c>
      <c r="E510" s="802"/>
      <c r="F510" s="9"/>
      <c r="G510" s="113">
        <f>SUM(G501:G508)</f>
        <v>100771</v>
      </c>
    </row>
    <row r="511" spans="1:8">
      <c r="A511" s="95"/>
      <c r="B511" s="948"/>
      <c r="C511" s="949"/>
      <c r="D511" s="801" t="s">
        <v>857</v>
      </c>
      <c r="E511" s="802"/>
      <c r="F511" s="79">
        <f>'MANO DE OBRA'!$D$60</f>
        <v>0.05</v>
      </c>
      <c r="G511" s="113">
        <f>ROUND(G510*F511,0)</f>
        <v>5039</v>
      </c>
    </row>
    <row r="512" spans="1:8" ht="13.5" thickBot="1">
      <c r="A512" s="95"/>
      <c r="B512" s="948"/>
      <c r="C512" s="949"/>
      <c r="D512" s="803" t="s">
        <v>320</v>
      </c>
      <c r="E512" s="804"/>
      <c r="F512" s="114"/>
      <c r="G512" s="118">
        <f>+G510+G511</f>
        <v>105810</v>
      </c>
    </row>
    <row r="513" spans="1:7" ht="14.25" thickTop="1" thickBot="1">
      <c r="A513" s="95"/>
      <c r="B513" s="970"/>
      <c r="C513" s="970"/>
      <c r="D513" s="970"/>
      <c r="E513" s="970"/>
      <c r="F513" s="970"/>
      <c r="G513" s="970"/>
    </row>
    <row r="514" spans="1:7" ht="13.5" thickTop="1">
      <c r="A514" s="95"/>
      <c r="B514" s="950" t="s">
        <v>858</v>
      </c>
      <c r="C514" s="951"/>
      <c r="D514" s="951"/>
      <c r="E514" s="951"/>
      <c r="F514" s="951"/>
      <c r="G514" s="952"/>
    </row>
    <row r="515" spans="1:7">
      <c r="A515" s="95"/>
      <c r="B515" s="978"/>
      <c r="C515" s="979"/>
      <c r="D515" s="98" t="s">
        <v>301</v>
      </c>
      <c r="E515" s="98" t="s">
        <v>859</v>
      </c>
      <c r="F515" s="99" t="s">
        <v>839</v>
      </c>
      <c r="G515" s="107" t="s">
        <v>840</v>
      </c>
    </row>
    <row r="516" spans="1:7">
      <c r="A516" s="95"/>
      <c r="B516" s="982" t="s">
        <v>838</v>
      </c>
      <c r="C516" s="983"/>
      <c r="D516" s="100" t="s">
        <v>316</v>
      </c>
      <c r="E516" s="100" t="s">
        <v>315</v>
      </c>
      <c r="F516" s="101" t="s">
        <v>306</v>
      </c>
      <c r="G516" s="108" t="s">
        <v>319</v>
      </c>
    </row>
    <row r="517" spans="1:7">
      <c r="A517" s="95"/>
      <c r="B517" s="230"/>
      <c r="C517" s="102"/>
      <c r="D517" s="103"/>
      <c r="E517" s="103" t="s">
        <v>317</v>
      </c>
      <c r="F517" s="104" t="s">
        <v>318</v>
      </c>
      <c r="G517" s="109"/>
    </row>
    <row r="518" spans="1:7">
      <c r="A518" s="95"/>
      <c r="B518" s="841" t="str">
        <f>'MANO DE OBRA'!$B$11</f>
        <v>AYUDANTE CUAD. TIPO BB</v>
      </c>
      <c r="C518" s="842"/>
      <c r="D518" s="87">
        <v>1</v>
      </c>
      <c r="E518" s="80">
        <f>'MANO DE OBRA'!$E$11</f>
        <v>43077</v>
      </c>
      <c r="F518" s="81">
        <v>0.98</v>
      </c>
      <c r="G518" s="110">
        <f>ROUND(D518*E518/F518,0)</f>
        <v>43956</v>
      </c>
    </row>
    <row r="519" spans="1:7">
      <c r="A519" s="95"/>
      <c r="B519" s="854" t="str">
        <f>'MANO DE OBRA'!$B$16</f>
        <v>OFICIAL CUAD. TIPO BB</v>
      </c>
      <c r="C519" s="855"/>
      <c r="D519" s="37">
        <v>1</v>
      </c>
      <c r="E519" s="82">
        <f>'MANO DE OBRA'!$E$16</f>
        <v>78577</v>
      </c>
      <c r="F519" s="83">
        <v>0.98</v>
      </c>
      <c r="G519" s="111">
        <f>ROUND(D519*E519/F519,0)</f>
        <v>80181</v>
      </c>
    </row>
    <row r="520" spans="1:7">
      <c r="A520" s="95"/>
      <c r="B520" s="854"/>
      <c r="C520" s="855"/>
      <c r="D520" s="89"/>
      <c r="E520" s="82"/>
      <c r="F520" s="83"/>
      <c r="G520" s="111"/>
    </row>
    <row r="521" spans="1:7">
      <c r="A521" s="95"/>
      <c r="B521" s="854" t="s">
        <v>841</v>
      </c>
      <c r="C521" s="855"/>
      <c r="D521" s="37"/>
      <c r="E521" s="82"/>
      <c r="F521" s="83"/>
      <c r="G521" s="111"/>
    </row>
    <row r="522" spans="1:7" ht="13.5" thickBot="1">
      <c r="A522" s="95"/>
      <c r="B522" s="980" t="s">
        <v>841</v>
      </c>
      <c r="C522" s="981"/>
      <c r="D522" s="77"/>
      <c r="E522" s="82"/>
      <c r="F522" s="86"/>
      <c r="G522" s="112"/>
    </row>
    <row r="523" spans="1:7" ht="14.25" thickTop="1" thickBot="1">
      <c r="A523" s="95"/>
      <c r="B523" s="946"/>
      <c r="C523" s="946"/>
      <c r="D523" s="946"/>
      <c r="E523" s="947"/>
      <c r="F523" s="120" t="s">
        <v>856</v>
      </c>
      <c r="G523" s="118">
        <f>SUM(G518:G522)</f>
        <v>124137</v>
      </c>
    </row>
    <row r="524" spans="1:7" ht="14.25" thickTop="1" thickBot="1">
      <c r="A524" s="95"/>
      <c r="B524" s="970"/>
      <c r="C524" s="970"/>
      <c r="D524" s="970"/>
      <c r="E524" s="970"/>
      <c r="F524" s="970"/>
      <c r="G524" s="970"/>
    </row>
    <row r="525" spans="1:7" ht="13.5" thickTop="1">
      <c r="A525" s="95"/>
      <c r="B525" s="950" t="s">
        <v>321</v>
      </c>
      <c r="C525" s="951"/>
      <c r="D525" s="951"/>
      <c r="E525" s="951"/>
      <c r="F525" s="951"/>
      <c r="G525" s="952"/>
    </row>
    <row r="526" spans="1:7">
      <c r="A526" s="95"/>
      <c r="B526" s="978" t="s">
        <v>838</v>
      </c>
      <c r="C526" s="979"/>
      <c r="D526" s="98" t="s">
        <v>301</v>
      </c>
      <c r="E526" s="98" t="s">
        <v>297</v>
      </c>
      <c r="F526" s="99" t="s">
        <v>839</v>
      </c>
      <c r="G526" s="107" t="s">
        <v>840</v>
      </c>
    </row>
    <row r="527" spans="1:7">
      <c r="A527" s="95"/>
      <c r="B527" s="230"/>
      <c r="C527" s="102"/>
      <c r="D527" s="103" t="s">
        <v>322</v>
      </c>
      <c r="E527" s="103" t="s">
        <v>323</v>
      </c>
      <c r="F527" s="104" t="s">
        <v>324</v>
      </c>
      <c r="G527" s="109" t="s">
        <v>325</v>
      </c>
    </row>
    <row r="528" spans="1:7">
      <c r="A528" s="95"/>
      <c r="B528" s="841"/>
      <c r="C528" s="842"/>
      <c r="D528" s="96"/>
      <c r="E528" s="96"/>
      <c r="F528" s="96"/>
      <c r="G528" s="116"/>
    </row>
    <row r="529" spans="1:8" ht="13.5" thickBot="1">
      <c r="A529" s="95"/>
      <c r="B529" s="980" t="s">
        <v>841</v>
      </c>
      <c r="C529" s="981"/>
      <c r="D529" s="77"/>
      <c r="E529" s="82"/>
      <c r="F529" s="86"/>
      <c r="G529" s="112"/>
    </row>
    <row r="530" spans="1:8" ht="14.25" thickTop="1" thickBot="1">
      <c r="A530" s="95"/>
      <c r="B530" s="946"/>
      <c r="C530" s="946"/>
      <c r="D530" s="946"/>
      <c r="E530" s="947"/>
      <c r="F530" s="120" t="s">
        <v>856</v>
      </c>
      <c r="G530" s="118">
        <f>SUM(G525:G529)</f>
        <v>0</v>
      </c>
    </row>
    <row r="531" spans="1:8" ht="14.25" thickTop="1" thickBot="1">
      <c r="A531" s="95"/>
      <c r="B531" s="970"/>
      <c r="C531" s="970"/>
      <c r="D531" s="970"/>
      <c r="E531" s="970"/>
      <c r="F531" s="970"/>
      <c r="G531" s="943"/>
    </row>
    <row r="532" spans="1:8" ht="13.5" thickTop="1">
      <c r="A532" s="95"/>
      <c r="B532" s="950" t="s">
        <v>326</v>
      </c>
      <c r="C532" s="951"/>
      <c r="D532" s="951"/>
      <c r="E532" s="951"/>
      <c r="F532" s="971"/>
      <c r="G532" s="121">
        <f>+G496+G512+G523</f>
        <v>236154</v>
      </c>
    </row>
    <row r="533" spans="1:8">
      <c r="A533" s="95"/>
      <c r="B533" s="972" t="s">
        <v>861</v>
      </c>
      <c r="C533" s="973"/>
      <c r="D533" s="973"/>
      <c r="E533" s="974"/>
      <c r="F533" s="128">
        <f>'MANO DE OBRA'!$D$59</f>
        <v>0</v>
      </c>
      <c r="G533" s="122">
        <f>ROUND(G532*F533,0)</f>
        <v>0</v>
      </c>
    </row>
    <row r="534" spans="1:8" ht="13.5" thickBot="1">
      <c r="A534" s="95"/>
      <c r="B534" s="975" t="s">
        <v>1049</v>
      </c>
      <c r="C534" s="976"/>
      <c r="D534" s="976"/>
      <c r="E534" s="976"/>
      <c r="F534" s="977"/>
      <c r="G534" s="118">
        <f>ROUND(G532+G533,-2)</f>
        <v>236200</v>
      </c>
      <c r="H534" s="505" t="s">
        <v>1670</v>
      </c>
    </row>
    <row r="535" spans="1:8" ht="13.5" thickTop="1">
      <c r="A535" s="95"/>
      <c r="B535" s="225" t="s">
        <v>303</v>
      </c>
      <c r="C535" s="843"/>
      <c r="D535" s="843"/>
      <c r="E535" s="843"/>
      <c r="F535" s="92" t="s">
        <v>781</v>
      </c>
      <c r="G535" s="93" t="s">
        <v>865</v>
      </c>
    </row>
    <row r="536" spans="1:8">
      <c r="A536" s="95"/>
      <c r="B536" s="226" t="s">
        <v>834</v>
      </c>
      <c r="C536" s="844" t="s">
        <v>1352</v>
      </c>
      <c r="D536" s="844"/>
      <c r="E536" s="844"/>
      <c r="F536" s="15" t="s">
        <v>833</v>
      </c>
      <c r="G536" s="165" t="str">
        <f>'MANO DE OBRA'!D61</f>
        <v>Agosto de 2010</v>
      </c>
    </row>
    <row r="537" spans="1:8" ht="27.75" customHeight="1" thickBot="1">
      <c r="A537" s="236"/>
      <c r="B537" s="240" t="s">
        <v>835</v>
      </c>
      <c r="C537" s="995" t="s">
        <v>1355</v>
      </c>
      <c r="D537" s="995"/>
      <c r="E537" s="995"/>
      <c r="F537" s="995"/>
      <c r="G537" s="996"/>
    </row>
    <row r="538" spans="1:8" ht="14.25" thickTop="1" thickBot="1">
      <c r="A538" s="95"/>
      <c r="B538" s="986"/>
      <c r="C538" s="986"/>
      <c r="D538" s="986"/>
      <c r="E538" s="986"/>
      <c r="F538" s="986"/>
      <c r="G538" s="986"/>
    </row>
    <row r="539" spans="1:8" ht="13.5" thickTop="1">
      <c r="A539" s="95"/>
      <c r="B539" s="950" t="s">
        <v>304</v>
      </c>
      <c r="C539" s="951"/>
      <c r="D539" s="951"/>
      <c r="E539" s="951"/>
      <c r="F539" s="951"/>
      <c r="G539" s="952"/>
    </row>
    <row r="540" spans="1:8">
      <c r="A540" s="95"/>
      <c r="B540" s="229"/>
      <c r="C540" s="97"/>
      <c r="D540" s="98" t="s">
        <v>301</v>
      </c>
      <c r="E540" s="98" t="s">
        <v>1072</v>
      </c>
      <c r="F540" s="99" t="s">
        <v>839</v>
      </c>
      <c r="G540" s="107" t="s">
        <v>840</v>
      </c>
    </row>
    <row r="541" spans="1:8">
      <c r="A541" s="95"/>
      <c r="B541" s="982" t="s">
        <v>838</v>
      </c>
      <c r="C541" s="983"/>
      <c r="D541" s="100" t="s">
        <v>308</v>
      </c>
      <c r="E541" s="100" t="s">
        <v>305</v>
      </c>
      <c r="F541" s="101" t="s">
        <v>306</v>
      </c>
      <c r="G541" s="108" t="s">
        <v>310</v>
      </c>
    </row>
    <row r="542" spans="1:8">
      <c r="A542" s="95"/>
      <c r="B542" s="230"/>
      <c r="C542" s="102"/>
      <c r="D542" s="103"/>
      <c r="E542" s="103" t="s">
        <v>309</v>
      </c>
      <c r="F542" s="104" t="s">
        <v>307</v>
      </c>
      <c r="G542" s="109"/>
    </row>
    <row r="543" spans="1:8">
      <c r="A543" s="127"/>
      <c r="B543" s="841" t="str">
        <f>'MAQUINARIA Y EQUIPOS'!$C$28</f>
        <v>HERRAMIENTAS MENORES</v>
      </c>
      <c r="C543" s="842"/>
      <c r="D543" s="87">
        <v>1</v>
      </c>
      <c r="E543" s="82">
        <f>ROUND(G575*0.05,0)</f>
        <v>4345</v>
      </c>
      <c r="F543" s="81">
        <v>1</v>
      </c>
      <c r="G543" s="110">
        <f>ROUND(D543*E543/F543,0)</f>
        <v>4345</v>
      </c>
    </row>
    <row r="544" spans="1:8">
      <c r="A544" s="95"/>
      <c r="B544" s="854"/>
      <c r="C544" s="855"/>
      <c r="D544" s="37"/>
      <c r="E544" s="129"/>
      <c r="F544" s="83"/>
      <c r="G544" s="111"/>
    </row>
    <row r="545" spans="1:8">
      <c r="A545" s="95"/>
      <c r="B545" s="854"/>
      <c r="C545" s="855"/>
      <c r="D545" s="89"/>
      <c r="E545" s="82"/>
      <c r="F545" s="83"/>
      <c r="G545" s="111"/>
    </row>
    <row r="546" spans="1:8">
      <c r="A546" s="95"/>
      <c r="B546" s="854" t="s">
        <v>841</v>
      </c>
      <c r="C546" s="855"/>
      <c r="D546" s="37"/>
      <c r="E546" s="82"/>
      <c r="F546" s="83"/>
      <c r="G546" s="111"/>
    </row>
    <row r="547" spans="1:8" ht="13.5" thickBot="1">
      <c r="A547" s="95"/>
      <c r="B547" s="942" t="s">
        <v>841</v>
      </c>
      <c r="C547" s="943"/>
      <c r="D547" s="77"/>
      <c r="E547" s="106"/>
      <c r="F547" s="86"/>
      <c r="G547" s="112"/>
    </row>
    <row r="548" spans="1:8" ht="14.25" thickTop="1" thickBot="1">
      <c r="A548" s="95"/>
      <c r="B548" s="946"/>
      <c r="C548" s="946"/>
      <c r="D548" s="946"/>
      <c r="E548" s="947"/>
      <c r="F548" s="119" t="s">
        <v>856</v>
      </c>
      <c r="G548" s="118">
        <f>SUM(G543:G547)</f>
        <v>4345</v>
      </c>
    </row>
    <row r="549" spans="1:8" ht="14.25" thickTop="1" thickBot="1">
      <c r="A549" s="95"/>
      <c r="B549" s="970"/>
      <c r="C549" s="970"/>
      <c r="D549" s="970"/>
      <c r="E549" s="970"/>
      <c r="F549" s="970"/>
      <c r="G549" s="970"/>
    </row>
    <row r="550" spans="1:8" ht="13.5" thickTop="1">
      <c r="A550" s="95"/>
      <c r="B550" s="950" t="s">
        <v>311</v>
      </c>
      <c r="C550" s="951"/>
      <c r="D550" s="951"/>
      <c r="E550" s="951"/>
      <c r="F550" s="951"/>
      <c r="G550" s="952"/>
    </row>
    <row r="551" spans="1:8">
      <c r="A551" s="95"/>
      <c r="B551" s="978" t="s">
        <v>838</v>
      </c>
      <c r="C551" s="979"/>
      <c r="D551" s="98" t="s">
        <v>842</v>
      </c>
      <c r="E551" s="98" t="s">
        <v>853</v>
      </c>
      <c r="F551" s="99" t="s">
        <v>1047</v>
      </c>
      <c r="G551" s="107" t="s">
        <v>840</v>
      </c>
    </row>
    <row r="552" spans="1:8">
      <c r="A552" s="95"/>
      <c r="B552" s="230"/>
      <c r="C552" s="102"/>
      <c r="D552" s="100"/>
      <c r="E552" s="100" t="s">
        <v>312</v>
      </c>
      <c r="F552" s="101" t="s">
        <v>313</v>
      </c>
      <c r="G552" s="108" t="s">
        <v>314</v>
      </c>
    </row>
    <row r="553" spans="1:8">
      <c r="A553" s="123"/>
      <c r="B553" s="841" t="str">
        <f>MATERIALES2!$C$489</f>
        <v>CONTADOR TRIFASICO 20/30 A.</v>
      </c>
      <c r="C553" s="842"/>
      <c r="D553" s="87" t="s">
        <v>865</v>
      </c>
      <c r="E553" s="81">
        <v>1</v>
      </c>
      <c r="F553" s="80">
        <f>MATERIALES2!$E$489</f>
        <v>340000</v>
      </c>
      <c r="G553" s="110">
        <f>ROUND(E553*F553,0)</f>
        <v>340000</v>
      </c>
    </row>
    <row r="554" spans="1:8">
      <c r="A554" s="123"/>
      <c r="B554" s="854" t="str">
        <f>MATERIALES2!$C$456</f>
        <v>BREAKER 3x75 A</v>
      </c>
      <c r="C554" s="855"/>
      <c r="D554" s="37" t="s">
        <v>865</v>
      </c>
      <c r="E554" s="83">
        <v>1</v>
      </c>
      <c r="F554" s="82">
        <f>MATERIALES2!$E$456</f>
        <v>48000</v>
      </c>
      <c r="G554" s="111">
        <f>ROUND(E554*F554,0)</f>
        <v>48000</v>
      </c>
    </row>
    <row r="555" spans="1:8">
      <c r="A555" s="123"/>
      <c r="B555" s="854" t="str">
        <f>MATERIALES2!$C$534</f>
        <v>CAJA PARA CONTADOR TRIFASICO</v>
      </c>
      <c r="C555" s="855"/>
      <c r="D555" s="37" t="s">
        <v>865</v>
      </c>
      <c r="E555" s="83">
        <v>1</v>
      </c>
      <c r="F555" s="82">
        <f>MATERIALES2!$E$534</f>
        <v>22000</v>
      </c>
      <c r="G555" s="111">
        <f>ROUND(E555*F555,0)</f>
        <v>22000</v>
      </c>
    </row>
    <row r="556" spans="1:8">
      <c r="A556" s="123"/>
      <c r="B556" s="854" t="str">
        <f>MATERIALES2!$C$514</f>
        <v>MATRICULA ELECTRIFICADORA</v>
      </c>
      <c r="C556" s="855"/>
      <c r="D556" s="37" t="s">
        <v>865</v>
      </c>
      <c r="E556" s="83">
        <v>1</v>
      </c>
      <c r="F556" s="82">
        <f>MATERIALES2!$E$514</f>
        <v>23861</v>
      </c>
      <c r="G556" s="111">
        <f>ROUND(E556*F556,0)</f>
        <v>23861</v>
      </c>
    </row>
    <row r="557" spans="1:8">
      <c r="A557" s="123"/>
      <c r="B557" s="854"/>
      <c r="C557" s="855"/>
      <c r="D557" s="37"/>
      <c r="E557" s="83"/>
      <c r="F557" s="82"/>
      <c r="G557" s="111"/>
    </row>
    <row r="558" spans="1:8">
      <c r="A558" s="123"/>
      <c r="B558" s="854"/>
      <c r="C558" s="855"/>
      <c r="D558" s="37"/>
      <c r="E558" s="83"/>
      <c r="F558" s="82"/>
      <c r="G558" s="111"/>
    </row>
    <row r="559" spans="1:8">
      <c r="A559" s="123"/>
      <c r="B559" s="854"/>
      <c r="C559" s="855"/>
      <c r="D559" s="37"/>
      <c r="E559" s="83"/>
      <c r="F559" s="82"/>
      <c r="G559" s="111"/>
    </row>
    <row r="560" spans="1:8">
      <c r="A560" s="123"/>
      <c r="B560" s="854"/>
      <c r="C560" s="855"/>
      <c r="D560" s="37"/>
      <c r="E560" s="83"/>
      <c r="F560" s="82"/>
      <c r="G560" s="111"/>
      <c r="H560" s="505" t="s">
        <v>1670</v>
      </c>
    </row>
    <row r="561" spans="1:7" ht="13.5" thickBot="1">
      <c r="A561" s="123"/>
      <c r="B561" s="980"/>
      <c r="C561" s="981"/>
      <c r="D561" s="37"/>
      <c r="E561" s="83"/>
      <c r="F561" s="82"/>
      <c r="G561" s="111"/>
    </row>
    <row r="562" spans="1:7" ht="13.5" thickTop="1">
      <c r="A562" s="95"/>
      <c r="B562" s="946"/>
      <c r="C562" s="947"/>
      <c r="D562" s="801" t="s">
        <v>856</v>
      </c>
      <c r="E562" s="802"/>
      <c r="F562" s="9"/>
      <c r="G562" s="113">
        <f>SUM(G553:G561)</f>
        <v>433861</v>
      </c>
    </row>
    <row r="563" spans="1:7">
      <c r="A563" s="95"/>
      <c r="B563" s="948"/>
      <c r="C563" s="949"/>
      <c r="D563" s="801" t="s">
        <v>857</v>
      </c>
      <c r="E563" s="802"/>
      <c r="F563" s="79">
        <f>'MANO DE OBRA'!$D$60</f>
        <v>0.05</v>
      </c>
      <c r="G563" s="113">
        <f>ROUND(G562*F563,0)</f>
        <v>21693</v>
      </c>
    </row>
    <row r="564" spans="1:7" ht="13.5" thickBot="1">
      <c r="A564" s="95"/>
      <c r="B564" s="948"/>
      <c r="C564" s="949"/>
      <c r="D564" s="803" t="s">
        <v>320</v>
      </c>
      <c r="E564" s="804"/>
      <c r="F564" s="114"/>
      <c r="G564" s="118">
        <f>+G562+G563</f>
        <v>455554</v>
      </c>
    </row>
    <row r="565" spans="1:7" ht="14.25" thickTop="1" thickBot="1">
      <c r="A565" s="95"/>
      <c r="B565" s="970"/>
      <c r="C565" s="970"/>
      <c r="D565" s="970"/>
      <c r="E565" s="970"/>
      <c r="F565" s="970"/>
      <c r="G565" s="970"/>
    </row>
    <row r="566" spans="1:7" ht="13.5" thickTop="1">
      <c r="A566" s="95"/>
      <c r="B566" s="950" t="s">
        <v>858</v>
      </c>
      <c r="C566" s="951"/>
      <c r="D566" s="951"/>
      <c r="E566" s="951"/>
      <c r="F566" s="951"/>
      <c r="G566" s="952"/>
    </row>
    <row r="567" spans="1:7">
      <c r="A567" s="95"/>
      <c r="B567" s="978"/>
      <c r="C567" s="979"/>
      <c r="D567" s="98" t="s">
        <v>301</v>
      </c>
      <c r="E567" s="98" t="s">
        <v>859</v>
      </c>
      <c r="F567" s="99" t="s">
        <v>839</v>
      </c>
      <c r="G567" s="107" t="s">
        <v>840</v>
      </c>
    </row>
    <row r="568" spans="1:7">
      <c r="A568" s="95"/>
      <c r="B568" s="982" t="s">
        <v>838</v>
      </c>
      <c r="C568" s="983"/>
      <c r="D568" s="100" t="s">
        <v>316</v>
      </c>
      <c r="E568" s="100" t="s">
        <v>315</v>
      </c>
      <c r="F568" s="101" t="s">
        <v>306</v>
      </c>
      <c r="G568" s="108" t="s">
        <v>319</v>
      </c>
    </row>
    <row r="569" spans="1:7">
      <c r="A569" s="95"/>
      <c r="B569" s="230"/>
      <c r="C569" s="102"/>
      <c r="D569" s="103"/>
      <c r="E569" s="103" t="s">
        <v>317</v>
      </c>
      <c r="F569" s="104" t="s">
        <v>318</v>
      </c>
      <c r="G569" s="109"/>
    </row>
    <row r="570" spans="1:7">
      <c r="A570" s="95"/>
      <c r="B570" s="841" t="str">
        <f>'MANO DE OBRA'!$B$11</f>
        <v>AYUDANTE CUAD. TIPO BB</v>
      </c>
      <c r="C570" s="842"/>
      <c r="D570" s="87">
        <v>1</v>
      </c>
      <c r="E570" s="80">
        <f>'MANO DE OBRA'!$E$11</f>
        <v>43077</v>
      </c>
      <c r="F570" s="81">
        <v>1.4</v>
      </c>
      <c r="G570" s="110">
        <f>ROUND(D570*E570/F570,0)</f>
        <v>30769</v>
      </c>
    </row>
    <row r="571" spans="1:7">
      <c r="A571" s="95"/>
      <c r="B571" s="854" t="str">
        <f>'MANO DE OBRA'!$B$16</f>
        <v>OFICIAL CUAD. TIPO BB</v>
      </c>
      <c r="C571" s="855"/>
      <c r="D571" s="37">
        <v>1</v>
      </c>
      <c r="E571" s="82">
        <f>'MANO DE OBRA'!$E$16</f>
        <v>78577</v>
      </c>
      <c r="F571" s="83">
        <v>1.4</v>
      </c>
      <c r="G571" s="111">
        <f>ROUND(D571*E571/F571,0)</f>
        <v>56126</v>
      </c>
    </row>
    <row r="572" spans="1:7">
      <c r="A572" s="95"/>
      <c r="B572" s="854"/>
      <c r="C572" s="855"/>
      <c r="D572" s="89"/>
      <c r="E572" s="82"/>
      <c r="F572" s="83"/>
      <c r="G572" s="111"/>
    </row>
    <row r="573" spans="1:7">
      <c r="A573" s="95"/>
      <c r="B573" s="854" t="s">
        <v>841</v>
      </c>
      <c r="C573" s="855"/>
      <c r="D573" s="37"/>
      <c r="E573" s="82"/>
      <c r="F573" s="83"/>
      <c r="G573" s="111"/>
    </row>
    <row r="574" spans="1:7" ht="13.5" thickBot="1">
      <c r="A574" s="95"/>
      <c r="B574" s="980" t="s">
        <v>841</v>
      </c>
      <c r="C574" s="981"/>
      <c r="D574" s="77"/>
      <c r="E574" s="82"/>
      <c r="F574" s="86"/>
      <c r="G574" s="112"/>
    </row>
    <row r="575" spans="1:7" ht="14.25" thickTop="1" thickBot="1">
      <c r="A575" s="95"/>
      <c r="B575" s="946"/>
      <c r="C575" s="946"/>
      <c r="D575" s="946"/>
      <c r="E575" s="947"/>
      <c r="F575" s="120" t="s">
        <v>856</v>
      </c>
      <c r="G575" s="118">
        <f>SUM(G570:G574)</f>
        <v>86895</v>
      </c>
    </row>
    <row r="576" spans="1:7" ht="14.25" thickTop="1" thickBot="1">
      <c r="A576" s="95"/>
      <c r="B576" s="970"/>
      <c r="C576" s="970"/>
      <c r="D576" s="970"/>
      <c r="E576" s="970"/>
      <c r="F576" s="970"/>
      <c r="G576" s="970"/>
    </row>
    <row r="577" spans="1:8" ht="13.5" thickTop="1">
      <c r="A577" s="95"/>
      <c r="B577" s="950" t="s">
        <v>321</v>
      </c>
      <c r="C577" s="951"/>
      <c r="D577" s="951"/>
      <c r="E577" s="951"/>
      <c r="F577" s="951"/>
      <c r="G577" s="952"/>
    </row>
    <row r="578" spans="1:8">
      <c r="A578" s="95"/>
      <c r="B578" s="978" t="s">
        <v>838</v>
      </c>
      <c r="C578" s="979"/>
      <c r="D578" s="98" t="s">
        <v>301</v>
      </c>
      <c r="E578" s="98" t="s">
        <v>297</v>
      </c>
      <c r="F578" s="99" t="s">
        <v>839</v>
      </c>
      <c r="G578" s="107" t="s">
        <v>840</v>
      </c>
    </row>
    <row r="579" spans="1:8">
      <c r="A579" s="95"/>
      <c r="B579" s="230"/>
      <c r="C579" s="102"/>
      <c r="D579" s="103" t="s">
        <v>322</v>
      </c>
      <c r="E579" s="103" t="s">
        <v>323</v>
      </c>
      <c r="F579" s="104" t="s">
        <v>324</v>
      </c>
      <c r="G579" s="109" t="s">
        <v>325</v>
      </c>
    </row>
    <row r="580" spans="1:8">
      <c r="A580" s="95"/>
      <c r="B580" s="841"/>
      <c r="C580" s="842"/>
      <c r="D580" s="96"/>
      <c r="E580" s="96"/>
      <c r="F580" s="96"/>
      <c r="G580" s="116"/>
    </row>
    <row r="581" spans="1:8" ht="13.5" thickBot="1">
      <c r="A581" s="95"/>
      <c r="B581" s="980" t="s">
        <v>841</v>
      </c>
      <c r="C581" s="981"/>
      <c r="D581" s="77"/>
      <c r="E581" s="82"/>
      <c r="F581" s="86"/>
      <c r="G581" s="112"/>
    </row>
    <row r="582" spans="1:8" ht="14.25" thickTop="1" thickBot="1">
      <c r="A582" s="95"/>
      <c r="B582" s="946"/>
      <c r="C582" s="946"/>
      <c r="D582" s="946"/>
      <c r="E582" s="947"/>
      <c r="F582" s="120" t="s">
        <v>856</v>
      </c>
      <c r="G582" s="118">
        <f>SUM(G577:G581)</f>
        <v>0</v>
      </c>
    </row>
    <row r="583" spans="1:8" ht="14.25" thickTop="1" thickBot="1">
      <c r="A583" s="95"/>
      <c r="B583" s="970"/>
      <c r="C583" s="970"/>
      <c r="D583" s="970"/>
      <c r="E583" s="970"/>
      <c r="F583" s="970"/>
      <c r="G583" s="943"/>
    </row>
    <row r="584" spans="1:8" ht="13.5" thickTop="1">
      <c r="A584" s="95"/>
      <c r="B584" s="950" t="s">
        <v>326</v>
      </c>
      <c r="C584" s="951"/>
      <c r="D584" s="951"/>
      <c r="E584" s="951"/>
      <c r="F584" s="971"/>
      <c r="G584" s="121">
        <f>+G548+G564+G575</f>
        <v>546794</v>
      </c>
    </row>
    <row r="585" spans="1:8">
      <c r="A585" s="95"/>
      <c r="B585" s="972" t="s">
        <v>861</v>
      </c>
      <c r="C585" s="973"/>
      <c r="D585" s="973"/>
      <c r="E585" s="974"/>
      <c r="F585" s="128">
        <f>'MANO DE OBRA'!$D$59</f>
        <v>0</v>
      </c>
      <c r="G585" s="122">
        <f>ROUND(G584*F585,0)</f>
        <v>0</v>
      </c>
    </row>
    <row r="586" spans="1:8" ht="13.5" thickBot="1">
      <c r="A586" s="95"/>
      <c r="B586" s="975" t="s">
        <v>1049</v>
      </c>
      <c r="C586" s="976"/>
      <c r="D586" s="976"/>
      <c r="E586" s="976"/>
      <c r="F586" s="977"/>
      <c r="G586" s="118">
        <f>ROUND(G584+G585,-2)</f>
        <v>546800</v>
      </c>
      <c r="H586" s="505" t="s">
        <v>1670</v>
      </c>
    </row>
    <row r="587" spans="1:8" ht="13.5" thickTop="1">
      <c r="A587" s="95"/>
      <c r="B587" s="225" t="s">
        <v>303</v>
      </c>
      <c r="C587" s="843"/>
      <c r="D587" s="843"/>
      <c r="E587" s="843"/>
      <c r="F587" s="92" t="s">
        <v>781</v>
      </c>
      <c r="G587" s="93" t="s">
        <v>865</v>
      </c>
    </row>
    <row r="588" spans="1:8">
      <c r="A588" s="95"/>
      <c r="B588" s="226" t="s">
        <v>834</v>
      </c>
      <c r="C588" s="844" t="s">
        <v>1352</v>
      </c>
      <c r="D588" s="844"/>
      <c r="E588" s="844"/>
      <c r="F588" s="15" t="s">
        <v>833</v>
      </c>
      <c r="G588" s="165" t="str">
        <f>'MANO DE OBRA'!D61</f>
        <v>Agosto de 2010</v>
      </c>
    </row>
    <row r="589" spans="1:8" ht="27.75" customHeight="1" thickBot="1">
      <c r="A589" s="236"/>
      <c r="B589" s="240" t="s">
        <v>835</v>
      </c>
      <c r="C589" s="995" t="s">
        <v>1356</v>
      </c>
      <c r="D589" s="995"/>
      <c r="E589" s="995"/>
      <c r="F589" s="995"/>
      <c r="G589" s="996"/>
    </row>
    <row r="590" spans="1:8" ht="14.25" thickTop="1" thickBot="1">
      <c r="A590" s="95"/>
      <c r="B590" s="986"/>
      <c r="C590" s="986"/>
      <c r="D590" s="986"/>
      <c r="E590" s="986"/>
      <c r="F590" s="986"/>
      <c r="G590" s="986"/>
    </row>
    <row r="591" spans="1:8" ht="13.5" thickTop="1">
      <c r="A591" s="95"/>
      <c r="B591" s="950" t="s">
        <v>304</v>
      </c>
      <c r="C591" s="951"/>
      <c r="D591" s="951"/>
      <c r="E591" s="951"/>
      <c r="F591" s="951"/>
      <c r="G591" s="952"/>
    </row>
    <row r="592" spans="1:8">
      <c r="A592" s="95"/>
      <c r="B592" s="229"/>
      <c r="C592" s="97"/>
      <c r="D592" s="98" t="s">
        <v>301</v>
      </c>
      <c r="E592" s="98" t="s">
        <v>1072</v>
      </c>
      <c r="F592" s="99" t="s">
        <v>839</v>
      </c>
      <c r="G592" s="107" t="s">
        <v>840</v>
      </c>
    </row>
    <row r="593" spans="1:7">
      <c r="A593" s="95"/>
      <c r="B593" s="982" t="s">
        <v>838</v>
      </c>
      <c r="C593" s="983"/>
      <c r="D593" s="100" t="s">
        <v>308</v>
      </c>
      <c r="E593" s="100" t="s">
        <v>305</v>
      </c>
      <c r="F593" s="101" t="s">
        <v>306</v>
      </c>
      <c r="G593" s="108" t="s">
        <v>310</v>
      </c>
    </row>
    <row r="594" spans="1:7">
      <c r="A594" s="95"/>
      <c r="B594" s="230"/>
      <c r="C594" s="102"/>
      <c r="D594" s="103"/>
      <c r="E594" s="103" t="s">
        <v>309</v>
      </c>
      <c r="F594" s="104" t="s">
        <v>307</v>
      </c>
      <c r="G594" s="109"/>
    </row>
    <row r="595" spans="1:7">
      <c r="A595" s="127"/>
      <c r="B595" s="841" t="str">
        <f>'MAQUINARIA Y EQUIPOS'!$C$28</f>
        <v>HERRAMIENTAS MENORES</v>
      </c>
      <c r="C595" s="842"/>
      <c r="D595" s="87">
        <v>1</v>
      </c>
      <c r="E595" s="82">
        <f>ROUND(G627*0.05,0)</f>
        <v>4345</v>
      </c>
      <c r="F595" s="81">
        <v>1</v>
      </c>
      <c r="G595" s="110">
        <f>ROUND(D595*E595/F595,0)</f>
        <v>4345</v>
      </c>
    </row>
    <row r="596" spans="1:7">
      <c r="A596" s="95"/>
      <c r="B596" s="854"/>
      <c r="C596" s="855"/>
      <c r="D596" s="37"/>
      <c r="E596" s="129"/>
      <c r="F596" s="83"/>
      <c r="G596" s="111"/>
    </row>
    <row r="597" spans="1:7">
      <c r="A597" s="95"/>
      <c r="B597" s="854"/>
      <c r="C597" s="855"/>
      <c r="D597" s="89"/>
      <c r="E597" s="82"/>
      <c r="F597" s="83"/>
      <c r="G597" s="111"/>
    </row>
    <row r="598" spans="1:7">
      <c r="A598" s="95"/>
      <c r="B598" s="854" t="s">
        <v>841</v>
      </c>
      <c r="C598" s="855"/>
      <c r="D598" s="37"/>
      <c r="E598" s="82"/>
      <c r="F598" s="83"/>
      <c r="G598" s="111"/>
    </row>
    <row r="599" spans="1:7" ht="13.5" thickBot="1">
      <c r="A599" s="95"/>
      <c r="B599" s="942" t="s">
        <v>841</v>
      </c>
      <c r="C599" s="943"/>
      <c r="D599" s="77"/>
      <c r="E599" s="106"/>
      <c r="F599" s="86"/>
      <c r="G599" s="112"/>
    </row>
    <row r="600" spans="1:7" ht="14.25" thickTop="1" thickBot="1">
      <c r="A600" s="95"/>
      <c r="B600" s="946"/>
      <c r="C600" s="946"/>
      <c r="D600" s="946"/>
      <c r="E600" s="947"/>
      <c r="F600" s="119" t="s">
        <v>856</v>
      </c>
      <c r="G600" s="118">
        <f>SUM(G595:G599)</f>
        <v>4345</v>
      </c>
    </row>
    <row r="601" spans="1:7" ht="14.25" thickTop="1" thickBot="1">
      <c r="A601" s="95"/>
      <c r="B601" s="970"/>
      <c r="C601" s="970"/>
      <c r="D601" s="970"/>
      <c r="E601" s="970"/>
      <c r="F601" s="970"/>
      <c r="G601" s="970"/>
    </row>
    <row r="602" spans="1:7" ht="13.5" thickTop="1">
      <c r="A602" s="95"/>
      <c r="B602" s="950" t="s">
        <v>311</v>
      </c>
      <c r="C602" s="951"/>
      <c r="D602" s="951"/>
      <c r="E602" s="951"/>
      <c r="F602" s="951"/>
      <c r="G602" s="952"/>
    </row>
    <row r="603" spans="1:7">
      <c r="A603" s="95"/>
      <c r="B603" s="978" t="s">
        <v>838</v>
      </c>
      <c r="C603" s="979"/>
      <c r="D603" s="98" t="s">
        <v>842</v>
      </c>
      <c r="E603" s="98" t="s">
        <v>853</v>
      </c>
      <c r="F603" s="99" t="s">
        <v>1047</v>
      </c>
      <c r="G603" s="107" t="s">
        <v>840</v>
      </c>
    </row>
    <row r="604" spans="1:7">
      <c r="A604" s="95"/>
      <c r="B604" s="230"/>
      <c r="C604" s="102"/>
      <c r="D604" s="100"/>
      <c r="E604" s="100" t="s">
        <v>312</v>
      </c>
      <c r="F604" s="101" t="s">
        <v>313</v>
      </c>
      <c r="G604" s="108" t="s">
        <v>314</v>
      </c>
    </row>
    <row r="605" spans="1:7">
      <c r="A605" s="123"/>
      <c r="B605" s="841" t="str">
        <f>MATERIALES2!$C$491</f>
        <v>CONTADOR TRIFILAR 15/20 A.</v>
      </c>
      <c r="C605" s="842"/>
      <c r="D605" s="87" t="s">
        <v>865</v>
      </c>
      <c r="E605" s="81">
        <v>1</v>
      </c>
      <c r="F605" s="80">
        <f>MATERIALES2!$E$491</f>
        <v>255000</v>
      </c>
      <c r="G605" s="110">
        <f>ROUND(E605*F605,0)</f>
        <v>255000</v>
      </c>
    </row>
    <row r="606" spans="1:7">
      <c r="A606" s="123"/>
      <c r="B606" s="854" t="str">
        <f>MATERIALES2!$C$453</f>
        <v>BREAKER 2x50 A</v>
      </c>
      <c r="C606" s="855"/>
      <c r="D606" s="37" t="s">
        <v>865</v>
      </c>
      <c r="E606" s="83">
        <v>1</v>
      </c>
      <c r="F606" s="82">
        <f>MATERIALES2!$E$453</f>
        <v>20000</v>
      </c>
      <c r="G606" s="111">
        <f>ROUND(E606*F606,0)</f>
        <v>20000</v>
      </c>
    </row>
    <row r="607" spans="1:7">
      <c r="A607" s="123"/>
      <c r="B607" s="854" t="str">
        <f>MATERIALES2!$C$533</f>
        <v>CAJA PARA CONTADOR</v>
      </c>
      <c r="C607" s="855"/>
      <c r="D607" s="37" t="s">
        <v>865</v>
      </c>
      <c r="E607" s="83">
        <v>1</v>
      </c>
      <c r="F607" s="82">
        <f>MATERIALES2!$E$533</f>
        <v>14000</v>
      </c>
      <c r="G607" s="111">
        <f>ROUND(E607*F607,0)</f>
        <v>14000</v>
      </c>
    </row>
    <row r="608" spans="1:7">
      <c r="A608" s="123"/>
      <c r="B608" s="854" t="str">
        <f>MATERIALES2!$C$514</f>
        <v>MATRICULA ELECTRIFICADORA</v>
      </c>
      <c r="C608" s="855"/>
      <c r="D608" s="37" t="s">
        <v>865</v>
      </c>
      <c r="E608" s="83">
        <v>1</v>
      </c>
      <c r="F608" s="82">
        <f>MATERIALES2!$E$514</f>
        <v>23861</v>
      </c>
      <c r="G608" s="111">
        <f>ROUND(E608*F608,0)</f>
        <v>23861</v>
      </c>
    </row>
    <row r="609" spans="1:8">
      <c r="A609" s="123"/>
      <c r="B609" s="854"/>
      <c r="C609" s="855"/>
      <c r="D609" s="37"/>
      <c r="E609" s="83"/>
      <c r="F609" s="82"/>
      <c r="G609" s="111"/>
    </row>
    <row r="610" spans="1:8">
      <c r="A610" s="123"/>
      <c r="B610" s="854"/>
      <c r="C610" s="855"/>
      <c r="D610" s="37"/>
      <c r="E610" s="83"/>
      <c r="F610" s="82"/>
      <c r="G610" s="111"/>
    </row>
    <row r="611" spans="1:8">
      <c r="A611" s="123"/>
      <c r="B611" s="854"/>
      <c r="C611" s="855"/>
      <c r="D611" s="37"/>
      <c r="E611" s="83"/>
      <c r="F611" s="82"/>
      <c r="G611" s="111"/>
    </row>
    <row r="612" spans="1:8">
      <c r="A612" s="123"/>
      <c r="B612" s="854"/>
      <c r="C612" s="855"/>
      <c r="D612" s="37"/>
      <c r="E612" s="83"/>
      <c r="F612" s="82"/>
      <c r="G612" s="111"/>
      <c r="H612" s="505" t="s">
        <v>1670</v>
      </c>
    </row>
    <row r="613" spans="1:8" ht="13.5" thickBot="1">
      <c r="A613" s="123"/>
      <c r="B613" s="980"/>
      <c r="C613" s="981"/>
      <c r="D613" s="37"/>
      <c r="E613" s="83"/>
      <c r="F613" s="82"/>
      <c r="G613" s="111"/>
    </row>
    <row r="614" spans="1:8" ht="13.5" thickTop="1">
      <c r="A614" s="95"/>
      <c r="B614" s="946"/>
      <c r="C614" s="947"/>
      <c r="D614" s="801" t="s">
        <v>856</v>
      </c>
      <c r="E614" s="802"/>
      <c r="F614" s="9"/>
      <c r="G614" s="113">
        <f>SUM(G605:G613)</f>
        <v>312861</v>
      </c>
    </row>
    <row r="615" spans="1:8">
      <c r="A615" s="95"/>
      <c r="B615" s="948"/>
      <c r="C615" s="949"/>
      <c r="D615" s="801" t="s">
        <v>857</v>
      </c>
      <c r="E615" s="802"/>
      <c r="F615" s="79">
        <f>'MANO DE OBRA'!$D$60</f>
        <v>0.05</v>
      </c>
      <c r="G615" s="113">
        <f>ROUND(G614*F615,0)</f>
        <v>15643</v>
      </c>
    </row>
    <row r="616" spans="1:8" ht="13.5" thickBot="1">
      <c r="A616" s="95"/>
      <c r="B616" s="948"/>
      <c r="C616" s="949"/>
      <c r="D616" s="803" t="s">
        <v>320</v>
      </c>
      <c r="E616" s="804"/>
      <c r="F616" s="114"/>
      <c r="G616" s="118">
        <f>+G614+G615</f>
        <v>328504</v>
      </c>
    </row>
    <row r="617" spans="1:8" ht="14.25" thickTop="1" thickBot="1">
      <c r="A617" s="95"/>
      <c r="B617" s="970"/>
      <c r="C617" s="970"/>
      <c r="D617" s="970"/>
      <c r="E617" s="970"/>
      <c r="F617" s="970"/>
      <c r="G617" s="970"/>
    </row>
    <row r="618" spans="1:8" ht="13.5" thickTop="1">
      <c r="A618" s="95"/>
      <c r="B618" s="950" t="s">
        <v>858</v>
      </c>
      <c r="C618" s="951"/>
      <c r="D618" s="951"/>
      <c r="E618" s="951"/>
      <c r="F618" s="951"/>
      <c r="G618" s="952"/>
    </row>
    <row r="619" spans="1:8">
      <c r="A619" s="95"/>
      <c r="B619" s="978"/>
      <c r="C619" s="979"/>
      <c r="D619" s="98" t="s">
        <v>301</v>
      </c>
      <c r="E619" s="98" t="s">
        <v>859</v>
      </c>
      <c r="F619" s="99" t="s">
        <v>839</v>
      </c>
      <c r="G619" s="107" t="s">
        <v>840</v>
      </c>
    </row>
    <row r="620" spans="1:8">
      <c r="A620" s="95"/>
      <c r="B620" s="982" t="s">
        <v>838</v>
      </c>
      <c r="C620" s="983"/>
      <c r="D620" s="100" t="s">
        <v>316</v>
      </c>
      <c r="E620" s="100" t="s">
        <v>315</v>
      </c>
      <c r="F620" s="101" t="s">
        <v>306</v>
      </c>
      <c r="G620" s="108" t="s">
        <v>319</v>
      </c>
    </row>
    <row r="621" spans="1:8">
      <c r="A621" s="95"/>
      <c r="B621" s="230"/>
      <c r="C621" s="102"/>
      <c r="D621" s="103"/>
      <c r="E621" s="103" t="s">
        <v>317</v>
      </c>
      <c r="F621" s="104" t="s">
        <v>318</v>
      </c>
      <c r="G621" s="109"/>
    </row>
    <row r="622" spans="1:8">
      <c r="A622" s="95"/>
      <c r="B622" s="841" t="str">
        <f>'MANO DE OBRA'!$B$11</f>
        <v>AYUDANTE CUAD. TIPO BB</v>
      </c>
      <c r="C622" s="842"/>
      <c r="D622" s="87">
        <v>1</v>
      </c>
      <c r="E622" s="80">
        <f>'MANO DE OBRA'!$E$11</f>
        <v>43077</v>
      </c>
      <c r="F622" s="81">
        <v>1.4</v>
      </c>
      <c r="G622" s="110">
        <f>ROUND(D622*E622/F622,0)</f>
        <v>30769</v>
      </c>
    </row>
    <row r="623" spans="1:8">
      <c r="A623" s="95"/>
      <c r="B623" s="854" t="str">
        <f>'MANO DE OBRA'!$B$16</f>
        <v>OFICIAL CUAD. TIPO BB</v>
      </c>
      <c r="C623" s="855"/>
      <c r="D623" s="37">
        <v>1</v>
      </c>
      <c r="E623" s="82">
        <f>'MANO DE OBRA'!$E$16</f>
        <v>78577</v>
      </c>
      <c r="F623" s="83">
        <v>1.4</v>
      </c>
      <c r="G623" s="111">
        <f>ROUND(D623*E623/F623,0)</f>
        <v>56126</v>
      </c>
    </row>
    <row r="624" spans="1:8">
      <c r="A624" s="95"/>
      <c r="B624" s="854"/>
      <c r="C624" s="855"/>
      <c r="D624" s="89"/>
      <c r="E624" s="82"/>
      <c r="F624" s="83"/>
      <c r="G624" s="111"/>
    </row>
    <row r="625" spans="1:8">
      <c r="A625" s="95"/>
      <c r="B625" s="854" t="s">
        <v>841</v>
      </c>
      <c r="C625" s="855"/>
      <c r="D625" s="37"/>
      <c r="E625" s="82"/>
      <c r="F625" s="83"/>
      <c r="G625" s="111"/>
    </row>
    <row r="626" spans="1:8" ht="13.5" thickBot="1">
      <c r="A626" s="95"/>
      <c r="B626" s="980" t="s">
        <v>841</v>
      </c>
      <c r="C626" s="981"/>
      <c r="D626" s="77"/>
      <c r="E626" s="82"/>
      <c r="F626" s="86"/>
      <c r="G626" s="112"/>
    </row>
    <row r="627" spans="1:8" ht="14.25" thickTop="1" thickBot="1">
      <c r="A627" s="95"/>
      <c r="B627" s="946"/>
      <c r="C627" s="946"/>
      <c r="D627" s="946"/>
      <c r="E627" s="947"/>
      <c r="F627" s="120" t="s">
        <v>856</v>
      </c>
      <c r="G627" s="118">
        <f>SUM(G622:G626)</f>
        <v>86895</v>
      </c>
    </row>
    <row r="628" spans="1:8" ht="14.25" thickTop="1" thickBot="1">
      <c r="A628" s="95"/>
      <c r="B628" s="970"/>
      <c r="C628" s="970"/>
      <c r="D628" s="970"/>
      <c r="E628" s="970"/>
      <c r="F628" s="970"/>
      <c r="G628" s="970"/>
    </row>
    <row r="629" spans="1:8" ht="13.5" thickTop="1">
      <c r="A629" s="95"/>
      <c r="B629" s="950" t="s">
        <v>321</v>
      </c>
      <c r="C629" s="951"/>
      <c r="D629" s="951"/>
      <c r="E629" s="951"/>
      <c r="F629" s="951"/>
      <c r="G629" s="952"/>
    </row>
    <row r="630" spans="1:8">
      <c r="A630" s="95"/>
      <c r="B630" s="978" t="s">
        <v>838</v>
      </c>
      <c r="C630" s="979"/>
      <c r="D630" s="98" t="s">
        <v>301</v>
      </c>
      <c r="E630" s="98" t="s">
        <v>297</v>
      </c>
      <c r="F630" s="99" t="s">
        <v>839</v>
      </c>
      <c r="G630" s="107" t="s">
        <v>840</v>
      </c>
    </row>
    <row r="631" spans="1:8">
      <c r="A631" s="95"/>
      <c r="B631" s="230"/>
      <c r="C631" s="102"/>
      <c r="D631" s="103" t="s">
        <v>322</v>
      </c>
      <c r="E631" s="103" t="s">
        <v>323</v>
      </c>
      <c r="F631" s="104" t="s">
        <v>324</v>
      </c>
      <c r="G631" s="109" t="s">
        <v>325</v>
      </c>
    </row>
    <row r="632" spans="1:8">
      <c r="A632" s="95"/>
      <c r="B632" s="841"/>
      <c r="C632" s="842"/>
      <c r="D632" s="96"/>
      <c r="E632" s="96"/>
      <c r="F632" s="96"/>
      <c r="G632" s="116"/>
    </row>
    <row r="633" spans="1:8" ht="13.5" thickBot="1">
      <c r="A633" s="95"/>
      <c r="B633" s="980" t="s">
        <v>841</v>
      </c>
      <c r="C633" s="981"/>
      <c r="D633" s="77"/>
      <c r="E633" s="82"/>
      <c r="F633" s="86"/>
      <c r="G633" s="112"/>
    </row>
    <row r="634" spans="1:8" ht="14.25" thickTop="1" thickBot="1">
      <c r="A634" s="95"/>
      <c r="B634" s="946"/>
      <c r="C634" s="946"/>
      <c r="D634" s="946"/>
      <c r="E634" s="947"/>
      <c r="F634" s="120" t="s">
        <v>856</v>
      </c>
      <c r="G634" s="118">
        <f>SUM(G629:G633)</f>
        <v>0</v>
      </c>
    </row>
    <row r="635" spans="1:8" ht="14.25" thickTop="1" thickBot="1">
      <c r="A635" s="95"/>
      <c r="B635" s="970"/>
      <c r="C635" s="970"/>
      <c r="D635" s="970"/>
      <c r="E635" s="970"/>
      <c r="F635" s="970"/>
      <c r="G635" s="943"/>
    </row>
    <row r="636" spans="1:8" ht="13.5" thickTop="1">
      <c r="A636" s="95"/>
      <c r="B636" s="950" t="s">
        <v>326</v>
      </c>
      <c r="C636" s="951"/>
      <c r="D636" s="951"/>
      <c r="E636" s="951"/>
      <c r="F636" s="971"/>
      <c r="G636" s="121">
        <f>+G600+G616+G627</f>
        <v>419744</v>
      </c>
    </row>
    <row r="637" spans="1:8">
      <c r="A637" s="95"/>
      <c r="B637" s="972" t="s">
        <v>861</v>
      </c>
      <c r="C637" s="973"/>
      <c r="D637" s="973"/>
      <c r="E637" s="974"/>
      <c r="F637" s="128">
        <f>'MANO DE OBRA'!$D$59</f>
        <v>0</v>
      </c>
      <c r="G637" s="122">
        <f>ROUND(G636*F637,0)</f>
        <v>0</v>
      </c>
    </row>
    <row r="638" spans="1:8" ht="13.5" thickBot="1">
      <c r="A638" s="95"/>
      <c r="B638" s="975" t="s">
        <v>1049</v>
      </c>
      <c r="C638" s="976"/>
      <c r="D638" s="976"/>
      <c r="E638" s="976"/>
      <c r="F638" s="977"/>
      <c r="G638" s="118">
        <f>ROUND(G636+G637,-2)</f>
        <v>419700</v>
      </c>
      <c r="H638" s="505" t="s">
        <v>1670</v>
      </c>
    </row>
    <row r="639" spans="1:8" ht="13.5" thickTop="1">
      <c r="A639" s="95"/>
      <c r="B639" s="225" t="s">
        <v>303</v>
      </c>
      <c r="C639" s="843"/>
      <c r="D639" s="843"/>
      <c r="E639" s="843"/>
      <c r="F639" s="92" t="s">
        <v>781</v>
      </c>
      <c r="G639" s="93" t="s">
        <v>865</v>
      </c>
    </row>
    <row r="640" spans="1:8">
      <c r="A640" s="95"/>
      <c r="B640" s="226" t="s">
        <v>834</v>
      </c>
      <c r="C640" s="844" t="s">
        <v>1352</v>
      </c>
      <c r="D640" s="844"/>
      <c r="E640" s="844"/>
      <c r="F640" s="15" t="s">
        <v>833</v>
      </c>
      <c r="G640" s="165" t="str">
        <f>'MANO DE OBRA'!D61</f>
        <v>Agosto de 2010</v>
      </c>
    </row>
    <row r="641" spans="1:7" ht="27.75" customHeight="1" thickBot="1">
      <c r="A641" s="236"/>
      <c r="B641" s="240" t="s">
        <v>835</v>
      </c>
      <c r="C641" s="995" t="s">
        <v>1357</v>
      </c>
      <c r="D641" s="995"/>
      <c r="E641" s="995"/>
      <c r="F641" s="995"/>
      <c r="G641" s="996"/>
    </row>
    <row r="642" spans="1:7" ht="14.25" thickTop="1" thickBot="1">
      <c r="A642" s="95"/>
      <c r="B642" s="986"/>
      <c r="C642" s="986"/>
      <c r="D642" s="986"/>
      <c r="E642" s="986"/>
      <c r="F642" s="986"/>
      <c r="G642" s="986"/>
    </row>
    <row r="643" spans="1:7" ht="13.5" thickTop="1">
      <c r="A643" s="95"/>
      <c r="B643" s="950" t="s">
        <v>304</v>
      </c>
      <c r="C643" s="951"/>
      <c r="D643" s="951"/>
      <c r="E643" s="951"/>
      <c r="F643" s="951"/>
      <c r="G643" s="952"/>
    </row>
    <row r="644" spans="1:7">
      <c r="A644" s="95"/>
      <c r="B644" s="229"/>
      <c r="C644" s="97"/>
      <c r="D644" s="98" t="s">
        <v>301</v>
      </c>
      <c r="E644" s="98" t="s">
        <v>1072</v>
      </c>
      <c r="F644" s="99" t="s">
        <v>839</v>
      </c>
      <c r="G644" s="107" t="s">
        <v>840</v>
      </c>
    </row>
    <row r="645" spans="1:7">
      <c r="A645" s="95"/>
      <c r="B645" s="982" t="s">
        <v>838</v>
      </c>
      <c r="C645" s="983"/>
      <c r="D645" s="100" t="s">
        <v>308</v>
      </c>
      <c r="E645" s="100" t="s">
        <v>305</v>
      </c>
      <c r="F645" s="101" t="s">
        <v>306</v>
      </c>
      <c r="G645" s="108" t="s">
        <v>310</v>
      </c>
    </row>
    <row r="646" spans="1:7">
      <c r="A646" s="95"/>
      <c r="B646" s="230"/>
      <c r="C646" s="102"/>
      <c r="D646" s="103"/>
      <c r="E646" s="103" t="s">
        <v>309</v>
      </c>
      <c r="F646" s="104" t="s">
        <v>307</v>
      </c>
      <c r="G646" s="109"/>
    </row>
    <row r="647" spans="1:7">
      <c r="A647" s="127"/>
      <c r="B647" s="841" t="str">
        <f>'MAQUINARIA Y EQUIPOS'!$C$28</f>
        <v>HERRAMIENTAS MENORES</v>
      </c>
      <c r="C647" s="842"/>
      <c r="D647" s="87">
        <v>1</v>
      </c>
      <c r="E647" s="82">
        <f>ROUND(G679*0.05,0)</f>
        <v>4345</v>
      </c>
      <c r="F647" s="81">
        <v>1</v>
      </c>
      <c r="G647" s="110">
        <f>ROUND(D647*E647/F647,0)</f>
        <v>4345</v>
      </c>
    </row>
    <row r="648" spans="1:7">
      <c r="A648" s="95"/>
      <c r="B648" s="854"/>
      <c r="C648" s="855"/>
      <c r="D648" s="37"/>
      <c r="E648" s="129"/>
      <c r="F648" s="83"/>
      <c r="G648" s="111"/>
    </row>
    <row r="649" spans="1:7">
      <c r="A649" s="95"/>
      <c r="B649" s="938"/>
      <c r="C649" s="939"/>
      <c r="D649" s="37"/>
      <c r="E649" s="129"/>
      <c r="F649" s="83"/>
      <c r="G649" s="111"/>
    </row>
    <row r="650" spans="1:7">
      <c r="A650" s="95"/>
      <c r="B650" s="854" t="s">
        <v>841</v>
      </c>
      <c r="C650" s="855"/>
      <c r="D650" s="37"/>
      <c r="E650" s="82"/>
      <c r="F650" s="83"/>
      <c r="G650" s="111"/>
    </row>
    <row r="651" spans="1:7" ht="13.5" thickBot="1">
      <c r="A651" s="95"/>
      <c r="B651" s="942" t="s">
        <v>841</v>
      </c>
      <c r="C651" s="943"/>
      <c r="D651" s="77"/>
      <c r="E651" s="106"/>
      <c r="F651" s="86"/>
      <c r="G651" s="112"/>
    </row>
    <row r="652" spans="1:7" ht="14.25" thickTop="1" thickBot="1">
      <c r="A652" s="95"/>
      <c r="B652" s="946"/>
      <c r="C652" s="946"/>
      <c r="D652" s="946"/>
      <c r="E652" s="947"/>
      <c r="F652" s="119" t="s">
        <v>856</v>
      </c>
      <c r="G652" s="118">
        <f>SUM(G647:G651)</f>
        <v>4345</v>
      </c>
    </row>
    <row r="653" spans="1:7" ht="14.25" thickTop="1" thickBot="1">
      <c r="A653" s="95"/>
      <c r="B653" s="970"/>
      <c r="C653" s="970"/>
      <c r="D653" s="970"/>
      <c r="E653" s="970"/>
      <c r="F653" s="970"/>
      <c r="G653" s="970"/>
    </row>
    <row r="654" spans="1:7" ht="13.5" thickTop="1">
      <c r="A654" s="95"/>
      <c r="B654" s="950" t="s">
        <v>311</v>
      </c>
      <c r="C654" s="951"/>
      <c r="D654" s="951"/>
      <c r="E654" s="951"/>
      <c r="F654" s="951"/>
      <c r="G654" s="952"/>
    </row>
    <row r="655" spans="1:7">
      <c r="A655" s="95"/>
      <c r="B655" s="978" t="s">
        <v>838</v>
      </c>
      <c r="C655" s="979"/>
      <c r="D655" s="98" t="s">
        <v>842</v>
      </c>
      <c r="E655" s="98" t="s">
        <v>853</v>
      </c>
      <c r="F655" s="99" t="s">
        <v>1047</v>
      </c>
      <c r="G655" s="107" t="s">
        <v>840</v>
      </c>
    </row>
    <row r="656" spans="1:7">
      <c r="A656" s="95"/>
      <c r="B656" s="230"/>
      <c r="C656" s="102"/>
      <c r="D656" s="100"/>
      <c r="E656" s="100" t="s">
        <v>312</v>
      </c>
      <c r="F656" s="101" t="s">
        <v>313</v>
      </c>
      <c r="G656" s="108" t="s">
        <v>314</v>
      </c>
    </row>
    <row r="657" spans="1:8">
      <c r="A657" s="123"/>
      <c r="B657" s="841" t="str">
        <f>MATERIALES2!$C$488</f>
        <v>CONTADOR MONOFASICO 10/15 A.</v>
      </c>
      <c r="C657" s="842"/>
      <c r="D657" s="87" t="s">
        <v>865</v>
      </c>
      <c r="E657" s="81">
        <v>1</v>
      </c>
      <c r="F657" s="80">
        <f>MATERIALES2!$E$488</f>
        <v>110000</v>
      </c>
      <c r="G657" s="110">
        <f>ROUND(E657*F657,0)</f>
        <v>110000</v>
      </c>
    </row>
    <row r="658" spans="1:8">
      <c r="A658" s="123"/>
      <c r="B658" s="854" t="str">
        <f>MATERIALES2!$C$454</f>
        <v>BREAKER 30 A</v>
      </c>
      <c r="C658" s="855"/>
      <c r="D658" s="37" t="s">
        <v>865</v>
      </c>
      <c r="E658" s="83">
        <v>1</v>
      </c>
      <c r="F658" s="82">
        <f>MATERIALES2!$E$454</f>
        <v>8000</v>
      </c>
      <c r="G658" s="111">
        <f>ROUND(E658*F658,0)</f>
        <v>8000</v>
      </c>
    </row>
    <row r="659" spans="1:8">
      <c r="A659" s="123"/>
      <c r="B659" s="854" t="str">
        <f>MATERIALES2!$C$533</f>
        <v>CAJA PARA CONTADOR</v>
      </c>
      <c r="C659" s="855"/>
      <c r="D659" s="37" t="s">
        <v>865</v>
      </c>
      <c r="E659" s="83">
        <v>1</v>
      </c>
      <c r="F659" s="82">
        <f>MATERIALES2!$E$533</f>
        <v>14000</v>
      </c>
      <c r="G659" s="111">
        <f>ROUND(E659*F659,0)</f>
        <v>14000</v>
      </c>
    </row>
    <row r="660" spans="1:8">
      <c r="A660" s="123"/>
      <c r="B660" s="854" t="str">
        <f>MATERIALES2!$C$514</f>
        <v>MATRICULA ELECTRIFICADORA</v>
      </c>
      <c r="C660" s="855"/>
      <c r="D660" s="37" t="s">
        <v>865</v>
      </c>
      <c r="E660" s="83">
        <v>1</v>
      </c>
      <c r="F660" s="82">
        <f>MATERIALES2!$E$514</f>
        <v>23861</v>
      </c>
      <c r="G660" s="111">
        <f>ROUND(E660*F660,0)</f>
        <v>23861</v>
      </c>
    </row>
    <row r="661" spans="1:8">
      <c r="A661" s="123"/>
      <c r="B661" s="854"/>
      <c r="C661" s="855"/>
      <c r="D661" s="37"/>
      <c r="E661" s="83"/>
      <c r="F661" s="82"/>
      <c r="G661" s="111"/>
    </row>
    <row r="662" spans="1:8">
      <c r="A662" s="123"/>
      <c r="B662" s="854"/>
      <c r="C662" s="855"/>
      <c r="D662" s="37"/>
      <c r="E662" s="83"/>
      <c r="F662" s="82"/>
      <c r="G662" s="111"/>
    </row>
    <row r="663" spans="1:8">
      <c r="A663" s="123"/>
      <c r="B663" s="854"/>
      <c r="C663" s="855"/>
      <c r="D663" s="37"/>
      <c r="E663" s="83"/>
      <c r="F663" s="82"/>
      <c r="G663" s="111"/>
    </row>
    <row r="664" spans="1:8">
      <c r="A664" s="123"/>
      <c r="B664" s="854"/>
      <c r="C664" s="855"/>
      <c r="D664" s="37"/>
      <c r="E664" s="83"/>
      <c r="F664" s="82"/>
      <c r="G664" s="111"/>
      <c r="H664" s="505" t="s">
        <v>1670</v>
      </c>
    </row>
    <row r="665" spans="1:8" ht="13.5" thickBot="1">
      <c r="A665" s="123"/>
      <c r="B665" s="980"/>
      <c r="C665" s="981"/>
      <c r="D665" s="37"/>
      <c r="E665" s="83"/>
      <c r="F665" s="82"/>
      <c r="G665" s="111"/>
    </row>
    <row r="666" spans="1:8" ht="13.5" thickTop="1">
      <c r="A666" s="95"/>
      <c r="B666" s="946"/>
      <c r="C666" s="947"/>
      <c r="D666" s="801" t="s">
        <v>856</v>
      </c>
      <c r="E666" s="802"/>
      <c r="F666" s="9"/>
      <c r="G666" s="113">
        <f>SUM(G657:G665)</f>
        <v>155861</v>
      </c>
    </row>
    <row r="667" spans="1:8">
      <c r="A667" s="95"/>
      <c r="B667" s="948"/>
      <c r="C667" s="949"/>
      <c r="D667" s="801" t="s">
        <v>857</v>
      </c>
      <c r="E667" s="802"/>
      <c r="F667" s="79">
        <f>'MANO DE OBRA'!$D$60</f>
        <v>0.05</v>
      </c>
      <c r="G667" s="113">
        <f>ROUND(G666*F667,0)</f>
        <v>7793</v>
      </c>
    </row>
    <row r="668" spans="1:8" ht="13.5" thickBot="1">
      <c r="A668" s="95"/>
      <c r="B668" s="948"/>
      <c r="C668" s="949"/>
      <c r="D668" s="803" t="s">
        <v>320</v>
      </c>
      <c r="E668" s="804"/>
      <c r="F668" s="114"/>
      <c r="G668" s="118">
        <f>+G666+G667</f>
        <v>163654</v>
      </c>
    </row>
    <row r="669" spans="1:8" ht="14.25" thickTop="1" thickBot="1">
      <c r="A669" s="95"/>
      <c r="B669" s="970"/>
      <c r="C669" s="970"/>
      <c r="D669" s="970"/>
      <c r="E669" s="970"/>
      <c r="F669" s="970"/>
      <c r="G669" s="970"/>
    </row>
    <row r="670" spans="1:8" ht="13.5" thickTop="1">
      <c r="A670" s="95"/>
      <c r="B670" s="950" t="s">
        <v>858</v>
      </c>
      <c r="C670" s="951"/>
      <c r="D670" s="951"/>
      <c r="E670" s="951"/>
      <c r="F670" s="951"/>
      <c r="G670" s="952"/>
    </row>
    <row r="671" spans="1:8">
      <c r="A671" s="95"/>
      <c r="B671" s="978"/>
      <c r="C671" s="979"/>
      <c r="D671" s="98" t="s">
        <v>301</v>
      </c>
      <c r="E671" s="98" t="s">
        <v>859</v>
      </c>
      <c r="F671" s="99" t="s">
        <v>839</v>
      </c>
      <c r="G671" s="107" t="s">
        <v>840</v>
      </c>
    </row>
    <row r="672" spans="1:8">
      <c r="A672" s="95"/>
      <c r="B672" s="982" t="s">
        <v>838</v>
      </c>
      <c r="C672" s="983"/>
      <c r="D672" s="100" t="s">
        <v>316</v>
      </c>
      <c r="E672" s="100" t="s">
        <v>315</v>
      </c>
      <c r="F672" s="101" t="s">
        <v>306</v>
      </c>
      <c r="G672" s="108" t="s">
        <v>319</v>
      </c>
    </row>
    <row r="673" spans="1:7">
      <c r="A673" s="95"/>
      <c r="B673" s="230"/>
      <c r="C673" s="102"/>
      <c r="D673" s="103"/>
      <c r="E673" s="103" t="s">
        <v>317</v>
      </c>
      <c r="F673" s="104" t="s">
        <v>318</v>
      </c>
      <c r="G673" s="109"/>
    </row>
    <row r="674" spans="1:7">
      <c r="A674" s="95"/>
      <c r="B674" s="841" t="str">
        <f>'MANO DE OBRA'!$B$11</f>
        <v>AYUDANTE CUAD. TIPO BB</v>
      </c>
      <c r="C674" s="842"/>
      <c r="D674" s="87">
        <v>1</v>
      </c>
      <c r="E674" s="80">
        <f>'MANO DE OBRA'!$E$11</f>
        <v>43077</v>
      </c>
      <c r="F674" s="81">
        <v>1.4</v>
      </c>
      <c r="G674" s="110">
        <f>ROUND(D674*E674/F674,0)</f>
        <v>30769</v>
      </c>
    </row>
    <row r="675" spans="1:7">
      <c r="A675" s="95"/>
      <c r="B675" s="854" t="str">
        <f>'MANO DE OBRA'!$B$16</f>
        <v>OFICIAL CUAD. TIPO BB</v>
      </c>
      <c r="C675" s="855"/>
      <c r="D675" s="37">
        <v>1</v>
      </c>
      <c r="E675" s="82">
        <f>'MANO DE OBRA'!$E$16</f>
        <v>78577</v>
      </c>
      <c r="F675" s="83">
        <v>1.4</v>
      </c>
      <c r="G675" s="111">
        <f>ROUND(D675*E675/F675,0)</f>
        <v>56126</v>
      </c>
    </row>
    <row r="676" spans="1:7">
      <c r="A676" s="95"/>
      <c r="B676" s="854"/>
      <c r="C676" s="855"/>
      <c r="D676" s="89"/>
      <c r="E676" s="82"/>
      <c r="F676" s="83"/>
      <c r="G676" s="111"/>
    </row>
    <row r="677" spans="1:7">
      <c r="A677" s="95"/>
      <c r="B677" s="854" t="s">
        <v>841</v>
      </c>
      <c r="C677" s="855"/>
      <c r="D677" s="37"/>
      <c r="E677" s="82"/>
      <c r="F677" s="83"/>
      <c r="G677" s="111"/>
    </row>
    <row r="678" spans="1:7" ht="13.5" thickBot="1">
      <c r="A678" s="95"/>
      <c r="B678" s="980" t="s">
        <v>841</v>
      </c>
      <c r="C678" s="981"/>
      <c r="D678" s="77"/>
      <c r="E678" s="82"/>
      <c r="F678" s="86"/>
      <c r="G678" s="112"/>
    </row>
    <row r="679" spans="1:7" ht="14.25" thickTop="1" thickBot="1">
      <c r="A679" s="95"/>
      <c r="B679" s="946"/>
      <c r="C679" s="946"/>
      <c r="D679" s="946"/>
      <c r="E679" s="947"/>
      <c r="F679" s="120" t="s">
        <v>856</v>
      </c>
      <c r="G679" s="118">
        <f>SUM(G674:G678)</f>
        <v>86895</v>
      </c>
    </row>
    <row r="680" spans="1:7" ht="14.25" thickTop="1" thickBot="1">
      <c r="A680" s="95"/>
      <c r="B680" s="970"/>
      <c r="C680" s="970"/>
      <c r="D680" s="970"/>
      <c r="E680" s="970"/>
      <c r="F680" s="970"/>
      <c r="G680" s="970"/>
    </row>
    <row r="681" spans="1:7" ht="13.5" thickTop="1">
      <c r="A681" s="95"/>
      <c r="B681" s="950" t="s">
        <v>321</v>
      </c>
      <c r="C681" s="951"/>
      <c r="D681" s="951"/>
      <c r="E681" s="951"/>
      <c r="F681" s="951"/>
      <c r="G681" s="952"/>
    </row>
    <row r="682" spans="1:7">
      <c r="A682" s="95"/>
      <c r="B682" s="978" t="s">
        <v>838</v>
      </c>
      <c r="C682" s="979"/>
      <c r="D682" s="98" t="s">
        <v>301</v>
      </c>
      <c r="E682" s="98" t="s">
        <v>297</v>
      </c>
      <c r="F682" s="99" t="s">
        <v>839</v>
      </c>
      <c r="G682" s="107" t="s">
        <v>840</v>
      </c>
    </row>
    <row r="683" spans="1:7">
      <c r="A683" s="95"/>
      <c r="B683" s="230"/>
      <c r="C683" s="102"/>
      <c r="D683" s="103" t="s">
        <v>322</v>
      </c>
      <c r="E683" s="103" t="s">
        <v>323</v>
      </c>
      <c r="F683" s="104" t="s">
        <v>324</v>
      </c>
      <c r="G683" s="109" t="s">
        <v>325</v>
      </c>
    </row>
    <row r="684" spans="1:7">
      <c r="A684" s="95"/>
      <c r="B684" s="841"/>
      <c r="C684" s="842"/>
      <c r="D684" s="96"/>
      <c r="E684" s="96"/>
      <c r="F684" s="96"/>
      <c r="G684" s="116"/>
    </row>
    <row r="685" spans="1:7" ht="13.5" thickBot="1">
      <c r="A685" s="95"/>
      <c r="B685" s="980" t="s">
        <v>841</v>
      </c>
      <c r="C685" s="981"/>
      <c r="D685" s="77"/>
      <c r="E685" s="82"/>
      <c r="F685" s="86"/>
      <c r="G685" s="112"/>
    </row>
    <row r="686" spans="1:7" ht="14.25" thickTop="1" thickBot="1">
      <c r="A686" s="95"/>
      <c r="B686" s="946"/>
      <c r="C686" s="946"/>
      <c r="D686" s="946"/>
      <c r="E686" s="947"/>
      <c r="F686" s="120" t="s">
        <v>856</v>
      </c>
      <c r="G686" s="118">
        <f>SUM(G681:G685)</f>
        <v>0</v>
      </c>
    </row>
    <row r="687" spans="1:7" ht="14.25" thickTop="1" thickBot="1">
      <c r="A687" s="95"/>
      <c r="B687" s="970"/>
      <c r="C687" s="970"/>
      <c r="D687" s="970"/>
      <c r="E687" s="970"/>
      <c r="F687" s="970"/>
      <c r="G687" s="943"/>
    </row>
    <row r="688" spans="1:7" ht="13.5" thickTop="1">
      <c r="A688" s="95"/>
      <c r="B688" s="950" t="s">
        <v>326</v>
      </c>
      <c r="C688" s="951"/>
      <c r="D688" s="951"/>
      <c r="E688" s="951"/>
      <c r="F688" s="971"/>
      <c r="G688" s="121">
        <f>+G652+G668+G679</f>
        <v>254894</v>
      </c>
    </row>
    <row r="689" spans="1:8">
      <c r="A689" s="95"/>
      <c r="B689" s="972" t="s">
        <v>861</v>
      </c>
      <c r="C689" s="973"/>
      <c r="D689" s="973"/>
      <c r="E689" s="974"/>
      <c r="F689" s="128">
        <f>'MANO DE OBRA'!$D$59</f>
        <v>0</v>
      </c>
      <c r="G689" s="122">
        <f>ROUND(G688*F689,0)</f>
        <v>0</v>
      </c>
    </row>
    <row r="690" spans="1:8" ht="13.5" thickBot="1">
      <c r="A690" s="95"/>
      <c r="B690" s="975" t="s">
        <v>1049</v>
      </c>
      <c r="C690" s="976"/>
      <c r="D690" s="976"/>
      <c r="E690" s="976"/>
      <c r="F690" s="977"/>
      <c r="G690" s="118">
        <f>ROUND(G688+G689,-2)</f>
        <v>254900</v>
      </c>
      <c r="H690" s="505" t="s">
        <v>1670</v>
      </c>
    </row>
    <row r="691" spans="1:8" ht="13.5" thickTop="1">
      <c r="A691" s="95"/>
      <c r="B691" s="225" t="s">
        <v>303</v>
      </c>
      <c r="C691" s="843"/>
      <c r="D691" s="843"/>
      <c r="E691" s="843"/>
      <c r="F691" s="92" t="s">
        <v>781</v>
      </c>
      <c r="G691" s="93" t="s">
        <v>865</v>
      </c>
    </row>
    <row r="692" spans="1:8">
      <c r="A692" s="95"/>
      <c r="B692" s="226" t="s">
        <v>834</v>
      </c>
      <c r="C692" s="844" t="s">
        <v>1352</v>
      </c>
      <c r="D692" s="844"/>
      <c r="E692" s="844"/>
      <c r="F692" s="15" t="s">
        <v>833</v>
      </c>
      <c r="G692" s="165" t="str">
        <f>'MANO DE OBRA'!D61</f>
        <v>Agosto de 2010</v>
      </c>
    </row>
    <row r="693" spans="1:8" ht="27.75" customHeight="1" thickBot="1">
      <c r="A693" s="236"/>
      <c r="B693" s="240" t="s">
        <v>835</v>
      </c>
      <c r="C693" s="997" t="s">
        <v>1358</v>
      </c>
      <c r="D693" s="997"/>
      <c r="E693" s="997"/>
      <c r="F693" s="997"/>
      <c r="G693" s="998"/>
    </row>
    <row r="694" spans="1:8" ht="14.25" thickTop="1" thickBot="1">
      <c r="A694" s="95"/>
      <c r="B694" s="986"/>
      <c r="C694" s="986"/>
      <c r="D694" s="986"/>
      <c r="E694" s="986"/>
      <c r="F694" s="986"/>
      <c r="G694" s="986"/>
    </row>
    <row r="695" spans="1:8" ht="13.5" thickTop="1">
      <c r="A695" s="95"/>
      <c r="B695" s="950" t="s">
        <v>304</v>
      </c>
      <c r="C695" s="951"/>
      <c r="D695" s="951"/>
      <c r="E695" s="951"/>
      <c r="F695" s="951"/>
      <c r="G695" s="952"/>
    </row>
    <row r="696" spans="1:8">
      <c r="A696" s="95"/>
      <c r="B696" s="229"/>
      <c r="C696" s="97"/>
      <c r="D696" s="98" t="s">
        <v>301</v>
      </c>
      <c r="E696" s="98" t="s">
        <v>1072</v>
      </c>
      <c r="F696" s="99" t="s">
        <v>839</v>
      </c>
      <c r="G696" s="107" t="s">
        <v>840</v>
      </c>
    </row>
    <row r="697" spans="1:8">
      <c r="A697" s="95"/>
      <c r="B697" s="982" t="s">
        <v>838</v>
      </c>
      <c r="C697" s="983"/>
      <c r="D697" s="100" t="s">
        <v>308</v>
      </c>
      <c r="E697" s="100" t="s">
        <v>305</v>
      </c>
      <c r="F697" s="101" t="s">
        <v>306</v>
      </c>
      <c r="G697" s="108" t="s">
        <v>310</v>
      </c>
    </row>
    <row r="698" spans="1:8">
      <c r="A698" s="95"/>
      <c r="B698" s="230"/>
      <c r="C698" s="102"/>
      <c r="D698" s="103"/>
      <c r="E698" s="103" t="s">
        <v>309</v>
      </c>
      <c r="F698" s="104" t="s">
        <v>307</v>
      </c>
      <c r="G698" s="109"/>
    </row>
    <row r="699" spans="1:8">
      <c r="A699" s="127"/>
      <c r="B699" s="841" t="str">
        <f>'MAQUINARIA Y EQUIPOS'!$C$28</f>
        <v>HERRAMIENTAS MENORES</v>
      </c>
      <c r="C699" s="842"/>
      <c r="D699" s="87">
        <v>1</v>
      </c>
      <c r="E699" s="82">
        <f>ROUND(G731*0.05,0)</f>
        <v>869</v>
      </c>
      <c r="F699" s="81">
        <v>1</v>
      </c>
      <c r="G699" s="110">
        <f>ROUND(D699*E699/F699,0)</f>
        <v>869</v>
      </c>
    </row>
    <row r="700" spans="1:8">
      <c r="A700" s="95"/>
      <c r="B700" s="854"/>
      <c r="C700" s="855"/>
      <c r="D700" s="37"/>
      <c r="E700" s="129"/>
      <c r="F700" s="83"/>
      <c r="G700" s="111"/>
    </row>
    <row r="701" spans="1:8">
      <c r="A701" s="95"/>
      <c r="B701" s="854"/>
      <c r="C701" s="855"/>
      <c r="D701" s="37"/>
      <c r="E701" s="129"/>
      <c r="F701" s="83"/>
      <c r="G701" s="111"/>
    </row>
    <row r="702" spans="1:8">
      <c r="A702" s="95"/>
      <c r="B702" s="854" t="s">
        <v>841</v>
      </c>
      <c r="C702" s="855"/>
      <c r="D702" s="37"/>
      <c r="E702" s="82"/>
      <c r="F702" s="83"/>
      <c r="G702" s="111"/>
    </row>
    <row r="703" spans="1:8" ht="13.5" thickBot="1">
      <c r="A703" s="95"/>
      <c r="B703" s="942" t="s">
        <v>841</v>
      </c>
      <c r="C703" s="943"/>
      <c r="D703" s="77"/>
      <c r="E703" s="106"/>
      <c r="F703" s="86"/>
      <c r="G703" s="112"/>
    </row>
    <row r="704" spans="1:8" ht="14.25" thickTop="1" thickBot="1">
      <c r="A704" s="95"/>
      <c r="B704" s="946"/>
      <c r="C704" s="946"/>
      <c r="D704" s="946"/>
      <c r="E704" s="947"/>
      <c r="F704" s="119" t="s">
        <v>856</v>
      </c>
      <c r="G704" s="118">
        <f>SUM(G699:G703)</f>
        <v>869</v>
      </c>
    </row>
    <row r="705" spans="1:8" ht="14.25" thickTop="1" thickBot="1">
      <c r="A705" s="95"/>
      <c r="B705" s="970"/>
      <c r="C705" s="970"/>
      <c r="D705" s="970"/>
      <c r="E705" s="970"/>
      <c r="F705" s="970"/>
      <c r="G705" s="970"/>
    </row>
    <row r="706" spans="1:8" ht="13.5" thickTop="1">
      <c r="A706" s="95"/>
      <c r="B706" s="950" t="s">
        <v>311</v>
      </c>
      <c r="C706" s="951"/>
      <c r="D706" s="951"/>
      <c r="E706" s="951"/>
      <c r="F706" s="951"/>
      <c r="G706" s="952"/>
    </row>
    <row r="707" spans="1:8">
      <c r="A707" s="95"/>
      <c r="B707" s="978" t="s">
        <v>838</v>
      </c>
      <c r="C707" s="979"/>
      <c r="D707" s="98" t="s">
        <v>842</v>
      </c>
      <c r="E707" s="98" t="s">
        <v>853</v>
      </c>
      <c r="F707" s="99" t="s">
        <v>1047</v>
      </c>
      <c r="G707" s="107" t="s">
        <v>840</v>
      </c>
    </row>
    <row r="708" spans="1:8">
      <c r="A708" s="95"/>
      <c r="B708" s="230"/>
      <c r="C708" s="102"/>
      <c r="D708" s="100"/>
      <c r="E708" s="100" t="s">
        <v>312</v>
      </c>
      <c r="F708" s="101" t="s">
        <v>313</v>
      </c>
      <c r="G708" s="108" t="s">
        <v>314</v>
      </c>
    </row>
    <row r="709" spans="1:8">
      <c r="A709" s="123"/>
      <c r="B709" s="841" t="str">
        <f>MATERIALES2!$C$554</f>
        <v>VARILLA COPERWELL 1.80 M</v>
      </c>
      <c r="C709" s="842"/>
      <c r="D709" s="87" t="s">
        <v>865</v>
      </c>
      <c r="E709" s="81">
        <v>1</v>
      </c>
      <c r="F709" s="80">
        <f>MATERIALES2!$E$554</f>
        <v>20776</v>
      </c>
      <c r="G709" s="110">
        <f>ROUND(E709*F709,0)</f>
        <v>20776</v>
      </c>
    </row>
    <row r="710" spans="1:8">
      <c r="A710" s="123"/>
      <c r="B710" s="854" t="str">
        <f>MATERIALES2!$C$449</f>
        <v>ALAMBRE DESNUDO #14</v>
      </c>
      <c r="C710" s="855"/>
      <c r="D710" s="37" t="s">
        <v>1359</v>
      </c>
      <c r="E710" s="83">
        <v>3</v>
      </c>
      <c r="F710" s="82">
        <f>MATERIALES2!$E$449</f>
        <v>398</v>
      </c>
      <c r="G710" s="111">
        <f>ROUND(E710*F710,0)</f>
        <v>1194</v>
      </c>
    </row>
    <row r="711" spans="1:8">
      <c r="A711" s="123"/>
      <c r="B711" s="854" t="str">
        <f>MATERIALES2!$C$553</f>
        <v>TUBO PVC CONDUIT 3/4" x 3.0 M</v>
      </c>
      <c r="C711" s="855"/>
      <c r="D711" s="37" t="s">
        <v>865</v>
      </c>
      <c r="E711" s="83">
        <v>0.6</v>
      </c>
      <c r="F711" s="82">
        <f>MATERIALES2!$E$553</f>
        <v>6722</v>
      </c>
      <c r="G711" s="111">
        <f>ROUND(E711*F711,0)</f>
        <v>4033</v>
      </c>
    </row>
    <row r="712" spans="1:8">
      <c r="A712" s="123"/>
      <c r="B712" s="854" t="str">
        <f>MATERIALES2!$C$485</f>
        <v>CINTA AISLANTE 3M</v>
      </c>
      <c r="C712" s="855"/>
      <c r="D712" s="37" t="s">
        <v>865</v>
      </c>
      <c r="E712" s="83">
        <v>0.1</v>
      </c>
      <c r="F712" s="82">
        <f>MATERIALES2!$E$485</f>
        <v>5500</v>
      </c>
      <c r="G712" s="111">
        <f>ROUND(E712*F712,0)</f>
        <v>550</v>
      </c>
    </row>
    <row r="713" spans="1:8">
      <c r="A713" s="123"/>
      <c r="B713" s="854"/>
      <c r="C713" s="855"/>
      <c r="D713" s="37"/>
      <c r="E713" s="83"/>
      <c r="F713" s="82"/>
      <c r="G713" s="111"/>
    </row>
    <row r="714" spans="1:8">
      <c r="A714" s="123"/>
      <c r="B714" s="854"/>
      <c r="C714" s="855"/>
      <c r="D714" s="37"/>
      <c r="E714" s="83"/>
      <c r="F714" s="82"/>
      <c r="G714" s="111"/>
    </row>
    <row r="715" spans="1:8">
      <c r="A715" s="123"/>
      <c r="B715" s="854"/>
      <c r="C715" s="855"/>
      <c r="D715" s="37"/>
      <c r="E715" s="83"/>
      <c r="F715" s="82"/>
      <c r="G715" s="111"/>
    </row>
    <row r="716" spans="1:8">
      <c r="A716" s="123"/>
      <c r="B716" s="854"/>
      <c r="C716" s="855"/>
      <c r="D716" s="37"/>
      <c r="E716" s="83"/>
      <c r="F716" s="82"/>
      <c r="G716" s="111"/>
      <c r="H716" s="505" t="s">
        <v>1670</v>
      </c>
    </row>
    <row r="717" spans="1:8" ht="13.5" thickBot="1">
      <c r="A717" s="123"/>
      <c r="B717" s="980"/>
      <c r="C717" s="981"/>
      <c r="D717" s="37"/>
      <c r="E717" s="83"/>
      <c r="F717" s="82"/>
      <c r="G717" s="111"/>
    </row>
    <row r="718" spans="1:8" ht="13.5" thickTop="1">
      <c r="A718" s="95"/>
      <c r="B718" s="946"/>
      <c r="C718" s="947"/>
      <c r="D718" s="801" t="s">
        <v>856</v>
      </c>
      <c r="E718" s="802"/>
      <c r="F718" s="9"/>
      <c r="G718" s="113">
        <f>SUM(G709:G717)</f>
        <v>26553</v>
      </c>
    </row>
    <row r="719" spans="1:8">
      <c r="A719" s="95"/>
      <c r="B719" s="948"/>
      <c r="C719" s="949"/>
      <c r="D719" s="801" t="s">
        <v>857</v>
      </c>
      <c r="E719" s="802"/>
      <c r="F719" s="79">
        <f>'MANO DE OBRA'!$D$60</f>
        <v>0.05</v>
      </c>
      <c r="G719" s="113">
        <f>ROUND(G718*F719,0)</f>
        <v>1328</v>
      </c>
    </row>
    <row r="720" spans="1:8" ht="13.5" thickBot="1">
      <c r="A720" s="95"/>
      <c r="B720" s="948"/>
      <c r="C720" s="949"/>
      <c r="D720" s="803" t="s">
        <v>320</v>
      </c>
      <c r="E720" s="804"/>
      <c r="F720" s="114"/>
      <c r="G720" s="118">
        <f>+G718+G719</f>
        <v>27881</v>
      </c>
    </row>
    <row r="721" spans="1:7" ht="14.25" thickTop="1" thickBot="1">
      <c r="A721" s="95"/>
      <c r="B721" s="970"/>
      <c r="C721" s="970"/>
      <c r="D721" s="970"/>
      <c r="E721" s="970"/>
      <c r="F721" s="970"/>
      <c r="G721" s="970"/>
    </row>
    <row r="722" spans="1:7" ht="13.5" thickTop="1">
      <c r="A722" s="95"/>
      <c r="B722" s="950" t="s">
        <v>858</v>
      </c>
      <c r="C722" s="951"/>
      <c r="D722" s="951"/>
      <c r="E722" s="951"/>
      <c r="F722" s="951"/>
      <c r="G722" s="952"/>
    </row>
    <row r="723" spans="1:7">
      <c r="A723" s="95"/>
      <c r="B723" s="978"/>
      <c r="C723" s="979"/>
      <c r="D723" s="98" t="s">
        <v>301</v>
      </c>
      <c r="E723" s="98" t="s">
        <v>859</v>
      </c>
      <c r="F723" s="99" t="s">
        <v>839</v>
      </c>
      <c r="G723" s="107" t="s">
        <v>840</v>
      </c>
    </row>
    <row r="724" spans="1:7">
      <c r="A724" s="95"/>
      <c r="B724" s="982" t="s">
        <v>838</v>
      </c>
      <c r="C724" s="983"/>
      <c r="D724" s="100" t="s">
        <v>316</v>
      </c>
      <c r="E724" s="100" t="s">
        <v>315</v>
      </c>
      <c r="F724" s="101" t="s">
        <v>306</v>
      </c>
      <c r="G724" s="108" t="s">
        <v>319</v>
      </c>
    </row>
    <row r="725" spans="1:7">
      <c r="A725" s="95"/>
      <c r="B725" s="230"/>
      <c r="C725" s="102"/>
      <c r="D725" s="103"/>
      <c r="E725" s="103" t="s">
        <v>317</v>
      </c>
      <c r="F725" s="104" t="s">
        <v>318</v>
      </c>
      <c r="G725" s="109"/>
    </row>
    <row r="726" spans="1:7">
      <c r="A726" s="95"/>
      <c r="B726" s="841" t="str">
        <f>'MANO DE OBRA'!$B$11</f>
        <v>AYUDANTE CUAD. TIPO BB</v>
      </c>
      <c r="C726" s="842"/>
      <c r="D726" s="87">
        <v>1</v>
      </c>
      <c r="E726" s="80">
        <f>'MANO DE OBRA'!$E$11</f>
        <v>43077</v>
      </c>
      <c r="F726" s="81">
        <v>7</v>
      </c>
      <c r="G726" s="110">
        <f>ROUND(D726*E726/F726,0)</f>
        <v>6154</v>
      </c>
    </row>
    <row r="727" spans="1:7">
      <c r="A727" s="95"/>
      <c r="B727" s="854" t="str">
        <f>'MANO DE OBRA'!$B$16</f>
        <v>OFICIAL CUAD. TIPO BB</v>
      </c>
      <c r="C727" s="855"/>
      <c r="D727" s="37">
        <v>1</v>
      </c>
      <c r="E727" s="82">
        <f>'MANO DE OBRA'!$E$16</f>
        <v>78577</v>
      </c>
      <c r="F727" s="83">
        <v>7</v>
      </c>
      <c r="G727" s="111">
        <f>ROUND(D727*E727/F727,0)</f>
        <v>11225</v>
      </c>
    </row>
    <row r="728" spans="1:7">
      <c r="A728" s="95"/>
      <c r="B728" s="854"/>
      <c r="C728" s="855"/>
      <c r="D728" s="89"/>
      <c r="E728" s="82"/>
      <c r="F728" s="83"/>
      <c r="G728" s="111"/>
    </row>
    <row r="729" spans="1:7">
      <c r="A729" s="95"/>
      <c r="B729" s="854" t="s">
        <v>841</v>
      </c>
      <c r="C729" s="855"/>
      <c r="D729" s="37"/>
      <c r="E729" s="82"/>
      <c r="F729" s="83"/>
      <c r="G729" s="111"/>
    </row>
    <row r="730" spans="1:7" ht="13.5" thickBot="1">
      <c r="A730" s="95"/>
      <c r="B730" s="980" t="s">
        <v>841</v>
      </c>
      <c r="C730" s="981"/>
      <c r="D730" s="77"/>
      <c r="E730" s="82"/>
      <c r="F730" s="86"/>
      <c r="G730" s="112"/>
    </row>
    <row r="731" spans="1:7" ht="14.25" thickTop="1" thickBot="1">
      <c r="A731" s="95"/>
      <c r="B731" s="946"/>
      <c r="C731" s="946"/>
      <c r="D731" s="946"/>
      <c r="E731" s="947"/>
      <c r="F731" s="120" t="s">
        <v>856</v>
      </c>
      <c r="G731" s="118">
        <f>SUM(G726:G730)</f>
        <v>17379</v>
      </c>
    </row>
    <row r="732" spans="1:7" ht="14.25" thickTop="1" thickBot="1">
      <c r="A732" s="95"/>
      <c r="B732" s="970"/>
      <c r="C732" s="970"/>
      <c r="D732" s="970"/>
      <c r="E732" s="970"/>
      <c r="F732" s="970"/>
      <c r="G732" s="970"/>
    </row>
    <row r="733" spans="1:7" ht="13.5" thickTop="1">
      <c r="A733" s="95"/>
      <c r="B733" s="950" t="s">
        <v>321</v>
      </c>
      <c r="C733" s="951"/>
      <c r="D733" s="951"/>
      <c r="E733" s="951"/>
      <c r="F733" s="951"/>
      <c r="G733" s="952"/>
    </row>
    <row r="734" spans="1:7">
      <c r="A734" s="95"/>
      <c r="B734" s="978" t="s">
        <v>838</v>
      </c>
      <c r="C734" s="979"/>
      <c r="D734" s="98" t="s">
        <v>301</v>
      </c>
      <c r="E734" s="98" t="s">
        <v>297</v>
      </c>
      <c r="F734" s="99" t="s">
        <v>839</v>
      </c>
      <c r="G734" s="107" t="s">
        <v>840</v>
      </c>
    </row>
    <row r="735" spans="1:7">
      <c r="A735" s="95"/>
      <c r="B735" s="230"/>
      <c r="C735" s="102"/>
      <c r="D735" s="103" t="s">
        <v>322</v>
      </c>
      <c r="E735" s="103" t="s">
        <v>323</v>
      </c>
      <c r="F735" s="104" t="s">
        <v>324</v>
      </c>
      <c r="G735" s="109" t="s">
        <v>325</v>
      </c>
    </row>
    <row r="736" spans="1:7">
      <c r="A736" s="95"/>
      <c r="B736" s="841"/>
      <c r="C736" s="842"/>
      <c r="D736" s="96"/>
      <c r="E736" s="96"/>
      <c r="F736" s="96"/>
      <c r="G736" s="116"/>
    </row>
    <row r="737" spans="1:8" ht="13.5" thickBot="1">
      <c r="A737" s="95"/>
      <c r="B737" s="980" t="s">
        <v>841</v>
      </c>
      <c r="C737" s="981"/>
      <c r="D737" s="77"/>
      <c r="E737" s="82"/>
      <c r="F737" s="86"/>
      <c r="G737" s="112"/>
    </row>
    <row r="738" spans="1:8" ht="14.25" thickTop="1" thickBot="1">
      <c r="A738" s="95"/>
      <c r="B738" s="946"/>
      <c r="C738" s="946"/>
      <c r="D738" s="946"/>
      <c r="E738" s="947"/>
      <c r="F738" s="120" t="s">
        <v>856</v>
      </c>
      <c r="G738" s="118">
        <f>SUM(G733:G737)</f>
        <v>0</v>
      </c>
    </row>
    <row r="739" spans="1:8" ht="14.25" thickTop="1" thickBot="1">
      <c r="A739" s="95"/>
      <c r="B739" s="970"/>
      <c r="C739" s="970"/>
      <c r="D739" s="970"/>
      <c r="E739" s="970"/>
      <c r="F739" s="970"/>
      <c r="G739" s="943"/>
    </row>
    <row r="740" spans="1:8" ht="13.5" thickTop="1">
      <c r="A740" s="95"/>
      <c r="B740" s="950" t="s">
        <v>326</v>
      </c>
      <c r="C740" s="951"/>
      <c r="D740" s="951"/>
      <c r="E740" s="951"/>
      <c r="F740" s="971"/>
      <c r="G740" s="121">
        <f>+G704+G720+G731</f>
        <v>46129</v>
      </c>
    </row>
    <row r="741" spans="1:8">
      <c r="A741" s="95"/>
      <c r="B741" s="972" t="s">
        <v>861</v>
      </c>
      <c r="C741" s="973"/>
      <c r="D741" s="973"/>
      <c r="E741" s="974"/>
      <c r="F741" s="128">
        <f>'MANO DE OBRA'!$D$59</f>
        <v>0</v>
      </c>
      <c r="G741" s="122">
        <f>ROUND(G740*F741,0)</f>
        <v>0</v>
      </c>
    </row>
    <row r="742" spans="1:8" ht="13.5" thickBot="1">
      <c r="A742" s="95"/>
      <c r="B742" s="975" t="s">
        <v>1049</v>
      </c>
      <c r="C742" s="976"/>
      <c r="D742" s="976"/>
      <c r="E742" s="976"/>
      <c r="F742" s="977"/>
      <c r="G742" s="118">
        <f>ROUND(G740+G741,-2)</f>
        <v>46100</v>
      </c>
      <c r="H742" s="505" t="s">
        <v>1670</v>
      </c>
    </row>
    <row r="743" spans="1:8" ht="13.5" thickTop="1">
      <c r="A743" s="95"/>
      <c r="B743" s="225" t="s">
        <v>303</v>
      </c>
      <c r="C743" s="843"/>
      <c r="D743" s="843"/>
      <c r="E743" s="843"/>
      <c r="F743" s="92" t="s">
        <v>781</v>
      </c>
      <c r="G743" s="93" t="s">
        <v>865</v>
      </c>
    </row>
    <row r="744" spans="1:8">
      <c r="A744" s="95"/>
      <c r="B744" s="226" t="s">
        <v>834</v>
      </c>
      <c r="C744" s="844" t="s">
        <v>1352</v>
      </c>
      <c r="D744" s="844"/>
      <c r="E744" s="844"/>
      <c r="F744" s="15" t="s">
        <v>833</v>
      </c>
      <c r="G744" s="165" t="str">
        <f>'MANO DE OBRA'!D61</f>
        <v>Agosto de 2010</v>
      </c>
    </row>
    <row r="745" spans="1:8" ht="27.75" customHeight="1" thickBot="1">
      <c r="A745" s="236"/>
      <c r="B745" s="240" t="s">
        <v>835</v>
      </c>
      <c r="C745" s="995" t="s">
        <v>1360</v>
      </c>
      <c r="D745" s="995"/>
      <c r="E745" s="995"/>
      <c r="F745" s="995"/>
      <c r="G745" s="996"/>
    </row>
    <row r="746" spans="1:8" ht="14.25" thickTop="1" thickBot="1">
      <c r="A746" s="95"/>
      <c r="B746" s="986"/>
      <c r="C746" s="986"/>
      <c r="D746" s="986"/>
      <c r="E746" s="986"/>
      <c r="F746" s="986"/>
      <c r="G746" s="986"/>
    </row>
    <row r="747" spans="1:8" ht="13.5" thickTop="1">
      <c r="A747" s="95"/>
      <c r="B747" s="950" t="s">
        <v>304</v>
      </c>
      <c r="C747" s="951"/>
      <c r="D747" s="951"/>
      <c r="E747" s="951"/>
      <c r="F747" s="951"/>
      <c r="G747" s="952"/>
    </row>
    <row r="748" spans="1:8">
      <c r="A748" s="95"/>
      <c r="B748" s="229"/>
      <c r="C748" s="97"/>
      <c r="D748" s="98" t="s">
        <v>301</v>
      </c>
      <c r="E748" s="98" t="s">
        <v>1072</v>
      </c>
      <c r="F748" s="99" t="s">
        <v>839</v>
      </c>
      <c r="G748" s="107" t="s">
        <v>840</v>
      </c>
    </row>
    <row r="749" spans="1:8">
      <c r="A749" s="95"/>
      <c r="B749" s="982" t="s">
        <v>838</v>
      </c>
      <c r="C749" s="983"/>
      <c r="D749" s="100" t="s">
        <v>308</v>
      </c>
      <c r="E749" s="100" t="s">
        <v>305</v>
      </c>
      <c r="F749" s="101" t="s">
        <v>306</v>
      </c>
      <c r="G749" s="108" t="s">
        <v>310</v>
      </c>
    </row>
    <row r="750" spans="1:8">
      <c r="A750" s="95"/>
      <c r="B750" s="230"/>
      <c r="C750" s="102"/>
      <c r="D750" s="103"/>
      <c r="E750" s="103" t="s">
        <v>309</v>
      </c>
      <c r="F750" s="104" t="s">
        <v>307</v>
      </c>
      <c r="G750" s="109"/>
    </row>
    <row r="751" spans="1:8">
      <c r="A751" s="127"/>
      <c r="B751" s="841" t="str">
        <f>'MAQUINARIA Y EQUIPOS'!$C$28</f>
        <v>HERRAMIENTAS MENORES</v>
      </c>
      <c r="C751" s="842"/>
      <c r="D751" s="87">
        <v>1</v>
      </c>
      <c r="E751" s="82">
        <f>ROUND(G783*0.05,0)</f>
        <v>869</v>
      </c>
      <c r="F751" s="81">
        <v>1</v>
      </c>
      <c r="G751" s="110">
        <f>ROUND(D751*E751/F751,0)</f>
        <v>869</v>
      </c>
    </row>
    <row r="752" spans="1:8">
      <c r="A752" s="95"/>
      <c r="B752" s="854"/>
      <c r="C752" s="855"/>
      <c r="D752" s="37"/>
      <c r="E752" s="129"/>
      <c r="F752" s="83"/>
      <c r="G752" s="111"/>
    </row>
    <row r="753" spans="1:8">
      <c r="A753" s="95"/>
      <c r="B753" s="854"/>
      <c r="C753" s="855"/>
      <c r="D753" s="37"/>
      <c r="E753" s="129"/>
      <c r="F753" s="83"/>
      <c r="G753" s="111"/>
    </row>
    <row r="754" spans="1:8">
      <c r="A754" s="95"/>
      <c r="B754" s="854" t="s">
        <v>841</v>
      </c>
      <c r="C754" s="855"/>
      <c r="D754" s="37"/>
      <c r="E754" s="82"/>
      <c r="F754" s="83"/>
      <c r="G754" s="111"/>
    </row>
    <row r="755" spans="1:8" ht="13.5" thickBot="1">
      <c r="A755" s="95"/>
      <c r="B755" s="942" t="s">
        <v>841</v>
      </c>
      <c r="C755" s="943"/>
      <c r="D755" s="77"/>
      <c r="E755" s="106"/>
      <c r="F755" s="86"/>
      <c r="G755" s="112"/>
    </row>
    <row r="756" spans="1:8" ht="14.25" thickTop="1" thickBot="1">
      <c r="A756" s="95"/>
      <c r="B756" s="946"/>
      <c r="C756" s="946"/>
      <c r="D756" s="946"/>
      <c r="E756" s="947"/>
      <c r="F756" s="119" t="s">
        <v>856</v>
      </c>
      <c r="G756" s="118">
        <f>SUM(G751:G755)</f>
        <v>869</v>
      </c>
    </row>
    <row r="757" spans="1:8" ht="14.25" thickTop="1" thickBot="1">
      <c r="A757" s="95"/>
      <c r="B757" s="970"/>
      <c r="C757" s="970"/>
      <c r="D757" s="970"/>
      <c r="E757" s="970"/>
      <c r="F757" s="970"/>
      <c r="G757" s="970"/>
    </row>
    <row r="758" spans="1:8" ht="13.5" thickTop="1">
      <c r="A758" s="95"/>
      <c r="B758" s="950" t="s">
        <v>311</v>
      </c>
      <c r="C758" s="951"/>
      <c r="D758" s="951"/>
      <c r="E758" s="951"/>
      <c r="F758" s="951"/>
      <c r="G758" s="952"/>
    </row>
    <row r="759" spans="1:8">
      <c r="A759" s="95"/>
      <c r="B759" s="978" t="s">
        <v>838</v>
      </c>
      <c r="C759" s="979"/>
      <c r="D759" s="98" t="s">
        <v>842</v>
      </c>
      <c r="E759" s="98" t="s">
        <v>853</v>
      </c>
      <c r="F759" s="99" t="s">
        <v>1047</v>
      </c>
      <c r="G759" s="107" t="s">
        <v>840</v>
      </c>
    </row>
    <row r="760" spans="1:8">
      <c r="A760" s="95"/>
      <c r="B760" s="230"/>
      <c r="C760" s="102"/>
      <c r="D760" s="100"/>
      <c r="E760" s="100" t="s">
        <v>312</v>
      </c>
      <c r="F760" s="101" t="s">
        <v>313</v>
      </c>
      <c r="G760" s="108" t="s">
        <v>314</v>
      </c>
    </row>
    <row r="761" spans="1:8">
      <c r="A761" s="123"/>
      <c r="B761" s="841" t="str">
        <f>MATERIALES2!$C$555</f>
        <v>VARILLA COPERWELL 2.40 M</v>
      </c>
      <c r="C761" s="842"/>
      <c r="D761" s="87" t="s">
        <v>865</v>
      </c>
      <c r="E761" s="81">
        <v>1</v>
      </c>
      <c r="F761" s="80">
        <f>MATERIALES2!$E$555</f>
        <v>26000</v>
      </c>
      <c r="G761" s="110">
        <f>ROUND(E761*F761,0)</f>
        <v>26000</v>
      </c>
    </row>
    <row r="762" spans="1:8">
      <c r="A762" s="123"/>
      <c r="B762" s="854" t="str">
        <f>MATERIALES2!$C$449</f>
        <v>ALAMBRE DESNUDO #14</v>
      </c>
      <c r="C762" s="855"/>
      <c r="D762" s="37" t="s">
        <v>1359</v>
      </c>
      <c r="E762" s="83">
        <v>3</v>
      </c>
      <c r="F762" s="82">
        <f>MATERIALES2!$E$449</f>
        <v>398</v>
      </c>
      <c r="G762" s="111">
        <f>ROUND(E762*F762,0)</f>
        <v>1194</v>
      </c>
    </row>
    <row r="763" spans="1:8">
      <c r="A763" s="123"/>
      <c r="B763" s="854" t="str">
        <f>MATERIALES2!$C$553</f>
        <v>TUBO PVC CONDUIT 3/4" x 3.0 M</v>
      </c>
      <c r="C763" s="855"/>
      <c r="D763" s="37" t="s">
        <v>865</v>
      </c>
      <c r="E763" s="83">
        <v>0.6</v>
      </c>
      <c r="F763" s="82">
        <f>MATERIALES2!$E$553</f>
        <v>6722</v>
      </c>
      <c r="G763" s="111">
        <f>ROUND(E763*F763,0)</f>
        <v>4033</v>
      </c>
    </row>
    <row r="764" spans="1:8">
      <c r="A764" s="123"/>
      <c r="B764" s="854" t="str">
        <f>MATERIALES2!$C$485</f>
        <v>CINTA AISLANTE 3M</v>
      </c>
      <c r="C764" s="855"/>
      <c r="D764" s="37" t="s">
        <v>865</v>
      </c>
      <c r="E764" s="83">
        <v>0.35</v>
      </c>
      <c r="F764" s="82">
        <f>MATERIALES2!$E$485</f>
        <v>5500</v>
      </c>
      <c r="G764" s="111">
        <f>ROUND(E764*F764,0)</f>
        <v>1925</v>
      </c>
    </row>
    <row r="765" spans="1:8">
      <c r="A765" s="123"/>
      <c r="B765" s="854"/>
      <c r="C765" s="855"/>
      <c r="D765" s="37"/>
      <c r="E765" s="83"/>
      <c r="F765" s="82"/>
      <c r="G765" s="111"/>
    </row>
    <row r="766" spans="1:8">
      <c r="A766" s="123"/>
      <c r="B766" s="854"/>
      <c r="C766" s="855"/>
      <c r="D766" s="37"/>
      <c r="E766" s="83"/>
      <c r="F766" s="82"/>
      <c r="G766" s="111"/>
    </row>
    <row r="767" spans="1:8">
      <c r="A767" s="123"/>
      <c r="B767" s="854"/>
      <c r="C767" s="855"/>
      <c r="D767" s="37"/>
      <c r="E767" s="83"/>
      <c r="F767" s="82"/>
      <c r="G767" s="111"/>
    </row>
    <row r="768" spans="1:8">
      <c r="A768" s="123"/>
      <c r="B768" s="854"/>
      <c r="C768" s="855"/>
      <c r="D768" s="37"/>
      <c r="E768" s="83"/>
      <c r="F768" s="82"/>
      <c r="G768" s="111"/>
      <c r="H768" s="505" t="s">
        <v>1670</v>
      </c>
    </row>
    <row r="769" spans="1:7" ht="13.5" thickBot="1">
      <c r="A769" s="123"/>
      <c r="B769" s="980"/>
      <c r="C769" s="981"/>
      <c r="D769" s="37"/>
      <c r="E769" s="83"/>
      <c r="F769" s="82"/>
      <c r="G769" s="111"/>
    </row>
    <row r="770" spans="1:7" ht="13.5" thickTop="1">
      <c r="A770" s="95"/>
      <c r="B770" s="946"/>
      <c r="C770" s="947"/>
      <c r="D770" s="801" t="s">
        <v>856</v>
      </c>
      <c r="E770" s="802"/>
      <c r="F770" s="9"/>
      <c r="G770" s="113">
        <f>SUM(G761:G769)</f>
        <v>33152</v>
      </c>
    </row>
    <row r="771" spans="1:7">
      <c r="A771" s="95"/>
      <c r="B771" s="948"/>
      <c r="C771" s="949"/>
      <c r="D771" s="801" t="s">
        <v>857</v>
      </c>
      <c r="E771" s="802"/>
      <c r="F771" s="79">
        <f>'MANO DE OBRA'!$D$60</f>
        <v>0.05</v>
      </c>
      <c r="G771" s="113">
        <f>ROUND(G770*F771,0)</f>
        <v>1658</v>
      </c>
    </row>
    <row r="772" spans="1:7" ht="13.5" thickBot="1">
      <c r="A772" s="95"/>
      <c r="B772" s="948"/>
      <c r="C772" s="949"/>
      <c r="D772" s="803" t="s">
        <v>320</v>
      </c>
      <c r="E772" s="804"/>
      <c r="F772" s="114"/>
      <c r="G772" s="118">
        <f>+G770+G771</f>
        <v>34810</v>
      </c>
    </row>
    <row r="773" spans="1:7" ht="14.25" thickTop="1" thickBot="1">
      <c r="A773" s="95"/>
      <c r="B773" s="970"/>
      <c r="C773" s="970"/>
      <c r="D773" s="970"/>
      <c r="E773" s="970"/>
      <c r="F773" s="970"/>
      <c r="G773" s="970"/>
    </row>
    <row r="774" spans="1:7" ht="13.5" thickTop="1">
      <c r="A774" s="95"/>
      <c r="B774" s="950" t="s">
        <v>858</v>
      </c>
      <c r="C774" s="951"/>
      <c r="D774" s="951"/>
      <c r="E774" s="951"/>
      <c r="F774" s="951"/>
      <c r="G774" s="952"/>
    </row>
    <row r="775" spans="1:7">
      <c r="A775" s="95"/>
      <c r="B775" s="978"/>
      <c r="C775" s="979"/>
      <c r="D775" s="98" t="s">
        <v>301</v>
      </c>
      <c r="E775" s="98" t="s">
        <v>859</v>
      </c>
      <c r="F775" s="99" t="s">
        <v>839</v>
      </c>
      <c r="G775" s="107" t="s">
        <v>840</v>
      </c>
    </row>
    <row r="776" spans="1:7">
      <c r="A776" s="95"/>
      <c r="B776" s="982" t="s">
        <v>838</v>
      </c>
      <c r="C776" s="983"/>
      <c r="D776" s="100" t="s">
        <v>316</v>
      </c>
      <c r="E776" s="100" t="s">
        <v>315</v>
      </c>
      <c r="F776" s="101" t="s">
        <v>306</v>
      </c>
      <c r="G776" s="108" t="s">
        <v>319</v>
      </c>
    </row>
    <row r="777" spans="1:7">
      <c r="A777" s="95"/>
      <c r="B777" s="230"/>
      <c r="C777" s="102"/>
      <c r="D777" s="103"/>
      <c r="E777" s="103" t="s">
        <v>317</v>
      </c>
      <c r="F777" s="104" t="s">
        <v>318</v>
      </c>
      <c r="G777" s="109"/>
    </row>
    <row r="778" spans="1:7">
      <c r="A778" s="95"/>
      <c r="B778" s="841" t="str">
        <f>'MANO DE OBRA'!$B$11</f>
        <v>AYUDANTE CUAD. TIPO BB</v>
      </c>
      <c r="C778" s="842"/>
      <c r="D778" s="87">
        <v>1</v>
      </c>
      <c r="E778" s="80">
        <f>'MANO DE OBRA'!$E$11</f>
        <v>43077</v>
      </c>
      <c r="F778" s="81">
        <v>7</v>
      </c>
      <c r="G778" s="110">
        <f>ROUND(D778*E778/F778,0)</f>
        <v>6154</v>
      </c>
    </row>
    <row r="779" spans="1:7">
      <c r="A779" s="95"/>
      <c r="B779" s="854" t="str">
        <f>'MANO DE OBRA'!$B$16</f>
        <v>OFICIAL CUAD. TIPO BB</v>
      </c>
      <c r="C779" s="855"/>
      <c r="D779" s="37">
        <v>1</v>
      </c>
      <c r="E779" s="82">
        <f>'MANO DE OBRA'!$E$16</f>
        <v>78577</v>
      </c>
      <c r="F779" s="83">
        <v>7</v>
      </c>
      <c r="G779" s="111">
        <f>ROUND(D779*E779/F779,0)</f>
        <v>11225</v>
      </c>
    </row>
    <row r="780" spans="1:7">
      <c r="A780" s="95"/>
      <c r="B780" s="854"/>
      <c r="C780" s="855"/>
      <c r="D780" s="89"/>
      <c r="E780" s="82"/>
      <c r="F780" s="83"/>
      <c r="G780" s="111"/>
    </row>
    <row r="781" spans="1:7">
      <c r="A781" s="95"/>
      <c r="B781" s="854" t="s">
        <v>841</v>
      </c>
      <c r="C781" s="855"/>
      <c r="D781" s="37"/>
      <c r="E781" s="82"/>
      <c r="F781" s="83"/>
      <c r="G781" s="111"/>
    </row>
    <row r="782" spans="1:7" ht="13.5" thickBot="1">
      <c r="A782" s="95"/>
      <c r="B782" s="980" t="s">
        <v>841</v>
      </c>
      <c r="C782" s="981"/>
      <c r="D782" s="77"/>
      <c r="E782" s="82"/>
      <c r="F782" s="86"/>
      <c r="G782" s="112"/>
    </row>
    <row r="783" spans="1:7" ht="14.25" thickTop="1" thickBot="1">
      <c r="A783" s="95"/>
      <c r="B783" s="946"/>
      <c r="C783" s="946"/>
      <c r="D783" s="946"/>
      <c r="E783" s="947"/>
      <c r="F783" s="120" t="s">
        <v>856</v>
      </c>
      <c r="G783" s="118">
        <f>SUM(G778:G782)</f>
        <v>17379</v>
      </c>
    </row>
    <row r="784" spans="1:7" ht="14.25" thickTop="1" thickBot="1">
      <c r="A784" s="95"/>
      <c r="B784" s="970"/>
      <c r="C784" s="970"/>
      <c r="D784" s="970"/>
      <c r="E784" s="970"/>
      <c r="F784" s="970"/>
      <c r="G784" s="970"/>
    </row>
    <row r="785" spans="1:8" ht="13.5" thickTop="1">
      <c r="A785" s="95"/>
      <c r="B785" s="950" t="s">
        <v>321</v>
      </c>
      <c r="C785" s="951"/>
      <c r="D785" s="951"/>
      <c r="E785" s="951"/>
      <c r="F785" s="951"/>
      <c r="G785" s="952"/>
    </row>
    <row r="786" spans="1:8">
      <c r="A786" s="95"/>
      <c r="B786" s="978" t="s">
        <v>838</v>
      </c>
      <c r="C786" s="979"/>
      <c r="D786" s="98" t="s">
        <v>301</v>
      </c>
      <c r="E786" s="98" t="s">
        <v>297</v>
      </c>
      <c r="F786" s="99" t="s">
        <v>839</v>
      </c>
      <c r="G786" s="107" t="s">
        <v>840</v>
      </c>
    </row>
    <row r="787" spans="1:8">
      <c r="A787" s="95"/>
      <c r="B787" s="230"/>
      <c r="C787" s="102"/>
      <c r="D787" s="103" t="s">
        <v>322</v>
      </c>
      <c r="E787" s="103" t="s">
        <v>323</v>
      </c>
      <c r="F787" s="104" t="s">
        <v>324</v>
      </c>
      <c r="G787" s="109" t="s">
        <v>325</v>
      </c>
    </row>
    <row r="788" spans="1:8">
      <c r="A788" s="95"/>
      <c r="B788" s="841"/>
      <c r="C788" s="842"/>
      <c r="D788" s="96"/>
      <c r="E788" s="96"/>
      <c r="F788" s="96"/>
      <c r="G788" s="116"/>
    </row>
    <row r="789" spans="1:8" ht="13.5" thickBot="1">
      <c r="A789" s="95"/>
      <c r="B789" s="980" t="s">
        <v>841</v>
      </c>
      <c r="C789" s="981"/>
      <c r="D789" s="77"/>
      <c r="E789" s="82"/>
      <c r="F789" s="86"/>
      <c r="G789" s="112"/>
    </row>
    <row r="790" spans="1:8" ht="14.25" thickTop="1" thickBot="1">
      <c r="A790" s="95"/>
      <c r="B790" s="946"/>
      <c r="C790" s="946"/>
      <c r="D790" s="946"/>
      <c r="E790" s="947"/>
      <c r="F790" s="120" t="s">
        <v>856</v>
      </c>
      <c r="G790" s="118">
        <f>SUM(G785:G789)</f>
        <v>0</v>
      </c>
    </row>
    <row r="791" spans="1:8" ht="14.25" thickTop="1" thickBot="1">
      <c r="A791" s="95"/>
      <c r="B791" s="970"/>
      <c r="C791" s="970"/>
      <c r="D791" s="970"/>
      <c r="E791" s="970"/>
      <c r="F791" s="970"/>
      <c r="G791" s="943"/>
    </row>
    <row r="792" spans="1:8" ht="13.5" thickTop="1">
      <c r="A792" s="95"/>
      <c r="B792" s="950" t="s">
        <v>326</v>
      </c>
      <c r="C792" s="951"/>
      <c r="D792" s="951"/>
      <c r="E792" s="951"/>
      <c r="F792" s="971"/>
      <c r="G792" s="121">
        <f>+G756+G772+G783</f>
        <v>53058</v>
      </c>
    </row>
    <row r="793" spans="1:8">
      <c r="A793" s="95"/>
      <c r="B793" s="972" t="s">
        <v>861</v>
      </c>
      <c r="C793" s="973"/>
      <c r="D793" s="973"/>
      <c r="E793" s="974"/>
      <c r="F793" s="128">
        <f>'MANO DE OBRA'!$D$59</f>
        <v>0</v>
      </c>
      <c r="G793" s="122">
        <f>ROUND(G792*F793,0)</f>
        <v>0</v>
      </c>
    </row>
    <row r="794" spans="1:8" ht="13.5" thickBot="1">
      <c r="A794" s="95"/>
      <c r="B794" s="975" t="s">
        <v>1049</v>
      </c>
      <c r="C794" s="976"/>
      <c r="D794" s="976"/>
      <c r="E794" s="976"/>
      <c r="F794" s="977"/>
      <c r="G794" s="118">
        <f>ROUND(G792+G793,-2)</f>
        <v>53100</v>
      </c>
      <c r="H794" s="505" t="s">
        <v>1670</v>
      </c>
    </row>
    <row r="795" spans="1:8" ht="13.5" thickTop="1">
      <c r="A795" s="95"/>
      <c r="B795" s="225" t="s">
        <v>303</v>
      </c>
      <c r="C795" s="843"/>
      <c r="D795" s="843"/>
      <c r="E795" s="843"/>
      <c r="F795" s="92" t="s">
        <v>781</v>
      </c>
      <c r="G795" s="93" t="s">
        <v>865</v>
      </c>
    </row>
    <row r="796" spans="1:8">
      <c r="A796" s="95"/>
      <c r="B796" s="226" t="s">
        <v>834</v>
      </c>
      <c r="C796" s="844" t="s">
        <v>1352</v>
      </c>
      <c r="D796" s="844"/>
      <c r="E796" s="844"/>
      <c r="F796" s="15" t="s">
        <v>833</v>
      </c>
      <c r="G796" s="165" t="str">
        <f>'MANO DE OBRA'!D61</f>
        <v>Agosto de 2010</v>
      </c>
    </row>
    <row r="797" spans="1:8" ht="27.75" customHeight="1" thickBot="1">
      <c r="A797" s="236"/>
      <c r="B797" s="240" t="s">
        <v>835</v>
      </c>
      <c r="C797" s="995" t="s">
        <v>1361</v>
      </c>
      <c r="D797" s="995"/>
      <c r="E797" s="995"/>
      <c r="F797" s="995"/>
      <c r="G797" s="996"/>
    </row>
    <row r="798" spans="1:8" ht="14.25" thickTop="1" thickBot="1">
      <c r="A798" s="95"/>
      <c r="B798" s="986"/>
      <c r="C798" s="986"/>
      <c r="D798" s="986"/>
      <c r="E798" s="986"/>
      <c r="F798" s="986"/>
      <c r="G798" s="986"/>
    </row>
    <row r="799" spans="1:8" ht="13.5" thickTop="1">
      <c r="A799" s="95"/>
      <c r="B799" s="950" t="s">
        <v>304</v>
      </c>
      <c r="C799" s="951"/>
      <c r="D799" s="951"/>
      <c r="E799" s="951"/>
      <c r="F799" s="951"/>
      <c r="G799" s="952"/>
    </row>
    <row r="800" spans="1:8">
      <c r="A800" s="95"/>
      <c r="B800" s="229"/>
      <c r="C800" s="97"/>
      <c r="D800" s="98" t="s">
        <v>301</v>
      </c>
      <c r="E800" s="98" t="s">
        <v>1072</v>
      </c>
      <c r="F800" s="99" t="s">
        <v>839</v>
      </c>
      <c r="G800" s="107" t="s">
        <v>840</v>
      </c>
    </row>
    <row r="801" spans="1:7">
      <c r="A801" s="95"/>
      <c r="B801" s="982" t="s">
        <v>838</v>
      </c>
      <c r="C801" s="983"/>
      <c r="D801" s="100" t="s">
        <v>308</v>
      </c>
      <c r="E801" s="100" t="s">
        <v>305</v>
      </c>
      <c r="F801" s="101" t="s">
        <v>306</v>
      </c>
      <c r="G801" s="108" t="s">
        <v>310</v>
      </c>
    </row>
    <row r="802" spans="1:7">
      <c r="A802" s="95"/>
      <c r="B802" s="230"/>
      <c r="C802" s="102"/>
      <c r="D802" s="103"/>
      <c r="E802" s="103" t="s">
        <v>309</v>
      </c>
      <c r="F802" s="104" t="s">
        <v>307</v>
      </c>
      <c r="G802" s="109"/>
    </row>
    <row r="803" spans="1:7">
      <c r="A803" s="127"/>
      <c r="B803" s="841" t="str">
        <f>'MAQUINARIA Y EQUIPOS'!$C$28</f>
        <v>HERRAMIENTAS MENORES</v>
      </c>
      <c r="C803" s="842"/>
      <c r="D803" s="87">
        <v>1</v>
      </c>
      <c r="E803" s="82">
        <f>ROUND(G835*0.05,0)</f>
        <v>2740</v>
      </c>
      <c r="F803" s="81">
        <v>1</v>
      </c>
      <c r="G803" s="110">
        <f>ROUND(D803*E803/F803,0)</f>
        <v>2740</v>
      </c>
    </row>
    <row r="804" spans="1:7">
      <c r="A804" s="95"/>
      <c r="B804" s="854"/>
      <c r="C804" s="855"/>
      <c r="D804" s="37"/>
      <c r="E804" s="129"/>
      <c r="F804" s="83"/>
      <c r="G804" s="111"/>
    </row>
    <row r="805" spans="1:7">
      <c r="A805" s="95"/>
      <c r="B805" s="854"/>
      <c r="C805" s="855"/>
      <c r="D805" s="37"/>
      <c r="E805" s="129"/>
      <c r="F805" s="83"/>
      <c r="G805" s="111"/>
    </row>
    <row r="806" spans="1:7">
      <c r="A806" s="95"/>
      <c r="B806" s="854" t="s">
        <v>841</v>
      </c>
      <c r="C806" s="855"/>
      <c r="D806" s="37"/>
      <c r="E806" s="82"/>
      <c r="F806" s="83"/>
      <c r="G806" s="111"/>
    </row>
    <row r="807" spans="1:7" ht="13.5" thickBot="1">
      <c r="A807" s="95"/>
      <c r="B807" s="942" t="s">
        <v>841</v>
      </c>
      <c r="C807" s="943"/>
      <c r="D807" s="77"/>
      <c r="E807" s="106"/>
      <c r="F807" s="86"/>
      <c r="G807" s="112"/>
    </row>
    <row r="808" spans="1:7" ht="14.25" thickTop="1" thickBot="1">
      <c r="A808" s="95"/>
      <c r="B808" s="946"/>
      <c r="C808" s="946"/>
      <c r="D808" s="946"/>
      <c r="E808" s="947"/>
      <c r="F808" s="119" t="s">
        <v>856</v>
      </c>
      <c r="G808" s="118">
        <f>SUM(G803:G807)</f>
        <v>2740</v>
      </c>
    </row>
    <row r="809" spans="1:7" ht="14.25" thickTop="1" thickBot="1">
      <c r="A809" s="95"/>
      <c r="B809" s="970"/>
      <c r="C809" s="970"/>
      <c r="D809" s="970"/>
      <c r="E809" s="970"/>
      <c r="F809" s="970"/>
      <c r="G809" s="970"/>
    </row>
    <row r="810" spans="1:7" ht="13.5" thickTop="1">
      <c r="A810" s="95"/>
      <c r="B810" s="950" t="s">
        <v>311</v>
      </c>
      <c r="C810" s="951"/>
      <c r="D810" s="951"/>
      <c r="E810" s="951"/>
      <c r="F810" s="951"/>
      <c r="G810" s="952"/>
    </row>
    <row r="811" spans="1:7">
      <c r="A811" s="95"/>
      <c r="B811" s="978" t="s">
        <v>838</v>
      </c>
      <c r="C811" s="979"/>
      <c r="D811" s="98" t="s">
        <v>842</v>
      </c>
      <c r="E811" s="98" t="s">
        <v>853</v>
      </c>
      <c r="F811" s="99" t="s">
        <v>1047</v>
      </c>
      <c r="G811" s="107" t="s">
        <v>840</v>
      </c>
    </row>
    <row r="812" spans="1:7">
      <c r="A812" s="95"/>
      <c r="B812" s="230"/>
      <c r="C812" s="102"/>
      <c r="D812" s="100"/>
      <c r="E812" s="100" t="s">
        <v>312</v>
      </c>
      <c r="F812" s="101" t="s">
        <v>313</v>
      </c>
      <c r="G812" s="108" t="s">
        <v>314</v>
      </c>
    </row>
    <row r="813" spans="1:7">
      <c r="A813" s="123"/>
      <c r="B813" s="841" t="str">
        <f>MATERIALES2!$C$532</f>
        <v>TABLERO 4 CIRCUITOS MONOFASICO</v>
      </c>
      <c r="C813" s="842"/>
      <c r="D813" s="87" t="s">
        <v>865</v>
      </c>
      <c r="E813" s="81">
        <v>1</v>
      </c>
      <c r="F813" s="80">
        <f>MATERIALES2!$E$532</f>
        <v>9500</v>
      </c>
      <c r="G813" s="110">
        <f>ROUND(E813*F813,0)</f>
        <v>9500</v>
      </c>
    </row>
    <row r="814" spans="1:7">
      <c r="A814" s="123"/>
      <c r="B814" s="854" t="str">
        <f>MATERIALES2!$C$452</f>
        <v>BREAKER 15 A/20 A</v>
      </c>
      <c r="C814" s="855"/>
      <c r="D814" s="37" t="s">
        <v>865</v>
      </c>
      <c r="E814" s="83">
        <v>4</v>
      </c>
      <c r="F814" s="82">
        <f>MATERIALES2!$E$452</f>
        <v>10000</v>
      </c>
      <c r="G814" s="111">
        <f>ROUND(E814*F814,0)</f>
        <v>40000</v>
      </c>
    </row>
    <row r="815" spans="1:7">
      <c r="A815" s="123"/>
      <c r="B815" s="854"/>
      <c r="C815" s="855"/>
      <c r="D815" s="37"/>
      <c r="E815" s="83"/>
      <c r="F815" s="82"/>
      <c r="G815" s="111"/>
    </row>
    <row r="816" spans="1:7">
      <c r="A816" s="123"/>
      <c r="B816" s="854"/>
      <c r="C816" s="855"/>
      <c r="D816" s="37"/>
      <c r="E816" s="83"/>
      <c r="F816" s="82"/>
      <c r="G816" s="111"/>
    </row>
    <row r="817" spans="1:8">
      <c r="A817" s="123"/>
      <c r="B817" s="854"/>
      <c r="C817" s="855"/>
      <c r="D817" s="37"/>
      <c r="E817" s="83"/>
      <c r="F817" s="82"/>
      <c r="G817" s="111"/>
    </row>
    <row r="818" spans="1:8">
      <c r="A818" s="123"/>
      <c r="B818" s="854"/>
      <c r="C818" s="855"/>
      <c r="D818" s="37"/>
      <c r="E818" s="83"/>
      <c r="F818" s="82"/>
      <c r="G818" s="111"/>
    </row>
    <row r="819" spans="1:8">
      <c r="A819" s="123"/>
      <c r="B819" s="854"/>
      <c r="C819" s="855"/>
      <c r="D819" s="37"/>
      <c r="E819" s="83"/>
      <c r="F819" s="82"/>
      <c r="G819" s="111"/>
    </row>
    <row r="820" spans="1:8">
      <c r="A820" s="123"/>
      <c r="B820" s="854"/>
      <c r="C820" s="855"/>
      <c r="D820" s="37"/>
      <c r="E820" s="83"/>
      <c r="F820" s="82"/>
      <c r="G820" s="111"/>
      <c r="H820" s="505" t="s">
        <v>1670</v>
      </c>
    </row>
    <row r="821" spans="1:8" ht="13.5" thickBot="1">
      <c r="A821" s="123"/>
      <c r="B821" s="980"/>
      <c r="C821" s="981"/>
      <c r="D821" s="37"/>
      <c r="E821" s="83"/>
      <c r="F821" s="82"/>
      <c r="G821" s="111"/>
    </row>
    <row r="822" spans="1:8" ht="13.5" thickTop="1">
      <c r="A822" s="95"/>
      <c r="B822" s="946"/>
      <c r="C822" s="947"/>
      <c r="D822" s="801" t="s">
        <v>856</v>
      </c>
      <c r="E822" s="802"/>
      <c r="F822" s="9"/>
      <c r="G822" s="113">
        <f>SUM(G813:G821)</f>
        <v>49500</v>
      </c>
    </row>
    <row r="823" spans="1:8">
      <c r="A823" s="95"/>
      <c r="B823" s="948"/>
      <c r="C823" s="949"/>
      <c r="D823" s="801" t="s">
        <v>857</v>
      </c>
      <c r="E823" s="802"/>
      <c r="F823" s="79">
        <f>'MANO DE OBRA'!$D$60</f>
        <v>0.05</v>
      </c>
      <c r="G823" s="113">
        <f>ROUND(G822*F823,0)</f>
        <v>2475</v>
      </c>
    </row>
    <row r="824" spans="1:8" ht="13.5" thickBot="1">
      <c r="A824" s="95"/>
      <c r="B824" s="948"/>
      <c r="C824" s="949"/>
      <c r="D824" s="803" t="s">
        <v>320</v>
      </c>
      <c r="E824" s="804"/>
      <c r="F824" s="114"/>
      <c r="G824" s="118">
        <f>+G822+G823</f>
        <v>51975</v>
      </c>
    </row>
    <row r="825" spans="1:8" ht="14.25" thickTop="1" thickBot="1">
      <c r="A825" s="95"/>
      <c r="B825" s="970"/>
      <c r="C825" s="970"/>
      <c r="D825" s="970"/>
      <c r="E825" s="970"/>
      <c r="F825" s="970"/>
      <c r="G825" s="970"/>
    </row>
    <row r="826" spans="1:8" ht="13.5" thickTop="1">
      <c r="A826" s="95"/>
      <c r="B826" s="950" t="s">
        <v>858</v>
      </c>
      <c r="C826" s="951"/>
      <c r="D826" s="951"/>
      <c r="E826" s="951"/>
      <c r="F826" s="951"/>
      <c r="G826" s="952"/>
    </row>
    <row r="827" spans="1:8">
      <c r="A827" s="95"/>
      <c r="B827" s="978"/>
      <c r="C827" s="979"/>
      <c r="D827" s="98" t="s">
        <v>301</v>
      </c>
      <c r="E827" s="98" t="s">
        <v>859</v>
      </c>
      <c r="F827" s="99" t="s">
        <v>839</v>
      </c>
      <c r="G827" s="107" t="s">
        <v>840</v>
      </c>
    </row>
    <row r="828" spans="1:8">
      <c r="A828" s="95"/>
      <c r="B828" s="982" t="s">
        <v>838</v>
      </c>
      <c r="C828" s="983"/>
      <c r="D828" s="100" t="s">
        <v>316</v>
      </c>
      <c r="E828" s="100" t="s">
        <v>315</v>
      </c>
      <c r="F828" s="101" t="s">
        <v>306</v>
      </c>
      <c r="G828" s="108" t="s">
        <v>319</v>
      </c>
    </row>
    <row r="829" spans="1:8">
      <c r="A829" s="95"/>
      <c r="B829" s="230"/>
      <c r="C829" s="102"/>
      <c r="D829" s="103"/>
      <c r="E829" s="103" t="s">
        <v>317</v>
      </c>
      <c r="F829" s="104" t="s">
        <v>318</v>
      </c>
      <c r="G829" s="109"/>
    </row>
    <row r="830" spans="1:8">
      <c r="A830" s="95"/>
      <c r="B830" s="841" t="str">
        <f>'MANO DE OBRA'!$B$11</f>
        <v>AYUDANTE CUAD. TIPO BB</v>
      </c>
      <c r="C830" s="842"/>
      <c r="D830" s="87">
        <v>1</v>
      </c>
      <c r="E830" s="80">
        <f>'MANO DE OBRA'!$E$11</f>
        <v>43077</v>
      </c>
      <c r="F830" s="81">
        <v>2.2200000000000002</v>
      </c>
      <c r="G830" s="110">
        <f>ROUND(D830*E830/F830,0)</f>
        <v>19404</v>
      </c>
    </row>
    <row r="831" spans="1:8">
      <c r="A831" s="95"/>
      <c r="B831" s="854" t="str">
        <f>'MANO DE OBRA'!$B$16</f>
        <v>OFICIAL CUAD. TIPO BB</v>
      </c>
      <c r="C831" s="855"/>
      <c r="D831" s="37">
        <v>1</v>
      </c>
      <c r="E831" s="82">
        <f>'MANO DE OBRA'!$E$16</f>
        <v>78577</v>
      </c>
      <c r="F831" s="83">
        <v>2.2200000000000002</v>
      </c>
      <c r="G831" s="111">
        <f>ROUND(D831*E831/F831,0)</f>
        <v>35395</v>
      </c>
    </row>
    <row r="832" spans="1:8">
      <c r="A832" s="95"/>
      <c r="B832" s="854"/>
      <c r="C832" s="855"/>
      <c r="D832" s="89"/>
      <c r="E832" s="82"/>
      <c r="F832" s="83"/>
      <c r="G832" s="111"/>
    </row>
    <row r="833" spans="1:8">
      <c r="A833" s="95"/>
      <c r="B833" s="854" t="s">
        <v>841</v>
      </c>
      <c r="C833" s="855"/>
      <c r="D833" s="37"/>
      <c r="E833" s="82"/>
      <c r="F833" s="83"/>
      <c r="G833" s="111"/>
    </row>
    <row r="834" spans="1:8" ht="13.5" thickBot="1">
      <c r="A834" s="95"/>
      <c r="B834" s="980" t="s">
        <v>841</v>
      </c>
      <c r="C834" s="981"/>
      <c r="D834" s="77"/>
      <c r="E834" s="82"/>
      <c r="F834" s="86"/>
      <c r="G834" s="112"/>
    </row>
    <row r="835" spans="1:8" ht="14.25" thickTop="1" thickBot="1">
      <c r="A835" s="95"/>
      <c r="B835" s="946"/>
      <c r="C835" s="946"/>
      <c r="D835" s="946"/>
      <c r="E835" s="947"/>
      <c r="F835" s="120" t="s">
        <v>856</v>
      </c>
      <c r="G835" s="118">
        <f>SUM(G830:G834)</f>
        <v>54799</v>
      </c>
    </row>
    <row r="836" spans="1:8" ht="14.25" thickTop="1" thickBot="1">
      <c r="A836" s="95"/>
      <c r="B836" s="970"/>
      <c r="C836" s="970"/>
      <c r="D836" s="970"/>
      <c r="E836" s="970"/>
      <c r="F836" s="970"/>
      <c r="G836" s="970"/>
    </row>
    <row r="837" spans="1:8" ht="13.5" thickTop="1">
      <c r="A837" s="95"/>
      <c r="B837" s="950" t="s">
        <v>321</v>
      </c>
      <c r="C837" s="951"/>
      <c r="D837" s="951"/>
      <c r="E837" s="951"/>
      <c r="F837" s="951"/>
      <c r="G837" s="952"/>
    </row>
    <row r="838" spans="1:8">
      <c r="A838" s="95"/>
      <c r="B838" s="978" t="s">
        <v>838</v>
      </c>
      <c r="C838" s="979"/>
      <c r="D838" s="98" t="s">
        <v>301</v>
      </c>
      <c r="E838" s="98" t="s">
        <v>297</v>
      </c>
      <c r="F838" s="99" t="s">
        <v>839</v>
      </c>
      <c r="G838" s="107" t="s">
        <v>840</v>
      </c>
    </row>
    <row r="839" spans="1:8">
      <c r="A839" s="95"/>
      <c r="B839" s="230"/>
      <c r="C839" s="102"/>
      <c r="D839" s="103" t="s">
        <v>322</v>
      </c>
      <c r="E839" s="103" t="s">
        <v>323</v>
      </c>
      <c r="F839" s="104" t="s">
        <v>324</v>
      </c>
      <c r="G839" s="109" t="s">
        <v>325</v>
      </c>
    </row>
    <row r="840" spans="1:8">
      <c r="A840" s="95"/>
      <c r="B840" s="841"/>
      <c r="C840" s="842"/>
      <c r="D840" s="96"/>
      <c r="E840" s="96"/>
      <c r="F840" s="96"/>
      <c r="G840" s="116"/>
    </row>
    <row r="841" spans="1:8" ht="13.5" thickBot="1">
      <c r="A841" s="95"/>
      <c r="B841" s="980" t="s">
        <v>841</v>
      </c>
      <c r="C841" s="981"/>
      <c r="D841" s="77"/>
      <c r="E841" s="82"/>
      <c r="F841" s="86"/>
      <c r="G841" s="112"/>
    </row>
    <row r="842" spans="1:8" ht="14.25" thickTop="1" thickBot="1">
      <c r="A842" s="95"/>
      <c r="B842" s="946"/>
      <c r="C842" s="946"/>
      <c r="D842" s="946"/>
      <c r="E842" s="947"/>
      <c r="F842" s="120" t="s">
        <v>856</v>
      </c>
      <c r="G842" s="118">
        <f>SUM(G837:G841)</f>
        <v>0</v>
      </c>
    </row>
    <row r="843" spans="1:8" ht="14.25" thickTop="1" thickBot="1">
      <c r="A843" s="95"/>
      <c r="B843" s="970"/>
      <c r="C843" s="970"/>
      <c r="D843" s="970"/>
      <c r="E843" s="970"/>
      <c r="F843" s="970"/>
      <c r="G843" s="943"/>
    </row>
    <row r="844" spans="1:8" ht="13.5" thickTop="1">
      <c r="A844" s="95"/>
      <c r="B844" s="950" t="s">
        <v>326</v>
      </c>
      <c r="C844" s="951"/>
      <c r="D844" s="951"/>
      <c r="E844" s="951"/>
      <c r="F844" s="971"/>
      <c r="G844" s="121">
        <f>+G808+G824+G835</f>
        <v>109514</v>
      </c>
    </row>
    <row r="845" spans="1:8">
      <c r="A845" s="95"/>
      <c r="B845" s="972" t="s">
        <v>861</v>
      </c>
      <c r="C845" s="973"/>
      <c r="D845" s="973"/>
      <c r="E845" s="974"/>
      <c r="F845" s="128">
        <f>'MANO DE OBRA'!$D$59</f>
        <v>0</v>
      </c>
      <c r="G845" s="122">
        <f>ROUND(G844*F845,0)</f>
        <v>0</v>
      </c>
    </row>
    <row r="846" spans="1:8" ht="13.5" thickBot="1">
      <c r="A846" s="95"/>
      <c r="B846" s="975" t="s">
        <v>1049</v>
      </c>
      <c r="C846" s="976"/>
      <c r="D846" s="976"/>
      <c r="E846" s="976"/>
      <c r="F846" s="977"/>
      <c r="G846" s="118">
        <f>ROUND(G844+G845,-2)</f>
        <v>109500</v>
      </c>
      <c r="H846" s="505" t="s">
        <v>1670</v>
      </c>
    </row>
    <row r="847" spans="1:8" ht="13.5" thickTop="1">
      <c r="A847" s="95"/>
      <c r="B847" s="225" t="s">
        <v>303</v>
      </c>
      <c r="C847" s="843"/>
      <c r="D847" s="843"/>
      <c r="E847" s="843"/>
      <c r="F847" s="92" t="s">
        <v>781</v>
      </c>
      <c r="G847" s="93" t="s">
        <v>865</v>
      </c>
    </row>
    <row r="848" spans="1:8">
      <c r="A848" s="95"/>
      <c r="B848" s="226" t="s">
        <v>834</v>
      </c>
      <c r="C848" s="844" t="s">
        <v>1352</v>
      </c>
      <c r="D848" s="844"/>
      <c r="E848" s="844"/>
      <c r="F848" s="15" t="s">
        <v>833</v>
      </c>
      <c r="G848" s="165" t="str">
        <f>'MANO DE OBRA'!D61</f>
        <v>Agosto de 2010</v>
      </c>
    </row>
    <row r="849" spans="1:7" ht="13.5" thickBot="1">
      <c r="A849" s="236"/>
      <c r="B849" s="240" t="s">
        <v>835</v>
      </c>
      <c r="C849" s="995" t="s">
        <v>1362</v>
      </c>
      <c r="D849" s="995"/>
      <c r="E849" s="995"/>
      <c r="F849" s="995"/>
      <c r="G849" s="996"/>
    </row>
    <row r="850" spans="1:7" ht="14.25" thickTop="1" thickBot="1">
      <c r="A850" s="95"/>
      <c r="B850" s="986"/>
      <c r="C850" s="986"/>
      <c r="D850" s="986"/>
      <c r="E850" s="986"/>
      <c r="F850" s="986"/>
      <c r="G850" s="986"/>
    </row>
    <row r="851" spans="1:7" ht="13.5" thickTop="1">
      <c r="A851" s="95"/>
      <c r="B851" s="950" t="s">
        <v>304</v>
      </c>
      <c r="C851" s="951"/>
      <c r="D851" s="951"/>
      <c r="E851" s="951"/>
      <c r="F851" s="951"/>
      <c r="G851" s="952"/>
    </row>
    <row r="852" spans="1:7">
      <c r="A852" s="95"/>
      <c r="B852" s="229"/>
      <c r="C852" s="97"/>
      <c r="D852" s="98" t="s">
        <v>301</v>
      </c>
      <c r="E852" s="98" t="s">
        <v>1072</v>
      </c>
      <c r="F852" s="99" t="s">
        <v>839</v>
      </c>
      <c r="G852" s="107" t="s">
        <v>840</v>
      </c>
    </row>
    <row r="853" spans="1:7">
      <c r="A853" s="95"/>
      <c r="B853" s="982" t="s">
        <v>838</v>
      </c>
      <c r="C853" s="983"/>
      <c r="D853" s="100" t="s">
        <v>308</v>
      </c>
      <c r="E853" s="100" t="s">
        <v>305</v>
      </c>
      <c r="F853" s="101" t="s">
        <v>306</v>
      </c>
      <c r="G853" s="108" t="s">
        <v>310</v>
      </c>
    </row>
    <row r="854" spans="1:7">
      <c r="A854" s="95"/>
      <c r="B854" s="230"/>
      <c r="C854" s="102"/>
      <c r="D854" s="103"/>
      <c r="E854" s="103" t="s">
        <v>309</v>
      </c>
      <c r="F854" s="104" t="s">
        <v>307</v>
      </c>
      <c r="G854" s="109"/>
    </row>
    <row r="855" spans="1:7">
      <c r="A855" s="127"/>
      <c r="B855" s="841" t="str">
        <f>'MAQUINARIA Y EQUIPOS'!$C$28</f>
        <v>HERRAMIENTAS MENORES</v>
      </c>
      <c r="C855" s="842"/>
      <c r="D855" s="87">
        <v>1</v>
      </c>
      <c r="E855" s="82">
        <f>ROUND(G888*0.05,0)</f>
        <v>4055</v>
      </c>
      <c r="F855" s="81">
        <v>1</v>
      </c>
      <c r="G855" s="110">
        <f>ROUND(D855*E855/F855,0)</f>
        <v>4055</v>
      </c>
    </row>
    <row r="856" spans="1:7">
      <c r="A856" s="95"/>
      <c r="B856" s="854"/>
      <c r="C856" s="855"/>
      <c r="D856" s="37"/>
      <c r="E856" s="129"/>
      <c r="F856" s="83"/>
      <c r="G856" s="111"/>
    </row>
    <row r="857" spans="1:7">
      <c r="A857" s="95"/>
      <c r="B857" s="938"/>
      <c r="C857" s="939"/>
      <c r="D857" s="37"/>
      <c r="E857" s="129"/>
      <c r="F857" s="83"/>
      <c r="G857" s="111"/>
    </row>
    <row r="858" spans="1:7">
      <c r="A858" s="95"/>
      <c r="B858" s="854"/>
      <c r="C858" s="855"/>
      <c r="D858" s="37"/>
      <c r="E858" s="129"/>
      <c r="F858" s="83"/>
      <c r="G858" s="111"/>
    </row>
    <row r="859" spans="1:7">
      <c r="A859" s="95"/>
      <c r="B859" s="854" t="s">
        <v>841</v>
      </c>
      <c r="C859" s="855"/>
      <c r="D859" s="37"/>
      <c r="E859" s="82"/>
      <c r="F859" s="83"/>
      <c r="G859" s="111"/>
    </row>
    <row r="860" spans="1:7" ht="13.5" thickBot="1">
      <c r="A860" s="95"/>
      <c r="B860" s="942" t="s">
        <v>841</v>
      </c>
      <c r="C860" s="943"/>
      <c r="D860" s="77"/>
      <c r="E860" s="106"/>
      <c r="F860" s="86"/>
      <c r="G860" s="112"/>
    </row>
    <row r="861" spans="1:7" ht="14.25" thickTop="1" thickBot="1">
      <c r="A861" s="95"/>
      <c r="B861" s="946"/>
      <c r="C861" s="946"/>
      <c r="D861" s="946"/>
      <c r="E861" s="947"/>
      <c r="F861" s="119" t="s">
        <v>856</v>
      </c>
      <c r="G861" s="118">
        <f>SUM(G855:G860)</f>
        <v>4055</v>
      </c>
    </row>
    <row r="862" spans="1:7" ht="14.25" thickTop="1" thickBot="1">
      <c r="A862" s="95"/>
      <c r="B862" s="970"/>
      <c r="C862" s="970"/>
      <c r="D862" s="970"/>
      <c r="E862" s="970"/>
      <c r="F862" s="970"/>
      <c r="G862" s="970"/>
    </row>
    <row r="863" spans="1:7" ht="13.5" thickTop="1">
      <c r="A863" s="95"/>
      <c r="B863" s="950" t="s">
        <v>311</v>
      </c>
      <c r="C863" s="951"/>
      <c r="D863" s="951"/>
      <c r="E863" s="951"/>
      <c r="F863" s="951"/>
      <c r="G863" s="952"/>
    </row>
    <row r="864" spans="1:7">
      <c r="A864" s="95"/>
      <c r="B864" s="978" t="s">
        <v>838</v>
      </c>
      <c r="C864" s="979"/>
      <c r="D864" s="98" t="s">
        <v>842</v>
      </c>
      <c r="E864" s="98" t="s">
        <v>853</v>
      </c>
      <c r="F864" s="99" t="s">
        <v>1047</v>
      </c>
      <c r="G864" s="107" t="s">
        <v>840</v>
      </c>
    </row>
    <row r="865" spans="1:8">
      <c r="A865" s="95"/>
      <c r="B865" s="230"/>
      <c r="C865" s="102"/>
      <c r="D865" s="100"/>
      <c r="E865" s="100" t="s">
        <v>312</v>
      </c>
      <c r="F865" s="101" t="s">
        <v>313</v>
      </c>
      <c r="G865" s="108" t="s">
        <v>314</v>
      </c>
    </row>
    <row r="866" spans="1:8">
      <c r="A866" s="123"/>
      <c r="B866" s="841" t="str">
        <f>MATERIALES2!$C$530</f>
        <v>TABLERO 6 CIRCUITOS TRIFILAR</v>
      </c>
      <c r="C866" s="842"/>
      <c r="D866" s="87" t="s">
        <v>865</v>
      </c>
      <c r="E866" s="81">
        <v>1</v>
      </c>
      <c r="F866" s="80">
        <f>MATERIALES2!$E$530</f>
        <v>16000</v>
      </c>
      <c r="G866" s="110">
        <f>ROUND(E866*F866,0)</f>
        <v>16000</v>
      </c>
    </row>
    <row r="867" spans="1:8">
      <c r="A867" s="123"/>
      <c r="B867" s="854" t="str">
        <f>MATERIALES2!$C$452</f>
        <v>BREAKER 15 A/20 A</v>
      </c>
      <c r="C867" s="855"/>
      <c r="D867" s="37" t="s">
        <v>865</v>
      </c>
      <c r="E867" s="83">
        <v>6</v>
      </c>
      <c r="F867" s="82">
        <f>MATERIALES2!$E$452</f>
        <v>10000</v>
      </c>
      <c r="G867" s="111">
        <f>ROUND(E867*F867,0)</f>
        <v>60000</v>
      </c>
    </row>
    <row r="868" spans="1:8">
      <c r="A868" s="123"/>
      <c r="B868" s="854"/>
      <c r="C868" s="855"/>
      <c r="D868" s="37"/>
      <c r="E868" s="83"/>
      <c r="F868" s="82"/>
      <c r="G868" s="111"/>
    </row>
    <row r="869" spans="1:8">
      <c r="A869" s="123"/>
      <c r="B869" s="854"/>
      <c r="C869" s="855"/>
      <c r="D869" s="37"/>
      <c r="E869" s="83"/>
      <c r="F869" s="82"/>
      <c r="G869" s="111"/>
    </row>
    <row r="870" spans="1:8">
      <c r="A870" s="123"/>
      <c r="B870" s="854"/>
      <c r="C870" s="855"/>
      <c r="D870" s="37"/>
      <c r="E870" s="83"/>
      <c r="F870" s="82"/>
      <c r="G870" s="111"/>
    </row>
    <row r="871" spans="1:8">
      <c r="A871" s="123"/>
      <c r="B871" s="854"/>
      <c r="C871" s="855"/>
      <c r="D871" s="37"/>
      <c r="E871" s="83"/>
      <c r="F871" s="82"/>
      <c r="G871" s="111"/>
    </row>
    <row r="872" spans="1:8">
      <c r="A872" s="123"/>
      <c r="B872" s="854"/>
      <c r="C872" s="855"/>
      <c r="D872" s="37"/>
      <c r="E872" s="83"/>
      <c r="F872" s="82"/>
      <c r="G872" s="111"/>
    </row>
    <row r="873" spans="1:8">
      <c r="A873" s="123"/>
      <c r="B873" s="854"/>
      <c r="C873" s="855"/>
      <c r="D873" s="37"/>
      <c r="E873" s="83"/>
      <c r="F873" s="82"/>
      <c r="G873" s="111"/>
      <c r="H873" s="505" t="s">
        <v>1670</v>
      </c>
    </row>
    <row r="874" spans="1:8" ht="13.5" thickBot="1">
      <c r="A874" s="123"/>
      <c r="B874" s="980"/>
      <c r="C874" s="981"/>
      <c r="D874" s="37"/>
      <c r="E874" s="83"/>
      <c r="F874" s="82"/>
      <c r="G874" s="111"/>
    </row>
    <row r="875" spans="1:8" ht="13.5" thickTop="1">
      <c r="A875" s="95"/>
      <c r="B875" s="946"/>
      <c r="C875" s="947"/>
      <c r="D875" s="801" t="s">
        <v>856</v>
      </c>
      <c r="E875" s="802"/>
      <c r="F875" s="9"/>
      <c r="G875" s="113">
        <f>SUM(G866:G874)</f>
        <v>76000</v>
      </c>
    </row>
    <row r="876" spans="1:8">
      <c r="A876" s="95"/>
      <c r="B876" s="948"/>
      <c r="C876" s="949"/>
      <c r="D876" s="801" t="s">
        <v>857</v>
      </c>
      <c r="E876" s="802"/>
      <c r="F876" s="79">
        <f>'MANO DE OBRA'!$D$60</f>
        <v>0.05</v>
      </c>
      <c r="G876" s="113">
        <f>ROUND(G875*F876,0)</f>
        <v>3800</v>
      </c>
    </row>
    <row r="877" spans="1:8" ht="13.5" thickBot="1">
      <c r="A877" s="95"/>
      <c r="B877" s="948"/>
      <c r="C877" s="949"/>
      <c r="D877" s="803" t="s">
        <v>320</v>
      </c>
      <c r="E877" s="804"/>
      <c r="F877" s="114"/>
      <c r="G877" s="118">
        <f>+G875+G876</f>
        <v>79800</v>
      </c>
    </row>
    <row r="878" spans="1:8" ht="14.25" thickTop="1" thickBot="1">
      <c r="A878" s="95"/>
      <c r="B878" s="970"/>
      <c r="C878" s="970"/>
      <c r="D878" s="970"/>
      <c r="E878" s="970"/>
      <c r="F878" s="970"/>
      <c r="G878" s="970"/>
    </row>
    <row r="879" spans="1:8" ht="13.5" thickTop="1">
      <c r="A879" s="95"/>
      <c r="B879" s="950" t="s">
        <v>858</v>
      </c>
      <c r="C879" s="951"/>
      <c r="D879" s="951"/>
      <c r="E879" s="951"/>
      <c r="F879" s="951"/>
      <c r="G879" s="952"/>
    </row>
    <row r="880" spans="1:8">
      <c r="A880" s="95"/>
      <c r="B880" s="978"/>
      <c r="C880" s="979"/>
      <c r="D880" s="98" t="s">
        <v>301</v>
      </c>
      <c r="E880" s="98" t="s">
        <v>859</v>
      </c>
      <c r="F880" s="99" t="s">
        <v>839</v>
      </c>
      <c r="G880" s="107" t="s">
        <v>840</v>
      </c>
    </row>
    <row r="881" spans="1:7">
      <c r="A881" s="95"/>
      <c r="B881" s="982" t="s">
        <v>838</v>
      </c>
      <c r="C881" s="983"/>
      <c r="D881" s="100" t="s">
        <v>316</v>
      </c>
      <c r="E881" s="100" t="s">
        <v>315</v>
      </c>
      <c r="F881" s="101" t="s">
        <v>306</v>
      </c>
      <c r="G881" s="108" t="s">
        <v>319</v>
      </c>
    </row>
    <row r="882" spans="1:7">
      <c r="A882" s="95"/>
      <c r="B882" s="230"/>
      <c r="C882" s="102"/>
      <c r="D882" s="103"/>
      <c r="E882" s="103" t="s">
        <v>317</v>
      </c>
      <c r="F882" s="104" t="s">
        <v>318</v>
      </c>
      <c r="G882" s="109"/>
    </row>
    <row r="883" spans="1:7">
      <c r="A883" s="95"/>
      <c r="B883" s="841" t="str">
        <f>'MANO DE OBRA'!$B$11</f>
        <v>AYUDANTE CUAD. TIPO BB</v>
      </c>
      <c r="C883" s="842"/>
      <c r="D883" s="87">
        <v>1</v>
      </c>
      <c r="E883" s="80">
        <f>'MANO DE OBRA'!$E$11</f>
        <v>43077</v>
      </c>
      <c r="F883" s="81">
        <v>1.5</v>
      </c>
      <c r="G883" s="110">
        <f>ROUND(D883*E883/F883,0)</f>
        <v>28718</v>
      </c>
    </row>
    <row r="884" spans="1:7">
      <c r="A884" s="95"/>
      <c r="B884" s="854" t="str">
        <f>'MANO DE OBRA'!$B$16</f>
        <v>OFICIAL CUAD. TIPO BB</v>
      </c>
      <c r="C884" s="855"/>
      <c r="D884" s="37">
        <v>1</v>
      </c>
      <c r="E884" s="82">
        <f>'MANO DE OBRA'!$E$16</f>
        <v>78577</v>
      </c>
      <c r="F884" s="83">
        <v>1.5</v>
      </c>
      <c r="G884" s="111">
        <f>ROUND(D884*E884/F884,0)</f>
        <v>52385</v>
      </c>
    </row>
    <row r="885" spans="1:7">
      <c r="A885" s="95"/>
      <c r="B885" s="854"/>
      <c r="C885" s="855"/>
      <c r="D885" s="89"/>
      <c r="E885" s="82"/>
      <c r="F885" s="83"/>
      <c r="G885" s="111"/>
    </row>
    <row r="886" spans="1:7">
      <c r="A886" s="95"/>
      <c r="B886" s="854" t="s">
        <v>841</v>
      </c>
      <c r="C886" s="855"/>
      <c r="D886" s="37"/>
      <c r="E886" s="82"/>
      <c r="F886" s="83"/>
      <c r="G886" s="111"/>
    </row>
    <row r="887" spans="1:7" ht="13.5" thickBot="1">
      <c r="A887" s="95"/>
      <c r="B887" s="980" t="s">
        <v>841</v>
      </c>
      <c r="C887" s="981"/>
      <c r="D887" s="77"/>
      <c r="E887" s="82"/>
      <c r="F887" s="86"/>
      <c r="G887" s="112"/>
    </row>
    <row r="888" spans="1:7" ht="14.25" thickTop="1" thickBot="1">
      <c r="A888" s="95"/>
      <c r="B888" s="946"/>
      <c r="C888" s="946"/>
      <c r="D888" s="946"/>
      <c r="E888" s="947"/>
      <c r="F888" s="120" t="s">
        <v>856</v>
      </c>
      <c r="G888" s="118">
        <f>SUM(G883:G887)</f>
        <v>81103</v>
      </c>
    </row>
    <row r="889" spans="1:7" ht="14.25" thickTop="1" thickBot="1">
      <c r="A889" s="95"/>
      <c r="B889" s="970"/>
      <c r="C889" s="970"/>
      <c r="D889" s="970"/>
      <c r="E889" s="970"/>
      <c r="F889" s="970"/>
      <c r="G889" s="970"/>
    </row>
    <row r="890" spans="1:7" ht="13.5" thickTop="1">
      <c r="A890" s="95"/>
      <c r="B890" s="950" t="s">
        <v>321</v>
      </c>
      <c r="C890" s="951"/>
      <c r="D890" s="951"/>
      <c r="E890" s="951"/>
      <c r="F890" s="951"/>
      <c r="G890" s="952"/>
    </row>
    <row r="891" spans="1:7">
      <c r="A891" s="95"/>
      <c r="B891" s="978" t="s">
        <v>838</v>
      </c>
      <c r="C891" s="979"/>
      <c r="D891" s="98" t="s">
        <v>301</v>
      </c>
      <c r="E891" s="98" t="s">
        <v>297</v>
      </c>
      <c r="F891" s="99" t="s">
        <v>839</v>
      </c>
      <c r="G891" s="107" t="s">
        <v>840</v>
      </c>
    </row>
    <row r="892" spans="1:7">
      <c r="A892" s="95"/>
      <c r="B892" s="230"/>
      <c r="C892" s="102"/>
      <c r="D892" s="103" t="s">
        <v>322</v>
      </c>
      <c r="E892" s="103" t="s">
        <v>323</v>
      </c>
      <c r="F892" s="104" t="s">
        <v>324</v>
      </c>
      <c r="G892" s="109" t="s">
        <v>325</v>
      </c>
    </row>
    <row r="893" spans="1:7">
      <c r="A893" s="95"/>
      <c r="B893" s="841"/>
      <c r="C893" s="842"/>
      <c r="D893" s="96"/>
      <c r="E893" s="96"/>
      <c r="F893" s="96"/>
      <c r="G893" s="116"/>
    </row>
    <row r="894" spans="1:7" ht="13.5" thickBot="1">
      <c r="A894" s="95"/>
      <c r="B894" s="980" t="s">
        <v>841</v>
      </c>
      <c r="C894" s="981"/>
      <c r="D894" s="77"/>
      <c r="E894" s="82"/>
      <c r="F894" s="86"/>
      <c r="G894" s="112"/>
    </row>
    <row r="895" spans="1:7" ht="14.25" thickTop="1" thickBot="1">
      <c r="A895" s="95"/>
      <c r="B895" s="946"/>
      <c r="C895" s="946"/>
      <c r="D895" s="946"/>
      <c r="E895" s="947"/>
      <c r="F895" s="120" t="s">
        <v>856</v>
      </c>
      <c r="G895" s="118">
        <f>SUM(G890:G894)</f>
        <v>0</v>
      </c>
    </row>
    <row r="896" spans="1:7" ht="14.25" thickTop="1" thickBot="1">
      <c r="A896" s="95"/>
      <c r="B896" s="970"/>
      <c r="C896" s="970"/>
      <c r="D896" s="970"/>
      <c r="E896" s="970"/>
      <c r="F896" s="970"/>
      <c r="G896" s="943"/>
    </row>
    <row r="897" spans="1:8" ht="13.5" thickTop="1">
      <c r="A897" s="95"/>
      <c r="B897" s="950" t="s">
        <v>326</v>
      </c>
      <c r="C897" s="951"/>
      <c r="D897" s="951"/>
      <c r="E897" s="951"/>
      <c r="F897" s="971"/>
      <c r="G897" s="121">
        <f>+G861+G877+G888</f>
        <v>164958</v>
      </c>
    </row>
    <row r="898" spans="1:8">
      <c r="A898" s="95"/>
      <c r="B898" s="972" t="s">
        <v>861</v>
      </c>
      <c r="C898" s="973"/>
      <c r="D898" s="973"/>
      <c r="E898" s="974"/>
      <c r="F898" s="128">
        <f>'MANO DE OBRA'!$D$59</f>
        <v>0</v>
      </c>
      <c r="G898" s="122">
        <f>ROUND(G897*F898,0)</f>
        <v>0</v>
      </c>
    </row>
    <row r="899" spans="1:8" ht="13.5" thickBot="1">
      <c r="A899" s="95"/>
      <c r="B899" s="975" t="s">
        <v>1049</v>
      </c>
      <c r="C899" s="976"/>
      <c r="D899" s="976"/>
      <c r="E899" s="976"/>
      <c r="F899" s="977"/>
      <c r="G899" s="118">
        <f>ROUND(G897+G898,-2)</f>
        <v>165000</v>
      </c>
      <c r="H899" s="505" t="s">
        <v>1670</v>
      </c>
    </row>
    <row r="900" spans="1:8" ht="13.5" thickTop="1">
      <c r="A900" s="95"/>
      <c r="B900" s="225" t="s">
        <v>303</v>
      </c>
      <c r="C900" s="843"/>
      <c r="D900" s="843"/>
      <c r="E900" s="843"/>
      <c r="F900" s="92" t="s">
        <v>781</v>
      </c>
      <c r="G900" s="93" t="s">
        <v>865</v>
      </c>
    </row>
    <row r="901" spans="1:8">
      <c r="A901" s="95"/>
      <c r="B901" s="226" t="s">
        <v>834</v>
      </c>
      <c r="C901" s="844" t="s">
        <v>1352</v>
      </c>
      <c r="D901" s="844"/>
      <c r="E901" s="844"/>
      <c r="F901" s="15" t="s">
        <v>833</v>
      </c>
      <c r="G901" s="165" t="str">
        <f>'MANO DE OBRA'!D61</f>
        <v>Agosto de 2010</v>
      </c>
    </row>
    <row r="902" spans="1:8" ht="13.5" thickBot="1">
      <c r="A902" s="236"/>
      <c r="B902" s="240" t="s">
        <v>835</v>
      </c>
      <c r="C902" s="995" t="s">
        <v>1363</v>
      </c>
      <c r="D902" s="995"/>
      <c r="E902" s="995"/>
      <c r="F902" s="995"/>
      <c r="G902" s="996"/>
    </row>
    <row r="903" spans="1:8" ht="14.25" thickTop="1" thickBot="1">
      <c r="A903" s="95"/>
      <c r="B903" s="986"/>
      <c r="C903" s="986"/>
      <c r="D903" s="986"/>
      <c r="E903" s="986"/>
      <c r="F903" s="986"/>
      <c r="G903" s="986"/>
    </row>
    <row r="904" spans="1:8" ht="13.5" thickTop="1">
      <c r="A904" s="95"/>
      <c r="B904" s="950" t="s">
        <v>304</v>
      </c>
      <c r="C904" s="951"/>
      <c r="D904" s="951"/>
      <c r="E904" s="951"/>
      <c r="F904" s="951"/>
      <c r="G904" s="952"/>
    </row>
    <row r="905" spans="1:8">
      <c r="A905" s="95"/>
      <c r="B905" s="229"/>
      <c r="C905" s="97"/>
      <c r="D905" s="98" t="s">
        <v>301</v>
      </c>
      <c r="E905" s="98" t="s">
        <v>1072</v>
      </c>
      <c r="F905" s="99" t="s">
        <v>839</v>
      </c>
      <c r="G905" s="107" t="s">
        <v>840</v>
      </c>
    </row>
    <row r="906" spans="1:8">
      <c r="A906" s="95"/>
      <c r="B906" s="982" t="s">
        <v>838</v>
      </c>
      <c r="C906" s="983"/>
      <c r="D906" s="100" t="s">
        <v>308</v>
      </c>
      <c r="E906" s="100" t="s">
        <v>305</v>
      </c>
      <c r="F906" s="101" t="s">
        <v>306</v>
      </c>
      <c r="G906" s="108" t="s">
        <v>310</v>
      </c>
    </row>
    <row r="907" spans="1:8">
      <c r="A907" s="95"/>
      <c r="B907" s="230"/>
      <c r="C907" s="102"/>
      <c r="D907" s="103"/>
      <c r="E907" s="103" t="s">
        <v>309</v>
      </c>
      <c r="F907" s="104" t="s">
        <v>307</v>
      </c>
      <c r="G907" s="109"/>
    </row>
    <row r="908" spans="1:8">
      <c r="A908" s="127"/>
      <c r="B908" s="841" t="str">
        <f>'MAQUINARIA Y EQUIPOS'!$C$28</f>
        <v>HERRAMIENTAS MENORES</v>
      </c>
      <c r="C908" s="842"/>
      <c r="D908" s="87">
        <v>1</v>
      </c>
      <c r="E908" s="82">
        <f>ROUND(G941*0.05,0)</f>
        <v>5069</v>
      </c>
      <c r="F908" s="81">
        <v>1</v>
      </c>
      <c r="G908" s="110">
        <f>ROUND(D908*E908/F908,0)</f>
        <v>5069</v>
      </c>
    </row>
    <row r="909" spans="1:8">
      <c r="A909" s="95"/>
      <c r="B909" s="854"/>
      <c r="C909" s="855"/>
      <c r="D909" s="37"/>
      <c r="E909" s="129"/>
      <c r="F909" s="83"/>
      <c r="G909" s="111"/>
    </row>
    <row r="910" spans="1:8">
      <c r="A910" s="95"/>
      <c r="B910" s="938"/>
      <c r="C910" s="939"/>
      <c r="D910" s="37"/>
      <c r="E910" s="129"/>
      <c r="F910" s="83"/>
      <c r="G910" s="111"/>
    </row>
    <row r="911" spans="1:8">
      <c r="A911" s="95"/>
      <c r="B911" s="854"/>
      <c r="C911" s="855"/>
      <c r="D911" s="37"/>
      <c r="E911" s="129"/>
      <c r="F911" s="83"/>
      <c r="G911" s="111"/>
    </row>
    <row r="912" spans="1:8">
      <c r="A912" s="95"/>
      <c r="B912" s="854" t="s">
        <v>841</v>
      </c>
      <c r="C912" s="855"/>
      <c r="D912" s="37"/>
      <c r="E912" s="82"/>
      <c r="F912" s="83"/>
      <c r="G912" s="111"/>
    </row>
    <row r="913" spans="1:8" ht="13.5" thickBot="1">
      <c r="A913" s="95"/>
      <c r="B913" s="942" t="s">
        <v>841</v>
      </c>
      <c r="C913" s="943"/>
      <c r="D913" s="77"/>
      <c r="E913" s="106"/>
      <c r="F913" s="86"/>
      <c r="G913" s="112"/>
    </row>
    <row r="914" spans="1:8" ht="14.25" thickTop="1" thickBot="1">
      <c r="A914" s="95"/>
      <c r="B914" s="946"/>
      <c r="C914" s="946"/>
      <c r="D914" s="946"/>
      <c r="E914" s="947"/>
      <c r="F914" s="119" t="s">
        <v>856</v>
      </c>
      <c r="G914" s="118">
        <f>SUM(G908:G913)</f>
        <v>5069</v>
      </c>
    </row>
    <row r="915" spans="1:8" ht="14.25" thickTop="1" thickBot="1">
      <c r="A915" s="95"/>
      <c r="B915" s="970"/>
      <c r="C915" s="970"/>
      <c r="D915" s="970"/>
      <c r="E915" s="970"/>
      <c r="F915" s="970"/>
      <c r="G915" s="970"/>
    </row>
    <row r="916" spans="1:8" ht="13.5" thickTop="1">
      <c r="A916" s="95"/>
      <c r="B916" s="950" t="s">
        <v>311</v>
      </c>
      <c r="C916" s="951"/>
      <c r="D916" s="951"/>
      <c r="E916" s="951"/>
      <c r="F916" s="951"/>
      <c r="G916" s="952"/>
    </row>
    <row r="917" spans="1:8">
      <c r="A917" s="95"/>
      <c r="B917" s="978" t="s">
        <v>838</v>
      </c>
      <c r="C917" s="979"/>
      <c r="D917" s="98" t="s">
        <v>842</v>
      </c>
      <c r="E917" s="98" t="s">
        <v>853</v>
      </c>
      <c r="F917" s="99" t="s">
        <v>1047</v>
      </c>
      <c r="G917" s="107" t="s">
        <v>840</v>
      </c>
    </row>
    <row r="918" spans="1:8">
      <c r="A918" s="95"/>
      <c r="B918" s="230"/>
      <c r="C918" s="102"/>
      <c r="D918" s="100"/>
      <c r="E918" s="100" t="s">
        <v>312</v>
      </c>
      <c r="F918" s="101" t="s">
        <v>313</v>
      </c>
      <c r="G918" s="108" t="s">
        <v>314</v>
      </c>
    </row>
    <row r="919" spans="1:8">
      <c r="A919" s="123"/>
      <c r="B919" s="841" t="str">
        <f>MATERIALES2!$C$529</f>
        <v>TABLERO 6 CIRCUITOS TRIFASICO</v>
      </c>
      <c r="C919" s="842"/>
      <c r="D919" s="87" t="s">
        <v>865</v>
      </c>
      <c r="E919" s="81">
        <v>1</v>
      </c>
      <c r="F919" s="80">
        <f>MATERIALES2!$E$529</f>
        <v>25000</v>
      </c>
      <c r="G919" s="110">
        <f>ROUND(E919*F919,0)</f>
        <v>25000</v>
      </c>
    </row>
    <row r="920" spans="1:8">
      <c r="A920" s="123"/>
      <c r="B920" s="854" t="str">
        <f>MATERIALES2!$C$452</f>
        <v>BREAKER 15 A/20 A</v>
      </c>
      <c r="C920" s="855"/>
      <c r="D920" s="37" t="s">
        <v>865</v>
      </c>
      <c r="E920" s="83">
        <v>6</v>
      </c>
      <c r="F920" s="82">
        <f>MATERIALES2!$E$452</f>
        <v>10000</v>
      </c>
      <c r="G920" s="111">
        <f>ROUND(E920*F920,0)</f>
        <v>60000</v>
      </c>
    </row>
    <row r="921" spans="1:8">
      <c r="A921" s="123"/>
      <c r="B921" s="854"/>
      <c r="C921" s="855"/>
      <c r="D921" s="37"/>
      <c r="E921" s="83"/>
      <c r="F921" s="82"/>
      <c r="G921" s="111"/>
    </row>
    <row r="922" spans="1:8">
      <c r="A922" s="123"/>
      <c r="B922" s="854"/>
      <c r="C922" s="855"/>
      <c r="D922" s="37"/>
      <c r="E922" s="83"/>
      <c r="F922" s="82"/>
      <c r="G922" s="111"/>
    </row>
    <row r="923" spans="1:8">
      <c r="A923" s="123"/>
      <c r="B923" s="854"/>
      <c r="C923" s="855"/>
      <c r="D923" s="37"/>
      <c r="E923" s="83"/>
      <c r="F923" s="82"/>
      <c r="G923" s="111"/>
    </row>
    <row r="924" spans="1:8">
      <c r="A924" s="123"/>
      <c r="B924" s="854"/>
      <c r="C924" s="855"/>
      <c r="D924" s="37"/>
      <c r="E924" s="83"/>
      <c r="F924" s="82"/>
      <c r="G924" s="111"/>
    </row>
    <row r="925" spans="1:8">
      <c r="A925" s="123"/>
      <c r="B925" s="854"/>
      <c r="C925" s="855"/>
      <c r="D925" s="37"/>
      <c r="E925" s="83"/>
      <c r="F925" s="82"/>
      <c r="G925" s="111"/>
    </row>
    <row r="926" spans="1:8">
      <c r="A926" s="123"/>
      <c r="B926" s="854"/>
      <c r="C926" s="855"/>
      <c r="D926" s="37"/>
      <c r="E926" s="83"/>
      <c r="F926" s="82"/>
      <c r="G926" s="111"/>
      <c r="H926" s="505" t="s">
        <v>1670</v>
      </c>
    </row>
    <row r="927" spans="1:8" ht="13.5" thickBot="1">
      <c r="A927" s="123"/>
      <c r="B927" s="980"/>
      <c r="C927" s="981"/>
      <c r="D927" s="37"/>
      <c r="E927" s="83"/>
      <c r="F927" s="82"/>
      <c r="G927" s="111"/>
    </row>
    <row r="928" spans="1:8" ht="13.5" thickTop="1">
      <c r="A928" s="95"/>
      <c r="B928" s="946"/>
      <c r="C928" s="947"/>
      <c r="D928" s="801" t="s">
        <v>856</v>
      </c>
      <c r="E928" s="802"/>
      <c r="F928" s="9"/>
      <c r="G928" s="113">
        <f>SUM(G919:G927)</f>
        <v>85000</v>
      </c>
    </row>
    <row r="929" spans="1:7">
      <c r="A929" s="95"/>
      <c r="B929" s="948"/>
      <c r="C929" s="949"/>
      <c r="D929" s="801" t="s">
        <v>857</v>
      </c>
      <c r="E929" s="802"/>
      <c r="F929" s="79">
        <f>'MANO DE OBRA'!$D$60</f>
        <v>0.05</v>
      </c>
      <c r="G929" s="113">
        <f>ROUND(G928*F929,0)</f>
        <v>4250</v>
      </c>
    </row>
    <row r="930" spans="1:7" ht="13.5" thickBot="1">
      <c r="A930" s="95"/>
      <c r="B930" s="948"/>
      <c r="C930" s="949"/>
      <c r="D930" s="803" t="s">
        <v>320</v>
      </c>
      <c r="E930" s="804"/>
      <c r="F930" s="114"/>
      <c r="G930" s="118">
        <f>+G928+G929</f>
        <v>89250</v>
      </c>
    </row>
    <row r="931" spans="1:7" ht="14.25" thickTop="1" thickBot="1">
      <c r="A931" s="95"/>
      <c r="B931" s="970"/>
      <c r="C931" s="970"/>
      <c r="D931" s="970"/>
      <c r="E931" s="970"/>
      <c r="F931" s="970"/>
      <c r="G931" s="970"/>
    </row>
    <row r="932" spans="1:7" ht="13.5" thickTop="1">
      <c r="A932" s="95"/>
      <c r="B932" s="950" t="s">
        <v>858</v>
      </c>
      <c r="C932" s="951"/>
      <c r="D932" s="951"/>
      <c r="E932" s="951"/>
      <c r="F932" s="951"/>
      <c r="G932" s="952"/>
    </row>
    <row r="933" spans="1:7">
      <c r="A933" s="95"/>
      <c r="B933" s="978"/>
      <c r="C933" s="979"/>
      <c r="D933" s="98" t="s">
        <v>301</v>
      </c>
      <c r="E933" s="98" t="s">
        <v>859</v>
      </c>
      <c r="F933" s="99" t="s">
        <v>839</v>
      </c>
      <c r="G933" s="107" t="s">
        <v>840</v>
      </c>
    </row>
    <row r="934" spans="1:7">
      <c r="A934" s="95"/>
      <c r="B934" s="982" t="s">
        <v>838</v>
      </c>
      <c r="C934" s="983"/>
      <c r="D934" s="100" t="s">
        <v>316</v>
      </c>
      <c r="E934" s="100" t="s">
        <v>315</v>
      </c>
      <c r="F934" s="101" t="s">
        <v>306</v>
      </c>
      <c r="G934" s="108" t="s">
        <v>319</v>
      </c>
    </row>
    <row r="935" spans="1:7">
      <c r="A935" s="95"/>
      <c r="B935" s="230"/>
      <c r="C935" s="102"/>
      <c r="D935" s="103"/>
      <c r="E935" s="103" t="s">
        <v>317</v>
      </c>
      <c r="F935" s="104" t="s">
        <v>318</v>
      </c>
      <c r="G935" s="109"/>
    </row>
    <row r="936" spans="1:7">
      <c r="A936" s="95"/>
      <c r="B936" s="841" t="str">
        <f>'MANO DE OBRA'!$B$11</f>
        <v>AYUDANTE CUAD. TIPO BB</v>
      </c>
      <c r="C936" s="842"/>
      <c r="D936" s="87">
        <v>1</v>
      </c>
      <c r="E936" s="80">
        <f>'MANO DE OBRA'!$E$11</f>
        <v>43077</v>
      </c>
      <c r="F936" s="81">
        <v>1.2</v>
      </c>
      <c r="G936" s="110">
        <f>ROUND(D936*E936/F936,0)</f>
        <v>35898</v>
      </c>
    </row>
    <row r="937" spans="1:7">
      <c r="A937" s="95"/>
      <c r="B937" s="854" t="str">
        <f>'MANO DE OBRA'!$B$16</f>
        <v>OFICIAL CUAD. TIPO BB</v>
      </c>
      <c r="C937" s="855"/>
      <c r="D937" s="37">
        <v>1</v>
      </c>
      <c r="E937" s="82">
        <f>'MANO DE OBRA'!$E$16</f>
        <v>78577</v>
      </c>
      <c r="F937" s="83">
        <v>1.2</v>
      </c>
      <c r="G937" s="111">
        <f>ROUND(D937*E937/F937,0)</f>
        <v>65481</v>
      </c>
    </row>
    <row r="938" spans="1:7">
      <c r="A938" s="95"/>
      <c r="B938" s="854"/>
      <c r="C938" s="855"/>
      <c r="D938" s="89"/>
      <c r="E938" s="82"/>
      <c r="F938" s="83"/>
      <c r="G938" s="111"/>
    </row>
    <row r="939" spans="1:7">
      <c r="A939" s="95"/>
      <c r="B939" s="854" t="s">
        <v>841</v>
      </c>
      <c r="C939" s="855"/>
      <c r="D939" s="37"/>
      <c r="E939" s="82"/>
      <c r="F939" s="83"/>
      <c r="G939" s="111"/>
    </row>
    <row r="940" spans="1:7" ht="13.5" thickBot="1">
      <c r="A940" s="95"/>
      <c r="B940" s="980" t="s">
        <v>841</v>
      </c>
      <c r="C940" s="981"/>
      <c r="D940" s="77"/>
      <c r="E940" s="82"/>
      <c r="F940" s="86"/>
      <c r="G940" s="112"/>
    </row>
    <row r="941" spans="1:7" ht="14.25" thickTop="1" thickBot="1">
      <c r="A941" s="95"/>
      <c r="B941" s="946"/>
      <c r="C941" s="946"/>
      <c r="D941" s="946"/>
      <c r="E941" s="947"/>
      <c r="F941" s="120" t="s">
        <v>856</v>
      </c>
      <c r="G941" s="118">
        <f>SUM(G936:G940)</f>
        <v>101379</v>
      </c>
    </row>
    <row r="942" spans="1:7" ht="14.25" thickTop="1" thickBot="1">
      <c r="A942" s="95"/>
      <c r="B942" s="970"/>
      <c r="C942" s="970"/>
      <c r="D942" s="970"/>
      <c r="E942" s="970"/>
      <c r="F942" s="970"/>
      <c r="G942" s="970"/>
    </row>
    <row r="943" spans="1:7" ht="13.5" thickTop="1">
      <c r="A943" s="95"/>
      <c r="B943" s="950" t="s">
        <v>321</v>
      </c>
      <c r="C943" s="951"/>
      <c r="D943" s="951"/>
      <c r="E943" s="951"/>
      <c r="F943" s="951"/>
      <c r="G943" s="952"/>
    </row>
    <row r="944" spans="1:7">
      <c r="A944" s="95"/>
      <c r="B944" s="978" t="s">
        <v>838</v>
      </c>
      <c r="C944" s="979"/>
      <c r="D944" s="98" t="s">
        <v>301</v>
      </c>
      <c r="E944" s="98" t="s">
        <v>297</v>
      </c>
      <c r="F944" s="99" t="s">
        <v>839</v>
      </c>
      <c r="G944" s="107" t="s">
        <v>840</v>
      </c>
    </row>
    <row r="945" spans="1:8">
      <c r="A945" s="95"/>
      <c r="B945" s="230"/>
      <c r="C945" s="102"/>
      <c r="D945" s="103" t="s">
        <v>322</v>
      </c>
      <c r="E945" s="103" t="s">
        <v>323</v>
      </c>
      <c r="F945" s="104" t="s">
        <v>324</v>
      </c>
      <c r="G945" s="109" t="s">
        <v>325</v>
      </c>
    </row>
    <row r="946" spans="1:8">
      <c r="A946" s="95"/>
      <c r="B946" s="841"/>
      <c r="C946" s="842"/>
      <c r="D946" s="96"/>
      <c r="E946" s="96"/>
      <c r="F946" s="96"/>
      <c r="G946" s="116"/>
    </row>
    <row r="947" spans="1:8" ht="13.5" thickBot="1">
      <c r="A947" s="95"/>
      <c r="B947" s="980" t="s">
        <v>841</v>
      </c>
      <c r="C947" s="981"/>
      <c r="D947" s="77"/>
      <c r="E947" s="82"/>
      <c r="F947" s="86"/>
      <c r="G947" s="112"/>
    </row>
    <row r="948" spans="1:8" ht="14.25" thickTop="1" thickBot="1">
      <c r="A948" s="95"/>
      <c r="B948" s="946"/>
      <c r="C948" s="946"/>
      <c r="D948" s="946"/>
      <c r="E948" s="947"/>
      <c r="F948" s="120" t="s">
        <v>856</v>
      </c>
      <c r="G948" s="118">
        <f>SUM(G943:G947)</f>
        <v>0</v>
      </c>
    </row>
    <row r="949" spans="1:8" ht="14.25" thickTop="1" thickBot="1">
      <c r="A949" s="95"/>
      <c r="B949" s="970"/>
      <c r="C949" s="970"/>
      <c r="D949" s="970"/>
      <c r="E949" s="970"/>
      <c r="F949" s="970"/>
      <c r="G949" s="943"/>
    </row>
    <row r="950" spans="1:8" ht="13.5" thickTop="1">
      <c r="A950" s="95"/>
      <c r="B950" s="950" t="s">
        <v>326</v>
      </c>
      <c r="C950" s="951"/>
      <c r="D950" s="951"/>
      <c r="E950" s="951"/>
      <c r="F950" s="971"/>
      <c r="G950" s="121">
        <f>+G914+G930+G941</f>
        <v>195698</v>
      </c>
    </row>
    <row r="951" spans="1:8">
      <c r="A951" s="95"/>
      <c r="B951" s="972" t="s">
        <v>861</v>
      </c>
      <c r="C951" s="973"/>
      <c r="D951" s="973"/>
      <c r="E951" s="974"/>
      <c r="F951" s="128">
        <f>'MANO DE OBRA'!$D$59</f>
        <v>0</v>
      </c>
      <c r="G951" s="122">
        <f>ROUND(G950*F951,0)</f>
        <v>0</v>
      </c>
    </row>
    <row r="952" spans="1:8" ht="13.5" thickBot="1">
      <c r="A952" s="95"/>
      <c r="B952" s="975" t="s">
        <v>1049</v>
      </c>
      <c r="C952" s="976"/>
      <c r="D952" s="976"/>
      <c r="E952" s="976"/>
      <c r="F952" s="977"/>
      <c r="G952" s="118">
        <f>ROUND(G950+G951,-2)</f>
        <v>195700</v>
      </c>
      <c r="H952" s="505" t="s">
        <v>1670</v>
      </c>
    </row>
    <row r="953" spans="1:8" ht="13.5" thickTop="1">
      <c r="A953" s="95"/>
      <c r="B953" s="225" t="s">
        <v>303</v>
      </c>
      <c r="C953" s="843"/>
      <c r="D953" s="843"/>
      <c r="E953" s="843"/>
      <c r="F953" s="92" t="s">
        <v>781</v>
      </c>
      <c r="G953" s="93" t="s">
        <v>865</v>
      </c>
    </row>
    <row r="954" spans="1:8">
      <c r="A954" s="95"/>
      <c r="B954" s="226" t="s">
        <v>834</v>
      </c>
      <c r="C954" s="844" t="s">
        <v>1352</v>
      </c>
      <c r="D954" s="844"/>
      <c r="E954" s="844"/>
      <c r="F954" s="15" t="s">
        <v>833</v>
      </c>
      <c r="G954" s="165" t="str">
        <f>'MANO DE OBRA'!D61</f>
        <v>Agosto de 2010</v>
      </c>
    </row>
    <row r="955" spans="1:8" ht="27.75" customHeight="1" thickBot="1">
      <c r="A955" s="236"/>
      <c r="B955" s="240" t="s">
        <v>835</v>
      </c>
      <c r="C955" s="995" t="s">
        <v>1364</v>
      </c>
      <c r="D955" s="995"/>
      <c r="E955" s="995"/>
      <c r="F955" s="995"/>
      <c r="G955" s="996"/>
    </row>
    <row r="956" spans="1:8" ht="14.25" thickTop="1" thickBot="1">
      <c r="A956" s="95"/>
      <c r="B956" s="986"/>
      <c r="C956" s="986"/>
      <c r="D956" s="986"/>
      <c r="E956" s="986"/>
      <c r="F956" s="986"/>
      <c r="G956" s="986"/>
    </row>
    <row r="957" spans="1:8" ht="13.5" thickTop="1">
      <c r="A957" s="95"/>
      <c r="B957" s="950" t="s">
        <v>304</v>
      </c>
      <c r="C957" s="951"/>
      <c r="D957" s="951"/>
      <c r="E957" s="951"/>
      <c r="F957" s="951"/>
      <c r="G957" s="952"/>
    </row>
    <row r="958" spans="1:8">
      <c r="A958" s="95"/>
      <c r="B958" s="229"/>
      <c r="C958" s="97"/>
      <c r="D958" s="98" t="s">
        <v>301</v>
      </c>
      <c r="E958" s="98" t="s">
        <v>1072</v>
      </c>
      <c r="F958" s="99" t="s">
        <v>839</v>
      </c>
      <c r="G958" s="107" t="s">
        <v>840</v>
      </c>
    </row>
    <row r="959" spans="1:8">
      <c r="A959" s="95"/>
      <c r="B959" s="982" t="s">
        <v>838</v>
      </c>
      <c r="C959" s="983"/>
      <c r="D959" s="100" t="s">
        <v>308</v>
      </c>
      <c r="E959" s="100" t="s">
        <v>305</v>
      </c>
      <c r="F959" s="101" t="s">
        <v>306</v>
      </c>
      <c r="G959" s="108" t="s">
        <v>310</v>
      </c>
    </row>
    <row r="960" spans="1:8">
      <c r="A960" s="95"/>
      <c r="B960" s="230"/>
      <c r="C960" s="102"/>
      <c r="D960" s="103"/>
      <c r="E960" s="103" t="s">
        <v>309</v>
      </c>
      <c r="F960" s="104" t="s">
        <v>307</v>
      </c>
      <c r="G960" s="109"/>
    </row>
    <row r="961" spans="1:7">
      <c r="A961" s="127"/>
      <c r="B961" s="841" t="str">
        <f>'MAQUINARIA Y EQUIPOS'!$C$28</f>
        <v>HERRAMIENTAS MENORES</v>
      </c>
      <c r="C961" s="842"/>
      <c r="D961" s="87">
        <v>1</v>
      </c>
      <c r="E961" s="82">
        <f>ROUND(G993*0.05,0)</f>
        <v>7603</v>
      </c>
      <c r="F961" s="81">
        <v>1</v>
      </c>
      <c r="G961" s="110">
        <f>ROUND(D961*E961/F961,0)</f>
        <v>7603</v>
      </c>
    </row>
    <row r="962" spans="1:7">
      <c r="A962" s="95"/>
      <c r="B962" s="854"/>
      <c r="C962" s="855"/>
      <c r="D962" s="37"/>
      <c r="E962" s="129"/>
      <c r="F962" s="83"/>
      <c r="G962" s="111"/>
    </row>
    <row r="963" spans="1:7">
      <c r="A963" s="95"/>
      <c r="B963" s="854"/>
      <c r="C963" s="855"/>
      <c r="D963" s="37"/>
      <c r="E963" s="129"/>
      <c r="F963" s="83"/>
      <c r="G963" s="111"/>
    </row>
    <row r="964" spans="1:7">
      <c r="A964" s="95"/>
      <c r="B964" s="854" t="s">
        <v>841</v>
      </c>
      <c r="C964" s="855"/>
      <c r="D964" s="37"/>
      <c r="E964" s="82"/>
      <c r="F964" s="83"/>
      <c r="G964" s="111"/>
    </row>
    <row r="965" spans="1:7" ht="13.5" thickBot="1">
      <c r="A965" s="95"/>
      <c r="B965" s="942" t="s">
        <v>841</v>
      </c>
      <c r="C965" s="943"/>
      <c r="D965" s="77"/>
      <c r="E965" s="106"/>
      <c r="F965" s="86"/>
      <c r="G965" s="112"/>
    </row>
    <row r="966" spans="1:7" ht="14.25" thickTop="1" thickBot="1">
      <c r="A966" s="95"/>
      <c r="B966" s="946"/>
      <c r="C966" s="946"/>
      <c r="D966" s="946"/>
      <c r="E966" s="947"/>
      <c r="F966" s="119" t="s">
        <v>856</v>
      </c>
      <c r="G966" s="118">
        <f>SUM(G961:G965)</f>
        <v>7603</v>
      </c>
    </row>
    <row r="967" spans="1:7" ht="14.25" thickTop="1" thickBot="1">
      <c r="A967" s="95"/>
      <c r="B967" s="970"/>
      <c r="C967" s="970"/>
      <c r="D967" s="970"/>
      <c r="E967" s="970"/>
      <c r="F967" s="970"/>
      <c r="G967" s="970"/>
    </row>
    <row r="968" spans="1:7" ht="13.5" thickTop="1">
      <c r="A968" s="95"/>
      <c r="B968" s="950" t="s">
        <v>311</v>
      </c>
      <c r="C968" s="951"/>
      <c r="D968" s="951"/>
      <c r="E968" s="951"/>
      <c r="F968" s="951"/>
      <c r="G968" s="952"/>
    </row>
    <row r="969" spans="1:7">
      <c r="A969" s="95"/>
      <c r="B969" s="978" t="s">
        <v>838</v>
      </c>
      <c r="C969" s="979"/>
      <c r="D969" s="98" t="s">
        <v>842</v>
      </c>
      <c r="E969" s="98" t="s">
        <v>853</v>
      </c>
      <c r="F969" s="99" t="s">
        <v>1047</v>
      </c>
      <c r="G969" s="107" t="s">
        <v>840</v>
      </c>
    </row>
    <row r="970" spans="1:7">
      <c r="A970" s="95"/>
      <c r="B970" s="230"/>
      <c r="C970" s="102"/>
      <c r="D970" s="100"/>
      <c r="E970" s="100" t="s">
        <v>312</v>
      </c>
      <c r="F970" s="101" t="s">
        <v>313</v>
      </c>
      <c r="G970" s="108" t="s">
        <v>314</v>
      </c>
    </row>
    <row r="971" spans="1:7">
      <c r="A971" s="123"/>
      <c r="B971" s="841" t="str">
        <f>MATERIALES2!$C$524</f>
        <v>TABLERO 12 CIRCUITOS  TRIFILAR</v>
      </c>
      <c r="C971" s="842"/>
      <c r="D971" s="87" t="s">
        <v>865</v>
      </c>
      <c r="E971" s="81">
        <v>1</v>
      </c>
      <c r="F971" s="80">
        <f>MATERIALES2!$E$524</f>
        <v>28000</v>
      </c>
      <c r="G971" s="110">
        <f>ROUND(E971*F971,0)</f>
        <v>28000</v>
      </c>
    </row>
    <row r="972" spans="1:7">
      <c r="A972" s="123"/>
      <c r="B972" s="854" t="str">
        <f>MATERIALES2!$C$452</f>
        <v>BREAKER 15 A/20 A</v>
      </c>
      <c r="C972" s="855"/>
      <c r="D972" s="37" t="s">
        <v>865</v>
      </c>
      <c r="E972" s="83">
        <v>12</v>
      </c>
      <c r="F972" s="82">
        <f>MATERIALES2!$E$452</f>
        <v>10000</v>
      </c>
      <c r="G972" s="111">
        <f>ROUND(E972*F972,0)</f>
        <v>120000</v>
      </c>
    </row>
    <row r="973" spans="1:7">
      <c r="A973" s="123"/>
      <c r="B973" s="854"/>
      <c r="C973" s="855"/>
      <c r="D973" s="37"/>
      <c r="E973" s="83"/>
      <c r="F973" s="82"/>
      <c r="G973" s="111"/>
    </row>
    <row r="974" spans="1:7">
      <c r="A974" s="123"/>
      <c r="B974" s="854"/>
      <c r="C974" s="855"/>
      <c r="D974" s="37"/>
      <c r="E974" s="83"/>
      <c r="F974" s="82"/>
      <c r="G974" s="111"/>
    </row>
    <row r="975" spans="1:7">
      <c r="A975" s="123"/>
      <c r="B975" s="854"/>
      <c r="C975" s="855"/>
      <c r="D975" s="37"/>
      <c r="E975" s="83"/>
      <c r="F975" s="82"/>
      <c r="G975" s="111"/>
    </row>
    <row r="976" spans="1:7">
      <c r="A976" s="123"/>
      <c r="B976" s="854"/>
      <c r="C976" s="855"/>
      <c r="D976" s="37"/>
      <c r="E976" s="83"/>
      <c r="F976" s="82"/>
      <c r="G976" s="111"/>
    </row>
    <row r="977" spans="1:8">
      <c r="A977" s="123"/>
      <c r="B977" s="854"/>
      <c r="C977" s="855"/>
      <c r="D977" s="37"/>
      <c r="E977" s="83"/>
      <c r="F977" s="82"/>
      <c r="G977" s="111"/>
    </row>
    <row r="978" spans="1:8">
      <c r="A978" s="123"/>
      <c r="B978" s="854"/>
      <c r="C978" s="855"/>
      <c r="D978" s="37"/>
      <c r="E978" s="83"/>
      <c r="F978" s="82"/>
      <c r="G978" s="111"/>
      <c r="H978" s="505" t="s">
        <v>1670</v>
      </c>
    </row>
    <row r="979" spans="1:8" ht="13.5" thickBot="1">
      <c r="A979" s="123"/>
      <c r="B979" s="980"/>
      <c r="C979" s="981"/>
      <c r="D979" s="37"/>
      <c r="E979" s="83"/>
      <c r="F979" s="82"/>
      <c r="G979" s="111"/>
    </row>
    <row r="980" spans="1:8" ht="13.5" thickTop="1">
      <c r="A980" s="95"/>
      <c r="B980" s="946"/>
      <c r="C980" s="947"/>
      <c r="D980" s="801" t="s">
        <v>856</v>
      </c>
      <c r="E980" s="802"/>
      <c r="F980" s="9"/>
      <c r="G980" s="113">
        <f>SUM(G971:G979)</f>
        <v>148000</v>
      </c>
    </row>
    <row r="981" spans="1:8">
      <c r="A981" s="95"/>
      <c r="B981" s="948"/>
      <c r="C981" s="949"/>
      <c r="D981" s="801" t="s">
        <v>857</v>
      </c>
      <c r="E981" s="802"/>
      <c r="F981" s="79">
        <f>'MANO DE OBRA'!$D$60</f>
        <v>0.05</v>
      </c>
      <c r="G981" s="113">
        <f>ROUND(G980*F981,0)</f>
        <v>7400</v>
      </c>
    </row>
    <row r="982" spans="1:8" ht="13.5" thickBot="1">
      <c r="A982" s="95"/>
      <c r="B982" s="948"/>
      <c r="C982" s="949"/>
      <c r="D982" s="803" t="s">
        <v>320</v>
      </c>
      <c r="E982" s="804"/>
      <c r="F982" s="114"/>
      <c r="G982" s="118">
        <f>+G980+G981</f>
        <v>155400</v>
      </c>
    </row>
    <row r="983" spans="1:8" ht="14.25" thickTop="1" thickBot="1">
      <c r="A983" s="95"/>
      <c r="B983" s="970"/>
      <c r="C983" s="970"/>
      <c r="D983" s="970"/>
      <c r="E983" s="970"/>
      <c r="F983" s="970"/>
      <c r="G983" s="970"/>
    </row>
    <row r="984" spans="1:8" ht="13.5" thickTop="1">
      <c r="A984" s="95"/>
      <c r="B984" s="950" t="s">
        <v>858</v>
      </c>
      <c r="C984" s="951"/>
      <c r="D984" s="951"/>
      <c r="E984" s="951"/>
      <c r="F984" s="951"/>
      <c r="G984" s="952"/>
    </row>
    <row r="985" spans="1:8">
      <c r="A985" s="95"/>
      <c r="B985" s="978"/>
      <c r="C985" s="979"/>
      <c r="D985" s="98" t="s">
        <v>301</v>
      </c>
      <c r="E985" s="98" t="s">
        <v>859</v>
      </c>
      <c r="F985" s="99" t="s">
        <v>839</v>
      </c>
      <c r="G985" s="107" t="s">
        <v>840</v>
      </c>
    </row>
    <row r="986" spans="1:8">
      <c r="A986" s="95"/>
      <c r="B986" s="982" t="s">
        <v>838</v>
      </c>
      <c r="C986" s="983"/>
      <c r="D986" s="100" t="s">
        <v>316</v>
      </c>
      <c r="E986" s="100" t="s">
        <v>315</v>
      </c>
      <c r="F986" s="101" t="s">
        <v>306</v>
      </c>
      <c r="G986" s="108" t="s">
        <v>319</v>
      </c>
    </row>
    <row r="987" spans="1:8">
      <c r="A987" s="95"/>
      <c r="B987" s="230"/>
      <c r="C987" s="102"/>
      <c r="D987" s="103"/>
      <c r="E987" s="103" t="s">
        <v>317</v>
      </c>
      <c r="F987" s="104" t="s">
        <v>318</v>
      </c>
      <c r="G987" s="109"/>
    </row>
    <row r="988" spans="1:8">
      <c r="A988" s="95"/>
      <c r="B988" s="841" t="str">
        <f>'MANO DE OBRA'!$B$11</f>
        <v>AYUDANTE CUAD. TIPO BB</v>
      </c>
      <c r="C988" s="842"/>
      <c r="D988" s="87">
        <v>1</v>
      </c>
      <c r="E988" s="80">
        <f>'MANO DE OBRA'!$E$11</f>
        <v>43077</v>
      </c>
      <c r="F988" s="81">
        <v>0.8</v>
      </c>
      <c r="G988" s="110">
        <f>ROUND(D988*E988/F988,0)</f>
        <v>53846</v>
      </c>
    </row>
    <row r="989" spans="1:8">
      <c r="A989" s="95"/>
      <c r="B989" s="854" t="str">
        <f>'MANO DE OBRA'!$B$16</f>
        <v>OFICIAL CUAD. TIPO BB</v>
      </c>
      <c r="C989" s="855"/>
      <c r="D989" s="37">
        <v>1</v>
      </c>
      <c r="E989" s="82">
        <f>'MANO DE OBRA'!$E$16</f>
        <v>78577</v>
      </c>
      <c r="F989" s="83">
        <v>0.8</v>
      </c>
      <c r="G989" s="111">
        <f>ROUND(D989*E989/F989,0)</f>
        <v>98221</v>
      </c>
    </row>
    <row r="990" spans="1:8">
      <c r="A990" s="95"/>
      <c r="B990" s="854"/>
      <c r="C990" s="855"/>
      <c r="D990" s="89"/>
      <c r="E990" s="82"/>
      <c r="F990" s="83"/>
      <c r="G990" s="111"/>
    </row>
    <row r="991" spans="1:8">
      <c r="A991" s="95"/>
      <c r="B991" s="854" t="s">
        <v>841</v>
      </c>
      <c r="C991" s="855"/>
      <c r="D991" s="37"/>
      <c r="E991" s="82"/>
      <c r="F991" s="83"/>
      <c r="G991" s="111"/>
    </row>
    <row r="992" spans="1:8" ht="13.5" thickBot="1">
      <c r="A992" s="95"/>
      <c r="B992" s="980" t="s">
        <v>841</v>
      </c>
      <c r="C992" s="981"/>
      <c r="D992" s="77"/>
      <c r="E992" s="82"/>
      <c r="F992" s="86"/>
      <c r="G992" s="112"/>
    </row>
    <row r="993" spans="1:8" ht="14.25" thickTop="1" thickBot="1">
      <c r="A993" s="95"/>
      <c r="B993" s="946"/>
      <c r="C993" s="946"/>
      <c r="D993" s="946"/>
      <c r="E993" s="947"/>
      <c r="F993" s="120" t="s">
        <v>856</v>
      </c>
      <c r="G993" s="118">
        <f>SUM(G988:G992)</f>
        <v>152067</v>
      </c>
    </row>
    <row r="994" spans="1:8" ht="14.25" thickTop="1" thickBot="1">
      <c r="A994" s="95"/>
      <c r="B994" s="970"/>
      <c r="C994" s="970"/>
      <c r="D994" s="970"/>
      <c r="E994" s="970"/>
      <c r="F994" s="970"/>
      <c r="G994" s="970"/>
    </row>
    <row r="995" spans="1:8" ht="13.5" thickTop="1">
      <c r="A995" s="95"/>
      <c r="B995" s="950" t="s">
        <v>321</v>
      </c>
      <c r="C995" s="951"/>
      <c r="D995" s="951"/>
      <c r="E995" s="951"/>
      <c r="F995" s="951"/>
      <c r="G995" s="952"/>
    </row>
    <row r="996" spans="1:8">
      <c r="A996" s="95"/>
      <c r="B996" s="978" t="s">
        <v>838</v>
      </c>
      <c r="C996" s="979"/>
      <c r="D996" s="98" t="s">
        <v>301</v>
      </c>
      <c r="E996" s="98" t="s">
        <v>297</v>
      </c>
      <c r="F996" s="99" t="s">
        <v>839</v>
      </c>
      <c r="G996" s="107" t="s">
        <v>840</v>
      </c>
    </row>
    <row r="997" spans="1:8">
      <c r="A997" s="95"/>
      <c r="B997" s="230"/>
      <c r="C997" s="102"/>
      <c r="D997" s="103" t="s">
        <v>322</v>
      </c>
      <c r="E997" s="103" t="s">
        <v>323</v>
      </c>
      <c r="F997" s="104" t="s">
        <v>324</v>
      </c>
      <c r="G997" s="109" t="s">
        <v>325</v>
      </c>
    </row>
    <row r="998" spans="1:8">
      <c r="A998" s="95"/>
      <c r="B998" s="841"/>
      <c r="C998" s="842"/>
      <c r="D998" s="96"/>
      <c r="E998" s="96"/>
      <c r="F998" s="96"/>
      <c r="G998" s="116"/>
    </row>
    <row r="999" spans="1:8" ht="13.5" thickBot="1">
      <c r="A999" s="95"/>
      <c r="B999" s="980" t="s">
        <v>841</v>
      </c>
      <c r="C999" s="981"/>
      <c r="D999" s="77"/>
      <c r="E999" s="82"/>
      <c r="F999" s="86"/>
      <c r="G999" s="112"/>
    </row>
    <row r="1000" spans="1:8" ht="14.25" thickTop="1" thickBot="1">
      <c r="A1000" s="95"/>
      <c r="B1000" s="946"/>
      <c r="C1000" s="946"/>
      <c r="D1000" s="946"/>
      <c r="E1000" s="947"/>
      <c r="F1000" s="120" t="s">
        <v>856</v>
      </c>
      <c r="G1000" s="118">
        <f>SUM(G995:G999)</f>
        <v>0</v>
      </c>
    </row>
    <row r="1001" spans="1:8" ht="14.25" thickTop="1" thickBot="1">
      <c r="A1001" s="95"/>
      <c r="B1001" s="970"/>
      <c r="C1001" s="970"/>
      <c r="D1001" s="970"/>
      <c r="E1001" s="970"/>
      <c r="F1001" s="970"/>
      <c r="G1001" s="943"/>
    </row>
    <row r="1002" spans="1:8" ht="13.5" thickTop="1">
      <c r="A1002" s="95"/>
      <c r="B1002" s="950" t="s">
        <v>326</v>
      </c>
      <c r="C1002" s="951"/>
      <c r="D1002" s="951"/>
      <c r="E1002" s="951"/>
      <c r="F1002" s="971"/>
      <c r="G1002" s="121">
        <f>+G966+G982+G993</f>
        <v>315070</v>
      </c>
    </row>
    <row r="1003" spans="1:8">
      <c r="A1003" s="95"/>
      <c r="B1003" s="972" t="s">
        <v>861</v>
      </c>
      <c r="C1003" s="973"/>
      <c r="D1003" s="973"/>
      <c r="E1003" s="974"/>
      <c r="F1003" s="128">
        <f>'MANO DE OBRA'!$D$59</f>
        <v>0</v>
      </c>
      <c r="G1003" s="122">
        <f>ROUND(G1002*F1003,0)</f>
        <v>0</v>
      </c>
    </row>
    <row r="1004" spans="1:8" ht="13.5" thickBot="1">
      <c r="A1004" s="95"/>
      <c r="B1004" s="975" t="s">
        <v>1049</v>
      </c>
      <c r="C1004" s="976"/>
      <c r="D1004" s="976"/>
      <c r="E1004" s="976"/>
      <c r="F1004" s="977"/>
      <c r="G1004" s="118">
        <f>ROUND(G1002+G1003,-2)</f>
        <v>315100</v>
      </c>
      <c r="H1004" s="505" t="s">
        <v>1670</v>
      </c>
    </row>
    <row r="1005" spans="1:8" ht="13.5" thickTop="1">
      <c r="A1005" s="95"/>
      <c r="B1005" s="225" t="s">
        <v>303</v>
      </c>
      <c r="C1005" s="843"/>
      <c r="D1005" s="843"/>
      <c r="E1005" s="843"/>
      <c r="F1005" s="92" t="s">
        <v>781</v>
      </c>
      <c r="G1005" s="93" t="s">
        <v>865</v>
      </c>
    </row>
    <row r="1006" spans="1:8">
      <c r="A1006" s="95"/>
      <c r="B1006" s="226" t="s">
        <v>834</v>
      </c>
      <c r="C1006" s="844" t="s">
        <v>1352</v>
      </c>
      <c r="D1006" s="844"/>
      <c r="E1006" s="844"/>
      <c r="F1006" s="15" t="s">
        <v>833</v>
      </c>
      <c r="G1006" s="165" t="str">
        <f>'MANO DE OBRA'!D61</f>
        <v>Agosto de 2010</v>
      </c>
    </row>
    <row r="1007" spans="1:8" ht="27.75" customHeight="1" thickBot="1">
      <c r="A1007" s="236"/>
      <c r="B1007" s="240" t="s">
        <v>835</v>
      </c>
      <c r="C1007" s="995" t="s">
        <v>1365</v>
      </c>
      <c r="D1007" s="995"/>
      <c r="E1007" s="995"/>
      <c r="F1007" s="995"/>
      <c r="G1007" s="996"/>
    </row>
    <row r="1008" spans="1:8" ht="14.25" thickTop="1" thickBot="1">
      <c r="A1008" s="95"/>
      <c r="B1008" s="986"/>
      <c r="C1008" s="986"/>
      <c r="D1008" s="986"/>
      <c r="E1008" s="986"/>
      <c r="F1008" s="986"/>
      <c r="G1008" s="986"/>
    </row>
    <row r="1009" spans="1:7" ht="13.5" thickTop="1">
      <c r="A1009" s="95"/>
      <c r="B1009" s="950" t="s">
        <v>304</v>
      </c>
      <c r="C1009" s="951"/>
      <c r="D1009" s="951"/>
      <c r="E1009" s="951"/>
      <c r="F1009" s="951"/>
      <c r="G1009" s="952"/>
    </row>
    <row r="1010" spans="1:7">
      <c r="A1010" s="95"/>
      <c r="B1010" s="229"/>
      <c r="C1010" s="97"/>
      <c r="D1010" s="98" t="s">
        <v>301</v>
      </c>
      <c r="E1010" s="98" t="s">
        <v>1072</v>
      </c>
      <c r="F1010" s="99" t="s">
        <v>839</v>
      </c>
      <c r="G1010" s="107" t="s">
        <v>840</v>
      </c>
    </row>
    <row r="1011" spans="1:7">
      <c r="A1011" s="95"/>
      <c r="B1011" s="982" t="s">
        <v>838</v>
      </c>
      <c r="C1011" s="983"/>
      <c r="D1011" s="100" t="s">
        <v>308</v>
      </c>
      <c r="E1011" s="100" t="s">
        <v>305</v>
      </c>
      <c r="F1011" s="101" t="s">
        <v>306</v>
      </c>
      <c r="G1011" s="108" t="s">
        <v>310</v>
      </c>
    </row>
    <row r="1012" spans="1:7">
      <c r="A1012" s="95"/>
      <c r="B1012" s="230"/>
      <c r="C1012" s="102"/>
      <c r="D1012" s="103"/>
      <c r="E1012" s="103" t="s">
        <v>309</v>
      </c>
      <c r="F1012" s="104" t="s">
        <v>307</v>
      </c>
      <c r="G1012" s="109"/>
    </row>
    <row r="1013" spans="1:7">
      <c r="A1013" s="127"/>
      <c r="B1013" s="841" t="str">
        <f>'MAQUINARIA Y EQUIPOS'!$C$28</f>
        <v>HERRAMIENTAS MENORES</v>
      </c>
      <c r="C1013" s="842"/>
      <c r="D1013" s="87">
        <v>1</v>
      </c>
      <c r="E1013" s="82">
        <f>ROUND(G1045*0.05,0)</f>
        <v>10138</v>
      </c>
      <c r="F1013" s="81">
        <v>1</v>
      </c>
      <c r="G1013" s="110">
        <f>ROUND(D1013*E1013/F1013,0)</f>
        <v>10138</v>
      </c>
    </row>
    <row r="1014" spans="1:7">
      <c r="A1014" s="95"/>
      <c r="B1014" s="854"/>
      <c r="C1014" s="855"/>
      <c r="D1014" s="37"/>
      <c r="E1014" s="129"/>
      <c r="F1014" s="83"/>
      <c r="G1014" s="111"/>
    </row>
    <row r="1015" spans="1:7">
      <c r="A1015" s="95"/>
      <c r="B1015" s="854"/>
      <c r="C1015" s="855"/>
      <c r="D1015" s="37"/>
      <c r="E1015" s="129"/>
      <c r="F1015" s="83"/>
      <c r="G1015" s="111"/>
    </row>
    <row r="1016" spans="1:7">
      <c r="A1016" s="95"/>
      <c r="B1016" s="854" t="s">
        <v>841</v>
      </c>
      <c r="C1016" s="855"/>
      <c r="D1016" s="37"/>
      <c r="E1016" s="82"/>
      <c r="F1016" s="83"/>
      <c r="G1016" s="111"/>
    </row>
    <row r="1017" spans="1:7" ht="13.5" thickBot="1">
      <c r="A1017" s="95"/>
      <c r="B1017" s="942" t="s">
        <v>841</v>
      </c>
      <c r="C1017" s="943"/>
      <c r="D1017" s="77"/>
      <c r="E1017" s="106"/>
      <c r="F1017" s="86"/>
      <c r="G1017" s="112"/>
    </row>
    <row r="1018" spans="1:7" ht="14.25" thickTop="1" thickBot="1">
      <c r="A1018" s="95"/>
      <c r="B1018" s="946"/>
      <c r="C1018" s="946"/>
      <c r="D1018" s="946"/>
      <c r="E1018" s="947"/>
      <c r="F1018" s="119" t="s">
        <v>856</v>
      </c>
      <c r="G1018" s="118">
        <f>SUM(G1013:G1017)</f>
        <v>10138</v>
      </c>
    </row>
    <row r="1019" spans="1:7" ht="14.25" thickTop="1" thickBot="1">
      <c r="A1019" s="95"/>
      <c r="B1019" s="970"/>
      <c r="C1019" s="970"/>
      <c r="D1019" s="970"/>
      <c r="E1019" s="970"/>
      <c r="F1019" s="970"/>
      <c r="G1019" s="970"/>
    </row>
    <row r="1020" spans="1:7" ht="13.5" thickTop="1">
      <c r="A1020" s="95"/>
      <c r="B1020" s="950" t="s">
        <v>311</v>
      </c>
      <c r="C1020" s="951"/>
      <c r="D1020" s="951"/>
      <c r="E1020" s="951"/>
      <c r="F1020" s="951"/>
      <c r="G1020" s="952"/>
    </row>
    <row r="1021" spans="1:7">
      <c r="A1021" s="95"/>
      <c r="B1021" s="978" t="s">
        <v>838</v>
      </c>
      <c r="C1021" s="979"/>
      <c r="D1021" s="98" t="s">
        <v>842</v>
      </c>
      <c r="E1021" s="98" t="s">
        <v>853</v>
      </c>
      <c r="F1021" s="99" t="s">
        <v>1047</v>
      </c>
      <c r="G1021" s="107" t="s">
        <v>840</v>
      </c>
    </row>
    <row r="1022" spans="1:7">
      <c r="A1022" s="95"/>
      <c r="B1022" s="230"/>
      <c r="C1022" s="102"/>
      <c r="D1022" s="100"/>
      <c r="E1022" s="100" t="s">
        <v>312</v>
      </c>
      <c r="F1022" s="101" t="s">
        <v>313</v>
      </c>
      <c r="G1022" s="108" t="s">
        <v>314</v>
      </c>
    </row>
    <row r="1023" spans="1:7">
      <c r="A1023" s="123"/>
      <c r="B1023" s="841" t="str">
        <f>MATERIALES2!$C$525</f>
        <v>TABLERO 12 CIRCUITOS TRIFASICO</v>
      </c>
      <c r="C1023" s="842"/>
      <c r="D1023" s="87" t="s">
        <v>865</v>
      </c>
      <c r="E1023" s="81">
        <v>1</v>
      </c>
      <c r="F1023" s="80">
        <f>MATERIALES2!$E$525</f>
        <v>77000</v>
      </c>
      <c r="G1023" s="110">
        <f>ROUND(E1023*F1023,0)</f>
        <v>77000</v>
      </c>
    </row>
    <row r="1024" spans="1:7">
      <c r="A1024" s="123"/>
      <c r="B1024" s="854" t="str">
        <f>MATERIALES2!$C$452</f>
        <v>BREAKER 15 A/20 A</v>
      </c>
      <c r="C1024" s="855"/>
      <c r="D1024" s="37" t="s">
        <v>865</v>
      </c>
      <c r="E1024" s="83">
        <v>12</v>
      </c>
      <c r="F1024" s="82">
        <f>MATERIALES2!$E$452</f>
        <v>10000</v>
      </c>
      <c r="G1024" s="111">
        <f>ROUND(E1024*F1024,0)</f>
        <v>120000</v>
      </c>
    </row>
    <row r="1025" spans="1:8">
      <c r="A1025" s="123"/>
      <c r="B1025" s="854"/>
      <c r="C1025" s="855"/>
      <c r="D1025" s="37"/>
      <c r="E1025" s="83"/>
      <c r="F1025" s="82"/>
      <c r="G1025" s="111"/>
    </row>
    <row r="1026" spans="1:8">
      <c r="A1026" s="123"/>
      <c r="B1026" s="854"/>
      <c r="C1026" s="855"/>
      <c r="D1026" s="37"/>
      <c r="E1026" s="83"/>
      <c r="F1026" s="82"/>
      <c r="G1026" s="111"/>
    </row>
    <row r="1027" spans="1:8">
      <c r="A1027" s="123"/>
      <c r="B1027" s="854"/>
      <c r="C1027" s="855"/>
      <c r="D1027" s="37"/>
      <c r="E1027" s="83"/>
      <c r="F1027" s="82"/>
      <c r="G1027" s="111"/>
    </row>
    <row r="1028" spans="1:8">
      <c r="A1028" s="123"/>
      <c r="B1028" s="854"/>
      <c r="C1028" s="855"/>
      <c r="D1028" s="37"/>
      <c r="E1028" s="83"/>
      <c r="F1028" s="82"/>
      <c r="G1028" s="111"/>
    </row>
    <row r="1029" spans="1:8">
      <c r="A1029" s="123"/>
      <c r="B1029" s="854"/>
      <c r="C1029" s="855"/>
      <c r="D1029" s="37"/>
      <c r="E1029" s="83"/>
      <c r="F1029" s="82"/>
      <c r="G1029" s="111"/>
    </row>
    <row r="1030" spans="1:8">
      <c r="A1030" s="123"/>
      <c r="B1030" s="854"/>
      <c r="C1030" s="855"/>
      <c r="D1030" s="37"/>
      <c r="E1030" s="83"/>
      <c r="F1030" s="82"/>
      <c r="G1030" s="111"/>
      <c r="H1030" s="505" t="s">
        <v>1670</v>
      </c>
    </row>
    <row r="1031" spans="1:8" ht="13.5" thickBot="1">
      <c r="A1031" s="123"/>
      <c r="B1031" s="980"/>
      <c r="C1031" s="981"/>
      <c r="D1031" s="37"/>
      <c r="E1031" s="83"/>
      <c r="F1031" s="82"/>
      <c r="G1031" s="111"/>
    </row>
    <row r="1032" spans="1:8" ht="13.5" thickTop="1">
      <c r="A1032" s="95"/>
      <c r="B1032" s="946"/>
      <c r="C1032" s="947"/>
      <c r="D1032" s="801" t="s">
        <v>856</v>
      </c>
      <c r="E1032" s="802"/>
      <c r="F1032" s="9"/>
      <c r="G1032" s="113">
        <f>SUM(G1023:G1031)</f>
        <v>197000</v>
      </c>
    </row>
    <row r="1033" spans="1:8">
      <c r="A1033" s="95"/>
      <c r="B1033" s="948"/>
      <c r="C1033" s="949"/>
      <c r="D1033" s="801" t="s">
        <v>857</v>
      </c>
      <c r="E1033" s="802"/>
      <c r="F1033" s="79">
        <f>'MANO DE OBRA'!$D$60</f>
        <v>0.05</v>
      </c>
      <c r="G1033" s="113">
        <f>ROUND(G1032*F1033,0)</f>
        <v>9850</v>
      </c>
    </row>
    <row r="1034" spans="1:8" ht="13.5" thickBot="1">
      <c r="A1034" s="95"/>
      <c r="B1034" s="948"/>
      <c r="C1034" s="949"/>
      <c r="D1034" s="803" t="s">
        <v>320</v>
      </c>
      <c r="E1034" s="804"/>
      <c r="F1034" s="114"/>
      <c r="G1034" s="118">
        <f>+G1032+G1033</f>
        <v>206850</v>
      </c>
    </row>
    <row r="1035" spans="1:8" ht="14.25" thickTop="1" thickBot="1">
      <c r="A1035" s="95"/>
      <c r="B1035" s="970"/>
      <c r="C1035" s="970"/>
      <c r="D1035" s="970"/>
      <c r="E1035" s="970"/>
      <c r="F1035" s="970"/>
      <c r="G1035" s="970"/>
    </row>
    <row r="1036" spans="1:8" ht="13.5" thickTop="1">
      <c r="A1036" s="95"/>
      <c r="B1036" s="950" t="s">
        <v>858</v>
      </c>
      <c r="C1036" s="951"/>
      <c r="D1036" s="951"/>
      <c r="E1036" s="951"/>
      <c r="F1036" s="951"/>
      <c r="G1036" s="952"/>
    </row>
    <row r="1037" spans="1:8">
      <c r="A1037" s="95"/>
      <c r="B1037" s="978"/>
      <c r="C1037" s="979"/>
      <c r="D1037" s="98" t="s">
        <v>301</v>
      </c>
      <c r="E1037" s="98" t="s">
        <v>859</v>
      </c>
      <c r="F1037" s="99" t="s">
        <v>839</v>
      </c>
      <c r="G1037" s="107" t="s">
        <v>840</v>
      </c>
    </row>
    <row r="1038" spans="1:8">
      <c r="A1038" s="95"/>
      <c r="B1038" s="982" t="s">
        <v>838</v>
      </c>
      <c r="C1038" s="983"/>
      <c r="D1038" s="100" t="s">
        <v>316</v>
      </c>
      <c r="E1038" s="100" t="s">
        <v>315</v>
      </c>
      <c r="F1038" s="101" t="s">
        <v>306</v>
      </c>
      <c r="G1038" s="108" t="s">
        <v>319</v>
      </c>
    </row>
    <row r="1039" spans="1:8">
      <c r="A1039" s="95"/>
      <c r="B1039" s="230"/>
      <c r="C1039" s="102"/>
      <c r="D1039" s="103"/>
      <c r="E1039" s="103" t="s">
        <v>317</v>
      </c>
      <c r="F1039" s="104" t="s">
        <v>318</v>
      </c>
      <c r="G1039" s="109"/>
    </row>
    <row r="1040" spans="1:8">
      <c r="A1040" s="95"/>
      <c r="B1040" s="841" t="str">
        <f>'MANO DE OBRA'!$B$11</f>
        <v>AYUDANTE CUAD. TIPO BB</v>
      </c>
      <c r="C1040" s="842"/>
      <c r="D1040" s="87">
        <v>1</v>
      </c>
      <c r="E1040" s="80">
        <f>'MANO DE OBRA'!$E$11</f>
        <v>43077</v>
      </c>
      <c r="F1040" s="81">
        <v>0.6</v>
      </c>
      <c r="G1040" s="110">
        <f>ROUND(D1040*E1040/F1040,0)</f>
        <v>71795</v>
      </c>
    </row>
    <row r="1041" spans="1:8">
      <c r="A1041" s="95"/>
      <c r="B1041" s="854" t="str">
        <f>'MANO DE OBRA'!$B$16</f>
        <v>OFICIAL CUAD. TIPO BB</v>
      </c>
      <c r="C1041" s="855"/>
      <c r="D1041" s="37">
        <v>1</v>
      </c>
      <c r="E1041" s="82">
        <f>'MANO DE OBRA'!$E$16</f>
        <v>78577</v>
      </c>
      <c r="F1041" s="83">
        <v>0.6</v>
      </c>
      <c r="G1041" s="111">
        <f>ROUND(D1041*E1041/F1041,0)</f>
        <v>130962</v>
      </c>
    </row>
    <row r="1042" spans="1:8">
      <c r="A1042" s="95"/>
      <c r="B1042" s="854"/>
      <c r="C1042" s="855"/>
      <c r="D1042" s="89"/>
      <c r="E1042" s="82"/>
      <c r="F1042" s="83"/>
      <c r="G1042" s="111"/>
    </row>
    <row r="1043" spans="1:8">
      <c r="A1043" s="95"/>
      <c r="B1043" s="854" t="s">
        <v>841</v>
      </c>
      <c r="C1043" s="855"/>
      <c r="D1043" s="37"/>
      <c r="E1043" s="82"/>
      <c r="F1043" s="83"/>
      <c r="G1043" s="111"/>
    </row>
    <row r="1044" spans="1:8" ht="13.5" thickBot="1">
      <c r="A1044" s="95"/>
      <c r="B1044" s="980" t="s">
        <v>841</v>
      </c>
      <c r="C1044" s="981"/>
      <c r="D1044" s="77"/>
      <c r="E1044" s="82"/>
      <c r="F1044" s="86"/>
      <c r="G1044" s="112"/>
    </row>
    <row r="1045" spans="1:8" ht="14.25" thickTop="1" thickBot="1">
      <c r="A1045" s="95"/>
      <c r="B1045" s="946"/>
      <c r="C1045" s="946"/>
      <c r="D1045" s="946"/>
      <c r="E1045" s="947"/>
      <c r="F1045" s="120" t="s">
        <v>856</v>
      </c>
      <c r="G1045" s="118">
        <f>SUM(G1040:G1044)</f>
        <v>202757</v>
      </c>
    </row>
    <row r="1046" spans="1:8" ht="14.25" thickTop="1" thickBot="1">
      <c r="A1046" s="95"/>
      <c r="B1046" s="970"/>
      <c r="C1046" s="970"/>
      <c r="D1046" s="970"/>
      <c r="E1046" s="970"/>
      <c r="F1046" s="970"/>
      <c r="G1046" s="970"/>
    </row>
    <row r="1047" spans="1:8" ht="13.5" thickTop="1">
      <c r="A1047" s="95"/>
      <c r="B1047" s="950" t="s">
        <v>321</v>
      </c>
      <c r="C1047" s="951"/>
      <c r="D1047" s="951"/>
      <c r="E1047" s="951"/>
      <c r="F1047" s="951"/>
      <c r="G1047" s="952"/>
    </row>
    <row r="1048" spans="1:8">
      <c r="A1048" s="95"/>
      <c r="B1048" s="978" t="s">
        <v>838</v>
      </c>
      <c r="C1048" s="979"/>
      <c r="D1048" s="98" t="s">
        <v>301</v>
      </c>
      <c r="E1048" s="98" t="s">
        <v>297</v>
      </c>
      <c r="F1048" s="99" t="s">
        <v>839</v>
      </c>
      <c r="G1048" s="107" t="s">
        <v>840</v>
      </c>
    </row>
    <row r="1049" spans="1:8">
      <c r="A1049" s="95"/>
      <c r="B1049" s="230"/>
      <c r="C1049" s="102"/>
      <c r="D1049" s="103" t="s">
        <v>322</v>
      </c>
      <c r="E1049" s="103" t="s">
        <v>323</v>
      </c>
      <c r="F1049" s="104" t="s">
        <v>324</v>
      </c>
      <c r="G1049" s="109" t="s">
        <v>325</v>
      </c>
    </row>
    <row r="1050" spans="1:8">
      <c r="A1050" s="95"/>
      <c r="B1050" s="841"/>
      <c r="C1050" s="842"/>
      <c r="D1050" s="96"/>
      <c r="E1050" s="96"/>
      <c r="F1050" s="96"/>
      <c r="G1050" s="116"/>
    </row>
    <row r="1051" spans="1:8" ht="13.5" thickBot="1">
      <c r="A1051" s="95"/>
      <c r="B1051" s="980" t="s">
        <v>841</v>
      </c>
      <c r="C1051" s="981"/>
      <c r="D1051" s="77"/>
      <c r="E1051" s="82"/>
      <c r="F1051" s="86"/>
      <c r="G1051" s="112"/>
    </row>
    <row r="1052" spans="1:8" ht="14.25" thickTop="1" thickBot="1">
      <c r="A1052" s="95"/>
      <c r="B1052" s="946"/>
      <c r="C1052" s="946"/>
      <c r="D1052" s="946"/>
      <c r="E1052" s="947"/>
      <c r="F1052" s="120" t="s">
        <v>856</v>
      </c>
      <c r="G1052" s="118">
        <f>SUM(G1047:G1051)</f>
        <v>0</v>
      </c>
    </row>
    <row r="1053" spans="1:8" ht="14.25" thickTop="1" thickBot="1">
      <c r="A1053" s="95"/>
      <c r="B1053" s="970"/>
      <c r="C1053" s="970"/>
      <c r="D1053" s="970"/>
      <c r="E1053" s="970"/>
      <c r="F1053" s="970"/>
      <c r="G1053" s="943"/>
    </row>
    <row r="1054" spans="1:8" ht="13.5" thickTop="1">
      <c r="A1054" s="95"/>
      <c r="B1054" s="950" t="s">
        <v>326</v>
      </c>
      <c r="C1054" s="951"/>
      <c r="D1054" s="951"/>
      <c r="E1054" s="951"/>
      <c r="F1054" s="971"/>
      <c r="G1054" s="121">
        <f>+G1018+G1034+G1045</f>
        <v>419745</v>
      </c>
    </row>
    <row r="1055" spans="1:8">
      <c r="A1055" s="95"/>
      <c r="B1055" s="972" t="s">
        <v>861</v>
      </c>
      <c r="C1055" s="973"/>
      <c r="D1055" s="973"/>
      <c r="E1055" s="974"/>
      <c r="F1055" s="128">
        <f>'MANO DE OBRA'!$D$59</f>
        <v>0</v>
      </c>
      <c r="G1055" s="122">
        <f>ROUND(G1054*F1055,0)</f>
        <v>0</v>
      </c>
    </row>
    <row r="1056" spans="1:8" ht="13.5" thickBot="1">
      <c r="A1056" s="95"/>
      <c r="B1056" s="975" t="s">
        <v>1049</v>
      </c>
      <c r="C1056" s="976"/>
      <c r="D1056" s="976"/>
      <c r="E1056" s="976"/>
      <c r="F1056" s="977"/>
      <c r="G1056" s="118">
        <f>ROUND(G1054+G1055,-2)</f>
        <v>419700</v>
      </c>
      <c r="H1056" s="505" t="s">
        <v>1670</v>
      </c>
    </row>
    <row r="1057" spans="1:7" ht="13.5" thickTop="1">
      <c r="A1057" s="95"/>
      <c r="B1057" s="225" t="s">
        <v>303</v>
      </c>
      <c r="C1057" s="843"/>
      <c r="D1057" s="843"/>
      <c r="E1057" s="843"/>
      <c r="F1057" s="92" t="s">
        <v>781</v>
      </c>
      <c r="G1057" s="93" t="s">
        <v>865</v>
      </c>
    </row>
    <row r="1058" spans="1:7">
      <c r="A1058" s="95"/>
      <c r="B1058" s="226" t="s">
        <v>834</v>
      </c>
      <c r="C1058" s="844" t="s">
        <v>1352</v>
      </c>
      <c r="D1058" s="844"/>
      <c r="E1058" s="844"/>
      <c r="F1058" s="15" t="s">
        <v>833</v>
      </c>
      <c r="G1058" s="165" t="str">
        <f>'MANO DE OBRA'!D61</f>
        <v>Agosto de 2010</v>
      </c>
    </row>
    <row r="1059" spans="1:7" ht="27.75" customHeight="1" thickBot="1">
      <c r="A1059" s="236"/>
      <c r="B1059" s="240" t="s">
        <v>835</v>
      </c>
      <c r="C1059" s="995" t="s">
        <v>1368</v>
      </c>
      <c r="D1059" s="995"/>
      <c r="E1059" s="995"/>
      <c r="F1059" s="995"/>
      <c r="G1059" s="996"/>
    </row>
    <row r="1060" spans="1:7" ht="14.25" thickTop="1" thickBot="1">
      <c r="A1060" s="95"/>
      <c r="B1060" s="986"/>
      <c r="C1060" s="986"/>
      <c r="D1060" s="986"/>
      <c r="E1060" s="986"/>
      <c r="F1060" s="986"/>
      <c r="G1060" s="986"/>
    </row>
    <row r="1061" spans="1:7" ht="13.5" thickTop="1">
      <c r="A1061" s="95"/>
      <c r="B1061" s="950" t="s">
        <v>304</v>
      </c>
      <c r="C1061" s="951"/>
      <c r="D1061" s="951"/>
      <c r="E1061" s="951"/>
      <c r="F1061" s="951"/>
      <c r="G1061" s="952"/>
    </row>
    <row r="1062" spans="1:7">
      <c r="A1062" s="95"/>
      <c r="B1062" s="229"/>
      <c r="C1062" s="97"/>
      <c r="D1062" s="98" t="s">
        <v>301</v>
      </c>
      <c r="E1062" s="98" t="s">
        <v>1072</v>
      </c>
      <c r="F1062" s="99" t="s">
        <v>839</v>
      </c>
      <c r="G1062" s="107" t="s">
        <v>840</v>
      </c>
    </row>
    <row r="1063" spans="1:7">
      <c r="A1063" s="95"/>
      <c r="B1063" s="982" t="s">
        <v>838</v>
      </c>
      <c r="C1063" s="983"/>
      <c r="D1063" s="100" t="s">
        <v>308</v>
      </c>
      <c r="E1063" s="100" t="s">
        <v>305</v>
      </c>
      <c r="F1063" s="101" t="s">
        <v>306</v>
      </c>
      <c r="G1063" s="108" t="s">
        <v>310</v>
      </c>
    </row>
    <row r="1064" spans="1:7">
      <c r="A1064" s="95"/>
      <c r="B1064" s="230"/>
      <c r="C1064" s="102"/>
      <c r="D1064" s="103"/>
      <c r="E1064" s="103" t="s">
        <v>309</v>
      </c>
      <c r="F1064" s="104" t="s">
        <v>307</v>
      </c>
      <c r="G1064" s="109"/>
    </row>
    <row r="1065" spans="1:7">
      <c r="A1065" s="127"/>
      <c r="B1065" s="841" t="str">
        <f>'MAQUINARIA Y EQUIPOS'!$C$28</f>
        <v>HERRAMIENTAS MENORES</v>
      </c>
      <c r="C1065" s="842"/>
      <c r="D1065" s="87">
        <v>1</v>
      </c>
      <c r="E1065" s="82">
        <f>ROUND(G1097*0.05,0)</f>
        <v>10862</v>
      </c>
      <c r="F1065" s="81">
        <v>1</v>
      </c>
      <c r="G1065" s="110">
        <f>ROUND(D1065*E1065/F1065,0)</f>
        <v>10862</v>
      </c>
    </row>
    <row r="1066" spans="1:7">
      <c r="A1066" s="95"/>
      <c r="B1066" s="854"/>
      <c r="C1066" s="855"/>
      <c r="D1066" s="37"/>
      <c r="E1066" s="129"/>
      <c r="F1066" s="83"/>
      <c r="G1066" s="111"/>
    </row>
    <row r="1067" spans="1:7">
      <c r="A1067" s="95"/>
      <c r="B1067" s="854"/>
      <c r="C1067" s="855"/>
      <c r="D1067" s="37"/>
      <c r="E1067" s="129"/>
      <c r="F1067" s="83"/>
      <c r="G1067" s="111"/>
    </row>
    <row r="1068" spans="1:7">
      <c r="A1068" s="95"/>
      <c r="B1068" s="854" t="s">
        <v>841</v>
      </c>
      <c r="C1068" s="855"/>
      <c r="D1068" s="37"/>
      <c r="E1068" s="82"/>
      <c r="F1068" s="83"/>
      <c r="G1068" s="111"/>
    </row>
    <row r="1069" spans="1:7" ht="13.5" thickBot="1">
      <c r="A1069" s="95"/>
      <c r="B1069" s="942" t="s">
        <v>841</v>
      </c>
      <c r="C1069" s="943"/>
      <c r="D1069" s="77"/>
      <c r="E1069" s="106"/>
      <c r="F1069" s="86"/>
      <c r="G1069" s="112"/>
    </row>
    <row r="1070" spans="1:7" ht="14.25" thickTop="1" thickBot="1">
      <c r="A1070" s="95"/>
      <c r="B1070" s="946"/>
      <c r="C1070" s="946"/>
      <c r="D1070" s="946"/>
      <c r="E1070" s="947"/>
      <c r="F1070" s="119" t="s">
        <v>856</v>
      </c>
      <c r="G1070" s="118">
        <f>SUM(G1065:G1069)</f>
        <v>10862</v>
      </c>
    </row>
    <row r="1071" spans="1:7" ht="14.25" thickTop="1" thickBot="1">
      <c r="A1071" s="95"/>
      <c r="B1071" s="970"/>
      <c r="C1071" s="970"/>
      <c r="D1071" s="970"/>
      <c r="E1071" s="970"/>
      <c r="F1071" s="970"/>
      <c r="G1071" s="970"/>
    </row>
    <row r="1072" spans="1:7" ht="13.5" thickTop="1">
      <c r="A1072" s="95"/>
      <c r="B1072" s="950" t="s">
        <v>311</v>
      </c>
      <c r="C1072" s="951"/>
      <c r="D1072" s="951"/>
      <c r="E1072" s="951"/>
      <c r="F1072" s="951"/>
      <c r="G1072" s="952"/>
    </row>
    <row r="1073" spans="1:8">
      <c r="A1073" s="95"/>
      <c r="B1073" s="978" t="s">
        <v>838</v>
      </c>
      <c r="C1073" s="979"/>
      <c r="D1073" s="98" t="s">
        <v>842</v>
      </c>
      <c r="E1073" s="98" t="s">
        <v>853</v>
      </c>
      <c r="F1073" s="99" t="s">
        <v>1047</v>
      </c>
      <c r="G1073" s="107" t="s">
        <v>840</v>
      </c>
    </row>
    <row r="1074" spans="1:8">
      <c r="A1074" s="95"/>
      <c r="B1074" s="230"/>
      <c r="C1074" s="102"/>
      <c r="D1074" s="100"/>
      <c r="E1074" s="100" t="s">
        <v>312</v>
      </c>
      <c r="F1074" s="101" t="s">
        <v>313</v>
      </c>
      <c r="G1074" s="108" t="s">
        <v>314</v>
      </c>
    </row>
    <row r="1075" spans="1:8">
      <c r="A1075" s="123"/>
      <c r="B1075" s="841" t="str">
        <f>MATERIALES2!$C$527</f>
        <v>TABLERO 18 CIRCUITOS TRIFILAR</v>
      </c>
      <c r="C1075" s="842"/>
      <c r="D1075" s="87" t="s">
        <v>865</v>
      </c>
      <c r="E1075" s="81">
        <v>1</v>
      </c>
      <c r="F1075" s="80">
        <f>MATERIALES2!$E$527</f>
        <v>35000</v>
      </c>
      <c r="G1075" s="110">
        <f>ROUND(E1075*F1075,0)</f>
        <v>35000</v>
      </c>
    </row>
    <row r="1076" spans="1:8">
      <c r="A1076" s="123"/>
      <c r="B1076" s="854" t="str">
        <f>MATERIALES2!$C$452</f>
        <v>BREAKER 15 A/20 A</v>
      </c>
      <c r="C1076" s="855"/>
      <c r="D1076" s="37" t="s">
        <v>865</v>
      </c>
      <c r="E1076" s="83">
        <v>18</v>
      </c>
      <c r="F1076" s="82">
        <f>MATERIALES2!$E$452</f>
        <v>10000</v>
      </c>
      <c r="G1076" s="111">
        <f>ROUND(E1076*F1076,0)</f>
        <v>180000</v>
      </c>
    </row>
    <row r="1077" spans="1:8">
      <c r="A1077" s="123"/>
      <c r="B1077" s="854"/>
      <c r="C1077" s="855"/>
      <c r="D1077" s="37"/>
      <c r="E1077" s="83"/>
      <c r="F1077" s="82"/>
      <c r="G1077" s="111"/>
    </row>
    <row r="1078" spans="1:8">
      <c r="A1078" s="123"/>
      <c r="B1078" s="854"/>
      <c r="C1078" s="855"/>
      <c r="D1078" s="37"/>
      <c r="E1078" s="83"/>
      <c r="F1078" s="82"/>
      <c r="G1078" s="111"/>
    </row>
    <row r="1079" spans="1:8">
      <c r="A1079" s="123"/>
      <c r="B1079" s="854"/>
      <c r="C1079" s="855"/>
      <c r="D1079" s="37"/>
      <c r="E1079" s="83"/>
      <c r="F1079" s="82"/>
      <c r="G1079" s="111"/>
    </row>
    <row r="1080" spans="1:8">
      <c r="A1080" s="123"/>
      <c r="B1080" s="854"/>
      <c r="C1080" s="855"/>
      <c r="D1080" s="37"/>
      <c r="E1080" s="83"/>
      <c r="F1080" s="82"/>
      <c r="G1080" s="111"/>
    </row>
    <row r="1081" spans="1:8">
      <c r="A1081" s="123"/>
      <c r="B1081" s="854"/>
      <c r="C1081" s="855"/>
      <c r="D1081" s="37"/>
      <c r="E1081" s="83"/>
      <c r="F1081" s="82"/>
      <c r="G1081" s="111"/>
    </row>
    <row r="1082" spans="1:8">
      <c r="A1082" s="123"/>
      <c r="B1082" s="854"/>
      <c r="C1082" s="855"/>
      <c r="D1082" s="37"/>
      <c r="E1082" s="83"/>
      <c r="F1082" s="82"/>
      <c r="G1082" s="111"/>
      <c r="H1082" s="505" t="s">
        <v>1670</v>
      </c>
    </row>
    <row r="1083" spans="1:8" ht="13.5" thickBot="1">
      <c r="A1083" s="123"/>
      <c r="B1083" s="980"/>
      <c r="C1083" s="981"/>
      <c r="D1083" s="37"/>
      <c r="E1083" s="83"/>
      <c r="F1083" s="82"/>
      <c r="G1083" s="111"/>
    </row>
    <row r="1084" spans="1:8" ht="13.5" thickTop="1">
      <c r="A1084" s="95"/>
      <c r="B1084" s="946"/>
      <c r="C1084" s="947"/>
      <c r="D1084" s="801" t="s">
        <v>856</v>
      </c>
      <c r="E1084" s="802"/>
      <c r="F1084" s="9"/>
      <c r="G1084" s="113">
        <f>SUM(G1075:G1083)</f>
        <v>215000</v>
      </c>
    </row>
    <row r="1085" spans="1:8">
      <c r="A1085" s="95"/>
      <c r="B1085" s="948"/>
      <c r="C1085" s="949"/>
      <c r="D1085" s="801" t="s">
        <v>857</v>
      </c>
      <c r="E1085" s="802"/>
      <c r="F1085" s="79">
        <f>'MANO DE OBRA'!$D$60</f>
        <v>0.05</v>
      </c>
      <c r="G1085" s="113">
        <f>ROUND(G1084*F1085,0)</f>
        <v>10750</v>
      </c>
    </row>
    <row r="1086" spans="1:8" ht="13.5" thickBot="1">
      <c r="A1086" s="95"/>
      <c r="B1086" s="948"/>
      <c r="C1086" s="949"/>
      <c r="D1086" s="803" t="s">
        <v>320</v>
      </c>
      <c r="E1086" s="804"/>
      <c r="F1086" s="114"/>
      <c r="G1086" s="118">
        <f>+G1084+G1085</f>
        <v>225750</v>
      </c>
    </row>
    <row r="1087" spans="1:8" ht="14.25" thickTop="1" thickBot="1">
      <c r="A1087" s="95"/>
      <c r="B1087" s="970"/>
      <c r="C1087" s="970"/>
      <c r="D1087" s="970"/>
      <c r="E1087" s="970"/>
      <c r="F1087" s="970"/>
      <c r="G1087" s="970"/>
    </row>
    <row r="1088" spans="1:8" ht="13.5" thickTop="1">
      <c r="A1088" s="95"/>
      <c r="B1088" s="950" t="s">
        <v>858</v>
      </c>
      <c r="C1088" s="951"/>
      <c r="D1088" s="951"/>
      <c r="E1088" s="951"/>
      <c r="F1088" s="951"/>
      <c r="G1088" s="952"/>
    </row>
    <row r="1089" spans="1:7">
      <c r="A1089" s="95"/>
      <c r="B1089" s="978"/>
      <c r="C1089" s="979"/>
      <c r="D1089" s="98" t="s">
        <v>301</v>
      </c>
      <c r="E1089" s="98" t="s">
        <v>859</v>
      </c>
      <c r="F1089" s="99" t="s">
        <v>839</v>
      </c>
      <c r="G1089" s="107" t="s">
        <v>840</v>
      </c>
    </row>
    <row r="1090" spans="1:7">
      <c r="A1090" s="95"/>
      <c r="B1090" s="982" t="s">
        <v>838</v>
      </c>
      <c r="C1090" s="983"/>
      <c r="D1090" s="100" t="s">
        <v>316</v>
      </c>
      <c r="E1090" s="100" t="s">
        <v>315</v>
      </c>
      <c r="F1090" s="101" t="s">
        <v>306</v>
      </c>
      <c r="G1090" s="108" t="s">
        <v>319</v>
      </c>
    </row>
    <row r="1091" spans="1:7">
      <c r="A1091" s="95"/>
      <c r="B1091" s="230"/>
      <c r="C1091" s="102"/>
      <c r="D1091" s="103"/>
      <c r="E1091" s="103" t="s">
        <v>317</v>
      </c>
      <c r="F1091" s="104" t="s">
        <v>318</v>
      </c>
      <c r="G1091" s="109"/>
    </row>
    <row r="1092" spans="1:7">
      <c r="A1092" s="95"/>
      <c r="B1092" s="841" t="str">
        <f>'MANO DE OBRA'!$B$11</f>
        <v>AYUDANTE CUAD. TIPO BB</v>
      </c>
      <c r="C1092" s="842"/>
      <c r="D1092" s="87">
        <v>1</v>
      </c>
      <c r="E1092" s="80">
        <f>'MANO DE OBRA'!$E$11</f>
        <v>43077</v>
      </c>
      <c r="F1092" s="81">
        <v>0.56000000000000005</v>
      </c>
      <c r="G1092" s="110">
        <f>ROUND(D1092*E1092/F1092,0)</f>
        <v>76923</v>
      </c>
    </row>
    <row r="1093" spans="1:7">
      <c r="A1093" s="95"/>
      <c r="B1093" s="854" t="str">
        <f>'MANO DE OBRA'!$B$16</f>
        <v>OFICIAL CUAD. TIPO BB</v>
      </c>
      <c r="C1093" s="855"/>
      <c r="D1093" s="37">
        <v>1</v>
      </c>
      <c r="E1093" s="82">
        <f>'MANO DE OBRA'!$E$16</f>
        <v>78577</v>
      </c>
      <c r="F1093" s="83">
        <v>0.56000000000000005</v>
      </c>
      <c r="G1093" s="111">
        <f>ROUND(D1093*E1093/F1093,0)</f>
        <v>140316</v>
      </c>
    </row>
    <row r="1094" spans="1:7">
      <c r="A1094" s="95"/>
      <c r="B1094" s="854"/>
      <c r="C1094" s="855"/>
      <c r="D1094" s="89"/>
      <c r="E1094" s="82"/>
      <c r="F1094" s="83"/>
      <c r="G1094" s="111"/>
    </row>
    <row r="1095" spans="1:7">
      <c r="A1095" s="95"/>
      <c r="B1095" s="854" t="s">
        <v>841</v>
      </c>
      <c r="C1095" s="855"/>
      <c r="D1095" s="37"/>
      <c r="E1095" s="82"/>
      <c r="F1095" s="83"/>
      <c r="G1095" s="111"/>
    </row>
    <row r="1096" spans="1:7" ht="13.5" thickBot="1">
      <c r="A1096" s="95"/>
      <c r="B1096" s="980" t="s">
        <v>841</v>
      </c>
      <c r="C1096" s="981"/>
      <c r="D1096" s="77"/>
      <c r="E1096" s="82"/>
      <c r="F1096" s="86"/>
      <c r="G1096" s="112"/>
    </row>
    <row r="1097" spans="1:7" ht="14.25" thickTop="1" thickBot="1">
      <c r="A1097" s="95"/>
      <c r="B1097" s="946"/>
      <c r="C1097" s="946"/>
      <c r="D1097" s="946"/>
      <c r="E1097" s="947"/>
      <c r="F1097" s="120" t="s">
        <v>856</v>
      </c>
      <c r="G1097" s="118">
        <f>SUM(G1092:G1096)</f>
        <v>217239</v>
      </c>
    </row>
    <row r="1098" spans="1:7" ht="14.25" thickTop="1" thickBot="1">
      <c r="A1098" s="95"/>
      <c r="B1098" s="970"/>
      <c r="C1098" s="970"/>
      <c r="D1098" s="970"/>
      <c r="E1098" s="970"/>
      <c r="F1098" s="970"/>
      <c r="G1098" s="970"/>
    </row>
    <row r="1099" spans="1:7" ht="13.5" thickTop="1">
      <c r="A1099" s="95"/>
      <c r="B1099" s="950" t="s">
        <v>321</v>
      </c>
      <c r="C1099" s="951"/>
      <c r="D1099" s="951"/>
      <c r="E1099" s="951"/>
      <c r="F1099" s="951"/>
      <c r="G1099" s="952"/>
    </row>
    <row r="1100" spans="1:7">
      <c r="A1100" s="95"/>
      <c r="B1100" s="978" t="s">
        <v>838</v>
      </c>
      <c r="C1100" s="979"/>
      <c r="D1100" s="98" t="s">
        <v>301</v>
      </c>
      <c r="E1100" s="98" t="s">
        <v>297</v>
      </c>
      <c r="F1100" s="99" t="s">
        <v>839</v>
      </c>
      <c r="G1100" s="107" t="s">
        <v>840</v>
      </c>
    </row>
    <row r="1101" spans="1:7">
      <c r="A1101" s="95"/>
      <c r="B1101" s="230"/>
      <c r="C1101" s="102"/>
      <c r="D1101" s="103" t="s">
        <v>322</v>
      </c>
      <c r="E1101" s="103" t="s">
        <v>323</v>
      </c>
      <c r="F1101" s="104" t="s">
        <v>324</v>
      </c>
      <c r="G1101" s="109" t="s">
        <v>325</v>
      </c>
    </row>
    <row r="1102" spans="1:7">
      <c r="A1102" s="95"/>
      <c r="B1102" s="841"/>
      <c r="C1102" s="842"/>
      <c r="D1102" s="96"/>
      <c r="E1102" s="96"/>
      <c r="F1102" s="96"/>
      <c r="G1102" s="116"/>
    </row>
    <row r="1103" spans="1:7" ht="13.5" thickBot="1">
      <c r="A1103" s="95"/>
      <c r="B1103" s="980" t="s">
        <v>841</v>
      </c>
      <c r="C1103" s="981"/>
      <c r="D1103" s="77"/>
      <c r="E1103" s="82"/>
      <c r="F1103" s="86"/>
      <c r="G1103" s="112"/>
    </row>
    <row r="1104" spans="1:7" ht="14.25" thickTop="1" thickBot="1">
      <c r="A1104" s="95"/>
      <c r="B1104" s="946"/>
      <c r="C1104" s="946"/>
      <c r="D1104" s="946"/>
      <c r="E1104" s="947"/>
      <c r="F1104" s="120" t="s">
        <v>856</v>
      </c>
      <c r="G1104" s="118">
        <f>SUM(G1099:G1103)</f>
        <v>0</v>
      </c>
    </row>
    <row r="1105" spans="1:8" ht="14.25" thickTop="1" thickBot="1">
      <c r="A1105" s="95"/>
      <c r="B1105" s="970"/>
      <c r="C1105" s="970"/>
      <c r="D1105" s="970"/>
      <c r="E1105" s="970"/>
      <c r="F1105" s="970"/>
      <c r="G1105" s="943"/>
    </row>
    <row r="1106" spans="1:8" ht="13.5" thickTop="1">
      <c r="A1106" s="95"/>
      <c r="B1106" s="950" t="s">
        <v>326</v>
      </c>
      <c r="C1106" s="951"/>
      <c r="D1106" s="951"/>
      <c r="E1106" s="951"/>
      <c r="F1106" s="971"/>
      <c r="G1106" s="121">
        <f>+G1070+G1086+G1097</f>
        <v>453851</v>
      </c>
    </row>
    <row r="1107" spans="1:8">
      <c r="A1107" s="95"/>
      <c r="B1107" s="972" t="s">
        <v>861</v>
      </c>
      <c r="C1107" s="973"/>
      <c r="D1107" s="973"/>
      <c r="E1107" s="974"/>
      <c r="F1107" s="128">
        <f>'MANO DE OBRA'!$D$59</f>
        <v>0</v>
      </c>
      <c r="G1107" s="122">
        <f>ROUND(G1106*F1107,0)</f>
        <v>0</v>
      </c>
    </row>
    <row r="1108" spans="1:8" ht="13.5" thickBot="1">
      <c r="A1108" s="95"/>
      <c r="B1108" s="975" t="s">
        <v>1049</v>
      </c>
      <c r="C1108" s="976"/>
      <c r="D1108" s="976"/>
      <c r="E1108" s="976"/>
      <c r="F1108" s="977"/>
      <c r="G1108" s="118">
        <f>ROUND(G1106+G1107,-2)</f>
        <v>453900</v>
      </c>
      <c r="H1108" s="505" t="s">
        <v>1670</v>
      </c>
    </row>
    <row r="1109" spans="1:8" ht="13.5" thickTop="1">
      <c r="A1109" s="95"/>
      <c r="B1109" s="225" t="s">
        <v>303</v>
      </c>
      <c r="C1109" s="843"/>
      <c r="D1109" s="843"/>
      <c r="E1109" s="843"/>
      <c r="F1109" s="92" t="s">
        <v>781</v>
      </c>
      <c r="G1109" s="93" t="s">
        <v>865</v>
      </c>
    </row>
    <row r="1110" spans="1:8">
      <c r="A1110" s="95"/>
      <c r="B1110" s="226" t="s">
        <v>834</v>
      </c>
      <c r="C1110" s="844" t="s">
        <v>1352</v>
      </c>
      <c r="D1110" s="844"/>
      <c r="E1110" s="844"/>
      <c r="F1110" s="15" t="s">
        <v>833</v>
      </c>
      <c r="G1110" s="165" t="str">
        <f>'MANO DE OBRA'!D61</f>
        <v>Agosto de 2010</v>
      </c>
    </row>
    <row r="1111" spans="1:8" ht="27.75" customHeight="1" thickBot="1">
      <c r="A1111" s="236"/>
      <c r="B1111" s="240" t="s">
        <v>835</v>
      </c>
      <c r="C1111" s="995" t="s">
        <v>1369</v>
      </c>
      <c r="D1111" s="995"/>
      <c r="E1111" s="995"/>
      <c r="F1111" s="995"/>
      <c r="G1111" s="996"/>
    </row>
    <row r="1112" spans="1:8" ht="14.25" thickTop="1" thickBot="1">
      <c r="A1112" s="95"/>
      <c r="B1112" s="986"/>
      <c r="C1112" s="986"/>
      <c r="D1112" s="986"/>
      <c r="E1112" s="986"/>
      <c r="F1112" s="986"/>
      <c r="G1112" s="986"/>
    </row>
    <row r="1113" spans="1:8" ht="13.5" thickTop="1">
      <c r="A1113" s="95"/>
      <c r="B1113" s="950" t="s">
        <v>304</v>
      </c>
      <c r="C1113" s="951"/>
      <c r="D1113" s="951"/>
      <c r="E1113" s="951"/>
      <c r="F1113" s="951"/>
      <c r="G1113" s="952"/>
    </row>
    <row r="1114" spans="1:8">
      <c r="A1114" s="95"/>
      <c r="B1114" s="229"/>
      <c r="C1114" s="97"/>
      <c r="D1114" s="98" t="s">
        <v>301</v>
      </c>
      <c r="E1114" s="98" t="s">
        <v>1072</v>
      </c>
      <c r="F1114" s="99" t="s">
        <v>839</v>
      </c>
      <c r="G1114" s="107" t="s">
        <v>840</v>
      </c>
    </row>
    <row r="1115" spans="1:8">
      <c r="A1115" s="95"/>
      <c r="B1115" s="982" t="s">
        <v>838</v>
      </c>
      <c r="C1115" s="983"/>
      <c r="D1115" s="100" t="s">
        <v>308</v>
      </c>
      <c r="E1115" s="100" t="s">
        <v>305</v>
      </c>
      <c r="F1115" s="101" t="s">
        <v>306</v>
      </c>
      <c r="G1115" s="108" t="s">
        <v>310</v>
      </c>
    </row>
    <row r="1116" spans="1:8">
      <c r="A1116" s="95"/>
      <c r="B1116" s="230"/>
      <c r="C1116" s="102"/>
      <c r="D1116" s="103"/>
      <c r="E1116" s="103" t="s">
        <v>309</v>
      </c>
      <c r="F1116" s="104" t="s">
        <v>307</v>
      </c>
      <c r="G1116" s="109"/>
    </row>
    <row r="1117" spans="1:8">
      <c r="A1117" s="127"/>
      <c r="B1117" s="841" t="str">
        <f>'MAQUINARIA Y EQUIPOS'!$C$28</f>
        <v>HERRAMIENTAS MENORES</v>
      </c>
      <c r="C1117" s="842"/>
      <c r="D1117" s="87">
        <v>1</v>
      </c>
      <c r="E1117" s="82">
        <f>ROUND(G1149*0.05,0)</f>
        <v>11927</v>
      </c>
      <c r="F1117" s="81">
        <v>1</v>
      </c>
      <c r="G1117" s="110">
        <f>ROUND(D1117*E1117/F1117,0)</f>
        <v>11927</v>
      </c>
    </row>
    <row r="1118" spans="1:8">
      <c r="A1118" s="95"/>
      <c r="B1118" s="854"/>
      <c r="C1118" s="855"/>
      <c r="D1118" s="37"/>
      <c r="E1118" s="129"/>
      <c r="F1118" s="83"/>
      <c r="G1118" s="111"/>
    </row>
    <row r="1119" spans="1:8">
      <c r="A1119" s="95"/>
      <c r="B1119" s="854"/>
      <c r="C1119" s="855"/>
      <c r="D1119" s="37"/>
      <c r="E1119" s="129"/>
      <c r="F1119" s="83"/>
      <c r="G1119" s="111"/>
    </row>
    <row r="1120" spans="1:8">
      <c r="A1120" s="95"/>
      <c r="B1120" s="854" t="s">
        <v>841</v>
      </c>
      <c r="C1120" s="855"/>
      <c r="D1120" s="37"/>
      <c r="E1120" s="82"/>
      <c r="F1120" s="83"/>
      <c r="G1120" s="111"/>
    </row>
    <row r="1121" spans="1:8" ht="13.5" thickBot="1">
      <c r="A1121" s="95"/>
      <c r="B1121" s="942" t="s">
        <v>841</v>
      </c>
      <c r="C1121" s="943"/>
      <c r="D1121" s="77"/>
      <c r="E1121" s="106"/>
      <c r="F1121" s="86"/>
      <c r="G1121" s="112"/>
    </row>
    <row r="1122" spans="1:8" ht="14.25" thickTop="1" thickBot="1">
      <c r="A1122" s="95"/>
      <c r="B1122" s="946"/>
      <c r="C1122" s="946"/>
      <c r="D1122" s="946"/>
      <c r="E1122" s="947"/>
      <c r="F1122" s="119" t="s">
        <v>856</v>
      </c>
      <c r="G1122" s="118">
        <f>SUM(G1117:G1121)</f>
        <v>11927</v>
      </c>
    </row>
    <row r="1123" spans="1:8" ht="14.25" thickTop="1" thickBot="1">
      <c r="A1123" s="95"/>
      <c r="B1123" s="970"/>
      <c r="C1123" s="970"/>
      <c r="D1123" s="970"/>
      <c r="E1123" s="970"/>
      <c r="F1123" s="970"/>
      <c r="G1123" s="970"/>
    </row>
    <row r="1124" spans="1:8" ht="13.5" thickTop="1">
      <c r="A1124" s="95"/>
      <c r="B1124" s="950" t="s">
        <v>311</v>
      </c>
      <c r="C1124" s="951"/>
      <c r="D1124" s="951"/>
      <c r="E1124" s="951"/>
      <c r="F1124" s="951"/>
      <c r="G1124" s="952"/>
    </row>
    <row r="1125" spans="1:8">
      <c r="A1125" s="95"/>
      <c r="B1125" s="978" t="s">
        <v>838</v>
      </c>
      <c r="C1125" s="979"/>
      <c r="D1125" s="98" t="s">
        <v>842</v>
      </c>
      <c r="E1125" s="98" t="s">
        <v>853</v>
      </c>
      <c r="F1125" s="99" t="s">
        <v>1047</v>
      </c>
      <c r="G1125" s="107" t="s">
        <v>840</v>
      </c>
    </row>
    <row r="1126" spans="1:8">
      <c r="A1126" s="95"/>
      <c r="B1126" s="230"/>
      <c r="C1126" s="102"/>
      <c r="D1126" s="100"/>
      <c r="E1126" s="100" t="s">
        <v>312</v>
      </c>
      <c r="F1126" s="101" t="s">
        <v>313</v>
      </c>
      <c r="G1126" s="108" t="s">
        <v>314</v>
      </c>
    </row>
    <row r="1127" spans="1:8">
      <c r="A1127" s="123"/>
      <c r="B1127" s="841" t="str">
        <f>MATERIALES2!$C$526</f>
        <v>TABLERO 18 CIRCUITOS TRIFASICO</v>
      </c>
      <c r="C1127" s="842"/>
      <c r="D1127" s="87" t="s">
        <v>865</v>
      </c>
      <c r="E1127" s="81">
        <v>1</v>
      </c>
      <c r="F1127" s="80">
        <f>MATERIALES2!$E$526</f>
        <v>92000</v>
      </c>
      <c r="G1127" s="110">
        <f>ROUND(E1127*F1127,0)</f>
        <v>92000</v>
      </c>
    </row>
    <row r="1128" spans="1:8">
      <c r="A1128" s="123"/>
      <c r="B1128" s="854" t="str">
        <f>MATERIALES2!$C$452</f>
        <v>BREAKER 15 A/20 A</v>
      </c>
      <c r="C1128" s="855"/>
      <c r="D1128" s="37" t="s">
        <v>865</v>
      </c>
      <c r="E1128" s="83">
        <v>18</v>
      </c>
      <c r="F1128" s="82">
        <f>MATERIALES2!$E$452</f>
        <v>10000</v>
      </c>
      <c r="G1128" s="111">
        <f>ROUND(E1128*F1128,0)</f>
        <v>180000</v>
      </c>
    </row>
    <row r="1129" spans="1:8">
      <c r="A1129" s="123"/>
      <c r="B1129" s="854"/>
      <c r="C1129" s="855"/>
      <c r="D1129" s="37"/>
      <c r="E1129" s="83"/>
      <c r="F1129" s="82"/>
      <c r="G1129" s="111"/>
    </row>
    <row r="1130" spans="1:8">
      <c r="A1130" s="123"/>
      <c r="B1130" s="854"/>
      <c r="C1130" s="855"/>
      <c r="D1130" s="37"/>
      <c r="E1130" s="83"/>
      <c r="F1130" s="82"/>
      <c r="G1130" s="111"/>
    </row>
    <row r="1131" spans="1:8">
      <c r="A1131" s="123"/>
      <c r="B1131" s="854"/>
      <c r="C1131" s="855"/>
      <c r="D1131" s="37"/>
      <c r="E1131" s="83"/>
      <c r="F1131" s="82"/>
      <c r="G1131" s="111"/>
    </row>
    <row r="1132" spans="1:8">
      <c r="A1132" s="123"/>
      <c r="B1132" s="854"/>
      <c r="C1132" s="855"/>
      <c r="D1132" s="37"/>
      <c r="E1132" s="83"/>
      <c r="F1132" s="82"/>
      <c r="G1132" s="111"/>
    </row>
    <row r="1133" spans="1:8">
      <c r="A1133" s="123"/>
      <c r="B1133" s="854"/>
      <c r="C1133" s="855"/>
      <c r="D1133" s="37"/>
      <c r="E1133" s="83"/>
      <c r="F1133" s="82"/>
      <c r="G1133" s="111"/>
    </row>
    <row r="1134" spans="1:8">
      <c r="A1134" s="123"/>
      <c r="B1134" s="854"/>
      <c r="C1134" s="855"/>
      <c r="D1134" s="37"/>
      <c r="E1134" s="83"/>
      <c r="F1134" s="82"/>
      <c r="G1134" s="111"/>
      <c r="H1134" s="505" t="s">
        <v>1670</v>
      </c>
    </row>
    <row r="1135" spans="1:8" ht="13.5" thickBot="1">
      <c r="A1135" s="123"/>
      <c r="B1135" s="980"/>
      <c r="C1135" s="981"/>
      <c r="D1135" s="37"/>
      <c r="E1135" s="83"/>
      <c r="F1135" s="82"/>
      <c r="G1135" s="111"/>
    </row>
    <row r="1136" spans="1:8" ht="13.5" thickTop="1">
      <c r="A1136" s="95"/>
      <c r="B1136" s="946"/>
      <c r="C1136" s="947"/>
      <c r="D1136" s="801" t="s">
        <v>856</v>
      </c>
      <c r="E1136" s="802"/>
      <c r="F1136" s="9"/>
      <c r="G1136" s="113">
        <f>SUM(G1127:G1135)</f>
        <v>272000</v>
      </c>
    </row>
    <row r="1137" spans="1:7">
      <c r="A1137" s="95"/>
      <c r="B1137" s="948"/>
      <c r="C1137" s="949"/>
      <c r="D1137" s="801" t="s">
        <v>857</v>
      </c>
      <c r="E1137" s="802"/>
      <c r="F1137" s="79">
        <f>'MANO DE OBRA'!$D$60</f>
        <v>0.05</v>
      </c>
      <c r="G1137" s="113">
        <f>ROUND(G1136*F1137,0)</f>
        <v>13600</v>
      </c>
    </row>
    <row r="1138" spans="1:7" ht="13.5" thickBot="1">
      <c r="A1138" s="95"/>
      <c r="B1138" s="948"/>
      <c r="C1138" s="949"/>
      <c r="D1138" s="803" t="s">
        <v>320</v>
      </c>
      <c r="E1138" s="804"/>
      <c r="F1138" s="114"/>
      <c r="G1138" s="118">
        <f>+G1136+G1137</f>
        <v>285600</v>
      </c>
    </row>
    <row r="1139" spans="1:7" ht="14.25" thickTop="1" thickBot="1">
      <c r="A1139" s="95"/>
      <c r="B1139" s="970"/>
      <c r="C1139" s="970"/>
      <c r="D1139" s="970"/>
      <c r="E1139" s="970"/>
      <c r="F1139" s="970"/>
      <c r="G1139" s="970"/>
    </row>
    <row r="1140" spans="1:7" ht="13.5" thickTop="1">
      <c r="A1140" s="95"/>
      <c r="B1140" s="950" t="s">
        <v>858</v>
      </c>
      <c r="C1140" s="951"/>
      <c r="D1140" s="951"/>
      <c r="E1140" s="951"/>
      <c r="F1140" s="951"/>
      <c r="G1140" s="952"/>
    </row>
    <row r="1141" spans="1:7">
      <c r="A1141" s="95"/>
      <c r="B1141" s="978"/>
      <c r="C1141" s="979"/>
      <c r="D1141" s="98" t="s">
        <v>301</v>
      </c>
      <c r="E1141" s="98" t="s">
        <v>859</v>
      </c>
      <c r="F1141" s="99" t="s">
        <v>839</v>
      </c>
      <c r="G1141" s="107" t="s">
        <v>840</v>
      </c>
    </row>
    <row r="1142" spans="1:7">
      <c r="A1142" s="95"/>
      <c r="B1142" s="982" t="s">
        <v>838</v>
      </c>
      <c r="C1142" s="983"/>
      <c r="D1142" s="100" t="s">
        <v>316</v>
      </c>
      <c r="E1142" s="100" t="s">
        <v>315</v>
      </c>
      <c r="F1142" s="101" t="s">
        <v>306</v>
      </c>
      <c r="G1142" s="108" t="s">
        <v>319</v>
      </c>
    </row>
    <row r="1143" spans="1:7">
      <c r="A1143" s="95"/>
      <c r="B1143" s="230"/>
      <c r="C1143" s="102"/>
      <c r="D1143" s="103"/>
      <c r="E1143" s="103" t="s">
        <v>317</v>
      </c>
      <c r="F1143" s="104" t="s">
        <v>318</v>
      </c>
      <c r="G1143" s="109"/>
    </row>
    <row r="1144" spans="1:7">
      <c r="A1144" s="95"/>
      <c r="B1144" s="841" t="str">
        <f>'MANO DE OBRA'!$B$11</f>
        <v>AYUDANTE CUAD. TIPO BB</v>
      </c>
      <c r="C1144" s="842"/>
      <c r="D1144" s="87">
        <v>1</v>
      </c>
      <c r="E1144" s="80">
        <f>'MANO DE OBRA'!$E$11</f>
        <v>43077</v>
      </c>
      <c r="F1144" s="81">
        <v>0.51</v>
      </c>
      <c r="G1144" s="110">
        <f>ROUND(D1144*E1144/F1144,0)</f>
        <v>84465</v>
      </c>
    </row>
    <row r="1145" spans="1:7">
      <c r="A1145" s="95"/>
      <c r="B1145" s="854" t="str">
        <f>'MANO DE OBRA'!$B$16</f>
        <v>OFICIAL CUAD. TIPO BB</v>
      </c>
      <c r="C1145" s="855"/>
      <c r="D1145" s="37">
        <v>1</v>
      </c>
      <c r="E1145" s="82">
        <f>'MANO DE OBRA'!$E$16</f>
        <v>78577</v>
      </c>
      <c r="F1145" s="83">
        <v>0.51</v>
      </c>
      <c r="G1145" s="111">
        <f>ROUND(D1145*E1145/F1145,0)</f>
        <v>154073</v>
      </c>
    </row>
    <row r="1146" spans="1:7">
      <c r="A1146" s="95"/>
      <c r="B1146" s="854"/>
      <c r="C1146" s="855"/>
      <c r="D1146" s="89"/>
      <c r="E1146" s="82"/>
      <c r="F1146" s="83"/>
      <c r="G1146" s="111"/>
    </row>
    <row r="1147" spans="1:7">
      <c r="A1147" s="95"/>
      <c r="B1147" s="854" t="s">
        <v>841</v>
      </c>
      <c r="C1147" s="855"/>
      <c r="D1147" s="37"/>
      <c r="E1147" s="82"/>
      <c r="F1147" s="83"/>
      <c r="G1147" s="111"/>
    </row>
    <row r="1148" spans="1:7" ht="13.5" thickBot="1">
      <c r="A1148" s="95"/>
      <c r="B1148" s="980" t="s">
        <v>841</v>
      </c>
      <c r="C1148" s="981"/>
      <c r="D1148" s="77"/>
      <c r="E1148" s="82"/>
      <c r="F1148" s="86"/>
      <c r="G1148" s="112"/>
    </row>
    <row r="1149" spans="1:7" ht="14.25" thickTop="1" thickBot="1">
      <c r="A1149" s="95"/>
      <c r="B1149" s="946"/>
      <c r="C1149" s="946"/>
      <c r="D1149" s="946"/>
      <c r="E1149" s="947"/>
      <c r="F1149" s="120" t="s">
        <v>856</v>
      </c>
      <c r="G1149" s="118">
        <f>SUM(G1144:G1148)</f>
        <v>238538</v>
      </c>
    </row>
    <row r="1150" spans="1:7" ht="14.25" thickTop="1" thickBot="1">
      <c r="A1150" s="95"/>
      <c r="B1150" s="970"/>
      <c r="C1150" s="970"/>
      <c r="D1150" s="970"/>
      <c r="E1150" s="970"/>
      <c r="F1150" s="970"/>
      <c r="G1150" s="970"/>
    </row>
    <row r="1151" spans="1:7" ht="13.5" thickTop="1">
      <c r="A1151" s="95"/>
      <c r="B1151" s="950" t="s">
        <v>321</v>
      </c>
      <c r="C1151" s="951"/>
      <c r="D1151" s="951"/>
      <c r="E1151" s="951"/>
      <c r="F1151" s="951"/>
      <c r="G1151" s="952"/>
    </row>
    <row r="1152" spans="1:7">
      <c r="A1152" s="95"/>
      <c r="B1152" s="978" t="s">
        <v>838</v>
      </c>
      <c r="C1152" s="979"/>
      <c r="D1152" s="98" t="s">
        <v>301</v>
      </c>
      <c r="E1152" s="98" t="s">
        <v>297</v>
      </c>
      <c r="F1152" s="99" t="s">
        <v>839</v>
      </c>
      <c r="G1152" s="107" t="s">
        <v>840</v>
      </c>
    </row>
    <row r="1153" spans="1:8">
      <c r="A1153" s="95"/>
      <c r="B1153" s="230"/>
      <c r="C1153" s="102"/>
      <c r="D1153" s="103" t="s">
        <v>322</v>
      </c>
      <c r="E1153" s="103" t="s">
        <v>323</v>
      </c>
      <c r="F1153" s="104" t="s">
        <v>324</v>
      </c>
      <c r="G1153" s="109" t="s">
        <v>325</v>
      </c>
    </row>
    <row r="1154" spans="1:8">
      <c r="A1154" s="95"/>
      <c r="B1154" s="841"/>
      <c r="C1154" s="842"/>
      <c r="D1154" s="96"/>
      <c r="E1154" s="96"/>
      <c r="F1154" s="96"/>
      <c r="G1154" s="116"/>
    </row>
    <row r="1155" spans="1:8" ht="13.5" thickBot="1">
      <c r="A1155" s="95"/>
      <c r="B1155" s="980" t="s">
        <v>841</v>
      </c>
      <c r="C1155" s="981"/>
      <c r="D1155" s="77"/>
      <c r="E1155" s="82"/>
      <c r="F1155" s="86"/>
      <c r="G1155" s="112"/>
    </row>
    <row r="1156" spans="1:8" ht="14.25" thickTop="1" thickBot="1">
      <c r="A1156" s="95"/>
      <c r="B1156" s="946"/>
      <c r="C1156" s="946"/>
      <c r="D1156" s="946"/>
      <c r="E1156" s="947"/>
      <c r="F1156" s="120" t="s">
        <v>856</v>
      </c>
      <c r="G1156" s="118">
        <f>SUM(G1151:G1155)</f>
        <v>0</v>
      </c>
    </row>
    <row r="1157" spans="1:8" ht="14.25" thickTop="1" thickBot="1">
      <c r="A1157" s="95"/>
      <c r="B1157" s="970"/>
      <c r="C1157" s="970"/>
      <c r="D1157" s="970"/>
      <c r="E1157" s="970"/>
      <c r="F1157" s="970"/>
      <c r="G1157" s="943"/>
    </row>
    <row r="1158" spans="1:8" ht="13.5" thickTop="1">
      <c r="A1158" s="95"/>
      <c r="B1158" s="950" t="s">
        <v>326</v>
      </c>
      <c r="C1158" s="951"/>
      <c r="D1158" s="951"/>
      <c r="E1158" s="951"/>
      <c r="F1158" s="971"/>
      <c r="G1158" s="121">
        <f>+G1122+G1138+G1149</f>
        <v>536065</v>
      </c>
    </row>
    <row r="1159" spans="1:8">
      <c r="A1159" s="95"/>
      <c r="B1159" s="972" t="s">
        <v>861</v>
      </c>
      <c r="C1159" s="973"/>
      <c r="D1159" s="973"/>
      <c r="E1159" s="974"/>
      <c r="F1159" s="128">
        <f>'MANO DE OBRA'!$D$59</f>
        <v>0</v>
      </c>
      <c r="G1159" s="122">
        <f>ROUND(G1158*F1159,0)</f>
        <v>0</v>
      </c>
    </row>
    <row r="1160" spans="1:8" ht="13.5" thickBot="1">
      <c r="A1160" s="95"/>
      <c r="B1160" s="975" t="s">
        <v>1049</v>
      </c>
      <c r="C1160" s="976"/>
      <c r="D1160" s="976"/>
      <c r="E1160" s="976"/>
      <c r="F1160" s="977"/>
      <c r="G1160" s="118">
        <f>ROUND(G1158+G1159,-2)</f>
        <v>536100</v>
      </c>
      <c r="H1160" s="505" t="s">
        <v>1670</v>
      </c>
    </row>
    <row r="1161" spans="1:8" ht="13.5" thickTop="1">
      <c r="A1161" s="95"/>
      <c r="B1161" s="225" t="s">
        <v>303</v>
      </c>
      <c r="C1161" s="843"/>
      <c r="D1161" s="843"/>
      <c r="E1161" s="843"/>
      <c r="F1161" s="92" t="s">
        <v>781</v>
      </c>
      <c r="G1161" s="93" t="s">
        <v>865</v>
      </c>
    </row>
    <row r="1162" spans="1:8">
      <c r="A1162" s="95"/>
      <c r="B1162" s="226" t="s">
        <v>834</v>
      </c>
      <c r="C1162" s="844" t="s">
        <v>1352</v>
      </c>
      <c r="D1162" s="844"/>
      <c r="E1162" s="844"/>
      <c r="F1162" s="15" t="s">
        <v>833</v>
      </c>
      <c r="G1162" s="165" t="str">
        <f>'MANO DE OBRA'!D61</f>
        <v>Agosto de 2010</v>
      </c>
    </row>
    <row r="1163" spans="1:8" ht="13.5" thickBot="1">
      <c r="A1163" s="236"/>
      <c r="B1163" s="240" t="s">
        <v>835</v>
      </c>
      <c r="C1163" s="995" t="s">
        <v>1370</v>
      </c>
      <c r="D1163" s="995"/>
      <c r="E1163" s="995"/>
      <c r="F1163" s="995"/>
      <c r="G1163" s="996"/>
    </row>
    <row r="1164" spans="1:8" ht="14.25" thickTop="1" thickBot="1">
      <c r="A1164" s="95"/>
      <c r="B1164" s="986"/>
      <c r="C1164" s="986"/>
      <c r="D1164" s="986"/>
      <c r="E1164" s="986"/>
      <c r="F1164" s="986"/>
      <c r="G1164" s="986"/>
    </row>
    <row r="1165" spans="1:8" ht="13.5" thickTop="1">
      <c r="A1165" s="95"/>
      <c r="B1165" s="950" t="s">
        <v>304</v>
      </c>
      <c r="C1165" s="951"/>
      <c r="D1165" s="951"/>
      <c r="E1165" s="951"/>
      <c r="F1165" s="951"/>
      <c r="G1165" s="952"/>
    </row>
    <row r="1166" spans="1:8">
      <c r="A1166" s="95"/>
      <c r="B1166" s="229"/>
      <c r="C1166" s="97"/>
      <c r="D1166" s="98" t="s">
        <v>301</v>
      </c>
      <c r="E1166" s="98" t="s">
        <v>1072</v>
      </c>
      <c r="F1166" s="99" t="s">
        <v>839</v>
      </c>
      <c r="G1166" s="107" t="s">
        <v>840</v>
      </c>
    </row>
    <row r="1167" spans="1:8">
      <c r="A1167" s="95"/>
      <c r="B1167" s="982" t="s">
        <v>838</v>
      </c>
      <c r="C1167" s="983"/>
      <c r="D1167" s="100" t="s">
        <v>308</v>
      </c>
      <c r="E1167" s="100" t="s">
        <v>305</v>
      </c>
      <c r="F1167" s="101" t="s">
        <v>306</v>
      </c>
      <c r="G1167" s="108" t="s">
        <v>310</v>
      </c>
    </row>
    <row r="1168" spans="1:8">
      <c r="A1168" s="95"/>
      <c r="B1168" s="230"/>
      <c r="C1168" s="102"/>
      <c r="D1168" s="103"/>
      <c r="E1168" s="103" t="s">
        <v>309</v>
      </c>
      <c r="F1168" s="104" t="s">
        <v>307</v>
      </c>
      <c r="G1168" s="109"/>
    </row>
    <row r="1169" spans="1:7">
      <c r="A1169" s="127"/>
      <c r="B1169" s="841" t="str">
        <f>'MAQUINARIA Y EQUIPOS'!$C$28</f>
        <v>HERRAMIENTAS MENORES</v>
      </c>
      <c r="C1169" s="842"/>
      <c r="D1169" s="87">
        <v>1</v>
      </c>
      <c r="E1169" s="82">
        <f>ROUND(G1201*0.05,0)</f>
        <v>13517</v>
      </c>
      <c r="F1169" s="81">
        <v>1</v>
      </c>
      <c r="G1169" s="110">
        <f>ROUND(D1169*E1169/F1169,0)</f>
        <v>13517</v>
      </c>
    </row>
    <row r="1170" spans="1:7">
      <c r="A1170" s="95"/>
      <c r="B1170" s="854"/>
      <c r="C1170" s="855"/>
      <c r="D1170" s="37"/>
      <c r="E1170" s="129"/>
      <c r="F1170" s="83"/>
      <c r="G1170" s="111"/>
    </row>
    <row r="1171" spans="1:7">
      <c r="A1171" s="95"/>
      <c r="B1171" s="854"/>
      <c r="C1171" s="855"/>
      <c r="D1171" s="37"/>
      <c r="E1171" s="129"/>
      <c r="F1171" s="83"/>
      <c r="G1171" s="111"/>
    </row>
    <row r="1172" spans="1:7">
      <c r="A1172" s="95"/>
      <c r="B1172" s="854" t="s">
        <v>841</v>
      </c>
      <c r="C1172" s="855"/>
      <c r="D1172" s="37"/>
      <c r="E1172" s="82"/>
      <c r="F1172" s="83"/>
      <c r="G1172" s="111"/>
    </row>
    <row r="1173" spans="1:7" ht="13.5" thickBot="1">
      <c r="A1173" s="95"/>
      <c r="B1173" s="942" t="s">
        <v>841</v>
      </c>
      <c r="C1173" s="943"/>
      <c r="D1173" s="77"/>
      <c r="E1173" s="106"/>
      <c r="F1173" s="86"/>
      <c r="G1173" s="112"/>
    </row>
    <row r="1174" spans="1:7" ht="14.25" thickTop="1" thickBot="1">
      <c r="A1174" s="95"/>
      <c r="B1174" s="946"/>
      <c r="C1174" s="946"/>
      <c r="D1174" s="946"/>
      <c r="E1174" s="947"/>
      <c r="F1174" s="119" t="s">
        <v>856</v>
      </c>
      <c r="G1174" s="118">
        <f>SUM(G1169:G1173)</f>
        <v>13517</v>
      </c>
    </row>
    <row r="1175" spans="1:7" ht="14.25" thickTop="1" thickBot="1">
      <c r="A1175" s="95"/>
      <c r="B1175" s="970"/>
      <c r="C1175" s="970"/>
      <c r="D1175" s="970"/>
      <c r="E1175" s="970"/>
      <c r="F1175" s="970"/>
      <c r="G1175" s="970"/>
    </row>
    <row r="1176" spans="1:7" ht="13.5" thickTop="1">
      <c r="A1176" s="95"/>
      <c r="B1176" s="950" t="s">
        <v>311</v>
      </c>
      <c r="C1176" s="951"/>
      <c r="D1176" s="951"/>
      <c r="E1176" s="951"/>
      <c r="F1176" s="951"/>
      <c r="G1176" s="952"/>
    </row>
    <row r="1177" spans="1:7">
      <c r="A1177" s="95"/>
      <c r="B1177" s="978" t="s">
        <v>838</v>
      </c>
      <c r="C1177" s="979"/>
      <c r="D1177" s="98" t="s">
        <v>842</v>
      </c>
      <c r="E1177" s="98" t="s">
        <v>853</v>
      </c>
      <c r="F1177" s="99" t="s">
        <v>1047</v>
      </c>
      <c r="G1177" s="107" t="s">
        <v>840</v>
      </c>
    </row>
    <row r="1178" spans="1:7">
      <c r="A1178" s="95"/>
      <c r="B1178" s="230"/>
      <c r="C1178" s="102"/>
      <c r="D1178" s="100"/>
      <c r="E1178" s="100" t="s">
        <v>312</v>
      </c>
      <c r="F1178" s="101" t="s">
        <v>313</v>
      </c>
      <c r="G1178" s="108" t="s">
        <v>314</v>
      </c>
    </row>
    <row r="1179" spans="1:7">
      <c r="A1179" s="123"/>
      <c r="B1179" s="841" t="str">
        <f>MATERIALES2!$C$528</f>
        <v>TABLERO 24 CIRCUITOS TRIFASICA</v>
      </c>
      <c r="C1179" s="842"/>
      <c r="D1179" s="87" t="s">
        <v>865</v>
      </c>
      <c r="E1179" s="81">
        <v>1</v>
      </c>
      <c r="F1179" s="80">
        <f>MATERIALES2!$E$528</f>
        <v>99000</v>
      </c>
      <c r="G1179" s="110">
        <f>ROUND(E1179*F1179,0)</f>
        <v>99000</v>
      </c>
    </row>
    <row r="1180" spans="1:7">
      <c r="A1180" s="123"/>
      <c r="B1180" s="854" t="str">
        <f>MATERIALES2!$C$452</f>
        <v>BREAKER 15 A/20 A</v>
      </c>
      <c r="C1180" s="855"/>
      <c r="D1180" s="37" t="s">
        <v>865</v>
      </c>
      <c r="E1180" s="83">
        <v>24</v>
      </c>
      <c r="F1180" s="82">
        <f>MATERIALES2!$E$452</f>
        <v>10000</v>
      </c>
      <c r="G1180" s="111">
        <f>ROUND(E1180*F1180,0)</f>
        <v>240000</v>
      </c>
    </row>
    <row r="1181" spans="1:7">
      <c r="A1181" s="123"/>
      <c r="B1181" s="854"/>
      <c r="C1181" s="855"/>
      <c r="D1181" s="37"/>
      <c r="E1181" s="83"/>
      <c r="F1181" s="82"/>
      <c r="G1181" s="111"/>
    </row>
    <row r="1182" spans="1:7">
      <c r="A1182" s="123"/>
      <c r="B1182" s="854"/>
      <c r="C1182" s="855"/>
      <c r="D1182" s="37"/>
      <c r="E1182" s="83"/>
      <c r="F1182" s="82"/>
      <c r="G1182" s="111"/>
    </row>
    <row r="1183" spans="1:7">
      <c r="A1183" s="123"/>
      <c r="B1183" s="854"/>
      <c r="C1183" s="855"/>
      <c r="D1183" s="37"/>
      <c r="E1183" s="83"/>
      <c r="F1183" s="82"/>
      <c r="G1183" s="111"/>
    </row>
    <row r="1184" spans="1:7">
      <c r="A1184" s="123"/>
      <c r="B1184" s="854"/>
      <c r="C1184" s="855"/>
      <c r="D1184" s="37"/>
      <c r="E1184" s="83"/>
      <c r="F1184" s="82"/>
      <c r="G1184" s="111"/>
    </row>
    <row r="1185" spans="1:8">
      <c r="A1185" s="123"/>
      <c r="B1185" s="854"/>
      <c r="C1185" s="855"/>
      <c r="D1185" s="37"/>
      <c r="E1185" s="83"/>
      <c r="F1185" s="82"/>
      <c r="G1185" s="111"/>
    </row>
    <row r="1186" spans="1:8">
      <c r="A1186" s="123"/>
      <c r="B1186" s="854"/>
      <c r="C1186" s="855"/>
      <c r="D1186" s="37"/>
      <c r="E1186" s="83"/>
      <c r="F1186" s="82"/>
      <c r="G1186" s="111"/>
      <c r="H1186" s="505" t="s">
        <v>1670</v>
      </c>
    </row>
    <row r="1187" spans="1:8" ht="13.5" thickBot="1">
      <c r="A1187" s="123"/>
      <c r="B1187" s="980"/>
      <c r="C1187" s="981"/>
      <c r="D1187" s="37"/>
      <c r="E1187" s="83"/>
      <c r="F1187" s="82"/>
      <c r="G1187" s="111"/>
    </row>
    <row r="1188" spans="1:8" ht="13.5" thickTop="1">
      <c r="A1188" s="95"/>
      <c r="B1188" s="946"/>
      <c r="C1188" s="947"/>
      <c r="D1188" s="801" t="s">
        <v>856</v>
      </c>
      <c r="E1188" s="802"/>
      <c r="F1188" s="9"/>
      <c r="G1188" s="113">
        <f>SUM(G1179:G1187)</f>
        <v>339000</v>
      </c>
    </row>
    <row r="1189" spans="1:8">
      <c r="A1189" s="95"/>
      <c r="B1189" s="948"/>
      <c r="C1189" s="949"/>
      <c r="D1189" s="801" t="s">
        <v>857</v>
      </c>
      <c r="E1189" s="802"/>
      <c r="F1189" s="79">
        <f>'MANO DE OBRA'!$D$60</f>
        <v>0.05</v>
      </c>
      <c r="G1189" s="113">
        <f>ROUND(G1188*F1189,0)</f>
        <v>16950</v>
      </c>
    </row>
    <row r="1190" spans="1:8" ht="13.5" thickBot="1">
      <c r="A1190" s="95"/>
      <c r="B1190" s="948"/>
      <c r="C1190" s="949"/>
      <c r="D1190" s="803" t="s">
        <v>320</v>
      </c>
      <c r="E1190" s="804"/>
      <c r="F1190" s="114"/>
      <c r="G1190" s="118">
        <f>+G1188+G1189</f>
        <v>355950</v>
      </c>
    </row>
    <row r="1191" spans="1:8" ht="14.25" thickTop="1" thickBot="1">
      <c r="A1191" s="95"/>
      <c r="B1191" s="970"/>
      <c r="C1191" s="970"/>
      <c r="D1191" s="970"/>
      <c r="E1191" s="970"/>
      <c r="F1191" s="970"/>
      <c r="G1191" s="970"/>
    </row>
    <row r="1192" spans="1:8" ht="13.5" thickTop="1">
      <c r="A1192" s="95"/>
      <c r="B1192" s="950" t="s">
        <v>858</v>
      </c>
      <c r="C1192" s="951"/>
      <c r="D1192" s="951"/>
      <c r="E1192" s="951"/>
      <c r="F1192" s="951"/>
      <c r="G1192" s="952"/>
    </row>
    <row r="1193" spans="1:8">
      <c r="A1193" s="95"/>
      <c r="B1193" s="978"/>
      <c r="C1193" s="979"/>
      <c r="D1193" s="98" t="s">
        <v>301</v>
      </c>
      <c r="E1193" s="98" t="s">
        <v>859</v>
      </c>
      <c r="F1193" s="99" t="s">
        <v>839</v>
      </c>
      <c r="G1193" s="107" t="s">
        <v>840</v>
      </c>
    </row>
    <row r="1194" spans="1:8">
      <c r="A1194" s="95"/>
      <c r="B1194" s="982" t="s">
        <v>838</v>
      </c>
      <c r="C1194" s="983"/>
      <c r="D1194" s="100" t="s">
        <v>316</v>
      </c>
      <c r="E1194" s="100" t="s">
        <v>315</v>
      </c>
      <c r="F1194" s="101" t="s">
        <v>306</v>
      </c>
      <c r="G1194" s="108" t="s">
        <v>319</v>
      </c>
    </row>
    <row r="1195" spans="1:8">
      <c r="A1195" s="95"/>
      <c r="B1195" s="230"/>
      <c r="C1195" s="102"/>
      <c r="D1195" s="103"/>
      <c r="E1195" s="103" t="s">
        <v>317</v>
      </c>
      <c r="F1195" s="104" t="s">
        <v>318</v>
      </c>
      <c r="G1195" s="109"/>
    </row>
    <row r="1196" spans="1:8">
      <c r="A1196" s="95"/>
      <c r="B1196" s="841" t="str">
        <f>'MANO DE OBRA'!$B$11</f>
        <v>AYUDANTE CUAD. TIPO BB</v>
      </c>
      <c r="C1196" s="842"/>
      <c r="D1196" s="87">
        <v>1</v>
      </c>
      <c r="E1196" s="80">
        <f>'MANO DE OBRA'!$E$11</f>
        <v>43077</v>
      </c>
      <c r="F1196" s="81">
        <v>0.45</v>
      </c>
      <c r="G1196" s="110">
        <f>ROUND(D1196*E1196/F1196,0)</f>
        <v>95727</v>
      </c>
    </row>
    <row r="1197" spans="1:8">
      <c r="A1197" s="95"/>
      <c r="B1197" s="854" t="str">
        <f>'MANO DE OBRA'!$B$16</f>
        <v>OFICIAL CUAD. TIPO BB</v>
      </c>
      <c r="C1197" s="855"/>
      <c r="D1197" s="37">
        <v>1</v>
      </c>
      <c r="E1197" s="82">
        <f>'MANO DE OBRA'!$E$16</f>
        <v>78577</v>
      </c>
      <c r="F1197" s="83">
        <v>0.45</v>
      </c>
      <c r="G1197" s="111">
        <f>ROUND(D1197*E1197/F1197,0)</f>
        <v>174616</v>
      </c>
    </row>
    <row r="1198" spans="1:8">
      <c r="A1198" s="95"/>
      <c r="B1198" s="854"/>
      <c r="C1198" s="855"/>
      <c r="D1198" s="89"/>
      <c r="E1198" s="82"/>
      <c r="F1198" s="83"/>
      <c r="G1198" s="111"/>
    </row>
    <row r="1199" spans="1:8">
      <c r="A1199" s="95"/>
      <c r="B1199" s="854" t="s">
        <v>841</v>
      </c>
      <c r="C1199" s="855"/>
      <c r="D1199" s="37"/>
      <c r="E1199" s="82"/>
      <c r="F1199" s="83"/>
      <c r="G1199" s="111"/>
    </row>
    <row r="1200" spans="1:8" ht="13.5" thickBot="1">
      <c r="A1200" s="95"/>
      <c r="B1200" s="980" t="s">
        <v>841</v>
      </c>
      <c r="C1200" s="981"/>
      <c r="D1200" s="77"/>
      <c r="E1200" s="82"/>
      <c r="F1200" s="86"/>
      <c r="G1200" s="112"/>
    </row>
    <row r="1201" spans="1:8" ht="14.25" thickTop="1" thickBot="1">
      <c r="A1201" s="95"/>
      <c r="B1201" s="946"/>
      <c r="C1201" s="946"/>
      <c r="D1201" s="946"/>
      <c r="E1201" s="947"/>
      <c r="F1201" s="120" t="s">
        <v>856</v>
      </c>
      <c r="G1201" s="118">
        <f>SUM(G1196:G1200)</f>
        <v>270343</v>
      </c>
    </row>
    <row r="1202" spans="1:8" ht="14.25" thickTop="1" thickBot="1">
      <c r="A1202" s="95"/>
      <c r="B1202" s="970"/>
      <c r="C1202" s="970"/>
      <c r="D1202" s="970"/>
      <c r="E1202" s="970"/>
      <c r="F1202" s="970"/>
      <c r="G1202" s="970"/>
    </row>
    <row r="1203" spans="1:8" ht="13.5" thickTop="1">
      <c r="A1203" s="95"/>
      <c r="B1203" s="950" t="s">
        <v>321</v>
      </c>
      <c r="C1203" s="951"/>
      <c r="D1203" s="951"/>
      <c r="E1203" s="951"/>
      <c r="F1203" s="951"/>
      <c r="G1203" s="952"/>
    </row>
    <row r="1204" spans="1:8">
      <c r="A1204" s="95"/>
      <c r="B1204" s="978" t="s">
        <v>838</v>
      </c>
      <c r="C1204" s="979"/>
      <c r="D1204" s="98" t="s">
        <v>301</v>
      </c>
      <c r="E1204" s="98" t="s">
        <v>297</v>
      </c>
      <c r="F1204" s="99" t="s">
        <v>839</v>
      </c>
      <c r="G1204" s="107" t="s">
        <v>840</v>
      </c>
    </row>
    <row r="1205" spans="1:8">
      <c r="A1205" s="95"/>
      <c r="B1205" s="230"/>
      <c r="C1205" s="102"/>
      <c r="D1205" s="103" t="s">
        <v>322</v>
      </c>
      <c r="E1205" s="103" t="s">
        <v>323</v>
      </c>
      <c r="F1205" s="104" t="s">
        <v>324</v>
      </c>
      <c r="G1205" s="109" t="s">
        <v>325</v>
      </c>
    </row>
    <row r="1206" spans="1:8">
      <c r="A1206" s="95"/>
      <c r="B1206" s="841"/>
      <c r="C1206" s="842"/>
      <c r="D1206" s="96"/>
      <c r="E1206" s="96"/>
      <c r="F1206" s="96"/>
      <c r="G1206" s="116"/>
    </row>
    <row r="1207" spans="1:8" ht="13.5" thickBot="1">
      <c r="A1207" s="95"/>
      <c r="B1207" s="980" t="s">
        <v>841</v>
      </c>
      <c r="C1207" s="981"/>
      <c r="D1207" s="77"/>
      <c r="E1207" s="82"/>
      <c r="F1207" s="86"/>
      <c r="G1207" s="112"/>
    </row>
    <row r="1208" spans="1:8" ht="14.25" thickTop="1" thickBot="1">
      <c r="A1208" s="95"/>
      <c r="B1208" s="946"/>
      <c r="C1208" s="946"/>
      <c r="D1208" s="946"/>
      <c r="E1208" s="947"/>
      <c r="F1208" s="120" t="s">
        <v>856</v>
      </c>
      <c r="G1208" s="118">
        <f>SUM(G1203:G1207)</f>
        <v>0</v>
      </c>
    </row>
    <row r="1209" spans="1:8" ht="14.25" thickTop="1" thickBot="1">
      <c r="A1209" s="95"/>
      <c r="B1209" s="970"/>
      <c r="C1209" s="970"/>
      <c r="D1209" s="970"/>
      <c r="E1209" s="970"/>
      <c r="F1209" s="970"/>
      <c r="G1209" s="943"/>
    </row>
    <row r="1210" spans="1:8" ht="13.5" thickTop="1">
      <c r="A1210" s="95"/>
      <c r="B1210" s="950" t="s">
        <v>326</v>
      </c>
      <c r="C1210" s="951"/>
      <c r="D1210" s="951"/>
      <c r="E1210" s="951"/>
      <c r="F1210" s="971"/>
      <c r="G1210" s="121">
        <f>+G1174+G1190+G1201</f>
        <v>639810</v>
      </c>
    </row>
    <row r="1211" spans="1:8">
      <c r="A1211" s="95"/>
      <c r="B1211" s="972" t="s">
        <v>861</v>
      </c>
      <c r="C1211" s="973"/>
      <c r="D1211" s="973"/>
      <c r="E1211" s="974"/>
      <c r="F1211" s="128">
        <f>'MANO DE OBRA'!$D$59</f>
        <v>0</v>
      </c>
      <c r="G1211" s="122">
        <f>ROUND(G1210*F1211,0)</f>
        <v>0</v>
      </c>
    </row>
    <row r="1212" spans="1:8" ht="13.5" thickBot="1">
      <c r="A1212" s="95"/>
      <c r="B1212" s="975" t="s">
        <v>1049</v>
      </c>
      <c r="C1212" s="976"/>
      <c r="D1212" s="976"/>
      <c r="E1212" s="976"/>
      <c r="F1212" s="977"/>
      <c r="G1212" s="118">
        <f>ROUND(G1210+G1211,-2)</f>
        <v>639800</v>
      </c>
      <c r="H1212" s="505" t="s">
        <v>1670</v>
      </c>
    </row>
    <row r="1213" spans="1:8" ht="14.25" thickTop="1" thickBot="1">
      <c r="A1213" s="95"/>
      <c r="B1213" s="248"/>
      <c r="C1213" s="249"/>
      <c r="D1213" s="249"/>
      <c r="E1213" s="249"/>
      <c r="F1213" s="249"/>
      <c r="G1213" s="250"/>
    </row>
    <row r="1214" spans="1:8" ht="13.5" thickTop="1">
      <c r="A1214" s="95"/>
      <c r="B1214" s="225" t="s">
        <v>303</v>
      </c>
      <c r="C1214" s="843"/>
      <c r="D1214" s="843"/>
      <c r="E1214" s="843"/>
      <c r="F1214" s="92" t="s">
        <v>781</v>
      </c>
      <c r="G1214" s="93" t="s">
        <v>865</v>
      </c>
    </row>
    <row r="1215" spans="1:8">
      <c r="A1215" s="95"/>
      <c r="B1215" s="226" t="s">
        <v>834</v>
      </c>
      <c r="C1215" s="844" t="s">
        <v>1352</v>
      </c>
      <c r="D1215" s="844"/>
      <c r="E1215" s="844"/>
      <c r="F1215" s="15" t="s">
        <v>833</v>
      </c>
      <c r="G1215" s="165" t="str">
        <f>'MANO DE OBRA'!D61</f>
        <v>Agosto de 2010</v>
      </c>
    </row>
    <row r="1216" spans="1:8" ht="13.5" thickBot="1">
      <c r="A1216" s="236"/>
      <c r="B1216" s="240" t="s">
        <v>835</v>
      </c>
      <c r="C1216" s="997" t="s">
        <v>1371</v>
      </c>
      <c r="D1216" s="997"/>
      <c r="E1216" s="997"/>
      <c r="F1216" s="997"/>
      <c r="G1216" s="998"/>
    </row>
    <row r="1217" spans="1:7" ht="14.25" thickTop="1" thickBot="1">
      <c r="A1217" s="95"/>
      <c r="B1217" s="986"/>
      <c r="C1217" s="986"/>
      <c r="D1217" s="986"/>
      <c r="E1217" s="986"/>
      <c r="F1217" s="986"/>
      <c r="G1217" s="986"/>
    </row>
    <row r="1218" spans="1:7" ht="13.5" thickTop="1">
      <c r="A1218" s="95"/>
      <c r="B1218" s="950" t="s">
        <v>304</v>
      </c>
      <c r="C1218" s="951"/>
      <c r="D1218" s="951"/>
      <c r="E1218" s="951"/>
      <c r="F1218" s="951"/>
      <c r="G1218" s="952"/>
    </row>
    <row r="1219" spans="1:7">
      <c r="A1219" s="95"/>
      <c r="B1219" s="229"/>
      <c r="C1219" s="97"/>
      <c r="D1219" s="98" t="s">
        <v>301</v>
      </c>
      <c r="E1219" s="98" t="s">
        <v>1072</v>
      </c>
      <c r="F1219" s="99" t="s">
        <v>839</v>
      </c>
      <c r="G1219" s="107" t="s">
        <v>840</v>
      </c>
    </row>
    <row r="1220" spans="1:7">
      <c r="A1220" s="95"/>
      <c r="B1220" s="982" t="s">
        <v>838</v>
      </c>
      <c r="C1220" s="983"/>
      <c r="D1220" s="100" t="s">
        <v>308</v>
      </c>
      <c r="E1220" s="100" t="s">
        <v>305</v>
      </c>
      <c r="F1220" s="101" t="s">
        <v>306</v>
      </c>
      <c r="G1220" s="108" t="s">
        <v>310</v>
      </c>
    </row>
    <row r="1221" spans="1:7">
      <c r="A1221" s="95"/>
      <c r="B1221" s="230"/>
      <c r="C1221" s="102"/>
      <c r="D1221" s="103"/>
      <c r="E1221" s="103" t="s">
        <v>309</v>
      </c>
      <c r="F1221" s="104" t="s">
        <v>307</v>
      </c>
      <c r="G1221" s="109"/>
    </row>
    <row r="1222" spans="1:7">
      <c r="A1222" s="127"/>
      <c r="B1222" s="841" t="str">
        <f>'MAQUINARIA Y EQUIPOS'!$C$28</f>
        <v>HERRAMIENTAS MENORES</v>
      </c>
      <c r="C1222" s="842"/>
      <c r="D1222" s="87">
        <v>1</v>
      </c>
      <c r="E1222" s="82">
        <f>ROUND(G1255*0.05,0)</f>
        <v>2514</v>
      </c>
      <c r="F1222" s="81">
        <v>1</v>
      </c>
      <c r="G1222" s="110">
        <f>ROUND(D1222*E1222/F1222,0)</f>
        <v>2514</v>
      </c>
    </row>
    <row r="1223" spans="1:7">
      <c r="A1223" s="95"/>
      <c r="B1223" s="854"/>
      <c r="C1223" s="855"/>
      <c r="D1223" s="37"/>
      <c r="E1223" s="129"/>
      <c r="F1223" s="83"/>
      <c r="G1223" s="111"/>
    </row>
    <row r="1224" spans="1:7">
      <c r="A1224" s="95"/>
      <c r="B1224" s="854" t="s">
        <v>841</v>
      </c>
      <c r="C1224" s="855"/>
      <c r="D1224" s="37"/>
      <c r="E1224" s="82"/>
      <c r="F1224" s="83"/>
      <c r="G1224" s="111"/>
    </row>
    <row r="1225" spans="1:7" ht="13.5" thickBot="1">
      <c r="A1225" s="95"/>
      <c r="B1225" s="942" t="s">
        <v>841</v>
      </c>
      <c r="C1225" s="943"/>
      <c r="D1225" s="77"/>
      <c r="E1225" s="106"/>
      <c r="F1225" s="86"/>
      <c r="G1225" s="112"/>
    </row>
    <row r="1226" spans="1:7" ht="14.25" thickTop="1" thickBot="1">
      <c r="A1226" s="95"/>
      <c r="B1226" s="946"/>
      <c r="C1226" s="946"/>
      <c r="D1226" s="946"/>
      <c r="E1226" s="947"/>
      <c r="F1226" s="119" t="s">
        <v>856</v>
      </c>
      <c r="G1226" s="118">
        <f>SUM(G1222:G1225)</f>
        <v>2514</v>
      </c>
    </row>
    <row r="1227" spans="1:7" ht="14.25" thickTop="1" thickBot="1">
      <c r="A1227" s="95"/>
      <c r="B1227" s="970"/>
      <c r="C1227" s="970"/>
      <c r="D1227" s="970"/>
      <c r="E1227" s="970"/>
      <c r="F1227" s="970"/>
      <c r="G1227" s="970"/>
    </row>
    <row r="1228" spans="1:7" ht="13.5" thickTop="1">
      <c r="A1228" s="95"/>
      <c r="B1228" s="950" t="s">
        <v>311</v>
      </c>
      <c r="C1228" s="951"/>
      <c r="D1228" s="951"/>
      <c r="E1228" s="951"/>
      <c r="F1228" s="951"/>
      <c r="G1228" s="952"/>
    </row>
    <row r="1229" spans="1:7">
      <c r="A1229" s="95"/>
      <c r="B1229" s="978" t="s">
        <v>838</v>
      </c>
      <c r="C1229" s="979"/>
      <c r="D1229" s="98" t="s">
        <v>842</v>
      </c>
      <c r="E1229" s="98" t="s">
        <v>853</v>
      </c>
      <c r="F1229" s="99" t="s">
        <v>1047</v>
      </c>
      <c r="G1229" s="107" t="s">
        <v>840</v>
      </c>
    </row>
    <row r="1230" spans="1:7">
      <c r="A1230" s="95"/>
      <c r="B1230" s="230"/>
      <c r="C1230" s="102"/>
      <c r="D1230" s="100"/>
      <c r="E1230" s="100" t="s">
        <v>312</v>
      </c>
      <c r="F1230" s="101" t="s">
        <v>313</v>
      </c>
      <c r="G1230" s="108" t="s">
        <v>314</v>
      </c>
    </row>
    <row r="1231" spans="1:7">
      <c r="A1231" s="123"/>
      <c r="B1231" s="841" t="str">
        <f>MATERIALES2!$C$518</f>
        <v>PLAFON LOZA</v>
      </c>
      <c r="C1231" s="842"/>
      <c r="D1231" s="87" t="s">
        <v>865</v>
      </c>
      <c r="E1231" s="81">
        <v>1</v>
      </c>
      <c r="F1231" s="80">
        <f>MATERIALES2!$E$518</f>
        <v>1318</v>
      </c>
      <c r="G1231" s="110">
        <f>ROUND(E1231*F1231,0)</f>
        <v>1318</v>
      </c>
    </row>
    <row r="1232" spans="1:7">
      <c r="A1232" s="123"/>
      <c r="B1232" s="854" t="str">
        <f>MATERIALES2!$C$507</f>
        <v>INTERRUPTOR SENCILLO LUMINEX</v>
      </c>
      <c r="C1232" s="855"/>
      <c r="D1232" s="37" t="s">
        <v>865</v>
      </c>
      <c r="E1232" s="83">
        <v>1</v>
      </c>
      <c r="F1232" s="82">
        <f>MATERIALES2!$E$507</f>
        <v>2500</v>
      </c>
      <c r="G1232" s="111">
        <f>ROUND(E1232*F1232,0)</f>
        <v>2500</v>
      </c>
    </row>
    <row r="1233" spans="1:8">
      <c r="A1233" s="123"/>
      <c r="B1233" s="854" t="str">
        <f>MATERIALES2!$C$538</f>
        <v>TOMA DOBLE POLARIZADO</v>
      </c>
      <c r="C1233" s="855"/>
      <c r="D1233" s="37" t="s">
        <v>865</v>
      </c>
      <c r="E1233" s="83">
        <v>1</v>
      </c>
      <c r="F1233" s="82">
        <f>MATERIALES2!$E$538</f>
        <v>3500</v>
      </c>
      <c r="G1233" s="111">
        <f t="shared" ref="G1233:G1241" si="7">ROUND(E1233*F1233,0)</f>
        <v>3500</v>
      </c>
    </row>
    <row r="1234" spans="1:8">
      <c r="A1234" s="123"/>
      <c r="B1234" s="854" t="str">
        <f>MATERIALES2!$C$447</f>
        <v>ALAMBRE DE COBRE AISLADO #12</v>
      </c>
      <c r="C1234" s="855"/>
      <c r="D1234" s="37" t="s">
        <v>831</v>
      </c>
      <c r="E1234" s="83">
        <v>20</v>
      </c>
      <c r="F1234" s="82">
        <f>MATERIALES2!$E$447</f>
        <v>1000</v>
      </c>
      <c r="G1234" s="111">
        <f t="shared" si="7"/>
        <v>20000</v>
      </c>
    </row>
    <row r="1235" spans="1:8">
      <c r="A1235" s="123"/>
      <c r="B1235" s="854" t="str">
        <f>MATERIALES2!$C$448</f>
        <v>ALAMBRE DE COBRE AISLADO #14</v>
      </c>
      <c r="C1235" s="855"/>
      <c r="D1235" s="37" t="s">
        <v>831</v>
      </c>
      <c r="E1235" s="83">
        <v>10</v>
      </c>
      <c r="F1235" s="82">
        <f>MATERIALES2!$E$448</f>
        <v>700</v>
      </c>
      <c r="G1235" s="111">
        <f t="shared" si="7"/>
        <v>7000</v>
      </c>
    </row>
    <row r="1236" spans="1:8">
      <c r="A1236" s="123"/>
      <c r="B1236" s="854" t="str">
        <f>MATERIALES2!$C$450</f>
        <v>ALAMBRE DESNUDO #16</v>
      </c>
      <c r="C1236" s="855"/>
      <c r="D1236" s="37" t="s">
        <v>831</v>
      </c>
      <c r="E1236" s="83">
        <v>10</v>
      </c>
      <c r="F1236" s="82">
        <f>MATERIALES2!$E$450</f>
        <v>297</v>
      </c>
      <c r="G1236" s="111">
        <f>ROUND(E1236*F1236,0)</f>
        <v>2970</v>
      </c>
    </row>
    <row r="1237" spans="1:8">
      <c r="A1237" s="123"/>
      <c r="B1237" s="854" t="str">
        <f>MATERIALES2!$C$550</f>
        <v>TUBO PVC CONDUIT 1/2" x 3.0 M</v>
      </c>
      <c r="C1237" s="855"/>
      <c r="D1237" s="37" t="s">
        <v>865</v>
      </c>
      <c r="E1237" s="83">
        <v>3</v>
      </c>
      <c r="F1237" s="82">
        <f>MATERIALES2!$E$550</f>
        <v>5134</v>
      </c>
      <c r="G1237" s="111">
        <f t="shared" si="7"/>
        <v>15402</v>
      </c>
    </row>
    <row r="1238" spans="1:8">
      <c r="A1238" s="123"/>
      <c r="B1238" s="854" t="str">
        <f>MATERIALES2!$C$441</f>
        <v>ADAPTADOR TERMINAL 1/2"</v>
      </c>
      <c r="C1238" s="855"/>
      <c r="D1238" s="37" t="s">
        <v>865</v>
      </c>
      <c r="E1238" s="83">
        <v>4</v>
      </c>
      <c r="F1238" s="82">
        <f>MATERIALES2!$E$441</f>
        <v>212</v>
      </c>
      <c r="G1238" s="111">
        <f t="shared" si="7"/>
        <v>848</v>
      </c>
    </row>
    <row r="1239" spans="1:8">
      <c r="A1239" s="123"/>
      <c r="B1239" s="854" t="str">
        <f>MATERIALES2!$C$485</f>
        <v>CINTA AISLANTE 3M</v>
      </c>
      <c r="C1239" s="855"/>
      <c r="D1239" s="37" t="s">
        <v>865</v>
      </c>
      <c r="E1239" s="83">
        <v>0.25</v>
      </c>
      <c r="F1239" s="82">
        <f>MATERIALES2!$E$485</f>
        <v>5500</v>
      </c>
      <c r="G1239" s="111">
        <f t="shared" si="7"/>
        <v>1375</v>
      </c>
    </row>
    <row r="1240" spans="1:8">
      <c r="A1240" s="123"/>
      <c r="B1240" s="984" t="str">
        <f>MATERIALES2!$C$476</f>
        <v>CAJA ELECTRICA RECTANGULAR METALICA</v>
      </c>
      <c r="C1240" s="985"/>
      <c r="D1240" s="37" t="s">
        <v>865</v>
      </c>
      <c r="E1240" s="83">
        <v>2</v>
      </c>
      <c r="F1240" s="82">
        <f>MATERIALES2!$E$476</f>
        <v>500</v>
      </c>
      <c r="G1240" s="111">
        <f t="shared" si="7"/>
        <v>1000</v>
      </c>
      <c r="H1240" s="505" t="s">
        <v>1670</v>
      </c>
    </row>
    <row r="1241" spans="1:8" ht="13.5" thickBot="1">
      <c r="A1241" s="123"/>
      <c r="B1241" s="984" t="str">
        <f>MATERIALES2!$C$474</f>
        <v>CAJA ELECTRICA OCTOGONAL METALICA</v>
      </c>
      <c r="C1241" s="985"/>
      <c r="D1241" s="37" t="s">
        <v>865</v>
      </c>
      <c r="E1241" s="83">
        <v>1</v>
      </c>
      <c r="F1241" s="82">
        <f>MATERIALES2!$E$474</f>
        <v>600</v>
      </c>
      <c r="G1241" s="111">
        <f t="shared" si="7"/>
        <v>600</v>
      </c>
    </row>
    <row r="1242" spans="1:8" ht="13.5" thickTop="1">
      <c r="A1242" s="95"/>
      <c r="B1242" s="946"/>
      <c r="C1242" s="947"/>
      <c r="D1242" s="801" t="s">
        <v>856</v>
      </c>
      <c r="E1242" s="802"/>
      <c r="F1242" s="9"/>
      <c r="G1242" s="113">
        <f>SUM(G1231:G1241)</f>
        <v>56513</v>
      </c>
    </row>
    <row r="1243" spans="1:8">
      <c r="A1243" s="95"/>
      <c r="B1243" s="948"/>
      <c r="C1243" s="949"/>
      <c r="D1243" s="801" t="s">
        <v>857</v>
      </c>
      <c r="E1243" s="802"/>
      <c r="F1243" s="79">
        <f>'MANO DE OBRA'!$D$60</f>
        <v>0.05</v>
      </c>
      <c r="G1243" s="113">
        <f>ROUND(G1242*F1243,0)</f>
        <v>2826</v>
      </c>
    </row>
    <row r="1244" spans="1:8" ht="13.5" thickBot="1">
      <c r="A1244" s="95"/>
      <c r="B1244" s="948"/>
      <c r="C1244" s="949"/>
      <c r="D1244" s="803" t="s">
        <v>320</v>
      </c>
      <c r="E1244" s="804"/>
      <c r="F1244" s="114"/>
      <c r="G1244" s="118">
        <f>+G1242+G1243</f>
        <v>59339</v>
      </c>
    </row>
    <row r="1245" spans="1:8" ht="14.25" thickTop="1" thickBot="1">
      <c r="A1245" s="95"/>
      <c r="B1245" s="970"/>
      <c r="C1245" s="970"/>
      <c r="D1245" s="970"/>
      <c r="E1245" s="970"/>
      <c r="F1245" s="970"/>
      <c r="G1245" s="970"/>
    </row>
    <row r="1246" spans="1:8" ht="13.5" thickTop="1">
      <c r="A1246" s="95"/>
      <c r="B1246" s="950" t="s">
        <v>858</v>
      </c>
      <c r="C1246" s="951"/>
      <c r="D1246" s="951"/>
      <c r="E1246" s="951"/>
      <c r="F1246" s="951"/>
      <c r="G1246" s="952"/>
    </row>
    <row r="1247" spans="1:8">
      <c r="A1247" s="95"/>
      <c r="B1247" s="978"/>
      <c r="C1247" s="979"/>
      <c r="D1247" s="98" t="s">
        <v>301</v>
      </c>
      <c r="E1247" s="98" t="s">
        <v>859</v>
      </c>
      <c r="F1247" s="99" t="s">
        <v>839</v>
      </c>
      <c r="G1247" s="107" t="s">
        <v>840</v>
      </c>
    </row>
    <row r="1248" spans="1:8">
      <c r="A1248" s="95"/>
      <c r="B1248" s="982" t="s">
        <v>838</v>
      </c>
      <c r="C1248" s="983"/>
      <c r="D1248" s="100" t="s">
        <v>316</v>
      </c>
      <c r="E1248" s="100" t="s">
        <v>315</v>
      </c>
      <c r="F1248" s="101" t="s">
        <v>306</v>
      </c>
      <c r="G1248" s="108" t="s">
        <v>319</v>
      </c>
    </row>
    <row r="1249" spans="1:7">
      <c r="A1249" s="95"/>
      <c r="B1249" s="230"/>
      <c r="C1249" s="102"/>
      <c r="D1249" s="103"/>
      <c r="E1249" s="103" t="s">
        <v>317</v>
      </c>
      <c r="F1249" s="104" t="s">
        <v>318</v>
      </c>
      <c r="G1249" s="109"/>
    </row>
    <row r="1250" spans="1:7">
      <c r="A1250" s="95"/>
      <c r="B1250" s="841" t="str">
        <f>'MANO DE OBRA'!$B$11</f>
        <v>AYUDANTE CUAD. TIPO BB</v>
      </c>
      <c r="C1250" s="842"/>
      <c r="D1250" s="87">
        <v>1</v>
      </c>
      <c r="E1250" s="80">
        <f>'MANO DE OBRA'!$E$11</f>
        <v>43077</v>
      </c>
      <c r="F1250" s="81">
        <v>2.42</v>
      </c>
      <c r="G1250" s="110">
        <f>ROUND(D1250*E1250/F1250,0)</f>
        <v>17800</v>
      </c>
    </row>
    <row r="1251" spans="1:7">
      <c r="A1251" s="95"/>
      <c r="B1251" s="854" t="str">
        <f>'MANO DE OBRA'!$B$16</f>
        <v>OFICIAL CUAD. TIPO BB</v>
      </c>
      <c r="C1251" s="855"/>
      <c r="D1251" s="37">
        <v>1</v>
      </c>
      <c r="E1251" s="82">
        <f>'MANO DE OBRA'!$E$16</f>
        <v>78577</v>
      </c>
      <c r="F1251" s="83">
        <v>2.42</v>
      </c>
      <c r="G1251" s="111">
        <f>ROUND(D1251*E1251/F1251,0)</f>
        <v>32470</v>
      </c>
    </row>
    <row r="1252" spans="1:7">
      <c r="A1252" s="95"/>
      <c r="B1252" s="854"/>
      <c r="C1252" s="855"/>
      <c r="D1252" s="89"/>
      <c r="E1252" s="82"/>
      <c r="F1252" s="83"/>
      <c r="G1252" s="111"/>
    </row>
    <row r="1253" spans="1:7">
      <c r="A1253" s="95"/>
      <c r="B1253" s="854" t="s">
        <v>841</v>
      </c>
      <c r="C1253" s="855"/>
      <c r="D1253" s="37"/>
      <c r="E1253" s="82"/>
      <c r="F1253" s="83"/>
      <c r="G1253" s="111"/>
    </row>
    <row r="1254" spans="1:7" ht="13.5" thickBot="1">
      <c r="A1254" s="95"/>
      <c r="B1254" s="980" t="s">
        <v>841</v>
      </c>
      <c r="C1254" s="981"/>
      <c r="D1254" s="77"/>
      <c r="E1254" s="82"/>
      <c r="F1254" s="86"/>
      <c r="G1254" s="112"/>
    </row>
    <row r="1255" spans="1:7" ht="14.25" thickTop="1" thickBot="1">
      <c r="A1255" s="95"/>
      <c r="B1255" s="946"/>
      <c r="C1255" s="946"/>
      <c r="D1255" s="946"/>
      <c r="E1255" s="947"/>
      <c r="F1255" s="120" t="s">
        <v>856</v>
      </c>
      <c r="G1255" s="118">
        <f>SUM(G1250:G1254)</f>
        <v>50270</v>
      </c>
    </row>
    <row r="1256" spans="1:7" ht="14.25" thickTop="1" thickBot="1">
      <c r="A1256" s="95"/>
      <c r="B1256" s="970"/>
      <c r="C1256" s="970"/>
      <c r="D1256" s="970"/>
      <c r="E1256" s="970"/>
      <c r="F1256" s="970"/>
      <c r="G1256" s="970"/>
    </row>
    <row r="1257" spans="1:7" ht="13.5" thickTop="1">
      <c r="A1257" s="95"/>
      <c r="B1257" s="950" t="s">
        <v>321</v>
      </c>
      <c r="C1257" s="951"/>
      <c r="D1257" s="951"/>
      <c r="E1257" s="951"/>
      <c r="F1257" s="951"/>
      <c r="G1257" s="952"/>
    </row>
    <row r="1258" spans="1:7">
      <c r="A1258" s="95"/>
      <c r="B1258" s="978" t="s">
        <v>838</v>
      </c>
      <c r="C1258" s="979"/>
      <c r="D1258" s="98" t="s">
        <v>301</v>
      </c>
      <c r="E1258" s="98" t="s">
        <v>297</v>
      </c>
      <c r="F1258" s="99" t="s">
        <v>839</v>
      </c>
      <c r="G1258" s="107" t="s">
        <v>840</v>
      </c>
    </row>
    <row r="1259" spans="1:7">
      <c r="A1259" s="95"/>
      <c r="B1259" s="230"/>
      <c r="C1259" s="102"/>
      <c r="D1259" s="103" t="s">
        <v>322</v>
      </c>
      <c r="E1259" s="103" t="s">
        <v>323</v>
      </c>
      <c r="F1259" s="104" t="s">
        <v>324</v>
      </c>
      <c r="G1259" s="109" t="s">
        <v>325</v>
      </c>
    </row>
    <row r="1260" spans="1:7">
      <c r="A1260" s="95"/>
      <c r="B1260" s="841"/>
      <c r="C1260" s="842"/>
      <c r="D1260" s="96"/>
      <c r="E1260" s="96"/>
      <c r="F1260" s="96"/>
      <c r="G1260" s="116"/>
    </row>
    <row r="1261" spans="1:7" ht="13.5" thickBot="1">
      <c r="A1261" s="95"/>
      <c r="B1261" s="980" t="s">
        <v>841</v>
      </c>
      <c r="C1261" s="981"/>
      <c r="D1261" s="77"/>
      <c r="E1261" s="82"/>
      <c r="F1261" s="86"/>
      <c r="G1261" s="112"/>
    </row>
    <row r="1262" spans="1:7" ht="14.25" thickTop="1" thickBot="1">
      <c r="A1262" s="95"/>
      <c r="B1262" s="946"/>
      <c r="C1262" s="946"/>
      <c r="D1262" s="946"/>
      <c r="E1262" s="947"/>
      <c r="F1262" s="120" t="s">
        <v>856</v>
      </c>
      <c r="G1262" s="118">
        <f>SUM(G1257:G1261)</f>
        <v>0</v>
      </c>
    </row>
    <row r="1263" spans="1:7" ht="14.25" thickTop="1" thickBot="1">
      <c r="A1263" s="95"/>
      <c r="B1263" s="970"/>
      <c r="C1263" s="970"/>
      <c r="D1263" s="970"/>
      <c r="E1263" s="970"/>
      <c r="F1263" s="970"/>
      <c r="G1263" s="943"/>
    </row>
    <row r="1264" spans="1:7" ht="13.5" thickTop="1">
      <c r="A1264" s="95"/>
      <c r="B1264" s="950" t="s">
        <v>326</v>
      </c>
      <c r="C1264" s="951"/>
      <c r="D1264" s="951"/>
      <c r="E1264" s="951"/>
      <c r="F1264" s="971"/>
      <c r="G1264" s="121">
        <f>+G1226+G1244+G1255</f>
        <v>112123</v>
      </c>
    </row>
    <row r="1265" spans="1:8">
      <c r="A1265" s="95"/>
      <c r="B1265" s="972" t="s">
        <v>861</v>
      </c>
      <c r="C1265" s="973"/>
      <c r="D1265" s="973"/>
      <c r="E1265" s="974"/>
      <c r="F1265" s="128">
        <f>'MANO DE OBRA'!$D$59</f>
        <v>0</v>
      </c>
      <c r="G1265" s="122">
        <f>ROUND(G1264*F1265,0)</f>
        <v>0</v>
      </c>
    </row>
    <row r="1266" spans="1:8" ht="13.5" thickBot="1">
      <c r="A1266" s="95"/>
      <c r="B1266" s="975" t="s">
        <v>1049</v>
      </c>
      <c r="C1266" s="976"/>
      <c r="D1266" s="976"/>
      <c r="E1266" s="976"/>
      <c r="F1266" s="977"/>
      <c r="G1266" s="118">
        <f>ROUND(G1264+G1265,-2)</f>
        <v>112100</v>
      </c>
      <c r="H1266" s="505" t="s">
        <v>1670</v>
      </c>
    </row>
    <row r="1267" spans="1:8" ht="13.5" thickTop="1">
      <c r="A1267" s="95"/>
      <c r="B1267" s="225" t="s">
        <v>303</v>
      </c>
      <c r="C1267" s="843"/>
      <c r="D1267" s="843"/>
      <c r="E1267" s="843"/>
      <c r="F1267" s="92" t="s">
        <v>781</v>
      </c>
      <c r="G1267" s="93" t="s">
        <v>865</v>
      </c>
    </row>
    <row r="1268" spans="1:8">
      <c r="A1268" s="95"/>
      <c r="B1268" s="226" t="s">
        <v>834</v>
      </c>
      <c r="C1268" s="844" t="s">
        <v>1352</v>
      </c>
      <c r="D1268" s="844"/>
      <c r="E1268" s="844"/>
      <c r="F1268" s="15" t="s">
        <v>833</v>
      </c>
      <c r="G1268" s="165" t="str">
        <f>'MANO DE OBRA'!D61</f>
        <v>Agosto de 2010</v>
      </c>
    </row>
    <row r="1269" spans="1:8" ht="27.75" customHeight="1" thickBot="1">
      <c r="A1269" s="236"/>
      <c r="B1269" s="240" t="s">
        <v>835</v>
      </c>
      <c r="C1269" s="995" t="s">
        <v>1372</v>
      </c>
      <c r="D1269" s="995"/>
      <c r="E1269" s="995"/>
      <c r="F1269" s="995"/>
      <c r="G1269" s="996"/>
    </row>
    <row r="1270" spans="1:8" ht="14.25" thickTop="1" thickBot="1">
      <c r="A1270" s="95"/>
      <c r="B1270" s="986"/>
      <c r="C1270" s="986"/>
      <c r="D1270" s="986"/>
      <c r="E1270" s="986"/>
      <c r="F1270" s="986"/>
      <c r="G1270" s="986"/>
    </row>
    <row r="1271" spans="1:8" ht="13.5" thickTop="1">
      <c r="A1271" s="95"/>
      <c r="B1271" s="950" t="s">
        <v>304</v>
      </c>
      <c r="C1271" s="951"/>
      <c r="D1271" s="951"/>
      <c r="E1271" s="951"/>
      <c r="F1271" s="951"/>
      <c r="G1271" s="952"/>
    </row>
    <row r="1272" spans="1:8">
      <c r="A1272" s="95"/>
      <c r="B1272" s="229"/>
      <c r="C1272" s="97"/>
      <c r="D1272" s="98" t="s">
        <v>301</v>
      </c>
      <c r="E1272" s="98" t="s">
        <v>1072</v>
      </c>
      <c r="F1272" s="99" t="s">
        <v>839</v>
      </c>
      <c r="G1272" s="107" t="s">
        <v>840</v>
      </c>
    </row>
    <row r="1273" spans="1:8">
      <c r="A1273" s="95"/>
      <c r="B1273" s="982" t="s">
        <v>838</v>
      </c>
      <c r="C1273" s="983"/>
      <c r="D1273" s="100" t="s">
        <v>308</v>
      </c>
      <c r="E1273" s="100" t="s">
        <v>305</v>
      </c>
      <c r="F1273" s="101" t="s">
        <v>306</v>
      </c>
      <c r="G1273" s="108" t="s">
        <v>310</v>
      </c>
    </row>
    <row r="1274" spans="1:8">
      <c r="A1274" s="95"/>
      <c r="B1274" s="230"/>
      <c r="C1274" s="102"/>
      <c r="D1274" s="103"/>
      <c r="E1274" s="103" t="s">
        <v>309</v>
      </c>
      <c r="F1274" s="104" t="s">
        <v>307</v>
      </c>
      <c r="G1274" s="109"/>
    </row>
    <row r="1275" spans="1:8">
      <c r="A1275" s="127"/>
      <c r="B1275" s="841" t="str">
        <f>'MAQUINARIA Y EQUIPOS'!$C$28</f>
        <v>HERRAMIENTAS MENORES</v>
      </c>
      <c r="C1275" s="842"/>
      <c r="D1275" s="87">
        <v>1</v>
      </c>
      <c r="E1275" s="82">
        <f>ROUND(G1307*0.05,0)</f>
        <v>13223</v>
      </c>
      <c r="F1275" s="81">
        <v>1</v>
      </c>
      <c r="G1275" s="110">
        <f>ROUND(D1275*E1275/F1275,0)</f>
        <v>13223</v>
      </c>
    </row>
    <row r="1276" spans="1:8">
      <c r="A1276" s="95"/>
      <c r="B1276" s="854"/>
      <c r="C1276" s="855"/>
      <c r="D1276" s="37"/>
      <c r="E1276" s="129"/>
      <c r="F1276" s="83"/>
      <c r="G1276" s="111"/>
    </row>
    <row r="1277" spans="1:8">
      <c r="A1277" s="95"/>
      <c r="B1277" s="854"/>
      <c r="C1277" s="855"/>
      <c r="D1277" s="37"/>
      <c r="E1277" s="129"/>
      <c r="F1277" s="83"/>
      <c r="G1277" s="111"/>
    </row>
    <row r="1278" spans="1:8">
      <c r="A1278" s="95"/>
      <c r="B1278" s="854" t="s">
        <v>841</v>
      </c>
      <c r="C1278" s="855"/>
      <c r="D1278" s="37"/>
      <c r="E1278" s="82"/>
      <c r="F1278" s="83"/>
      <c r="G1278" s="111"/>
    </row>
    <row r="1279" spans="1:8" ht="13.5" thickBot="1">
      <c r="A1279" s="95"/>
      <c r="B1279" s="942" t="s">
        <v>841</v>
      </c>
      <c r="C1279" s="943"/>
      <c r="D1279" s="77"/>
      <c r="E1279" s="106"/>
      <c r="F1279" s="86"/>
      <c r="G1279" s="112"/>
    </row>
    <row r="1280" spans="1:8" ht="14.25" thickTop="1" thickBot="1">
      <c r="A1280" s="95"/>
      <c r="B1280" s="946"/>
      <c r="C1280" s="946"/>
      <c r="D1280" s="946"/>
      <c r="E1280" s="947"/>
      <c r="F1280" s="119" t="s">
        <v>856</v>
      </c>
      <c r="G1280" s="118">
        <f>SUM(G1275:G1279)</f>
        <v>13223</v>
      </c>
    </row>
    <row r="1281" spans="1:8" ht="14.25" thickTop="1" thickBot="1">
      <c r="A1281" s="95"/>
      <c r="B1281" s="970"/>
      <c r="C1281" s="970"/>
      <c r="D1281" s="970"/>
      <c r="E1281" s="970"/>
      <c r="F1281" s="970"/>
      <c r="G1281" s="970"/>
    </row>
    <row r="1282" spans="1:8" ht="13.5" thickTop="1">
      <c r="A1282" s="95"/>
      <c r="B1282" s="950" t="s">
        <v>311</v>
      </c>
      <c r="C1282" s="951"/>
      <c r="D1282" s="951"/>
      <c r="E1282" s="951"/>
      <c r="F1282" s="951"/>
      <c r="G1282" s="952"/>
    </row>
    <row r="1283" spans="1:8">
      <c r="A1283" s="95"/>
      <c r="B1283" s="978" t="s">
        <v>838</v>
      </c>
      <c r="C1283" s="979"/>
      <c r="D1283" s="98" t="s">
        <v>842</v>
      </c>
      <c r="E1283" s="98" t="s">
        <v>853</v>
      </c>
      <c r="F1283" s="99" t="s">
        <v>1047</v>
      </c>
      <c r="G1283" s="107" t="s">
        <v>840</v>
      </c>
    </row>
    <row r="1284" spans="1:8">
      <c r="A1284" s="95"/>
      <c r="B1284" s="230"/>
      <c r="C1284" s="102"/>
      <c r="D1284" s="100"/>
      <c r="E1284" s="100" t="s">
        <v>312</v>
      </c>
      <c r="F1284" s="101" t="s">
        <v>313</v>
      </c>
      <c r="G1284" s="108" t="s">
        <v>314</v>
      </c>
    </row>
    <row r="1285" spans="1:8">
      <c r="A1285" s="123"/>
      <c r="B1285" s="841" t="str">
        <f>MATERIALES2!$C$466</f>
        <v>CABLE CU THW # 8</v>
      </c>
      <c r="C1285" s="842"/>
      <c r="D1285" s="87" t="s">
        <v>865</v>
      </c>
      <c r="E1285" s="81">
        <v>90</v>
      </c>
      <c r="F1285" s="80">
        <f>MATERIALES2!$E$466</f>
        <v>1200</v>
      </c>
      <c r="G1285" s="110">
        <f>ROUND(E1285*F1285,0)</f>
        <v>108000</v>
      </c>
    </row>
    <row r="1286" spans="1:8">
      <c r="A1286" s="123"/>
      <c r="B1286" s="854" t="str">
        <f>MATERIALES2!$C$449</f>
        <v>ALAMBRE DESNUDO #14</v>
      </c>
      <c r="C1286" s="855"/>
      <c r="D1286" s="37" t="s">
        <v>865</v>
      </c>
      <c r="E1286" s="83">
        <v>30</v>
      </c>
      <c r="F1286" s="82">
        <f>MATERIALES2!$E$449</f>
        <v>398</v>
      </c>
      <c r="G1286" s="111">
        <f>ROUND(E1286*F1286,0)</f>
        <v>11940</v>
      </c>
    </row>
    <row r="1287" spans="1:8">
      <c r="A1287" s="123"/>
      <c r="B1287" s="854" t="str">
        <f>MATERIALES2!$C$549</f>
        <v>TUBO PVC CONDUIT 1" x 3.0 M</v>
      </c>
      <c r="C1287" s="855"/>
      <c r="D1287" s="37" t="s">
        <v>865</v>
      </c>
      <c r="E1287" s="83">
        <v>10</v>
      </c>
      <c r="F1287" s="82">
        <f>MATERIALES2!$E$549</f>
        <v>9315</v>
      </c>
      <c r="G1287" s="111">
        <f>ROUND(E1287*F1287,0)</f>
        <v>93150</v>
      </c>
    </row>
    <row r="1288" spans="1:8">
      <c r="A1288" s="123"/>
      <c r="B1288" s="854" t="str">
        <f>MATERIALES2!$C$440</f>
        <v>ADAPTADOR TERMINAL 1"</v>
      </c>
      <c r="C1288" s="855"/>
      <c r="D1288" s="37" t="s">
        <v>831</v>
      </c>
      <c r="E1288" s="83">
        <v>1</v>
      </c>
      <c r="F1288" s="82">
        <f>MATERIALES2!$E$440</f>
        <v>641</v>
      </c>
      <c r="G1288" s="111">
        <f>ROUND(E1288*F1288,0)</f>
        <v>641</v>
      </c>
    </row>
    <row r="1289" spans="1:8">
      <c r="A1289" s="123"/>
      <c r="B1289" s="854"/>
      <c r="C1289" s="855"/>
      <c r="D1289" s="37"/>
      <c r="E1289" s="83"/>
      <c r="F1289" s="82"/>
      <c r="G1289" s="111"/>
    </row>
    <row r="1290" spans="1:8">
      <c r="A1290" s="123"/>
      <c r="B1290" s="854"/>
      <c r="C1290" s="855"/>
      <c r="D1290" s="37"/>
      <c r="E1290" s="83"/>
      <c r="F1290" s="82"/>
      <c r="G1290" s="111"/>
    </row>
    <row r="1291" spans="1:8">
      <c r="A1291" s="123"/>
      <c r="B1291" s="854"/>
      <c r="C1291" s="855"/>
      <c r="D1291" s="37"/>
      <c r="E1291" s="83"/>
      <c r="F1291" s="82"/>
      <c r="G1291" s="111"/>
    </row>
    <row r="1292" spans="1:8">
      <c r="A1292" s="123"/>
      <c r="B1292" s="854"/>
      <c r="C1292" s="855"/>
      <c r="D1292" s="37"/>
      <c r="E1292" s="83"/>
      <c r="F1292" s="82"/>
      <c r="G1292" s="111"/>
      <c r="H1292" s="505" t="s">
        <v>1670</v>
      </c>
    </row>
    <row r="1293" spans="1:8" ht="13.5" thickBot="1">
      <c r="A1293" s="123"/>
      <c r="B1293" s="854"/>
      <c r="C1293" s="855"/>
      <c r="D1293" s="37"/>
      <c r="E1293" s="83"/>
      <c r="F1293" s="82"/>
      <c r="G1293" s="111"/>
    </row>
    <row r="1294" spans="1:8" ht="13.5" thickTop="1">
      <c r="A1294" s="95"/>
      <c r="B1294" s="946"/>
      <c r="C1294" s="947"/>
      <c r="D1294" s="801" t="s">
        <v>856</v>
      </c>
      <c r="E1294" s="802"/>
      <c r="F1294" s="9"/>
      <c r="G1294" s="113">
        <f>SUM(G1285:G1293)</f>
        <v>213731</v>
      </c>
    </row>
    <row r="1295" spans="1:8">
      <c r="A1295" s="95"/>
      <c r="B1295" s="948"/>
      <c r="C1295" s="949"/>
      <c r="D1295" s="801" t="s">
        <v>857</v>
      </c>
      <c r="E1295" s="802"/>
      <c r="F1295" s="79">
        <f>'MANO DE OBRA'!$D$60</f>
        <v>0.05</v>
      </c>
      <c r="G1295" s="113">
        <f>ROUND(G1294*F1295,0)</f>
        <v>10687</v>
      </c>
    </row>
    <row r="1296" spans="1:8" ht="13.5" thickBot="1">
      <c r="A1296" s="95"/>
      <c r="B1296" s="948"/>
      <c r="C1296" s="949"/>
      <c r="D1296" s="803" t="s">
        <v>320</v>
      </c>
      <c r="E1296" s="804"/>
      <c r="F1296" s="114"/>
      <c r="G1296" s="118">
        <f>+G1294+G1295</f>
        <v>224418</v>
      </c>
    </row>
    <row r="1297" spans="1:7" ht="14.25" thickTop="1" thickBot="1">
      <c r="A1297" s="95"/>
      <c r="B1297" s="970"/>
      <c r="C1297" s="970"/>
      <c r="D1297" s="970"/>
      <c r="E1297" s="970"/>
      <c r="F1297" s="970"/>
      <c r="G1297" s="970"/>
    </row>
    <row r="1298" spans="1:7" ht="13.5" thickTop="1">
      <c r="A1298" s="95"/>
      <c r="B1298" s="950" t="s">
        <v>858</v>
      </c>
      <c r="C1298" s="951"/>
      <c r="D1298" s="951"/>
      <c r="E1298" s="951"/>
      <c r="F1298" s="951"/>
      <c r="G1298" s="952"/>
    </row>
    <row r="1299" spans="1:7">
      <c r="A1299" s="95"/>
      <c r="B1299" s="978"/>
      <c r="C1299" s="979"/>
      <c r="D1299" s="98" t="s">
        <v>301</v>
      </c>
      <c r="E1299" s="98" t="s">
        <v>859</v>
      </c>
      <c r="F1299" s="99" t="s">
        <v>839</v>
      </c>
      <c r="G1299" s="107" t="s">
        <v>840</v>
      </c>
    </row>
    <row r="1300" spans="1:7">
      <c r="A1300" s="95"/>
      <c r="B1300" s="982" t="s">
        <v>838</v>
      </c>
      <c r="C1300" s="983"/>
      <c r="D1300" s="100" t="s">
        <v>316</v>
      </c>
      <c r="E1300" s="100" t="s">
        <v>315</v>
      </c>
      <c r="F1300" s="101" t="s">
        <v>306</v>
      </c>
      <c r="G1300" s="108" t="s">
        <v>319</v>
      </c>
    </row>
    <row r="1301" spans="1:7">
      <c r="A1301" s="95"/>
      <c r="B1301" s="230"/>
      <c r="C1301" s="102"/>
      <c r="D1301" s="103"/>
      <c r="E1301" s="103" t="s">
        <v>317</v>
      </c>
      <c r="F1301" s="104" t="s">
        <v>318</v>
      </c>
      <c r="G1301" s="109"/>
    </row>
    <row r="1302" spans="1:7">
      <c r="A1302" s="95"/>
      <c r="B1302" s="841" t="str">
        <f>'MANO DE OBRA'!$B$11</f>
        <v>AYUDANTE CUAD. TIPO BB</v>
      </c>
      <c r="C1302" s="842"/>
      <c r="D1302" s="87">
        <v>1</v>
      </c>
      <c r="E1302" s="80">
        <f>'MANO DE OBRA'!$E$11</f>
        <v>43077</v>
      </c>
      <c r="F1302" s="81">
        <v>0.46</v>
      </c>
      <c r="G1302" s="110">
        <f>ROUND(D1302*E1302/F1302,0)</f>
        <v>93646</v>
      </c>
    </row>
    <row r="1303" spans="1:7">
      <c r="A1303" s="95"/>
      <c r="B1303" s="854" t="str">
        <f>'MANO DE OBRA'!$B$16</f>
        <v>OFICIAL CUAD. TIPO BB</v>
      </c>
      <c r="C1303" s="855"/>
      <c r="D1303" s="37">
        <v>1</v>
      </c>
      <c r="E1303" s="82">
        <f>'MANO DE OBRA'!$E$16</f>
        <v>78577</v>
      </c>
      <c r="F1303" s="83">
        <v>0.46</v>
      </c>
      <c r="G1303" s="111">
        <f>ROUND(D1303*E1303/F1303,0)</f>
        <v>170820</v>
      </c>
    </row>
    <row r="1304" spans="1:7">
      <c r="A1304" s="95"/>
      <c r="B1304" s="854"/>
      <c r="C1304" s="855"/>
      <c r="D1304" s="89"/>
      <c r="E1304" s="82"/>
      <c r="F1304" s="83"/>
      <c r="G1304" s="111"/>
    </row>
    <row r="1305" spans="1:7">
      <c r="A1305" s="95"/>
      <c r="B1305" s="854" t="s">
        <v>841</v>
      </c>
      <c r="C1305" s="855"/>
      <c r="D1305" s="37"/>
      <c r="E1305" s="82"/>
      <c r="F1305" s="83"/>
      <c r="G1305" s="111"/>
    </row>
    <row r="1306" spans="1:7" ht="13.5" thickBot="1">
      <c r="A1306" s="95"/>
      <c r="B1306" s="980" t="s">
        <v>841</v>
      </c>
      <c r="C1306" s="981"/>
      <c r="D1306" s="77"/>
      <c r="E1306" s="82"/>
      <c r="F1306" s="86"/>
      <c r="G1306" s="112"/>
    </row>
    <row r="1307" spans="1:7" ht="14.25" thickTop="1" thickBot="1">
      <c r="A1307" s="95"/>
      <c r="B1307" s="946"/>
      <c r="C1307" s="946"/>
      <c r="D1307" s="946"/>
      <c r="E1307" s="947"/>
      <c r="F1307" s="120" t="s">
        <v>856</v>
      </c>
      <c r="G1307" s="118">
        <f>SUM(G1302:G1306)</f>
        <v>264466</v>
      </c>
    </row>
    <row r="1308" spans="1:7" ht="14.25" thickTop="1" thickBot="1">
      <c r="A1308" s="95"/>
      <c r="B1308" s="970"/>
      <c r="C1308" s="970"/>
      <c r="D1308" s="970"/>
      <c r="E1308" s="970"/>
      <c r="F1308" s="970"/>
      <c r="G1308" s="970"/>
    </row>
    <row r="1309" spans="1:7" ht="13.5" thickTop="1">
      <c r="A1309" s="95"/>
      <c r="B1309" s="950" t="s">
        <v>321</v>
      </c>
      <c r="C1309" s="951"/>
      <c r="D1309" s="951"/>
      <c r="E1309" s="951"/>
      <c r="F1309" s="951"/>
      <c r="G1309" s="952"/>
    </row>
    <row r="1310" spans="1:7">
      <c r="A1310" s="95"/>
      <c r="B1310" s="978" t="s">
        <v>838</v>
      </c>
      <c r="C1310" s="979"/>
      <c r="D1310" s="98" t="s">
        <v>301</v>
      </c>
      <c r="E1310" s="98" t="s">
        <v>297</v>
      </c>
      <c r="F1310" s="99" t="s">
        <v>839</v>
      </c>
      <c r="G1310" s="107" t="s">
        <v>840</v>
      </c>
    </row>
    <row r="1311" spans="1:7">
      <c r="A1311" s="95"/>
      <c r="B1311" s="230"/>
      <c r="C1311" s="102"/>
      <c r="D1311" s="103" t="s">
        <v>322</v>
      </c>
      <c r="E1311" s="103" t="s">
        <v>323</v>
      </c>
      <c r="F1311" s="104" t="s">
        <v>324</v>
      </c>
      <c r="G1311" s="109" t="s">
        <v>325</v>
      </c>
    </row>
    <row r="1312" spans="1:7">
      <c r="A1312" s="95"/>
      <c r="B1312" s="841"/>
      <c r="C1312" s="842"/>
      <c r="D1312" s="96"/>
      <c r="E1312" s="96"/>
      <c r="F1312" s="96"/>
      <c r="G1312" s="116"/>
    </row>
    <row r="1313" spans="1:8" ht="13.5" thickBot="1">
      <c r="A1313" s="95"/>
      <c r="B1313" s="980" t="s">
        <v>841</v>
      </c>
      <c r="C1313" s="981"/>
      <c r="D1313" s="77"/>
      <c r="E1313" s="82"/>
      <c r="F1313" s="86"/>
      <c r="G1313" s="112"/>
    </row>
    <row r="1314" spans="1:8" ht="14.25" thickTop="1" thickBot="1">
      <c r="A1314" s="95"/>
      <c r="B1314" s="946"/>
      <c r="C1314" s="946"/>
      <c r="D1314" s="946"/>
      <c r="E1314" s="947"/>
      <c r="F1314" s="120" t="s">
        <v>856</v>
      </c>
      <c r="G1314" s="118">
        <f>SUM(G1309:G1313)</f>
        <v>0</v>
      </c>
    </row>
    <row r="1315" spans="1:8" ht="14.25" thickTop="1" thickBot="1">
      <c r="A1315" s="95"/>
      <c r="B1315" s="970"/>
      <c r="C1315" s="970"/>
      <c r="D1315" s="970"/>
      <c r="E1315" s="970"/>
      <c r="F1315" s="970"/>
      <c r="G1315" s="943"/>
    </row>
    <row r="1316" spans="1:8" ht="13.5" thickTop="1">
      <c r="A1316" s="95"/>
      <c r="B1316" s="950" t="s">
        <v>326</v>
      </c>
      <c r="C1316" s="951"/>
      <c r="D1316" s="951"/>
      <c r="E1316" s="951"/>
      <c r="F1316" s="971"/>
      <c r="G1316" s="121">
        <f>+G1280+G1296+G1307</f>
        <v>502107</v>
      </c>
    </row>
    <row r="1317" spans="1:8">
      <c r="A1317" s="95"/>
      <c r="B1317" s="972" t="s">
        <v>861</v>
      </c>
      <c r="C1317" s="973"/>
      <c r="D1317" s="973"/>
      <c r="E1317" s="974"/>
      <c r="F1317" s="128">
        <f>'MANO DE OBRA'!$D$59</f>
        <v>0</v>
      </c>
      <c r="G1317" s="122">
        <f>ROUND(G1316*F1317,0)</f>
        <v>0</v>
      </c>
    </row>
    <row r="1318" spans="1:8" ht="13.5" thickBot="1">
      <c r="A1318" s="95"/>
      <c r="B1318" s="975" t="s">
        <v>1049</v>
      </c>
      <c r="C1318" s="976"/>
      <c r="D1318" s="976"/>
      <c r="E1318" s="976"/>
      <c r="F1318" s="977"/>
      <c r="G1318" s="118">
        <f>ROUND(G1316+G1317,-2)</f>
        <v>502100</v>
      </c>
      <c r="H1318" s="505" t="s">
        <v>1670</v>
      </c>
    </row>
    <row r="1319" spans="1:8" ht="13.5" thickTop="1">
      <c r="A1319" s="95"/>
      <c r="B1319" s="225" t="s">
        <v>303</v>
      </c>
      <c r="C1319" s="843"/>
      <c r="D1319" s="843"/>
      <c r="E1319" s="843"/>
      <c r="F1319" s="92" t="s">
        <v>781</v>
      </c>
      <c r="G1319" s="93" t="s">
        <v>865</v>
      </c>
    </row>
    <row r="1320" spans="1:8">
      <c r="A1320" s="95"/>
      <c r="B1320" s="226" t="s">
        <v>834</v>
      </c>
      <c r="C1320" s="844" t="s">
        <v>1352</v>
      </c>
      <c r="D1320" s="844"/>
      <c r="E1320" s="844"/>
      <c r="F1320" s="15" t="s">
        <v>833</v>
      </c>
      <c r="G1320" s="165" t="str">
        <f>'MANO DE OBRA'!D61</f>
        <v>Agosto de 2010</v>
      </c>
    </row>
    <row r="1321" spans="1:8" ht="27.75" customHeight="1" thickBot="1">
      <c r="A1321" s="236"/>
      <c r="B1321" s="240" t="s">
        <v>835</v>
      </c>
      <c r="C1321" s="995" t="s">
        <v>1373</v>
      </c>
      <c r="D1321" s="995"/>
      <c r="E1321" s="995"/>
      <c r="F1321" s="995"/>
      <c r="G1321" s="996"/>
    </row>
    <row r="1322" spans="1:8" ht="14.25" thickTop="1" thickBot="1">
      <c r="A1322" s="95"/>
      <c r="B1322" s="986"/>
      <c r="C1322" s="986"/>
      <c r="D1322" s="986"/>
      <c r="E1322" s="986"/>
      <c r="F1322" s="986"/>
      <c r="G1322" s="986"/>
    </row>
    <row r="1323" spans="1:8" ht="13.5" thickTop="1">
      <c r="A1323" s="95"/>
      <c r="B1323" s="950" t="s">
        <v>304</v>
      </c>
      <c r="C1323" s="951"/>
      <c r="D1323" s="951"/>
      <c r="E1323" s="951"/>
      <c r="F1323" s="951"/>
      <c r="G1323" s="952"/>
    </row>
    <row r="1324" spans="1:8">
      <c r="A1324" s="95"/>
      <c r="B1324" s="229"/>
      <c r="C1324" s="97"/>
      <c r="D1324" s="98" t="s">
        <v>301</v>
      </c>
      <c r="E1324" s="98" t="s">
        <v>1072</v>
      </c>
      <c r="F1324" s="99" t="s">
        <v>839</v>
      </c>
      <c r="G1324" s="107" t="s">
        <v>840</v>
      </c>
    </row>
    <row r="1325" spans="1:8">
      <c r="A1325" s="95"/>
      <c r="B1325" s="982" t="s">
        <v>838</v>
      </c>
      <c r="C1325" s="983"/>
      <c r="D1325" s="100" t="s">
        <v>308</v>
      </c>
      <c r="E1325" s="100" t="s">
        <v>305</v>
      </c>
      <c r="F1325" s="101" t="s">
        <v>306</v>
      </c>
      <c r="G1325" s="108" t="s">
        <v>310</v>
      </c>
    </row>
    <row r="1326" spans="1:8">
      <c r="A1326" s="95"/>
      <c r="B1326" s="230"/>
      <c r="C1326" s="102"/>
      <c r="D1326" s="103"/>
      <c r="E1326" s="103" t="s">
        <v>309</v>
      </c>
      <c r="F1326" s="104" t="s">
        <v>307</v>
      </c>
      <c r="G1326" s="109"/>
    </row>
    <row r="1327" spans="1:8">
      <c r="A1327" s="127"/>
      <c r="B1327" s="841" t="str">
        <f>'MAQUINARIA Y EQUIPOS'!$C$28</f>
        <v>HERRAMIENTAS MENORES</v>
      </c>
      <c r="C1327" s="842"/>
      <c r="D1327" s="87">
        <v>1</v>
      </c>
      <c r="E1327" s="82">
        <f>ROUND(G1359*0.05,0)</f>
        <v>1051</v>
      </c>
      <c r="F1327" s="81">
        <v>1</v>
      </c>
      <c r="G1327" s="110">
        <f>ROUND(D1327*E1327/F1327,0)</f>
        <v>1051</v>
      </c>
    </row>
    <row r="1328" spans="1:8">
      <c r="A1328" s="95"/>
      <c r="B1328" s="854"/>
      <c r="C1328" s="855"/>
      <c r="D1328" s="37"/>
      <c r="E1328" s="129"/>
      <c r="F1328" s="83"/>
      <c r="G1328" s="111"/>
    </row>
    <row r="1329" spans="1:8">
      <c r="A1329" s="95"/>
      <c r="B1329" s="854"/>
      <c r="C1329" s="855"/>
      <c r="D1329" s="37"/>
      <c r="E1329" s="129"/>
      <c r="F1329" s="83"/>
      <c r="G1329" s="111"/>
    </row>
    <row r="1330" spans="1:8">
      <c r="A1330" s="95"/>
      <c r="B1330" s="854" t="s">
        <v>841</v>
      </c>
      <c r="C1330" s="855"/>
      <c r="D1330" s="37"/>
      <c r="E1330" s="82"/>
      <c r="F1330" s="83"/>
      <c r="G1330" s="111"/>
    </row>
    <row r="1331" spans="1:8" ht="13.5" thickBot="1">
      <c r="A1331" s="95"/>
      <c r="B1331" s="942" t="s">
        <v>841</v>
      </c>
      <c r="C1331" s="943"/>
      <c r="D1331" s="77"/>
      <c r="E1331" s="106"/>
      <c r="F1331" s="86"/>
      <c r="G1331" s="112"/>
    </row>
    <row r="1332" spans="1:8" ht="14.25" thickTop="1" thickBot="1">
      <c r="A1332" s="95"/>
      <c r="B1332" s="946"/>
      <c r="C1332" s="946"/>
      <c r="D1332" s="946"/>
      <c r="E1332" s="947"/>
      <c r="F1332" s="119" t="s">
        <v>856</v>
      </c>
      <c r="G1332" s="118">
        <f>SUM(G1327:G1331)</f>
        <v>1051</v>
      </c>
    </row>
    <row r="1333" spans="1:8" ht="14.25" thickTop="1" thickBot="1">
      <c r="A1333" s="95"/>
      <c r="B1333" s="970"/>
      <c r="C1333" s="970"/>
      <c r="D1333" s="970"/>
      <c r="E1333" s="970"/>
      <c r="F1333" s="970"/>
      <c r="G1333" s="970"/>
    </row>
    <row r="1334" spans="1:8" ht="13.5" thickTop="1">
      <c r="A1334" s="95"/>
      <c r="B1334" s="950" t="s">
        <v>311</v>
      </c>
      <c r="C1334" s="951"/>
      <c r="D1334" s="951"/>
      <c r="E1334" s="951"/>
      <c r="F1334" s="951"/>
      <c r="G1334" s="952"/>
    </row>
    <row r="1335" spans="1:8">
      <c r="A1335" s="95"/>
      <c r="B1335" s="978" t="s">
        <v>838</v>
      </c>
      <c r="C1335" s="979"/>
      <c r="D1335" s="98" t="s">
        <v>842</v>
      </c>
      <c r="E1335" s="98" t="s">
        <v>853</v>
      </c>
      <c r="F1335" s="99" t="s">
        <v>1047</v>
      </c>
      <c r="G1335" s="107" t="s">
        <v>840</v>
      </c>
    </row>
    <row r="1336" spans="1:8">
      <c r="A1336" s="95"/>
      <c r="B1336" s="230"/>
      <c r="C1336" s="102"/>
      <c r="D1336" s="100"/>
      <c r="E1336" s="100" t="s">
        <v>312</v>
      </c>
      <c r="F1336" s="101" t="s">
        <v>313</v>
      </c>
      <c r="G1336" s="108" t="s">
        <v>314</v>
      </c>
    </row>
    <row r="1337" spans="1:8">
      <c r="A1337" s="123"/>
      <c r="B1337" s="841" t="str">
        <f>MATERIALES2!$C$447</f>
        <v>ALAMBRE DE COBRE AISLADO #12</v>
      </c>
      <c r="C1337" s="842"/>
      <c r="D1337" s="87" t="s">
        <v>831</v>
      </c>
      <c r="E1337" s="81">
        <v>9</v>
      </c>
      <c r="F1337" s="80">
        <f>MATERIALES2!$E$447</f>
        <v>1000</v>
      </c>
      <c r="G1337" s="110">
        <f t="shared" ref="G1337:G1343" si="8">ROUND(E1337*F1337,0)</f>
        <v>9000</v>
      </c>
    </row>
    <row r="1338" spans="1:8">
      <c r="A1338" s="123"/>
      <c r="B1338" s="854" t="str">
        <f>MATERIALES2!$C$450</f>
        <v>ALAMBRE DESNUDO #16</v>
      </c>
      <c r="C1338" s="855"/>
      <c r="D1338" s="37" t="s">
        <v>831</v>
      </c>
      <c r="E1338" s="83">
        <v>4.5</v>
      </c>
      <c r="F1338" s="82">
        <f>MATERIALES2!$E$450</f>
        <v>297</v>
      </c>
      <c r="G1338" s="111">
        <f t="shared" si="8"/>
        <v>1337</v>
      </c>
    </row>
    <row r="1339" spans="1:8">
      <c r="A1339" s="123"/>
      <c r="B1339" s="854" t="str">
        <f>MATERIALES2!$C$550</f>
        <v>TUBO PVC CONDUIT 1/2" x 3.0 M</v>
      </c>
      <c r="C1339" s="855"/>
      <c r="D1339" s="37" t="s">
        <v>865</v>
      </c>
      <c r="E1339" s="83">
        <v>1.5</v>
      </c>
      <c r="F1339" s="82">
        <f>MATERIALES2!$E$550</f>
        <v>5134</v>
      </c>
      <c r="G1339" s="111">
        <f t="shared" si="8"/>
        <v>7701</v>
      </c>
    </row>
    <row r="1340" spans="1:8">
      <c r="A1340" s="123"/>
      <c r="B1340" s="854" t="str">
        <f>MATERIALES2!$C$441</f>
        <v>ADAPTADOR TERMINAL 1/2"</v>
      </c>
      <c r="C1340" s="855"/>
      <c r="D1340" s="37" t="s">
        <v>865</v>
      </c>
      <c r="E1340" s="83">
        <v>2</v>
      </c>
      <c r="F1340" s="82">
        <f>MATERIALES2!$E$441</f>
        <v>212</v>
      </c>
      <c r="G1340" s="111">
        <f t="shared" si="8"/>
        <v>424</v>
      </c>
    </row>
    <row r="1341" spans="1:8">
      <c r="A1341" s="123"/>
      <c r="B1341" s="984" t="str">
        <f>MATERIALES2!$C$476</f>
        <v>CAJA ELECTRICA RECTANGULAR METALICA</v>
      </c>
      <c r="C1341" s="985"/>
      <c r="D1341" s="37" t="s">
        <v>865</v>
      </c>
      <c r="E1341" s="83">
        <v>1</v>
      </c>
      <c r="F1341" s="82">
        <f>MATERIALES2!$E$476</f>
        <v>500</v>
      </c>
      <c r="G1341" s="111">
        <f t="shared" si="8"/>
        <v>500</v>
      </c>
    </row>
    <row r="1342" spans="1:8">
      <c r="A1342" s="123"/>
      <c r="B1342" s="854" t="str">
        <f>MATERIALES2!$C$539</f>
        <v>TOMA SENCILLA LUMINEX</v>
      </c>
      <c r="C1342" s="855"/>
      <c r="D1342" s="37" t="s">
        <v>865</v>
      </c>
      <c r="E1342" s="83">
        <v>1</v>
      </c>
      <c r="F1342" s="82">
        <f>MATERIALES2!$E$539</f>
        <v>7757</v>
      </c>
      <c r="G1342" s="111">
        <f t="shared" si="8"/>
        <v>7757</v>
      </c>
    </row>
    <row r="1343" spans="1:8">
      <c r="A1343" s="123"/>
      <c r="B1343" s="854" t="str">
        <f>MATERIALES2!$C$485</f>
        <v>CINTA AISLANTE 3M</v>
      </c>
      <c r="C1343" s="855"/>
      <c r="D1343" s="37" t="s">
        <v>865</v>
      </c>
      <c r="E1343" s="83">
        <v>0.2</v>
      </c>
      <c r="F1343" s="82">
        <f>MATERIALES2!$E$485</f>
        <v>5500</v>
      </c>
      <c r="G1343" s="111">
        <f t="shared" si="8"/>
        <v>1100</v>
      </c>
    </row>
    <row r="1344" spans="1:8">
      <c r="A1344" s="123"/>
      <c r="B1344" s="854"/>
      <c r="C1344" s="855"/>
      <c r="D1344" s="37"/>
      <c r="E1344" s="83"/>
      <c r="F1344" s="82"/>
      <c r="G1344" s="111"/>
      <c r="H1344" s="505" t="s">
        <v>1670</v>
      </c>
    </row>
    <row r="1345" spans="1:7" ht="13.5" thickBot="1">
      <c r="A1345" s="123"/>
      <c r="B1345" s="854"/>
      <c r="C1345" s="855"/>
      <c r="D1345" s="37"/>
      <c r="E1345" s="83"/>
      <c r="F1345" s="82"/>
      <c r="G1345" s="111"/>
    </row>
    <row r="1346" spans="1:7" ht="13.5" thickTop="1">
      <c r="A1346" s="95"/>
      <c r="B1346" s="946"/>
      <c r="C1346" s="947"/>
      <c r="D1346" s="801" t="s">
        <v>856</v>
      </c>
      <c r="E1346" s="802"/>
      <c r="F1346" s="9"/>
      <c r="G1346" s="113">
        <f>SUM(G1337:G1345)</f>
        <v>27819</v>
      </c>
    </row>
    <row r="1347" spans="1:7">
      <c r="A1347" s="95"/>
      <c r="B1347" s="948"/>
      <c r="C1347" s="949"/>
      <c r="D1347" s="801" t="s">
        <v>857</v>
      </c>
      <c r="E1347" s="802"/>
      <c r="F1347" s="79">
        <f>'MANO DE OBRA'!$D$60</f>
        <v>0.05</v>
      </c>
      <c r="G1347" s="113">
        <f>ROUND(G1346*F1347,0)</f>
        <v>1391</v>
      </c>
    </row>
    <row r="1348" spans="1:7" ht="13.5" thickBot="1">
      <c r="A1348" s="95"/>
      <c r="B1348" s="948"/>
      <c r="C1348" s="949"/>
      <c r="D1348" s="803" t="s">
        <v>320</v>
      </c>
      <c r="E1348" s="804"/>
      <c r="F1348" s="114"/>
      <c r="G1348" s="118">
        <f>+G1346+G1347</f>
        <v>29210</v>
      </c>
    </row>
    <row r="1349" spans="1:7" ht="14.25" thickTop="1" thickBot="1">
      <c r="A1349" s="95"/>
      <c r="B1349" s="970"/>
      <c r="C1349" s="970"/>
      <c r="D1349" s="970"/>
      <c r="E1349" s="970"/>
      <c r="F1349" s="970"/>
      <c r="G1349" s="970"/>
    </row>
    <row r="1350" spans="1:7" ht="13.5" thickTop="1">
      <c r="A1350" s="95"/>
      <c r="B1350" s="950" t="s">
        <v>858</v>
      </c>
      <c r="C1350" s="951"/>
      <c r="D1350" s="951"/>
      <c r="E1350" s="951"/>
      <c r="F1350" s="951"/>
      <c r="G1350" s="952"/>
    </row>
    <row r="1351" spans="1:7">
      <c r="A1351" s="95"/>
      <c r="B1351" s="978"/>
      <c r="C1351" s="979"/>
      <c r="D1351" s="98" t="s">
        <v>301</v>
      </c>
      <c r="E1351" s="98" t="s">
        <v>859</v>
      </c>
      <c r="F1351" s="99" t="s">
        <v>839</v>
      </c>
      <c r="G1351" s="107" t="s">
        <v>840</v>
      </c>
    </row>
    <row r="1352" spans="1:7">
      <c r="A1352" s="95"/>
      <c r="B1352" s="982" t="s">
        <v>838</v>
      </c>
      <c r="C1352" s="983"/>
      <c r="D1352" s="100" t="s">
        <v>316</v>
      </c>
      <c r="E1352" s="100" t="s">
        <v>315</v>
      </c>
      <c r="F1352" s="101" t="s">
        <v>306</v>
      </c>
      <c r="G1352" s="108" t="s">
        <v>319</v>
      </c>
    </row>
    <row r="1353" spans="1:7">
      <c r="A1353" s="95"/>
      <c r="B1353" s="230"/>
      <c r="C1353" s="102"/>
      <c r="D1353" s="103"/>
      <c r="E1353" s="103" t="s">
        <v>317</v>
      </c>
      <c r="F1353" s="104" t="s">
        <v>318</v>
      </c>
      <c r="G1353" s="109"/>
    </row>
    <row r="1354" spans="1:7">
      <c r="A1354" s="95"/>
      <c r="B1354" s="841" t="str">
        <f>'MANO DE OBRA'!$B$11</f>
        <v>AYUDANTE CUAD. TIPO BB</v>
      </c>
      <c r="C1354" s="842"/>
      <c r="D1354" s="87">
        <v>1</v>
      </c>
      <c r="E1354" s="80">
        <f>'MANO DE OBRA'!$E$11</f>
        <v>43077</v>
      </c>
      <c r="F1354" s="81">
        <v>5.79</v>
      </c>
      <c r="G1354" s="110">
        <f>ROUND(D1354*E1354/F1354,0)</f>
        <v>7440</v>
      </c>
    </row>
    <row r="1355" spans="1:7">
      <c r="A1355" s="95"/>
      <c r="B1355" s="854" t="str">
        <f>'MANO DE OBRA'!$B$16</f>
        <v>OFICIAL CUAD. TIPO BB</v>
      </c>
      <c r="C1355" s="855"/>
      <c r="D1355" s="37">
        <v>1</v>
      </c>
      <c r="E1355" s="82">
        <f>'MANO DE OBRA'!$E$16</f>
        <v>78577</v>
      </c>
      <c r="F1355" s="83">
        <v>5.79</v>
      </c>
      <c r="G1355" s="111">
        <f>ROUND(D1355*E1355/F1355,0)</f>
        <v>13571</v>
      </c>
    </row>
    <row r="1356" spans="1:7">
      <c r="A1356" s="95"/>
      <c r="B1356" s="854"/>
      <c r="C1356" s="855"/>
      <c r="D1356" s="89"/>
      <c r="E1356" s="82"/>
      <c r="F1356" s="83"/>
      <c r="G1356" s="111"/>
    </row>
    <row r="1357" spans="1:7">
      <c r="A1357" s="95"/>
      <c r="B1357" s="854" t="s">
        <v>841</v>
      </c>
      <c r="C1357" s="855"/>
      <c r="D1357" s="37"/>
      <c r="E1357" s="82"/>
      <c r="F1357" s="83"/>
      <c r="G1357" s="111"/>
    </row>
    <row r="1358" spans="1:7" ht="13.5" thickBot="1">
      <c r="A1358" s="95"/>
      <c r="B1358" s="980" t="s">
        <v>841</v>
      </c>
      <c r="C1358" s="981"/>
      <c r="D1358" s="77"/>
      <c r="E1358" s="82"/>
      <c r="F1358" s="86"/>
      <c r="G1358" s="112"/>
    </row>
    <row r="1359" spans="1:7" ht="14.25" thickTop="1" thickBot="1">
      <c r="A1359" s="95"/>
      <c r="B1359" s="946"/>
      <c r="C1359" s="946"/>
      <c r="D1359" s="946"/>
      <c r="E1359" s="947"/>
      <c r="F1359" s="120" t="s">
        <v>856</v>
      </c>
      <c r="G1359" s="118">
        <f>SUM(G1354:G1358)</f>
        <v>21011</v>
      </c>
    </row>
    <row r="1360" spans="1:7" ht="14.25" thickTop="1" thickBot="1">
      <c r="A1360" s="95"/>
      <c r="B1360" s="970"/>
      <c r="C1360" s="970"/>
      <c r="D1360" s="970"/>
      <c r="E1360" s="970"/>
      <c r="F1360" s="970"/>
      <c r="G1360" s="970"/>
    </row>
    <row r="1361" spans="1:8" ht="13.5" thickTop="1">
      <c r="A1361" s="95"/>
      <c r="B1361" s="950" t="s">
        <v>321</v>
      </c>
      <c r="C1361" s="951"/>
      <c r="D1361" s="951"/>
      <c r="E1361" s="951"/>
      <c r="F1361" s="951"/>
      <c r="G1361" s="952"/>
    </row>
    <row r="1362" spans="1:8">
      <c r="A1362" s="95"/>
      <c r="B1362" s="978" t="s">
        <v>838</v>
      </c>
      <c r="C1362" s="979"/>
      <c r="D1362" s="98" t="s">
        <v>301</v>
      </c>
      <c r="E1362" s="98" t="s">
        <v>297</v>
      </c>
      <c r="F1362" s="99" t="s">
        <v>839</v>
      </c>
      <c r="G1362" s="107" t="s">
        <v>840</v>
      </c>
    </row>
    <row r="1363" spans="1:8">
      <c r="A1363" s="95"/>
      <c r="B1363" s="230"/>
      <c r="C1363" s="102"/>
      <c r="D1363" s="103" t="s">
        <v>322</v>
      </c>
      <c r="E1363" s="103" t="s">
        <v>323</v>
      </c>
      <c r="F1363" s="104" t="s">
        <v>324</v>
      </c>
      <c r="G1363" s="109" t="s">
        <v>325</v>
      </c>
    </row>
    <row r="1364" spans="1:8">
      <c r="A1364" s="95"/>
      <c r="B1364" s="841"/>
      <c r="C1364" s="842"/>
      <c r="D1364" s="96"/>
      <c r="E1364" s="96"/>
      <c r="F1364" s="96"/>
      <c r="G1364" s="116"/>
    </row>
    <row r="1365" spans="1:8" ht="13.5" thickBot="1">
      <c r="A1365" s="95"/>
      <c r="B1365" s="980" t="s">
        <v>841</v>
      </c>
      <c r="C1365" s="981"/>
      <c r="D1365" s="77"/>
      <c r="E1365" s="82"/>
      <c r="F1365" s="86"/>
      <c r="G1365" s="112"/>
    </row>
    <row r="1366" spans="1:8" ht="14.25" thickTop="1" thickBot="1">
      <c r="A1366" s="95"/>
      <c r="B1366" s="946"/>
      <c r="C1366" s="946"/>
      <c r="D1366" s="946"/>
      <c r="E1366" s="947"/>
      <c r="F1366" s="120" t="s">
        <v>856</v>
      </c>
      <c r="G1366" s="118">
        <f>SUM(G1361:G1365)</f>
        <v>0</v>
      </c>
    </row>
    <row r="1367" spans="1:8" ht="14.25" thickTop="1" thickBot="1">
      <c r="A1367" s="95"/>
      <c r="B1367" s="970"/>
      <c r="C1367" s="970"/>
      <c r="D1367" s="970"/>
      <c r="E1367" s="970"/>
      <c r="F1367" s="970"/>
      <c r="G1367" s="943"/>
    </row>
    <row r="1368" spans="1:8" ht="13.5" thickTop="1">
      <c r="A1368" s="95"/>
      <c r="B1368" s="950" t="s">
        <v>326</v>
      </c>
      <c r="C1368" s="951"/>
      <c r="D1368" s="951"/>
      <c r="E1368" s="951"/>
      <c r="F1368" s="971"/>
      <c r="G1368" s="121">
        <f>+G1332+G1348+G1359</f>
        <v>51272</v>
      </c>
    </row>
    <row r="1369" spans="1:8">
      <c r="A1369" s="95"/>
      <c r="B1369" s="972" t="s">
        <v>861</v>
      </c>
      <c r="C1369" s="973"/>
      <c r="D1369" s="973"/>
      <c r="E1369" s="974"/>
      <c r="F1369" s="128">
        <f>'MANO DE OBRA'!$D$59</f>
        <v>0</v>
      </c>
      <c r="G1369" s="122">
        <f>ROUND(G1368*F1369,0)</f>
        <v>0</v>
      </c>
    </row>
    <row r="1370" spans="1:8" ht="13.5" thickBot="1">
      <c r="A1370" s="95"/>
      <c r="B1370" s="975" t="s">
        <v>1049</v>
      </c>
      <c r="C1370" s="976"/>
      <c r="D1370" s="976"/>
      <c r="E1370" s="976"/>
      <c r="F1370" s="977"/>
      <c r="G1370" s="118">
        <f>ROUND(G1368+G1369,-2)</f>
        <v>51300</v>
      </c>
      <c r="H1370" s="505" t="s">
        <v>1670</v>
      </c>
    </row>
    <row r="1371" spans="1:8" ht="13.5" thickTop="1">
      <c r="A1371" s="95"/>
      <c r="B1371" s="225" t="s">
        <v>303</v>
      </c>
      <c r="C1371" s="843"/>
      <c r="D1371" s="843"/>
      <c r="E1371" s="843"/>
      <c r="F1371" s="92" t="s">
        <v>781</v>
      </c>
      <c r="G1371" s="93" t="s">
        <v>865</v>
      </c>
    </row>
    <row r="1372" spans="1:8">
      <c r="A1372" s="95"/>
      <c r="B1372" s="226" t="s">
        <v>834</v>
      </c>
      <c r="C1372" s="844" t="s">
        <v>1352</v>
      </c>
      <c r="D1372" s="844"/>
      <c r="E1372" s="844"/>
      <c r="F1372" s="15" t="s">
        <v>833</v>
      </c>
      <c r="G1372" s="165" t="str">
        <f>'MANO DE OBRA'!D61</f>
        <v>Agosto de 2010</v>
      </c>
    </row>
    <row r="1373" spans="1:8" ht="27.75" customHeight="1" thickBot="1">
      <c r="A1373" s="236"/>
      <c r="B1373" s="240" t="s">
        <v>835</v>
      </c>
      <c r="C1373" s="995" t="s">
        <v>1374</v>
      </c>
      <c r="D1373" s="995"/>
      <c r="E1373" s="995"/>
      <c r="F1373" s="995"/>
      <c r="G1373" s="996"/>
    </row>
    <row r="1374" spans="1:8" ht="14.25" thickTop="1" thickBot="1">
      <c r="A1374" s="95"/>
      <c r="B1374" s="986"/>
      <c r="C1374" s="986"/>
      <c r="D1374" s="986"/>
      <c r="E1374" s="986"/>
      <c r="F1374" s="986"/>
      <c r="G1374" s="986"/>
    </row>
    <row r="1375" spans="1:8" ht="13.5" thickTop="1">
      <c r="A1375" s="95"/>
      <c r="B1375" s="950" t="s">
        <v>304</v>
      </c>
      <c r="C1375" s="951"/>
      <c r="D1375" s="951"/>
      <c r="E1375" s="951"/>
      <c r="F1375" s="951"/>
      <c r="G1375" s="952"/>
    </row>
    <row r="1376" spans="1:8">
      <c r="A1376" s="95"/>
      <c r="B1376" s="229"/>
      <c r="C1376" s="97"/>
      <c r="D1376" s="98" t="s">
        <v>301</v>
      </c>
      <c r="E1376" s="98" t="s">
        <v>1072</v>
      </c>
      <c r="F1376" s="99" t="s">
        <v>839</v>
      </c>
      <c r="G1376" s="107" t="s">
        <v>840</v>
      </c>
    </row>
    <row r="1377" spans="1:7">
      <c r="A1377" s="95"/>
      <c r="B1377" s="982" t="s">
        <v>838</v>
      </c>
      <c r="C1377" s="983"/>
      <c r="D1377" s="100" t="s">
        <v>308</v>
      </c>
      <c r="E1377" s="100" t="s">
        <v>305</v>
      </c>
      <c r="F1377" s="101" t="s">
        <v>306</v>
      </c>
      <c r="G1377" s="108" t="s">
        <v>310</v>
      </c>
    </row>
    <row r="1378" spans="1:7">
      <c r="A1378" s="95"/>
      <c r="B1378" s="230"/>
      <c r="C1378" s="102"/>
      <c r="D1378" s="103"/>
      <c r="E1378" s="103" t="s">
        <v>309</v>
      </c>
      <c r="F1378" s="104" t="s">
        <v>307</v>
      </c>
      <c r="G1378" s="109"/>
    </row>
    <row r="1379" spans="1:7">
      <c r="A1379" s="127"/>
      <c r="B1379" s="841" t="str">
        <f>'MAQUINARIA Y EQUIPOS'!$C$28</f>
        <v>HERRAMIENTAS MENORES</v>
      </c>
      <c r="C1379" s="842"/>
      <c r="D1379" s="87">
        <v>1</v>
      </c>
      <c r="E1379" s="82">
        <f>ROUND(G1411*0.05,0)</f>
        <v>1129</v>
      </c>
      <c r="F1379" s="81">
        <v>1</v>
      </c>
      <c r="G1379" s="110">
        <f>ROUND(D1379*E1379/F1379,0)</f>
        <v>1129</v>
      </c>
    </row>
    <row r="1380" spans="1:7">
      <c r="A1380" s="95"/>
      <c r="B1380" s="854"/>
      <c r="C1380" s="855"/>
      <c r="D1380" s="37"/>
      <c r="E1380" s="129"/>
      <c r="F1380" s="83"/>
      <c r="G1380" s="111"/>
    </row>
    <row r="1381" spans="1:7">
      <c r="A1381" s="95"/>
      <c r="B1381" s="854"/>
      <c r="C1381" s="855"/>
      <c r="D1381" s="37"/>
      <c r="E1381" s="129"/>
      <c r="F1381" s="83"/>
      <c r="G1381" s="111"/>
    </row>
    <row r="1382" spans="1:7">
      <c r="A1382" s="95"/>
      <c r="B1382" s="854" t="s">
        <v>841</v>
      </c>
      <c r="C1382" s="855"/>
      <c r="D1382" s="37"/>
      <c r="E1382" s="82"/>
      <c r="F1382" s="83"/>
      <c r="G1382" s="111"/>
    </row>
    <row r="1383" spans="1:7" ht="13.5" thickBot="1">
      <c r="A1383" s="95"/>
      <c r="B1383" s="942" t="s">
        <v>841</v>
      </c>
      <c r="C1383" s="943"/>
      <c r="D1383" s="77"/>
      <c r="E1383" s="106"/>
      <c r="F1383" s="86"/>
      <c r="G1383" s="112"/>
    </row>
    <row r="1384" spans="1:7" ht="14.25" thickTop="1" thickBot="1">
      <c r="A1384" s="95"/>
      <c r="B1384" s="946"/>
      <c r="C1384" s="946"/>
      <c r="D1384" s="946"/>
      <c r="E1384" s="947"/>
      <c r="F1384" s="119" t="s">
        <v>856</v>
      </c>
      <c r="G1384" s="118">
        <f>SUM(G1379:G1383)</f>
        <v>1129</v>
      </c>
    </row>
    <row r="1385" spans="1:7" ht="14.25" thickTop="1" thickBot="1">
      <c r="A1385" s="95"/>
      <c r="B1385" s="970"/>
      <c r="C1385" s="970"/>
      <c r="D1385" s="970"/>
      <c r="E1385" s="970"/>
      <c r="F1385" s="970"/>
      <c r="G1385" s="970"/>
    </row>
    <row r="1386" spans="1:7" ht="13.5" thickTop="1">
      <c r="A1386" s="95"/>
      <c r="B1386" s="950" t="s">
        <v>311</v>
      </c>
      <c r="C1386" s="951"/>
      <c r="D1386" s="951"/>
      <c r="E1386" s="951"/>
      <c r="F1386" s="951"/>
      <c r="G1386" s="952"/>
    </row>
    <row r="1387" spans="1:7">
      <c r="A1387" s="95"/>
      <c r="B1387" s="978" t="s">
        <v>838</v>
      </c>
      <c r="C1387" s="979"/>
      <c r="D1387" s="98" t="s">
        <v>842</v>
      </c>
      <c r="E1387" s="98" t="s">
        <v>853</v>
      </c>
      <c r="F1387" s="99" t="s">
        <v>1047</v>
      </c>
      <c r="G1387" s="107" t="s">
        <v>840</v>
      </c>
    </row>
    <row r="1388" spans="1:7">
      <c r="A1388" s="95"/>
      <c r="B1388" s="230"/>
      <c r="C1388" s="102"/>
      <c r="D1388" s="100"/>
      <c r="E1388" s="100" t="s">
        <v>312</v>
      </c>
      <c r="F1388" s="101" t="s">
        <v>313</v>
      </c>
      <c r="G1388" s="108" t="s">
        <v>314</v>
      </c>
    </row>
    <row r="1389" spans="1:7">
      <c r="A1389" s="123"/>
      <c r="B1389" s="841" t="str">
        <f>MATERIALES2!$C$447</f>
        <v>ALAMBRE DE COBRE AISLADO #12</v>
      </c>
      <c r="C1389" s="842"/>
      <c r="D1389" s="87" t="s">
        <v>831</v>
      </c>
      <c r="E1389" s="81">
        <v>9</v>
      </c>
      <c r="F1389" s="80">
        <f>MATERIALES2!$E$447</f>
        <v>1000</v>
      </c>
      <c r="G1389" s="110">
        <f t="shared" ref="G1389:G1395" si="9">ROUND(E1389*F1389,0)</f>
        <v>9000</v>
      </c>
    </row>
    <row r="1390" spans="1:7">
      <c r="A1390" s="123"/>
      <c r="B1390" s="854" t="str">
        <f>MATERIALES2!$C$450</f>
        <v>ALAMBRE DESNUDO #16</v>
      </c>
      <c r="C1390" s="855"/>
      <c r="D1390" s="37" t="s">
        <v>831</v>
      </c>
      <c r="E1390" s="83">
        <v>4.5</v>
      </c>
      <c r="F1390" s="82">
        <f>MATERIALES2!$E$450</f>
        <v>297</v>
      </c>
      <c r="G1390" s="111">
        <f t="shared" si="9"/>
        <v>1337</v>
      </c>
    </row>
    <row r="1391" spans="1:7">
      <c r="A1391" s="123"/>
      <c r="B1391" s="854" t="str">
        <f>MATERIALES2!$C$550</f>
        <v>TUBO PVC CONDUIT 1/2" x 3.0 M</v>
      </c>
      <c r="C1391" s="855"/>
      <c r="D1391" s="37" t="s">
        <v>865</v>
      </c>
      <c r="E1391" s="83">
        <v>1.5</v>
      </c>
      <c r="F1391" s="82">
        <f>MATERIALES2!$E$550</f>
        <v>5134</v>
      </c>
      <c r="G1391" s="111">
        <f t="shared" si="9"/>
        <v>7701</v>
      </c>
    </row>
    <row r="1392" spans="1:7">
      <c r="A1392" s="123"/>
      <c r="B1392" s="854" t="str">
        <f>MATERIALES2!$C$441</f>
        <v>ADAPTADOR TERMINAL 1/2"</v>
      </c>
      <c r="C1392" s="855"/>
      <c r="D1392" s="37" t="s">
        <v>865</v>
      </c>
      <c r="E1392" s="83">
        <v>2</v>
      </c>
      <c r="F1392" s="82">
        <f>MATERIALES2!$E$441</f>
        <v>212</v>
      </c>
      <c r="G1392" s="111">
        <f t="shared" si="9"/>
        <v>424</v>
      </c>
    </row>
    <row r="1393" spans="1:8">
      <c r="A1393" s="123"/>
      <c r="B1393" s="984" t="str">
        <f>MATERIALES2!$C$476</f>
        <v>CAJA ELECTRICA RECTANGULAR METALICA</v>
      </c>
      <c r="C1393" s="985"/>
      <c r="D1393" s="37" t="s">
        <v>865</v>
      </c>
      <c r="E1393" s="83">
        <v>1</v>
      </c>
      <c r="F1393" s="82">
        <f>MATERIALES2!$E$476</f>
        <v>500</v>
      </c>
      <c r="G1393" s="111">
        <f t="shared" si="9"/>
        <v>500</v>
      </c>
    </row>
    <row r="1394" spans="1:8">
      <c r="A1394" s="123"/>
      <c r="B1394" s="854" t="str">
        <f>MATERIALES2!$C$538</f>
        <v>TOMA DOBLE POLARIZADO</v>
      </c>
      <c r="C1394" s="855"/>
      <c r="D1394" s="37" t="s">
        <v>865</v>
      </c>
      <c r="E1394" s="83">
        <v>1</v>
      </c>
      <c r="F1394" s="82">
        <f>MATERIALES2!$E$538</f>
        <v>3500</v>
      </c>
      <c r="G1394" s="111">
        <f t="shared" si="9"/>
        <v>3500</v>
      </c>
    </row>
    <row r="1395" spans="1:8">
      <c r="A1395" s="123"/>
      <c r="B1395" s="854" t="str">
        <f>MATERIALES2!$C$485</f>
        <v>CINTA AISLANTE 3M</v>
      </c>
      <c r="C1395" s="855"/>
      <c r="D1395" s="37" t="s">
        <v>865</v>
      </c>
      <c r="E1395" s="83">
        <v>0.2</v>
      </c>
      <c r="F1395" s="82">
        <f>MATERIALES2!$E$485</f>
        <v>5500</v>
      </c>
      <c r="G1395" s="111">
        <f t="shared" si="9"/>
        <v>1100</v>
      </c>
    </row>
    <row r="1396" spans="1:8">
      <c r="A1396" s="123"/>
      <c r="B1396" s="854"/>
      <c r="C1396" s="855"/>
      <c r="D1396" s="37"/>
      <c r="E1396" s="83"/>
      <c r="F1396" s="82"/>
      <c r="G1396" s="111"/>
      <c r="H1396" s="505" t="s">
        <v>1670</v>
      </c>
    </row>
    <row r="1397" spans="1:8" ht="13.5" thickBot="1">
      <c r="A1397" s="123"/>
      <c r="B1397" s="854"/>
      <c r="C1397" s="855"/>
      <c r="D1397" s="37"/>
      <c r="E1397" s="83"/>
      <c r="F1397" s="82"/>
      <c r="G1397" s="111"/>
    </row>
    <row r="1398" spans="1:8" ht="13.5" thickTop="1">
      <c r="A1398" s="95"/>
      <c r="B1398" s="946"/>
      <c r="C1398" s="947"/>
      <c r="D1398" s="801" t="s">
        <v>856</v>
      </c>
      <c r="E1398" s="802"/>
      <c r="F1398" s="9"/>
      <c r="G1398" s="113">
        <f>SUM(G1389:G1397)</f>
        <v>23562</v>
      </c>
    </row>
    <row r="1399" spans="1:8">
      <c r="A1399" s="95"/>
      <c r="B1399" s="948"/>
      <c r="C1399" s="949"/>
      <c r="D1399" s="801" t="s">
        <v>857</v>
      </c>
      <c r="E1399" s="802"/>
      <c r="F1399" s="79">
        <f>'MANO DE OBRA'!$D$60</f>
        <v>0.05</v>
      </c>
      <c r="G1399" s="113">
        <f>ROUND(G1398*F1399,0)</f>
        <v>1178</v>
      </c>
    </row>
    <row r="1400" spans="1:8" ht="13.5" thickBot="1">
      <c r="A1400" s="95"/>
      <c r="B1400" s="948"/>
      <c r="C1400" s="949"/>
      <c r="D1400" s="803" t="s">
        <v>320</v>
      </c>
      <c r="E1400" s="804"/>
      <c r="F1400" s="114"/>
      <c r="G1400" s="118">
        <f>+G1398+G1399</f>
        <v>24740</v>
      </c>
    </row>
    <row r="1401" spans="1:8" ht="14.25" thickTop="1" thickBot="1">
      <c r="A1401" s="95"/>
      <c r="B1401" s="970"/>
      <c r="C1401" s="970"/>
      <c r="D1401" s="970"/>
      <c r="E1401" s="970"/>
      <c r="F1401" s="970"/>
      <c r="G1401" s="970"/>
    </row>
    <row r="1402" spans="1:8" ht="13.5" thickTop="1">
      <c r="A1402" s="95"/>
      <c r="B1402" s="950" t="s">
        <v>858</v>
      </c>
      <c r="C1402" s="951"/>
      <c r="D1402" s="951"/>
      <c r="E1402" s="951"/>
      <c r="F1402" s="951"/>
      <c r="G1402" s="952"/>
    </row>
    <row r="1403" spans="1:8">
      <c r="A1403" s="95"/>
      <c r="B1403" s="978"/>
      <c r="C1403" s="979"/>
      <c r="D1403" s="98" t="s">
        <v>301</v>
      </c>
      <c r="E1403" s="98" t="s">
        <v>859</v>
      </c>
      <c r="F1403" s="99" t="s">
        <v>839</v>
      </c>
      <c r="G1403" s="107" t="s">
        <v>840</v>
      </c>
    </row>
    <row r="1404" spans="1:8">
      <c r="A1404" s="95"/>
      <c r="B1404" s="982" t="s">
        <v>838</v>
      </c>
      <c r="C1404" s="983"/>
      <c r="D1404" s="100" t="s">
        <v>316</v>
      </c>
      <c r="E1404" s="100" t="s">
        <v>315</v>
      </c>
      <c r="F1404" s="101" t="s">
        <v>306</v>
      </c>
      <c r="G1404" s="108" t="s">
        <v>319</v>
      </c>
    </row>
    <row r="1405" spans="1:8">
      <c r="A1405" s="95"/>
      <c r="B1405" s="230"/>
      <c r="C1405" s="102"/>
      <c r="D1405" s="103"/>
      <c r="E1405" s="103" t="s">
        <v>317</v>
      </c>
      <c r="F1405" s="104" t="s">
        <v>318</v>
      </c>
      <c r="G1405" s="109"/>
    </row>
    <row r="1406" spans="1:8">
      <c r="A1406" s="95"/>
      <c r="B1406" s="841" t="str">
        <f>'MANO DE OBRA'!$B$11</f>
        <v>AYUDANTE CUAD. TIPO BB</v>
      </c>
      <c r="C1406" s="842"/>
      <c r="D1406" s="87">
        <v>1</v>
      </c>
      <c r="E1406" s="80">
        <f>'MANO DE OBRA'!$E$11</f>
        <v>43077</v>
      </c>
      <c r="F1406" s="81">
        <v>5.39</v>
      </c>
      <c r="G1406" s="110">
        <f>ROUND(D1406*E1406/F1406,0)</f>
        <v>7992</v>
      </c>
    </row>
    <row r="1407" spans="1:8">
      <c r="A1407" s="95"/>
      <c r="B1407" s="854" t="str">
        <f>'MANO DE OBRA'!$B$16</f>
        <v>OFICIAL CUAD. TIPO BB</v>
      </c>
      <c r="C1407" s="855"/>
      <c r="D1407" s="37">
        <v>1</v>
      </c>
      <c r="E1407" s="82">
        <f>'MANO DE OBRA'!$E$16</f>
        <v>78577</v>
      </c>
      <c r="F1407" s="83">
        <v>5.39</v>
      </c>
      <c r="G1407" s="111">
        <f>ROUND(D1407*E1407/F1407,0)</f>
        <v>14578</v>
      </c>
    </row>
    <row r="1408" spans="1:8">
      <c r="A1408" s="95"/>
      <c r="B1408" s="854"/>
      <c r="C1408" s="855"/>
      <c r="D1408" s="89"/>
      <c r="E1408" s="82"/>
      <c r="F1408" s="83"/>
      <c r="G1408" s="111"/>
    </row>
    <row r="1409" spans="1:8">
      <c r="A1409" s="95"/>
      <c r="B1409" s="854" t="s">
        <v>841</v>
      </c>
      <c r="C1409" s="855"/>
      <c r="D1409" s="37"/>
      <c r="E1409" s="82"/>
      <c r="F1409" s="83"/>
      <c r="G1409" s="111"/>
    </row>
    <row r="1410" spans="1:8" ht="13.5" thickBot="1">
      <c r="A1410" s="95"/>
      <c r="B1410" s="980" t="s">
        <v>841</v>
      </c>
      <c r="C1410" s="981"/>
      <c r="D1410" s="77"/>
      <c r="E1410" s="82"/>
      <c r="F1410" s="86"/>
      <c r="G1410" s="112"/>
    </row>
    <row r="1411" spans="1:8" ht="14.25" thickTop="1" thickBot="1">
      <c r="A1411" s="95"/>
      <c r="B1411" s="946"/>
      <c r="C1411" s="946"/>
      <c r="D1411" s="946"/>
      <c r="E1411" s="947"/>
      <c r="F1411" s="120" t="s">
        <v>856</v>
      </c>
      <c r="G1411" s="118">
        <f>SUM(G1406:G1410)</f>
        <v>22570</v>
      </c>
    </row>
    <row r="1412" spans="1:8" ht="14.25" thickTop="1" thickBot="1">
      <c r="A1412" s="95"/>
      <c r="B1412" s="970"/>
      <c r="C1412" s="970"/>
      <c r="D1412" s="970"/>
      <c r="E1412" s="970"/>
      <c r="F1412" s="970"/>
      <c r="G1412" s="970"/>
    </row>
    <row r="1413" spans="1:8" ht="13.5" thickTop="1">
      <c r="A1413" s="95"/>
      <c r="B1413" s="950" t="s">
        <v>321</v>
      </c>
      <c r="C1413" s="951"/>
      <c r="D1413" s="951"/>
      <c r="E1413" s="951"/>
      <c r="F1413" s="951"/>
      <c r="G1413" s="952"/>
    </row>
    <row r="1414" spans="1:8">
      <c r="A1414" s="95"/>
      <c r="B1414" s="978" t="s">
        <v>838</v>
      </c>
      <c r="C1414" s="979"/>
      <c r="D1414" s="98" t="s">
        <v>301</v>
      </c>
      <c r="E1414" s="98" t="s">
        <v>297</v>
      </c>
      <c r="F1414" s="99" t="s">
        <v>839</v>
      </c>
      <c r="G1414" s="107" t="s">
        <v>840</v>
      </c>
    </row>
    <row r="1415" spans="1:8">
      <c r="A1415" s="95"/>
      <c r="B1415" s="230"/>
      <c r="C1415" s="102"/>
      <c r="D1415" s="103" t="s">
        <v>322</v>
      </c>
      <c r="E1415" s="103" t="s">
        <v>323</v>
      </c>
      <c r="F1415" s="104" t="s">
        <v>324</v>
      </c>
      <c r="G1415" s="109" t="s">
        <v>325</v>
      </c>
    </row>
    <row r="1416" spans="1:8">
      <c r="A1416" s="95"/>
      <c r="B1416" s="841"/>
      <c r="C1416" s="842"/>
      <c r="D1416" s="96"/>
      <c r="E1416" s="96"/>
      <c r="F1416" s="96"/>
      <c r="G1416" s="116"/>
    </row>
    <row r="1417" spans="1:8" ht="13.5" thickBot="1">
      <c r="A1417" s="95"/>
      <c r="B1417" s="980" t="s">
        <v>841</v>
      </c>
      <c r="C1417" s="981"/>
      <c r="D1417" s="77"/>
      <c r="E1417" s="82"/>
      <c r="F1417" s="86"/>
      <c r="G1417" s="112"/>
    </row>
    <row r="1418" spans="1:8" ht="14.25" thickTop="1" thickBot="1">
      <c r="A1418" s="95"/>
      <c r="B1418" s="946"/>
      <c r="C1418" s="946"/>
      <c r="D1418" s="946"/>
      <c r="E1418" s="947"/>
      <c r="F1418" s="120" t="s">
        <v>856</v>
      </c>
      <c r="G1418" s="118">
        <f>SUM(G1413:G1417)</f>
        <v>0</v>
      </c>
    </row>
    <row r="1419" spans="1:8" ht="14.25" thickTop="1" thickBot="1">
      <c r="A1419" s="95"/>
      <c r="B1419" s="970"/>
      <c r="C1419" s="970"/>
      <c r="D1419" s="970"/>
      <c r="E1419" s="970"/>
      <c r="F1419" s="970"/>
      <c r="G1419" s="943"/>
    </row>
    <row r="1420" spans="1:8" ht="13.5" thickTop="1">
      <c r="A1420" s="95"/>
      <c r="B1420" s="950" t="s">
        <v>326</v>
      </c>
      <c r="C1420" s="951"/>
      <c r="D1420" s="951"/>
      <c r="E1420" s="951"/>
      <c r="F1420" s="971"/>
      <c r="G1420" s="121">
        <f>+G1384+G1400+G1411</f>
        <v>48439</v>
      </c>
    </row>
    <row r="1421" spans="1:8">
      <c r="A1421" s="95"/>
      <c r="B1421" s="972" t="s">
        <v>861</v>
      </c>
      <c r="C1421" s="973"/>
      <c r="D1421" s="973"/>
      <c r="E1421" s="974"/>
      <c r="F1421" s="128">
        <f>'MANO DE OBRA'!$D$59</f>
        <v>0</v>
      </c>
      <c r="G1421" s="122">
        <f>ROUND(G1420*F1421,0)</f>
        <v>0</v>
      </c>
    </row>
    <row r="1422" spans="1:8" ht="13.5" thickBot="1">
      <c r="A1422" s="95"/>
      <c r="B1422" s="975" t="s">
        <v>1049</v>
      </c>
      <c r="C1422" s="976"/>
      <c r="D1422" s="976"/>
      <c r="E1422" s="976"/>
      <c r="F1422" s="977"/>
      <c r="G1422" s="118">
        <f>ROUND(G1420+G1421,-2)</f>
        <v>48400</v>
      </c>
      <c r="H1422" s="505" t="s">
        <v>1670</v>
      </c>
    </row>
    <row r="1423" spans="1:8" ht="13.5" thickTop="1">
      <c r="A1423" s="95"/>
      <c r="B1423" s="225" t="s">
        <v>303</v>
      </c>
      <c r="C1423" s="843"/>
      <c r="D1423" s="843"/>
      <c r="E1423" s="843"/>
      <c r="F1423" s="92" t="s">
        <v>781</v>
      </c>
      <c r="G1423" s="93" t="s">
        <v>865</v>
      </c>
    </row>
    <row r="1424" spans="1:8">
      <c r="A1424" s="95"/>
      <c r="B1424" s="226" t="s">
        <v>834</v>
      </c>
      <c r="C1424" s="844" t="s">
        <v>1352</v>
      </c>
      <c r="D1424" s="844"/>
      <c r="E1424" s="844"/>
      <c r="F1424" s="15" t="s">
        <v>833</v>
      </c>
      <c r="G1424" s="165" t="str">
        <f>'MANO DE OBRA'!D61</f>
        <v>Agosto de 2010</v>
      </c>
    </row>
    <row r="1425" spans="1:7" ht="27.75" customHeight="1" thickBot="1">
      <c r="A1425" s="236"/>
      <c r="B1425" s="240" t="s">
        <v>835</v>
      </c>
      <c r="C1425" s="993" t="s">
        <v>1375</v>
      </c>
      <c r="D1425" s="993"/>
      <c r="E1425" s="993"/>
      <c r="F1425" s="993"/>
      <c r="G1425" s="994"/>
    </row>
    <row r="1426" spans="1:7" ht="14.25" thickTop="1" thickBot="1">
      <c r="A1426" s="95"/>
      <c r="B1426" s="986"/>
      <c r="C1426" s="986"/>
      <c r="D1426" s="986"/>
      <c r="E1426" s="986"/>
      <c r="F1426" s="986"/>
      <c r="G1426" s="986"/>
    </row>
    <row r="1427" spans="1:7" ht="13.5" thickTop="1">
      <c r="A1427" s="95"/>
      <c r="B1427" s="950" t="s">
        <v>304</v>
      </c>
      <c r="C1427" s="951"/>
      <c r="D1427" s="951"/>
      <c r="E1427" s="951"/>
      <c r="F1427" s="951"/>
      <c r="G1427" s="952"/>
    </row>
    <row r="1428" spans="1:7">
      <c r="A1428" s="95"/>
      <c r="B1428" s="229"/>
      <c r="C1428" s="97"/>
      <c r="D1428" s="98" t="s">
        <v>301</v>
      </c>
      <c r="E1428" s="98" t="s">
        <v>1072</v>
      </c>
      <c r="F1428" s="99" t="s">
        <v>839</v>
      </c>
      <c r="G1428" s="107" t="s">
        <v>840</v>
      </c>
    </row>
    <row r="1429" spans="1:7">
      <c r="A1429" s="95"/>
      <c r="B1429" s="982" t="s">
        <v>838</v>
      </c>
      <c r="C1429" s="983"/>
      <c r="D1429" s="100" t="s">
        <v>308</v>
      </c>
      <c r="E1429" s="100" t="s">
        <v>305</v>
      </c>
      <c r="F1429" s="101" t="s">
        <v>306</v>
      </c>
      <c r="G1429" s="108" t="s">
        <v>310</v>
      </c>
    </row>
    <row r="1430" spans="1:7">
      <c r="A1430" s="95"/>
      <c r="B1430" s="230"/>
      <c r="C1430" s="102"/>
      <c r="D1430" s="103"/>
      <c r="E1430" s="103" t="s">
        <v>309</v>
      </c>
      <c r="F1430" s="104" t="s">
        <v>307</v>
      </c>
      <c r="G1430" s="109"/>
    </row>
    <row r="1431" spans="1:7">
      <c r="A1431" s="127"/>
      <c r="B1431" s="841" t="str">
        <f>'MAQUINARIA Y EQUIPOS'!$C$28</f>
        <v>HERRAMIENTAS MENORES</v>
      </c>
      <c r="C1431" s="842"/>
      <c r="D1431" s="87">
        <v>1</v>
      </c>
      <c r="E1431" s="82">
        <f>ROUND(G1463*0.05,0)</f>
        <v>1704</v>
      </c>
      <c r="F1431" s="81">
        <v>1</v>
      </c>
      <c r="G1431" s="110">
        <f>ROUND(D1431*E1431/F1431,0)</f>
        <v>1704</v>
      </c>
    </row>
    <row r="1432" spans="1:7">
      <c r="A1432" s="95"/>
      <c r="B1432" s="854"/>
      <c r="C1432" s="855"/>
      <c r="D1432" s="37"/>
      <c r="E1432" s="129"/>
      <c r="F1432" s="83"/>
      <c r="G1432" s="111"/>
    </row>
    <row r="1433" spans="1:7" ht="13.5" thickBot="1">
      <c r="A1433" s="95"/>
      <c r="B1433" s="942" t="s">
        <v>841</v>
      </c>
      <c r="C1433" s="943"/>
      <c r="D1433" s="77"/>
      <c r="E1433" s="106"/>
      <c r="F1433" s="86"/>
      <c r="G1433" s="112"/>
    </row>
    <row r="1434" spans="1:7" ht="14.25" thickTop="1" thickBot="1">
      <c r="A1434" s="95"/>
      <c r="B1434" s="946"/>
      <c r="C1434" s="946"/>
      <c r="D1434" s="946"/>
      <c r="E1434" s="947"/>
      <c r="F1434" s="119" t="s">
        <v>856</v>
      </c>
      <c r="G1434" s="118">
        <f>SUM(G1431:G1433)</f>
        <v>1704</v>
      </c>
    </row>
    <row r="1435" spans="1:7" ht="14.25" thickTop="1" thickBot="1">
      <c r="A1435" s="95"/>
      <c r="B1435" s="970"/>
      <c r="C1435" s="970"/>
      <c r="D1435" s="970"/>
      <c r="E1435" s="970"/>
      <c r="F1435" s="970"/>
      <c r="G1435" s="970"/>
    </row>
    <row r="1436" spans="1:7" ht="13.5" thickTop="1">
      <c r="A1436" s="95"/>
      <c r="B1436" s="950" t="s">
        <v>311</v>
      </c>
      <c r="C1436" s="951"/>
      <c r="D1436" s="951"/>
      <c r="E1436" s="951"/>
      <c r="F1436" s="951"/>
      <c r="G1436" s="952"/>
    </row>
    <row r="1437" spans="1:7">
      <c r="A1437" s="95"/>
      <c r="B1437" s="978" t="s">
        <v>838</v>
      </c>
      <c r="C1437" s="979"/>
      <c r="D1437" s="98" t="s">
        <v>842</v>
      </c>
      <c r="E1437" s="98" t="s">
        <v>853</v>
      </c>
      <c r="F1437" s="99" t="s">
        <v>1047</v>
      </c>
      <c r="G1437" s="107" t="s">
        <v>840</v>
      </c>
    </row>
    <row r="1438" spans="1:7">
      <c r="A1438" s="95"/>
      <c r="B1438" s="230"/>
      <c r="C1438" s="102"/>
      <c r="D1438" s="100"/>
      <c r="E1438" s="100" t="s">
        <v>312</v>
      </c>
      <c r="F1438" s="101" t="s">
        <v>313</v>
      </c>
      <c r="G1438" s="108" t="s">
        <v>314</v>
      </c>
    </row>
    <row r="1439" spans="1:7">
      <c r="A1439" s="123"/>
      <c r="B1439" s="841" t="str">
        <f>MATERIALES2!$C$447</f>
        <v>ALAMBRE DE COBRE AISLADO #12</v>
      </c>
      <c r="C1439" s="842"/>
      <c r="D1439" s="87" t="s">
        <v>831</v>
      </c>
      <c r="E1439" s="81">
        <v>4.5599999999999996</v>
      </c>
      <c r="F1439" s="80">
        <f>MATERIALES2!$E$447</f>
        <v>1000</v>
      </c>
      <c r="G1439" s="110">
        <f t="shared" ref="G1439:G1449" si="10">ROUND(E1439*F1439,0)</f>
        <v>4560</v>
      </c>
    </row>
    <row r="1440" spans="1:7">
      <c r="A1440" s="123"/>
      <c r="B1440" s="854" t="str">
        <f>MATERIALES2!$C$448</f>
        <v>ALAMBRE DE COBRE AISLADO #14</v>
      </c>
      <c r="C1440" s="855"/>
      <c r="D1440" s="37" t="s">
        <v>831</v>
      </c>
      <c r="E1440" s="83">
        <v>11.16</v>
      </c>
      <c r="F1440" s="82">
        <f>MATERIALES2!$E$448</f>
        <v>700</v>
      </c>
      <c r="G1440" s="111">
        <f t="shared" si="10"/>
        <v>7812</v>
      </c>
    </row>
    <row r="1441" spans="1:8">
      <c r="A1441" s="123"/>
      <c r="B1441" s="854" t="str">
        <f>MATERIALES2!$C$450</f>
        <v>ALAMBRE DESNUDO #16</v>
      </c>
      <c r="C1441" s="855"/>
      <c r="D1441" s="37" t="s">
        <v>831</v>
      </c>
      <c r="E1441" s="83">
        <v>4.5599999999999996</v>
      </c>
      <c r="F1441" s="82">
        <f>MATERIALES2!$E$450</f>
        <v>297</v>
      </c>
      <c r="G1441" s="111">
        <f t="shared" si="10"/>
        <v>1354</v>
      </c>
    </row>
    <row r="1442" spans="1:8">
      <c r="A1442" s="123"/>
      <c r="B1442" s="854" t="str">
        <f>MATERIALES2!$C$550</f>
        <v>TUBO PVC CONDUIT 1/2" x 3.0 M</v>
      </c>
      <c r="C1442" s="855"/>
      <c r="D1442" s="37" t="s">
        <v>865</v>
      </c>
      <c r="E1442" s="83">
        <v>1.5</v>
      </c>
      <c r="F1442" s="82">
        <f>MATERIALES2!$E$550</f>
        <v>5134</v>
      </c>
      <c r="G1442" s="111">
        <f t="shared" si="10"/>
        <v>7701</v>
      </c>
    </row>
    <row r="1443" spans="1:8">
      <c r="A1443" s="123"/>
      <c r="B1443" s="854" t="str">
        <f>MATERIALES2!$C$441</f>
        <v>ADAPTADOR TERMINAL 1/2"</v>
      </c>
      <c r="C1443" s="855"/>
      <c r="D1443" s="37" t="s">
        <v>865</v>
      </c>
      <c r="E1443" s="83">
        <v>3.36</v>
      </c>
      <c r="F1443" s="82">
        <f>MATERIALES2!$E$441</f>
        <v>212</v>
      </c>
      <c r="G1443" s="111">
        <f t="shared" si="10"/>
        <v>712</v>
      </c>
    </row>
    <row r="1444" spans="1:8">
      <c r="A1444" s="123"/>
      <c r="B1444" s="984" t="str">
        <f>MATERIALES2!$C$476</f>
        <v>CAJA ELECTRICA RECTANGULAR METALICA</v>
      </c>
      <c r="C1444" s="985"/>
      <c r="D1444" s="37" t="s">
        <v>865</v>
      </c>
      <c r="E1444" s="83">
        <v>1.89</v>
      </c>
      <c r="F1444" s="82">
        <f>MATERIALES2!$E$476</f>
        <v>500</v>
      </c>
      <c r="G1444" s="111">
        <f t="shared" si="10"/>
        <v>945</v>
      </c>
    </row>
    <row r="1445" spans="1:8">
      <c r="A1445" s="123"/>
      <c r="B1445" s="854" t="str">
        <f>MATERIALES2!$C$485</f>
        <v>CINTA AISLANTE 3M</v>
      </c>
      <c r="C1445" s="855"/>
      <c r="D1445" s="37" t="s">
        <v>865</v>
      </c>
      <c r="E1445" s="83">
        <v>0.2</v>
      </c>
      <c r="F1445" s="82">
        <f>MATERIALES2!$E$485</f>
        <v>5500</v>
      </c>
      <c r="G1445" s="111">
        <f t="shared" si="10"/>
        <v>1100</v>
      </c>
    </row>
    <row r="1446" spans="1:8">
      <c r="A1446" s="123"/>
      <c r="B1446" s="854" t="str">
        <f>MATERIALES2!$C$509</f>
        <v>INTERRUPTOR DOBLE CONMUTABLE</v>
      </c>
      <c r="C1446" s="855"/>
      <c r="D1446" s="37" t="s">
        <v>865</v>
      </c>
      <c r="E1446" s="83">
        <v>0.84</v>
      </c>
      <c r="F1446" s="82">
        <f>MATERIALES2!$E$509</f>
        <v>7859</v>
      </c>
      <c r="G1446" s="111">
        <f t="shared" si="10"/>
        <v>6602</v>
      </c>
    </row>
    <row r="1447" spans="1:8">
      <c r="A1447" s="123"/>
      <c r="B1447" s="854" t="str">
        <f>MATERIALES2!$C$508</f>
        <v>INTERRUPTOR SENCILLO CONMUTABLE</v>
      </c>
      <c r="C1447" s="855"/>
      <c r="D1447" s="37" t="s">
        <v>865</v>
      </c>
      <c r="E1447" s="83">
        <v>1</v>
      </c>
      <c r="F1447" s="82">
        <f>MATERIALES2!$E$508</f>
        <v>5362</v>
      </c>
      <c r="G1447" s="111">
        <f t="shared" si="10"/>
        <v>5362</v>
      </c>
    </row>
    <row r="1448" spans="1:8">
      <c r="A1448" s="123"/>
      <c r="B1448" s="854" t="str">
        <f>MATERIALES2!$C$518</f>
        <v>PLAFON LOZA</v>
      </c>
      <c r="C1448" s="855"/>
      <c r="D1448" s="37" t="s">
        <v>865</v>
      </c>
      <c r="E1448" s="83">
        <v>1</v>
      </c>
      <c r="F1448" s="82">
        <f>MATERIALES2!$E$518</f>
        <v>1318</v>
      </c>
      <c r="G1448" s="111">
        <f t="shared" si="10"/>
        <v>1318</v>
      </c>
      <c r="H1448" s="505" t="s">
        <v>1670</v>
      </c>
    </row>
    <row r="1449" spans="1:8" ht="13.5" thickBot="1">
      <c r="A1449" s="123"/>
      <c r="B1449" s="854" t="str">
        <f>MATERIALES2!$C$474</f>
        <v>CAJA ELECTRICA OCTOGONAL METALICA</v>
      </c>
      <c r="C1449" s="855"/>
      <c r="D1449" s="37" t="s">
        <v>865</v>
      </c>
      <c r="E1449" s="83">
        <v>1</v>
      </c>
      <c r="F1449" s="82">
        <f>MATERIALES2!$E$474</f>
        <v>600</v>
      </c>
      <c r="G1449" s="111">
        <f t="shared" si="10"/>
        <v>600</v>
      </c>
    </row>
    <row r="1450" spans="1:8" ht="13.5" thickTop="1">
      <c r="A1450" s="95"/>
      <c r="B1450" s="946"/>
      <c r="C1450" s="947"/>
      <c r="D1450" s="801" t="s">
        <v>856</v>
      </c>
      <c r="E1450" s="802"/>
      <c r="F1450" s="9"/>
      <c r="G1450" s="113">
        <f>SUM(G1439:G1449)</f>
        <v>38066</v>
      </c>
    </row>
    <row r="1451" spans="1:8">
      <c r="A1451" s="95"/>
      <c r="B1451" s="948"/>
      <c r="C1451" s="949"/>
      <c r="D1451" s="801" t="s">
        <v>857</v>
      </c>
      <c r="E1451" s="802"/>
      <c r="F1451" s="79">
        <f>'MANO DE OBRA'!$D$60</f>
        <v>0.05</v>
      </c>
      <c r="G1451" s="113">
        <f>ROUND(G1450*F1451,0)</f>
        <v>1903</v>
      </c>
    </row>
    <row r="1452" spans="1:8" ht="13.5" thickBot="1">
      <c r="A1452" s="95"/>
      <c r="B1452" s="948"/>
      <c r="C1452" s="949"/>
      <c r="D1452" s="803" t="s">
        <v>320</v>
      </c>
      <c r="E1452" s="804"/>
      <c r="F1452" s="114"/>
      <c r="G1452" s="118">
        <f>+G1450+G1451</f>
        <v>39969</v>
      </c>
    </row>
    <row r="1453" spans="1:8" ht="14.25" thickTop="1" thickBot="1">
      <c r="A1453" s="95"/>
      <c r="B1453" s="970"/>
      <c r="C1453" s="970"/>
      <c r="D1453" s="970"/>
      <c r="E1453" s="970"/>
      <c r="F1453" s="970"/>
      <c r="G1453" s="970"/>
    </row>
    <row r="1454" spans="1:8" ht="13.5" thickTop="1">
      <c r="A1454" s="95"/>
      <c r="B1454" s="950" t="s">
        <v>858</v>
      </c>
      <c r="C1454" s="951"/>
      <c r="D1454" s="951"/>
      <c r="E1454" s="951"/>
      <c r="F1454" s="951"/>
      <c r="G1454" s="952"/>
    </row>
    <row r="1455" spans="1:8">
      <c r="A1455" s="95"/>
      <c r="B1455" s="978"/>
      <c r="C1455" s="979"/>
      <c r="D1455" s="98" t="s">
        <v>301</v>
      </c>
      <c r="E1455" s="98" t="s">
        <v>859</v>
      </c>
      <c r="F1455" s="99" t="s">
        <v>839</v>
      </c>
      <c r="G1455" s="107" t="s">
        <v>840</v>
      </c>
    </row>
    <row r="1456" spans="1:8">
      <c r="A1456" s="95"/>
      <c r="B1456" s="982" t="s">
        <v>838</v>
      </c>
      <c r="C1456" s="983"/>
      <c r="D1456" s="100" t="s">
        <v>316</v>
      </c>
      <c r="E1456" s="100" t="s">
        <v>315</v>
      </c>
      <c r="F1456" s="101" t="s">
        <v>306</v>
      </c>
      <c r="G1456" s="108" t="s">
        <v>319</v>
      </c>
    </row>
    <row r="1457" spans="1:7">
      <c r="A1457" s="95"/>
      <c r="B1457" s="230"/>
      <c r="C1457" s="102"/>
      <c r="D1457" s="103"/>
      <c r="E1457" s="103" t="s">
        <v>317</v>
      </c>
      <c r="F1457" s="104" t="s">
        <v>318</v>
      </c>
      <c r="G1457" s="109"/>
    </row>
    <row r="1458" spans="1:7">
      <c r="A1458" s="95"/>
      <c r="B1458" s="841" t="str">
        <f>'MANO DE OBRA'!$B$11</f>
        <v>AYUDANTE CUAD. TIPO BB</v>
      </c>
      <c r="C1458" s="842"/>
      <c r="D1458" s="87">
        <v>1</v>
      </c>
      <c r="E1458" s="80">
        <f>'MANO DE OBRA'!$E$11</f>
        <v>43077</v>
      </c>
      <c r="F1458" s="81">
        <v>3.57</v>
      </c>
      <c r="G1458" s="110">
        <f>ROUND(D1458*E1458/F1458,0)</f>
        <v>12066</v>
      </c>
    </row>
    <row r="1459" spans="1:7">
      <c r="A1459" s="95"/>
      <c r="B1459" s="854" t="str">
        <f>'MANO DE OBRA'!$B$16</f>
        <v>OFICIAL CUAD. TIPO BB</v>
      </c>
      <c r="C1459" s="855"/>
      <c r="D1459" s="37">
        <v>1</v>
      </c>
      <c r="E1459" s="82">
        <f>'MANO DE OBRA'!$E$16</f>
        <v>78577</v>
      </c>
      <c r="F1459" s="83">
        <v>3.57</v>
      </c>
      <c r="G1459" s="111">
        <f>ROUND(D1459*E1459/F1459,0)</f>
        <v>22010</v>
      </c>
    </row>
    <row r="1460" spans="1:7">
      <c r="A1460" s="95"/>
      <c r="B1460" s="854"/>
      <c r="C1460" s="855"/>
      <c r="D1460" s="89"/>
      <c r="E1460" s="82"/>
      <c r="F1460" s="83"/>
      <c r="G1460" s="111"/>
    </row>
    <row r="1461" spans="1:7">
      <c r="A1461" s="95"/>
      <c r="B1461" s="854" t="s">
        <v>841</v>
      </c>
      <c r="C1461" s="855"/>
      <c r="D1461" s="37"/>
      <c r="E1461" s="82"/>
      <c r="F1461" s="83"/>
      <c r="G1461" s="111"/>
    </row>
    <row r="1462" spans="1:7" ht="13.5" thickBot="1">
      <c r="A1462" s="95"/>
      <c r="B1462" s="980" t="s">
        <v>841</v>
      </c>
      <c r="C1462" s="981"/>
      <c r="D1462" s="77"/>
      <c r="E1462" s="82"/>
      <c r="F1462" s="86"/>
      <c r="G1462" s="112"/>
    </row>
    <row r="1463" spans="1:7" ht="14.25" thickTop="1" thickBot="1">
      <c r="A1463" s="95"/>
      <c r="B1463" s="946"/>
      <c r="C1463" s="946"/>
      <c r="D1463" s="946"/>
      <c r="E1463" s="947"/>
      <c r="F1463" s="120" t="s">
        <v>856</v>
      </c>
      <c r="G1463" s="118">
        <f>SUM(G1458:G1462)</f>
        <v>34076</v>
      </c>
    </row>
    <row r="1464" spans="1:7" ht="14.25" thickTop="1" thickBot="1">
      <c r="A1464" s="95"/>
      <c r="B1464" s="970"/>
      <c r="C1464" s="970"/>
      <c r="D1464" s="970"/>
      <c r="E1464" s="970"/>
      <c r="F1464" s="970"/>
      <c r="G1464" s="970"/>
    </row>
    <row r="1465" spans="1:7" ht="13.5" thickTop="1">
      <c r="A1465" s="95"/>
      <c r="B1465" s="950" t="s">
        <v>321</v>
      </c>
      <c r="C1465" s="951"/>
      <c r="D1465" s="951"/>
      <c r="E1465" s="951"/>
      <c r="F1465" s="951"/>
      <c r="G1465" s="952"/>
    </row>
    <row r="1466" spans="1:7">
      <c r="A1466" s="95"/>
      <c r="B1466" s="978" t="s">
        <v>838</v>
      </c>
      <c r="C1466" s="979"/>
      <c r="D1466" s="98" t="s">
        <v>301</v>
      </c>
      <c r="E1466" s="98" t="s">
        <v>297</v>
      </c>
      <c r="F1466" s="99" t="s">
        <v>839</v>
      </c>
      <c r="G1466" s="107" t="s">
        <v>840</v>
      </c>
    </row>
    <row r="1467" spans="1:7">
      <c r="A1467" s="95"/>
      <c r="B1467" s="230"/>
      <c r="C1467" s="102"/>
      <c r="D1467" s="103" t="s">
        <v>322</v>
      </c>
      <c r="E1467" s="103" t="s">
        <v>323</v>
      </c>
      <c r="F1467" s="104" t="s">
        <v>324</v>
      </c>
      <c r="G1467" s="109" t="s">
        <v>325</v>
      </c>
    </row>
    <row r="1468" spans="1:7">
      <c r="A1468" s="95"/>
      <c r="B1468" s="841"/>
      <c r="C1468" s="842"/>
      <c r="D1468" s="96"/>
      <c r="E1468" s="96"/>
      <c r="F1468" s="96"/>
      <c r="G1468" s="116"/>
    </row>
    <row r="1469" spans="1:7" ht="13.5" thickBot="1">
      <c r="A1469" s="95"/>
      <c r="B1469" s="980" t="s">
        <v>841</v>
      </c>
      <c r="C1469" s="981"/>
      <c r="D1469" s="77"/>
      <c r="E1469" s="82"/>
      <c r="F1469" s="86"/>
      <c r="G1469" s="112"/>
    </row>
    <row r="1470" spans="1:7" ht="14.25" thickTop="1" thickBot="1">
      <c r="A1470" s="95"/>
      <c r="B1470" s="946"/>
      <c r="C1470" s="946"/>
      <c r="D1470" s="946"/>
      <c r="E1470" s="947"/>
      <c r="F1470" s="120" t="s">
        <v>856</v>
      </c>
      <c r="G1470" s="118">
        <f>SUM(G1465:G1469)</f>
        <v>0</v>
      </c>
    </row>
    <row r="1471" spans="1:7" ht="14.25" thickTop="1" thickBot="1">
      <c r="A1471" s="95"/>
      <c r="B1471" s="970"/>
      <c r="C1471" s="970"/>
      <c r="D1471" s="970"/>
      <c r="E1471" s="970"/>
      <c r="F1471" s="970"/>
      <c r="G1471" s="943"/>
    </row>
    <row r="1472" spans="1:7" ht="13.5" thickTop="1">
      <c r="A1472" s="95"/>
      <c r="B1472" s="950" t="s">
        <v>326</v>
      </c>
      <c r="C1472" s="951"/>
      <c r="D1472" s="951"/>
      <c r="E1472" s="951"/>
      <c r="F1472" s="971"/>
      <c r="G1472" s="121">
        <f>+G1434+G1452+G1463</f>
        <v>75749</v>
      </c>
    </row>
    <row r="1473" spans="1:8">
      <c r="A1473" s="95"/>
      <c r="B1473" s="972" t="s">
        <v>861</v>
      </c>
      <c r="C1473" s="973"/>
      <c r="D1473" s="973"/>
      <c r="E1473" s="974"/>
      <c r="F1473" s="128">
        <f>'MANO DE OBRA'!$D$59</f>
        <v>0</v>
      </c>
      <c r="G1473" s="122">
        <f>ROUND(G1472*F1473,0)</f>
        <v>0</v>
      </c>
    </row>
    <row r="1474" spans="1:8" ht="13.5" thickBot="1">
      <c r="A1474" s="95"/>
      <c r="B1474" s="975" t="s">
        <v>1049</v>
      </c>
      <c r="C1474" s="976"/>
      <c r="D1474" s="976"/>
      <c r="E1474" s="976"/>
      <c r="F1474" s="977"/>
      <c r="G1474" s="118">
        <f>ROUND(G1472+G1473,-2)</f>
        <v>75700</v>
      </c>
      <c r="H1474" s="505" t="s">
        <v>1670</v>
      </c>
    </row>
    <row r="1475" spans="1:8" ht="13.5" thickTop="1">
      <c r="A1475" s="95"/>
      <c r="B1475" s="225" t="s">
        <v>303</v>
      </c>
      <c r="C1475" s="843"/>
      <c r="D1475" s="843"/>
      <c r="E1475" s="843"/>
      <c r="F1475" s="92" t="s">
        <v>781</v>
      </c>
      <c r="G1475" s="93" t="s">
        <v>865</v>
      </c>
    </row>
    <row r="1476" spans="1:8">
      <c r="A1476" s="95"/>
      <c r="B1476" s="226" t="s">
        <v>834</v>
      </c>
      <c r="C1476" s="844" t="s">
        <v>1352</v>
      </c>
      <c r="D1476" s="844"/>
      <c r="E1476" s="844"/>
      <c r="F1476" s="15" t="s">
        <v>833</v>
      </c>
      <c r="G1476" s="165" t="str">
        <f>'MANO DE OBRA'!D61</f>
        <v>Agosto de 2010</v>
      </c>
    </row>
    <row r="1477" spans="1:8" ht="27.75" customHeight="1" thickBot="1">
      <c r="A1477" s="236"/>
      <c r="B1477" s="240" t="s">
        <v>835</v>
      </c>
      <c r="C1477" s="934" t="s">
        <v>1376</v>
      </c>
      <c r="D1477" s="934"/>
      <c r="E1477" s="934"/>
      <c r="F1477" s="934"/>
      <c r="G1477" s="935"/>
    </row>
    <row r="1478" spans="1:8" ht="14.25" thickTop="1" thickBot="1">
      <c r="A1478" s="95"/>
      <c r="B1478" s="986"/>
      <c r="C1478" s="986"/>
      <c r="D1478" s="986"/>
      <c r="E1478" s="986"/>
      <c r="F1478" s="986"/>
      <c r="G1478" s="986"/>
    </row>
    <row r="1479" spans="1:8" ht="13.5" thickTop="1">
      <c r="A1479" s="95"/>
      <c r="B1479" s="950" t="s">
        <v>304</v>
      </c>
      <c r="C1479" s="951"/>
      <c r="D1479" s="951"/>
      <c r="E1479" s="951"/>
      <c r="F1479" s="951"/>
      <c r="G1479" s="952"/>
    </row>
    <row r="1480" spans="1:8">
      <c r="A1480" s="95"/>
      <c r="B1480" s="229"/>
      <c r="C1480" s="97"/>
      <c r="D1480" s="98" t="s">
        <v>301</v>
      </c>
      <c r="E1480" s="98" t="s">
        <v>1072</v>
      </c>
      <c r="F1480" s="99" t="s">
        <v>839</v>
      </c>
      <c r="G1480" s="107" t="s">
        <v>840</v>
      </c>
    </row>
    <row r="1481" spans="1:8">
      <c r="A1481" s="95"/>
      <c r="B1481" s="982" t="s">
        <v>838</v>
      </c>
      <c r="C1481" s="983"/>
      <c r="D1481" s="100" t="s">
        <v>308</v>
      </c>
      <c r="E1481" s="100" t="s">
        <v>305</v>
      </c>
      <c r="F1481" s="101" t="s">
        <v>306</v>
      </c>
      <c r="G1481" s="108" t="s">
        <v>310</v>
      </c>
    </row>
    <row r="1482" spans="1:8">
      <c r="A1482" s="95"/>
      <c r="B1482" s="230"/>
      <c r="C1482" s="102"/>
      <c r="D1482" s="103"/>
      <c r="E1482" s="103" t="s">
        <v>309</v>
      </c>
      <c r="F1482" s="104" t="s">
        <v>307</v>
      </c>
      <c r="G1482" s="109"/>
    </row>
    <row r="1483" spans="1:8">
      <c r="A1483" s="127"/>
      <c r="B1483" s="841" t="str">
        <f>'MAQUINARIA Y EQUIPOS'!$C$28</f>
        <v>HERRAMIENTAS MENORES</v>
      </c>
      <c r="C1483" s="842"/>
      <c r="D1483" s="87">
        <v>1</v>
      </c>
      <c r="E1483" s="82">
        <f>ROUND(G1515*0.05,0)</f>
        <v>1325</v>
      </c>
      <c r="F1483" s="81">
        <v>1</v>
      </c>
      <c r="G1483" s="110">
        <f>ROUND(D1483*E1483/F1483,0)</f>
        <v>1325</v>
      </c>
    </row>
    <row r="1484" spans="1:8">
      <c r="A1484" s="125"/>
      <c r="B1484" s="938"/>
      <c r="C1484" s="939"/>
      <c r="D1484" s="37"/>
      <c r="E1484" s="5"/>
      <c r="F1484" s="83"/>
      <c r="G1484" s="111"/>
    </row>
    <row r="1485" spans="1:8">
      <c r="A1485" s="95"/>
      <c r="B1485" s="854"/>
      <c r="C1485" s="855"/>
      <c r="D1485" s="37"/>
      <c r="E1485" s="129"/>
      <c r="F1485" s="83"/>
      <c r="G1485" s="111"/>
    </row>
    <row r="1486" spans="1:8" ht="13.5" thickBot="1">
      <c r="A1486" s="95"/>
      <c r="B1486" s="942" t="s">
        <v>841</v>
      </c>
      <c r="C1486" s="943"/>
      <c r="D1486" s="77"/>
      <c r="E1486" s="106"/>
      <c r="F1486" s="86"/>
      <c r="G1486" s="112"/>
    </row>
    <row r="1487" spans="1:8" ht="14.25" thickTop="1" thickBot="1">
      <c r="A1487" s="95"/>
      <c r="B1487" s="946"/>
      <c r="C1487" s="946"/>
      <c r="D1487" s="946"/>
      <c r="E1487" s="947"/>
      <c r="F1487" s="119" t="s">
        <v>856</v>
      </c>
      <c r="G1487" s="118">
        <f>SUM(G1483:G1486)</f>
        <v>1325</v>
      </c>
    </row>
    <row r="1488" spans="1:8" ht="14.25" thickTop="1" thickBot="1">
      <c r="A1488" s="95"/>
      <c r="B1488" s="970"/>
      <c r="C1488" s="970"/>
      <c r="D1488" s="970"/>
      <c r="E1488" s="970"/>
      <c r="F1488" s="970"/>
      <c r="G1488" s="970"/>
    </row>
    <row r="1489" spans="1:8" ht="13.5" thickTop="1">
      <c r="A1489" s="95"/>
      <c r="B1489" s="950" t="s">
        <v>311</v>
      </c>
      <c r="C1489" s="951"/>
      <c r="D1489" s="951"/>
      <c r="E1489" s="951"/>
      <c r="F1489" s="951"/>
      <c r="G1489" s="952"/>
    </row>
    <row r="1490" spans="1:8">
      <c r="A1490" s="95"/>
      <c r="B1490" s="978" t="s">
        <v>838</v>
      </c>
      <c r="C1490" s="979"/>
      <c r="D1490" s="98" t="s">
        <v>842</v>
      </c>
      <c r="E1490" s="98" t="s">
        <v>853</v>
      </c>
      <c r="F1490" s="99" t="s">
        <v>1047</v>
      </c>
      <c r="G1490" s="107" t="s">
        <v>840</v>
      </c>
    </row>
    <row r="1491" spans="1:8">
      <c r="A1491" s="95"/>
      <c r="B1491" s="230"/>
      <c r="C1491" s="102"/>
      <c r="D1491" s="100"/>
      <c r="E1491" s="100" t="s">
        <v>312</v>
      </c>
      <c r="F1491" s="101" t="s">
        <v>313</v>
      </c>
      <c r="G1491" s="108" t="s">
        <v>314</v>
      </c>
    </row>
    <row r="1492" spans="1:8">
      <c r="A1492" s="123"/>
      <c r="B1492" s="841" t="str">
        <f>MATERIALES2!$C$447</f>
        <v>ALAMBRE DE COBRE AISLADO #12</v>
      </c>
      <c r="C1492" s="842"/>
      <c r="D1492" s="87" t="s">
        <v>831</v>
      </c>
      <c r="E1492" s="81">
        <v>5.61</v>
      </c>
      <c r="F1492" s="80">
        <f>MATERIALES2!$E$447</f>
        <v>1000</v>
      </c>
      <c r="G1492" s="110">
        <f>ROUND(E1492*F1492,0)</f>
        <v>5610</v>
      </c>
    </row>
    <row r="1493" spans="1:8">
      <c r="A1493" s="123"/>
      <c r="B1493" s="854" t="str">
        <f>MATERIALES2!$C$448</f>
        <v>ALAMBRE DE COBRE AISLADO #14</v>
      </c>
      <c r="C1493" s="855"/>
      <c r="D1493" s="37" t="s">
        <v>831</v>
      </c>
      <c r="E1493" s="83">
        <v>2.79</v>
      </c>
      <c r="F1493" s="82">
        <f>MATERIALES2!$E$448</f>
        <v>700</v>
      </c>
      <c r="G1493" s="111">
        <f>ROUND(E1493*F1493,0)</f>
        <v>1953</v>
      </c>
    </row>
    <row r="1494" spans="1:8">
      <c r="A1494" s="123"/>
      <c r="B1494" s="854" t="str">
        <f>MATERIALES2!$C$450</f>
        <v>ALAMBRE DESNUDO #16</v>
      </c>
      <c r="C1494" s="855"/>
      <c r="D1494" s="37" t="s">
        <v>831</v>
      </c>
      <c r="E1494" s="83">
        <v>2.79</v>
      </c>
      <c r="F1494" s="82">
        <f>MATERIALES2!$E$450</f>
        <v>297</v>
      </c>
      <c r="G1494" s="111">
        <f>ROUND(E1494*F1494,0)</f>
        <v>829</v>
      </c>
    </row>
    <row r="1495" spans="1:8">
      <c r="A1495" s="123"/>
      <c r="B1495" s="854" t="str">
        <f>MATERIALES2!$C$550</f>
        <v>TUBO PVC CONDUIT 1/2" x 3.0 M</v>
      </c>
      <c r="C1495" s="855"/>
      <c r="D1495" s="37" t="s">
        <v>865</v>
      </c>
      <c r="E1495" s="83">
        <v>1.2</v>
      </c>
      <c r="F1495" s="82">
        <f>MATERIALES2!$E$550</f>
        <v>5134</v>
      </c>
      <c r="G1495" s="111">
        <f t="shared" ref="G1495:G1501" si="11">ROUND(E1495*F1495,0)</f>
        <v>6161</v>
      </c>
    </row>
    <row r="1496" spans="1:8">
      <c r="A1496" s="123"/>
      <c r="B1496" s="854" t="str">
        <f>MATERIALES2!$C$441</f>
        <v>ADAPTADOR TERMINAL 1/2"</v>
      </c>
      <c r="C1496" s="855"/>
      <c r="D1496" s="37" t="s">
        <v>865</v>
      </c>
      <c r="E1496" s="83">
        <v>2.61</v>
      </c>
      <c r="F1496" s="82">
        <f>MATERIALES2!$E$441</f>
        <v>212</v>
      </c>
      <c r="G1496" s="111">
        <f t="shared" si="11"/>
        <v>553</v>
      </c>
    </row>
    <row r="1497" spans="1:8">
      <c r="A1497" s="123"/>
      <c r="B1497" s="984" t="str">
        <f>MATERIALES2!$C$476</f>
        <v>CAJA ELECTRICA RECTANGULAR METALICA</v>
      </c>
      <c r="C1497" s="985"/>
      <c r="D1497" s="37" t="s">
        <v>865</v>
      </c>
      <c r="E1497" s="83">
        <v>1.35</v>
      </c>
      <c r="F1497" s="82">
        <f>MATERIALES2!$E$476</f>
        <v>500</v>
      </c>
      <c r="G1497" s="111">
        <f t="shared" si="11"/>
        <v>675</v>
      </c>
    </row>
    <row r="1498" spans="1:8">
      <c r="A1498" s="123"/>
      <c r="B1498" s="854" t="str">
        <f>MATERIALES2!$C$485</f>
        <v>CINTA AISLANTE 3M</v>
      </c>
      <c r="C1498" s="855"/>
      <c r="D1498" s="37" t="s">
        <v>865</v>
      </c>
      <c r="E1498" s="83">
        <v>0.2</v>
      </c>
      <c r="F1498" s="82">
        <f>MATERIALES2!$E$485</f>
        <v>5500</v>
      </c>
      <c r="G1498" s="111">
        <f t="shared" si="11"/>
        <v>1100</v>
      </c>
    </row>
    <row r="1499" spans="1:8">
      <c r="A1499" s="123"/>
      <c r="B1499" s="854" t="str">
        <f>MATERIALES2!$C$511</f>
        <v>INTERRUPTOR Y TOMA SENCILLA</v>
      </c>
      <c r="C1499" s="855"/>
      <c r="D1499" s="37" t="s">
        <v>865</v>
      </c>
      <c r="E1499" s="83">
        <v>1</v>
      </c>
      <c r="F1499" s="82">
        <f>MATERIALES2!$E$509</f>
        <v>7859</v>
      </c>
      <c r="G1499" s="111">
        <f t="shared" si="11"/>
        <v>7859</v>
      </c>
    </row>
    <row r="1500" spans="1:8">
      <c r="A1500" s="123"/>
      <c r="B1500" s="854" t="str">
        <f>MATERIALES2!$C$518</f>
        <v>PLAFON LOZA</v>
      </c>
      <c r="C1500" s="855"/>
      <c r="D1500" s="37" t="s">
        <v>865</v>
      </c>
      <c r="E1500" s="83">
        <v>1</v>
      </c>
      <c r="F1500" s="82">
        <f>MATERIALES2!$E$518</f>
        <v>1318</v>
      </c>
      <c r="G1500" s="111">
        <f t="shared" si="11"/>
        <v>1318</v>
      </c>
      <c r="H1500" s="505" t="s">
        <v>1670</v>
      </c>
    </row>
    <row r="1501" spans="1:8" ht="13.5" thickBot="1">
      <c r="A1501" s="123"/>
      <c r="B1501" s="854" t="str">
        <f>MATERIALES2!$C$474</f>
        <v>CAJA ELECTRICA OCTOGONAL METALICA</v>
      </c>
      <c r="C1501" s="855"/>
      <c r="D1501" s="37" t="s">
        <v>865</v>
      </c>
      <c r="E1501" s="83">
        <v>1</v>
      </c>
      <c r="F1501" s="82">
        <f>MATERIALES2!$E$474</f>
        <v>600</v>
      </c>
      <c r="G1501" s="111">
        <f t="shared" si="11"/>
        <v>600</v>
      </c>
    </row>
    <row r="1502" spans="1:8" ht="13.5" thickTop="1">
      <c r="A1502" s="95"/>
      <c r="B1502" s="946"/>
      <c r="C1502" s="947"/>
      <c r="D1502" s="801" t="s">
        <v>856</v>
      </c>
      <c r="E1502" s="802"/>
      <c r="F1502" s="9"/>
      <c r="G1502" s="113">
        <f>SUM(G1492:G1501)</f>
        <v>26658</v>
      </c>
    </row>
    <row r="1503" spans="1:8">
      <c r="A1503" s="95"/>
      <c r="B1503" s="948"/>
      <c r="C1503" s="949"/>
      <c r="D1503" s="801" t="s">
        <v>857</v>
      </c>
      <c r="E1503" s="802"/>
      <c r="F1503" s="79">
        <f>'MANO DE OBRA'!$D$60</f>
        <v>0.05</v>
      </c>
      <c r="G1503" s="113">
        <f>ROUND(G1502*F1503,0)</f>
        <v>1333</v>
      </c>
    </row>
    <row r="1504" spans="1:8" ht="13.5" thickBot="1">
      <c r="A1504" s="95"/>
      <c r="B1504" s="948"/>
      <c r="C1504" s="949"/>
      <c r="D1504" s="803" t="s">
        <v>320</v>
      </c>
      <c r="E1504" s="804"/>
      <c r="F1504" s="114"/>
      <c r="G1504" s="118">
        <f>+G1502+G1503</f>
        <v>27991</v>
      </c>
    </row>
    <row r="1505" spans="1:7" ht="14.25" thickTop="1" thickBot="1">
      <c r="A1505" s="95"/>
      <c r="B1505" s="970"/>
      <c r="C1505" s="970"/>
      <c r="D1505" s="970"/>
      <c r="E1505" s="970"/>
      <c r="F1505" s="970"/>
      <c r="G1505" s="970"/>
    </row>
    <row r="1506" spans="1:7" ht="13.5" thickTop="1">
      <c r="A1506" s="95"/>
      <c r="B1506" s="950" t="s">
        <v>858</v>
      </c>
      <c r="C1506" s="951"/>
      <c r="D1506" s="951"/>
      <c r="E1506" s="951"/>
      <c r="F1506" s="951"/>
      <c r="G1506" s="952"/>
    </row>
    <row r="1507" spans="1:7">
      <c r="A1507" s="95"/>
      <c r="B1507" s="978"/>
      <c r="C1507" s="979"/>
      <c r="D1507" s="98" t="s">
        <v>301</v>
      </c>
      <c r="E1507" s="98" t="s">
        <v>859</v>
      </c>
      <c r="F1507" s="99" t="s">
        <v>839</v>
      </c>
      <c r="G1507" s="107" t="s">
        <v>840</v>
      </c>
    </row>
    <row r="1508" spans="1:7">
      <c r="A1508" s="95"/>
      <c r="B1508" s="982" t="s">
        <v>838</v>
      </c>
      <c r="C1508" s="983"/>
      <c r="D1508" s="100" t="s">
        <v>316</v>
      </c>
      <c r="E1508" s="100" t="s">
        <v>315</v>
      </c>
      <c r="F1508" s="101" t="s">
        <v>306</v>
      </c>
      <c r="G1508" s="108" t="s">
        <v>319</v>
      </c>
    </row>
    <row r="1509" spans="1:7">
      <c r="A1509" s="95"/>
      <c r="B1509" s="230"/>
      <c r="C1509" s="102"/>
      <c r="D1509" s="103"/>
      <c r="E1509" s="103" t="s">
        <v>317</v>
      </c>
      <c r="F1509" s="104" t="s">
        <v>318</v>
      </c>
      <c r="G1509" s="109"/>
    </row>
    <row r="1510" spans="1:7">
      <c r="A1510" s="95"/>
      <c r="B1510" s="841" t="str">
        <f>'MANO DE OBRA'!$B$11</f>
        <v>AYUDANTE CUAD. TIPO BB</v>
      </c>
      <c r="C1510" s="842"/>
      <c r="D1510" s="87">
        <v>1</v>
      </c>
      <c r="E1510" s="80">
        <f>'MANO DE OBRA'!$E$11</f>
        <v>43077</v>
      </c>
      <c r="F1510" s="81">
        <v>4.59</v>
      </c>
      <c r="G1510" s="110">
        <f>ROUND(D1510*E1510/F1510,0)</f>
        <v>9385</v>
      </c>
    </row>
    <row r="1511" spans="1:7">
      <c r="A1511" s="95"/>
      <c r="B1511" s="854" t="str">
        <f>'MANO DE OBRA'!$B$16</f>
        <v>OFICIAL CUAD. TIPO BB</v>
      </c>
      <c r="C1511" s="855"/>
      <c r="D1511" s="37">
        <v>1</v>
      </c>
      <c r="E1511" s="82">
        <f>'MANO DE OBRA'!$E$16</f>
        <v>78577</v>
      </c>
      <c r="F1511" s="83">
        <v>4.59</v>
      </c>
      <c r="G1511" s="111">
        <f>ROUND(D1511*E1511/F1511,0)</f>
        <v>17119</v>
      </c>
    </row>
    <row r="1512" spans="1:7">
      <c r="A1512" s="95"/>
      <c r="B1512" s="854"/>
      <c r="C1512" s="855"/>
      <c r="D1512" s="89"/>
      <c r="E1512" s="82"/>
      <c r="F1512" s="83"/>
      <c r="G1512" s="111"/>
    </row>
    <row r="1513" spans="1:7">
      <c r="A1513" s="95"/>
      <c r="B1513" s="854" t="s">
        <v>841</v>
      </c>
      <c r="C1513" s="855"/>
      <c r="D1513" s="37"/>
      <c r="E1513" s="82"/>
      <c r="F1513" s="83"/>
      <c r="G1513" s="111"/>
    </row>
    <row r="1514" spans="1:7" ht="13.5" thickBot="1">
      <c r="A1514" s="95"/>
      <c r="B1514" s="980" t="s">
        <v>841</v>
      </c>
      <c r="C1514" s="981"/>
      <c r="D1514" s="77"/>
      <c r="E1514" s="82"/>
      <c r="F1514" s="86"/>
      <c r="G1514" s="112"/>
    </row>
    <row r="1515" spans="1:7" ht="14.25" thickTop="1" thickBot="1">
      <c r="A1515" s="95"/>
      <c r="B1515" s="946"/>
      <c r="C1515" s="946"/>
      <c r="D1515" s="946"/>
      <c r="E1515" s="947"/>
      <c r="F1515" s="120" t="s">
        <v>856</v>
      </c>
      <c r="G1515" s="118">
        <f>SUM(G1510:G1514)</f>
        <v>26504</v>
      </c>
    </row>
    <row r="1516" spans="1:7" ht="14.25" thickTop="1" thickBot="1">
      <c r="A1516" s="95"/>
      <c r="B1516" s="970"/>
      <c r="C1516" s="970"/>
      <c r="D1516" s="970"/>
      <c r="E1516" s="970"/>
      <c r="F1516" s="970"/>
      <c r="G1516" s="970"/>
    </row>
    <row r="1517" spans="1:7" ht="13.5" thickTop="1">
      <c r="A1517" s="95"/>
      <c r="B1517" s="950" t="s">
        <v>321</v>
      </c>
      <c r="C1517" s="951"/>
      <c r="D1517" s="951"/>
      <c r="E1517" s="951"/>
      <c r="F1517" s="951"/>
      <c r="G1517" s="952"/>
    </row>
    <row r="1518" spans="1:7">
      <c r="A1518" s="95"/>
      <c r="B1518" s="978" t="s">
        <v>838</v>
      </c>
      <c r="C1518" s="979"/>
      <c r="D1518" s="98" t="s">
        <v>301</v>
      </c>
      <c r="E1518" s="98" t="s">
        <v>297</v>
      </c>
      <c r="F1518" s="99" t="s">
        <v>839</v>
      </c>
      <c r="G1518" s="107" t="s">
        <v>840</v>
      </c>
    </row>
    <row r="1519" spans="1:7">
      <c r="A1519" s="95"/>
      <c r="B1519" s="230"/>
      <c r="C1519" s="102"/>
      <c r="D1519" s="103" t="s">
        <v>322</v>
      </c>
      <c r="E1519" s="103" t="s">
        <v>323</v>
      </c>
      <c r="F1519" s="104" t="s">
        <v>324</v>
      </c>
      <c r="G1519" s="109" t="s">
        <v>325</v>
      </c>
    </row>
    <row r="1520" spans="1:7">
      <c r="A1520" s="95"/>
      <c r="B1520" s="841"/>
      <c r="C1520" s="842"/>
      <c r="D1520" s="96"/>
      <c r="E1520" s="96"/>
      <c r="F1520" s="96"/>
      <c r="G1520" s="116"/>
    </row>
    <row r="1521" spans="1:8" ht="13.5" thickBot="1">
      <c r="A1521" s="95"/>
      <c r="B1521" s="980" t="s">
        <v>841</v>
      </c>
      <c r="C1521" s="981"/>
      <c r="D1521" s="77"/>
      <c r="E1521" s="82"/>
      <c r="F1521" s="86"/>
      <c r="G1521" s="112"/>
    </row>
    <row r="1522" spans="1:8" ht="14.25" thickTop="1" thickBot="1">
      <c r="A1522" s="95"/>
      <c r="B1522" s="946"/>
      <c r="C1522" s="946"/>
      <c r="D1522" s="946"/>
      <c r="E1522" s="947"/>
      <c r="F1522" s="120" t="s">
        <v>856</v>
      </c>
      <c r="G1522" s="118">
        <f>SUM(G1517:G1521)</f>
        <v>0</v>
      </c>
    </row>
    <row r="1523" spans="1:8" ht="14.25" thickTop="1" thickBot="1">
      <c r="A1523" s="95"/>
      <c r="B1523" s="970"/>
      <c r="C1523" s="970"/>
      <c r="D1523" s="970"/>
      <c r="E1523" s="970"/>
      <c r="F1523" s="970"/>
      <c r="G1523" s="943"/>
    </row>
    <row r="1524" spans="1:8" ht="13.5" thickTop="1">
      <c r="A1524" s="95"/>
      <c r="B1524" s="950" t="s">
        <v>326</v>
      </c>
      <c r="C1524" s="951"/>
      <c r="D1524" s="951"/>
      <c r="E1524" s="951"/>
      <c r="F1524" s="971"/>
      <c r="G1524" s="121">
        <f>+G1487+G1504+G1515</f>
        <v>55820</v>
      </c>
    </row>
    <row r="1525" spans="1:8">
      <c r="A1525" s="95"/>
      <c r="B1525" s="972" t="s">
        <v>861</v>
      </c>
      <c r="C1525" s="973"/>
      <c r="D1525" s="973"/>
      <c r="E1525" s="974"/>
      <c r="F1525" s="128">
        <f>'MANO DE OBRA'!$D$59</f>
        <v>0</v>
      </c>
      <c r="G1525" s="122">
        <f>ROUND(G1524*F1525,0)</f>
        <v>0</v>
      </c>
    </row>
    <row r="1526" spans="1:8" ht="13.5" thickBot="1">
      <c r="A1526" s="95"/>
      <c r="B1526" s="975" t="s">
        <v>1049</v>
      </c>
      <c r="C1526" s="976"/>
      <c r="D1526" s="976"/>
      <c r="E1526" s="976"/>
      <c r="F1526" s="977"/>
      <c r="G1526" s="118">
        <f>ROUND(G1524+G1525,-2)</f>
        <v>55800</v>
      </c>
      <c r="H1526" s="505" t="s">
        <v>1670</v>
      </c>
    </row>
    <row r="1527" spans="1:8" ht="13.5" thickTop="1">
      <c r="A1527" s="95"/>
      <c r="B1527" s="225" t="s">
        <v>303</v>
      </c>
      <c r="C1527" s="843"/>
      <c r="D1527" s="843"/>
      <c r="E1527" s="843"/>
      <c r="F1527" s="92" t="s">
        <v>781</v>
      </c>
      <c r="G1527" s="93" t="s">
        <v>865</v>
      </c>
    </row>
    <row r="1528" spans="1:8">
      <c r="A1528" s="95"/>
      <c r="B1528" s="226" t="s">
        <v>834</v>
      </c>
      <c r="C1528" s="844" t="s">
        <v>423</v>
      </c>
      <c r="D1528" s="844"/>
      <c r="E1528" s="844"/>
      <c r="F1528" s="15" t="s">
        <v>833</v>
      </c>
      <c r="G1528" s="165" t="str">
        <f>'MANO DE OBRA'!D61</f>
        <v>Agosto de 2010</v>
      </c>
    </row>
    <row r="1529" spans="1:8" ht="13.5" thickBot="1">
      <c r="A1529" s="236"/>
      <c r="B1529" s="240" t="s">
        <v>835</v>
      </c>
      <c r="C1529" s="934" t="s">
        <v>426</v>
      </c>
      <c r="D1529" s="934"/>
      <c r="E1529" s="934"/>
      <c r="F1529" s="934"/>
      <c r="G1529" s="935"/>
    </row>
    <row r="1530" spans="1:8" ht="14.25" thickTop="1" thickBot="1">
      <c r="A1530" s="95"/>
      <c r="B1530" s="986"/>
      <c r="C1530" s="986"/>
      <c r="D1530" s="986"/>
      <c r="E1530" s="986"/>
      <c r="F1530" s="986"/>
      <c r="G1530" s="986"/>
    </row>
    <row r="1531" spans="1:8" ht="13.5" thickTop="1">
      <c r="A1531" s="95"/>
      <c r="B1531" s="950" t="s">
        <v>304</v>
      </c>
      <c r="C1531" s="951"/>
      <c r="D1531" s="951"/>
      <c r="E1531" s="951"/>
      <c r="F1531" s="951"/>
      <c r="G1531" s="952"/>
    </row>
    <row r="1532" spans="1:8">
      <c r="A1532" s="95"/>
      <c r="B1532" s="229"/>
      <c r="C1532" s="97"/>
      <c r="D1532" s="98" t="s">
        <v>301</v>
      </c>
      <c r="E1532" s="98" t="s">
        <v>1072</v>
      </c>
      <c r="F1532" s="99" t="s">
        <v>839</v>
      </c>
      <c r="G1532" s="107" t="s">
        <v>840</v>
      </c>
    </row>
    <row r="1533" spans="1:8">
      <c r="A1533" s="95"/>
      <c r="B1533" s="982" t="s">
        <v>838</v>
      </c>
      <c r="C1533" s="983"/>
      <c r="D1533" s="100" t="s">
        <v>308</v>
      </c>
      <c r="E1533" s="100" t="s">
        <v>305</v>
      </c>
      <c r="F1533" s="101" t="s">
        <v>306</v>
      </c>
      <c r="G1533" s="108" t="s">
        <v>310</v>
      </c>
    </row>
    <row r="1534" spans="1:8">
      <c r="A1534" s="95"/>
      <c r="B1534" s="230"/>
      <c r="C1534" s="102"/>
      <c r="D1534" s="103"/>
      <c r="E1534" s="103" t="s">
        <v>309</v>
      </c>
      <c r="F1534" s="104" t="s">
        <v>307</v>
      </c>
      <c r="G1534" s="109"/>
    </row>
    <row r="1535" spans="1:8">
      <c r="A1535" s="127"/>
      <c r="B1535" s="841" t="str">
        <f>'MAQUINARIA Y EQUIPOS'!$C$28</f>
        <v>HERRAMIENTAS MENORES</v>
      </c>
      <c r="C1535" s="842"/>
      <c r="D1535" s="87">
        <v>1</v>
      </c>
      <c r="E1535" s="82">
        <f>ROUND(G1568*0.05,0)</f>
        <v>1241</v>
      </c>
      <c r="F1535" s="81">
        <v>1</v>
      </c>
      <c r="G1535" s="110">
        <f>ROUND(D1535*E1535/F1535,0)</f>
        <v>1241</v>
      </c>
    </row>
    <row r="1536" spans="1:8">
      <c r="A1536" s="125"/>
      <c r="B1536" s="938"/>
      <c r="C1536" s="939"/>
      <c r="D1536" s="37"/>
      <c r="E1536" s="5"/>
      <c r="F1536" s="83"/>
      <c r="G1536" s="111"/>
    </row>
    <row r="1537" spans="1:7">
      <c r="A1537" s="125"/>
      <c r="B1537" s="938"/>
      <c r="C1537" s="939"/>
      <c r="D1537" s="37"/>
      <c r="E1537" s="5"/>
      <c r="F1537" s="83"/>
      <c r="G1537" s="111"/>
    </row>
    <row r="1538" spans="1:7">
      <c r="A1538" s="125"/>
      <c r="B1538" s="938"/>
      <c r="C1538" s="939"/>
      <c r="D1538" s="37"/>
      <c r="E1538" s="5"/>
      <c r="F1538" s="83"/>
      <c r="G1538" s="111"/>
    </row>
    <row r="1539" spans="1:7">
      <c r="A1539" s="95"/>
      <c r="B1539" s="854"/>
      <c r="C1539" s="855"/>
      <c r="D1539" s="37"/>
      <c r="E1539" s="129"/>
      <c r="F1539" s="83"/>
      <c r="G1539" s="111"/>
    </row>
    <row r="1540" spans="1:7" ht="13.5" thickBot="1">
      <c r="A1540" s="95"/>
      <c r="B1540" s="942" t="s">
        <v>841</v>
      </c>
      <c r="C1540" s="943"/>
      <c r="D1540" s="77"/>
      <c r="E1540" s="106"/>
      <c r="F1540" s="86"/>
      <c r="G1540" s="112"/>
    </row>
    <row r="1541" spans="1:7" ht="14.25" thickTop="1" thickBot="1">
      <c r="A1541" s="95"/>
      <c r="B1541" s="946"/>
      <c r="C1541" s="946"/>
      <c r="D1541" s="946"/>
      <c r="E1541" s="947"/>
      <c r="F1541" s="119" t="s">
        <v>856</v>
      </c>
      <c r="G1541" s="118">
        <f>SUM(G1535:G1540)</f>
        <v>1241</v>
      </c>
    </row>
    <row r="1542" spans="1:7" ht="14.25" thickTop="1" thickBot="1">
      <c r="A1542" s="95"/>
      <c r="B1542" s="970"/>
      <c r="C1542" s="970"/>
      <c r="D1542" s="970"/>
      <c r="E1542" s="970"/>
      <c r="F1542" s="970"/>
      <c r="G1542" s="970"/>
    </row>
    <row r="1543" spans="1:7" ht="13.5" thickTop="1">
      <c r="A1543" s="95"/>
      <c r="B1543" s="950" t="s">
        <v>311</v>
      </c>
      <c r="C1543" s="951"/>
      <c r="D1543" s="951"/>
      <c r="E1543" s="951"/>
      <c r="F1543" s="951"/>
      <c r="G1543" s="952"/>
    </row>
    <row r="1544" spans="1:7">
      <c r="A1544" s="95"/>
      <c r="B1544" s="978" t="s">
        <v>838</v>
      </c>
      <c r="C1544" s="979"/>
      <c r="D1544" s="98" t="s">
        <v>842</v>
      </c>
      <c r="E1544" s="98" t="s">
        <v>853</v>
      </c>
      <c r="F1544" s="99" t="s">
        <v>1047</v>
      </c>
      <c r="G1544" s="107" t="s">
        <v>840</v>
      </c>
    </row>
    <row r="1545" spans="1:7">
      <c r="A1545" s="95"/>
      <c r="B1545" s="230"/>
      <c r="C1545" s="102"/>
      <c r="D1545" s="100"/>
      <c r="E1545" s="100" t="s">
        <v>312</v>
      </c>
      <c r="F1545" s="101" t="s">
        <v>313</v>
      </c>
      <c r="G1545" s="108" t="s">
        <v>314</v>
      </c>
    </row>
    <row r="1546" spans="1:7">
      <c r="A1546" s="123"/>
      <c r="B1546" s="841" t="str">
        <f>MATERIALES2!$C$469</f>
        <v xml:space="preserve">CABLE 2x22 </v>
      </c>
      <c r="C1546" s="842"/>
      <c r="D1546" s="87" t="s">
        <v>831</v>
      </c>
      <c r="E1546" s="81">
        <v>9.8699999999999992</v>
      </c>
      <c r="F1546" s="80">
        <f>MATERIALES2!$E$469</f>
        <v>300</v>
      </c>
      <c r="G1546" s="110">
        <f t="shared" ref="G1546:G1551" si="12">ROUND(E1546*F1546,0)</f>
        <v>2961</v>
      </c>
    </row>
    <row r="1547" spans="1:7">
      <c r="A1547" s="123"/>
      <c r="B1547" s="854" t="str">
        <f>MATERIALES2!$C$550</f>
        <v>TUBO PVC CONDUIT 1/2" x 3.0 M</v>
      </c>
      <c r="C1547" s="855"/>
      <c r="D1547" s="37" t="s">
        <v>865</v>
      </c>
      <c r="E1547" s="83">
        <v>3.2</v>
      </c>
      <c r="F1547" s="82">
        <f>MATERIALES2!$E$550</f>
        <v>5134</v>
      </c>
      <c r="G1547" s="111">
        <f t="shared" si="12"/>
        <v>16429</v>
      </c>
    </row>
    <row r="1548" spans="1:7">
      <c r="A1548" s="123"/>
      <c r="B1548" s="854" t="str">
        <f>MATERIALES2!$C$441</f>
        <v>ADAPTADOR TERMINAL 1/2"</v>
      </c>
      <c r="C1548" s="855"/>
      <c r="D1548" s="37" t="s">
        <v>865</v>
      </c>
      <c r="E1548" s="83">
        <v>2</v>
      </c>
      <c r="F1548" s="82">
        <f>MATERIALES2!$E$441</f>
        <v>212</v>
      </c>
      <c r="G1548" s="111">
        <f t="shared" si="12"/>
        <v>424</v>
      </c>
    </row>
    <row r="1549" spans="1:7">
      <c r="A1549" s="123"/>
      <c r="B1549" s="984" t="str">
        <f>MATERIALES2!$C$476</f>
        <v>CAJA ELECTRICA RECTANGULAR METALICA</v>
      </c>
      <c r="C1549" s="985"/>
      <c r="D1549" s="37" t="s">
        <v>865</v>
      </c>
      <c r="E1549" s="83">
        <v>1</v>
      </c>
      <c r="F1549" s="82">
        <f>MATERIALES2!$E$476</f>
        <v>500</v>
      </c>
      <c r="G1549" s="111">
        <f t="shared" si="12"/>
        <v>500</v>
      </c>
    </row>
    <row r="1550" spans="1:7">
      <c r="A1550" s="123"/>
      <c r="B1550" s="854" t="str">
        <f>MATERIALES2!$C$485</f>
        <v>CINTA AISLANTE 3M</v>
      </c>
      <c r="C1550" s="855"/>
      <c r="D1550" s="37" t="s">
        <v>865</v>
      </c>
      <c r="E1550" s="83">
        <v>0.2</v>
      </c>
      <c r="F1550" s="82">
        <f>MATERIALES2!$E$485</f>
        <v>5500</v>
      </c>
      <c r="G1550" s="111">
        <f t="shared" si="12"/>
        <v>1100</v>
      </c>
    </row>
    <row r="1551" spans="1:7">
      <c r="A1551" s="123"/>
      <c r="B1551" s="854" t="str">
        <f>MATERIALES2!$C$540</f>
        <v>TOMA TELEFONICA</v>
      </c>
      <c r="C1551" s="855"/>
      <c r="D1551" s="37" t="s">
        <v>865</v>
      </c>
      <c r="E1551" s="83">
        <v>1</v>
      </c>
      <c r="F1551" s="82">
        <f>MATERIALES2!$E$540</f>
        <v>6010</v>
      </c>
      <c r="G1551" s="111">
        <f t="shared" si="12"/>
        <v>6010</v>
      </c>
    </row>
    <row r="1552" spans="1:7">
      <c r="A1552" s="123"/>
      <c r="B1552" s="938"/>
      <c r="C1552" s="939"/>
      <c r="D1552" s="37"/>
      <c r="E1552" s="83"/>
      <c r="F1552" s="82"/>
      <c r="G1552" s="111"/>
    </row>
    <row r="1553" spans="1:8">
      <c r="A1553" s="123"/>
      <c r="B1553" s="854"/>
      <c r="C1553" s="855"/>
      <c r="D1553" s="37"/>
      <c r="E1553" s="83"/>
      <c r="F1553" s="82"/>
      <c r="G1553" s="111"/>
      <c r="H1553" s="505" t="s">
        <v>1670</v>
      </c>
    </row>
    <row r="1554" spans="1:8" ht="13.5" thickBot="1">
      <c r="A1554" s="123"/>
      <c r="B1554" s="854"/>
      <c r="C1554" s="855"/>
      <c r="D1554" s="37"/>
      <c r="E1554" s="83"/>
      <c r="F1554" s="82"/>
      <c r="G1554" s="111"/>
    </row>
    <row r="1555" spans="1:8" ht="13.5" thickTop="1">
      <c r="A1555" s="95"/>
      <c r="B1555" s="946"/>
      <c r="C1555" s="947"/>
      <c r="D1555" s="801" t="s">
        <v>856</v>
      </c>
      <c r="E1555" s="802"/>
      <c r="F1555" s="9"/>
      <c r="G1555" s="113">
        <f>SUM(G1546:G1554)</f>
        <v>27424</v>
      </c>
    </row>
    <row r="1556" spans="1:8">
      <c r="A1556" s="95"/>
      <c r="B1556" s="948"/>
      <c r="C1556" s="949"/>
      <c r="D1556" s="801" t="s">
        <v>857</v>
      </c>
      <c r="E1556" s="802"/>
      <c r="F1556" s="79">
        <f>'MANO DE OBRA'!$D$60</f>
        <v>0.05</v>
      </c>
      <c r="G1556" s="113">
        <f>ROUND(G1555*F1556,0)</f>
        <v>1371</v>
      </c>
    </row>
    <row r="1557" spans="1:8" ht="13.5" thickBot="1">
      <c r="A1557" s="95"/>
      <c r="B1557" s="948"/>
      <c r="C1557" s="949"/>
      <c r="D1557" s="803" t="s">
        <v>320</v>
      </c>
      <c r="E1557" s="804"/>
      <c r="F1557" s="114"/>
      <c r="G1557" s="118">
        <f>+G1555+G1556</f>
        <v>28795</v>
      </c>
    </row>
    <row r="1558" spans="1:8" ht="14.25" thickTop="1" thickBot="1">
      <c r="A1558" s="95"/>
      <c r="B1558" s="970"/>
      <c r="C1558" s="970"/>
      <c r="D1558" s="970"/>
      <c r="E1558" s="970"/>
      <c r="F1558" s="970"/>
      <c r="G1558" s="970"/>
    </row>
    <row r="1559" spans="1:8" ht="13.5" thickTop="1">
      <c r="A1559" s="95"/>
      <c r="B1559" s="950" t="s">
        <v>858</v>
      </c>
      <c r="C1559" s="951"/>
      <c r="D1559" s="951"/>
      <c r="E1559" s="951"/>
      <c r="F1559" s="951"/>
      <c r="G1559" s="952"/>
    </row>
    <row r="1560" spans="1:8">
      <c r="A1560" s="95"/>
      <c r="B1560" s="978"/>
      <c r="C1560" s="979"/>
      <c r="D1560" s="98" t="s">
        <v>301</v>
      </c>
      <c r="E1560" s="98" t="s">
        <v>859</v>
      </c>
      <c r="F1560" s="99" t="s">
        <v>839</v>
      </c>
      <c r="G1560" s="107" t="s">
        <v>840</v>
      </c>
    </row>
    <row r="1561" spans="1:8">
      <c r="A1561" s="95"/>
      <c r="B1561" s="982" t="s">
        <v>838</v>
      </c>
      <c r="C1561" s="983"/>
      <c r="D1561" s="100" t="s">
        <v>316</v>
      </c>
      <c r="E1561" s="100" t="s">
        <v>315</v>
      </c>
      <c r="F1561" s="101" t="s">
        <v>306</v>
      </c>
      <c r="G1561" s="108" t="s">
        <v>319</v>
      </c>
    </row>
    <row r="1562" spans="1:8">
      <c r="A1562" s="95"/>
      <c r="B1562" s="230"/>
      <c r="C1562" s="102"/>
      <c r="D1562" s="103"/>
      <c r="E1562" s="103" t="s">
        <v>317</v>
      </c>
      <c r="F1562" s="104" t="s">
        <v>318</v>
      </c>
      <c r="G1562" s="109"/>
    </row>
    <row r="1563" spans="1:8">
      <c r="A1563" s="95"/>
      <c r="B1563" s="841" t="str">
        <f>'MANO DE OBRA'!$B$11</f>
        <v>AYUDANTE CUAD. TIPO BB</v>
      </c>
      <c r="C1563" s="842"/>
      <c r="D1563" s="87">
        <v>1</v>
      </c>
      <c r="E1563" s="80">
        <f>'MANO DE OBRA'!$E$11</f>
        <v>43077</v>
      </c>
      <c r="F1563" s="81">
        <v>4.9000000000000004</v>
      </c>
      <c r="G1563" s="110">
        <f>ROUND(D1563*E1563/F1563,0)</f>
        <v>8791</v>
      </c>
    </row>
    <row r="1564" spans="1:8">
      <c r="A1564" s="95"/>
      <c r="B1564" s="854" t="str">
        <f>'MANO DE OBRA'!$B$16</f>
        <v>OFICIAL CUAD. TIPO BB</v>
      </c>
      <c r="C1564" s="855"/>
      <c r="D1564" s="37">
        <v>1</v>
      </c>
      <c r="E1564" s="82">
        <f>'MANO DE OBRA'!$E$16</f>
        <v>78577</v>
      </c>
      <c r="F1564" s="83">
        <v>4.9000000000000004</v>
      </c>
      <c r="G1564" s="111">
        <f>ROUND(D1564*E1564/F1564,0)</f>
        <v>16036</v>
      </c>
    </row>
    <row r="1565" spans="1:8">
      <c r="A1565" s="95"/>
      <c r="B1565" s="854"/>
      <c r="C1565" s="855"/>
      <c r="D1565" s="89"/>
      <c r="E1565" s="82"/>
      <c r="F1565" s="83"/>
      <c r="G1565" s="111"/>
    </row>
    <row r="1566" spans="1:8">
      <c r="A1566" s="95"/>
      <c r="B1566" s="854" t="s">
        <v>841</v>
      </c>
      <c r="C1566" s="855"/>
      <c r="D1566" s="37"/>
      <c r="E1566" s="82"/>
      <c r="F1566" s="83"/>
      <c r="G1566" s="111"/>
    </row>
    <row r="1567" spans="1:8" ht="13.5" thickBot="1">
      <c r="A1567" s="95"/>
      <c r="B1567" s="980" t="s">
        <v>841</v>
      </c>
      <c r="C1567" s="981"/>
      <c r="D1567" s="77"/>
      <c r="E1567" s="82"/>
      <c r="F1567" s="86"/>
      <c r="G1567" s="112"/>
    </row>
    <row r="1568" spans="1:8" ht="14.25" thickTop="1" thickBot="1">
      <c r="A1568" s="95"/>
      <c r="B1568" s="946"/>
      <c r="C1568" s="946"/>
      <c r="D1568" s="946"/>
      <c r="E1568" s="947"/>
      <c r="F1568" s="120" t="s">
        <v>856</v>
      </c>
      <c r="G1568" s="118">
        <f>SUM(G1563:G1567)</f>
        <v>24827</v>
      </c>
    </row>
    <row r="1569" spans="1:8" ht="14.25" thickTop="1" thickBot="1">
      <c r="A1569" s="95"/>
      <c r="B1569" s="970"/>
      <c r="C1569" s="970"/>
      <c r="D1569" s="970"/>
      <c r="E1569" s="970"/>
      <c r="F1569" s="970"/>
      <c r="G1569" s="970"/>
    </row>
    <row r="1570" spans="1:8" ht="13.5" thickTop="1">
      <c r="A1570" s="95"/>
      <c r="B1570" s="950" t="s">
        <v>321</v>
      </c>
      <c r="C1570" s="951"/>
      <c r="D1570" s="951"/>
      <c r="E1570" s="951"/>
      <c r="F1570" s="951"/>
      <c r="G1570" s="952"/>
    </row>
    <row r="1571" spans="1:8">
      <c r="A1571" s="95"/>
      <c r="B1571" s="978" t="s">
        <v>838</v>
      </c>
      <c r="C1571" s="979"/>
      <c r="D1571" s="98" t="s">
        <v>301</v>
      </c>
      <c r="E1571" s="98" t="s">
        <v>297</v>
      </c>
      <c r="F1571" s="99" t="s">
        <v>839</v>
      </c>
      <c r="G1571" s="107" t="s">
        <v>840</v>
      </c>
    </row>
    <row r="1572" spans="1:8">
      <c r="A1572" s="95"/>
      <c r="B1572" s="230"/>
      <c r="C1572" s="102"/>
      <c r="D1572" s="103" t="s">
        <v>322</v>
      </c>
      <c r="E1572" s="103" t="s">
        <v>323</v>
      </c>
      <c r="F1572" s="104" t="s">
        <v>324</v>
      </c>
      <c r="G1572" s="109" t="s">
        <v>325</v>
      </c>
    </row>
    <row r="1573" spans="1:8">
      <c r="A1573" s="95"/>
      <c r="B1573" s="841"/>
      <c r="C1573" s="842"/>
      <c r="D1573" s="96"/>
      <c r="E1573" s="96"/>
      <c r="F1573" s="96"/>
      <c r="G1573" s="116"/>
    </row>
    <row r="1574" spans="1:8" ht="13.5" thickBot="1">
      <c r="A1574" s="95"/>
      <c r="B1574" s="980" t="s">
        <v>841</v>
      </c>
      <c r="C1574" s="981"/>
      <c r="D1574" s="77"/>
      <c r="E1574" s="82"/>
      <c r="F1574" s="86"/>
      <c r="G1574" s="112"/>
    </row>
    <row r="1575" spans="1:8" ht="14.25" thickTop="1" thickBot="1">
      <c r="A1575" s="95"/>
      <c r="B1575" s="946"/>
      <c r="C1575" s="946"/>
      <c r="D1575" s="946"/>
      <c r="E1575" s="947"/>
      <c r="F1575" s="120" t="s">
        <v>856</v>
      </c>
      <c r="G1575" s="118">
        <f>SUM(G1570:G1574)</f>
        <v>0</v>
      </c>
    </row>
    <row r="1576" spans="1:8" ht="14.25" thickTop="1" thickBot="1">
      <c r="A1576" s="95"/>
      <c r="B1576" s="970"/>
      <c r="C1576" s="970"/>
      <c r="D1576" s="970"/>
      <c r="E1576" s="970"/>
      <c r="F1576" s="970"/>
      <c r="G1576" s="943"/>
    </row>
    <row r="1577" spans="1:8" ht="13.5" thickTop="1">
      <c r="A1577" s="95"/>
      <c r="B1577" s="950" t="s">
        <v>326</v>
      </c>
      <c r="C1577" s="951"/>
      <c r="D1577" s="951"/>
      <c r="E1577" s="951"/>
      <c r="F1577" s="971"/>
      <c r="G1577" s="121">
        <f>+G1541+G1557+G1568</f>
        <v>54863</v>
      </c>
    </row>
    <row r="1578" spans="1:8">
      <c r="A1578" s="95"/>
      <c r="B1578" s="972" t="s">
        <v>861</v>
      </c>
      <c r="C1578" s="973"/>
      <c r="D1578" s="973"/>
      <c r="E1578" s="974"/>
      <c r="F1578" s="128">
        <f>'MANO DE OBRA'!$D$59</f>
        <v>0</v>
      </c>
      <c r="G1578" s="122">
        <f>ROUND(G1577*F1578,0)</f>
        <v>0</v>
      </c>
    </row>
    <row r="1579" spans="1:8" ht="13.5" thickBot="1">
      <c r="A1579" s="95"/>
      <c r="B1579" s="975" t="s">
        <v>1049</v>
      </c>
      <c r="C1579" s="976"/>
      <c r="D1579" s="976"/>
      <c r="E1579" s="976"/>
      <c r="F1579" s="977"/>
      <c r="G1579" s="118">
        <f>ROUND(G1577+G1578,-2)</f>
        <v>54900</v>
      </c>
      <c r="H1579" s="505" t="s">
        <v>1670</v>
      </c>
    </row>
    <row r="1580" spans="1:8" ht="13.5" thickTop="1">
      <c r="A1580" s="95"/>
      <c r="B1580" s="225" t="s">
        <v>303</v>
      </c>
      <c r="C1580" s="843"/>
      <c r="D1580" s="843"/>
      <c r="E1580" s="843"/>
      <c r="F1580" s="92" t="s">
        <v>781</v>
      </c>
      <c r="G1580" s="93" t="s">
        <v>865</v>
      </c>
    </row>
    <row r="1581" spans="1:8">
      <c r="A1581" s="95"/>
      <c r="B1581" s="226" t="s">
        <v>834</v>
      </c>
      <c r="C1581" s="844" t="s">
        <v>1352</v>
      </c>
      <c r="D1581" s="844"/>
      <c r="E1581" s="844"/>
      <c r="F1581" s="15" t="s">
        <v>833</v>
      </c>
      <c r="G1581" s="165" t="str">
        <f>'MANO DE OBRA'!D61</f>
        <v>Agosto de 2010</v>
      </c>
    </row>
    <row r="1582" spans="1:8" ht="13.5" thickBot="1">
      <c r="A1582" s="236"/>
      <c r="B1582" s="240" t="s">
        <v>835</v>
      </c>
      <c r="C1582" s="993" t="s">
        <v>1377</v>
      </c>
      <c r="D1582" s="993"/>
      <c r="E1582" s="993"/>
      <c r="F1582" s="993"/>
      <c r="G1582" s="994"/>
    </row>
    <row r="1583" spans="1:8" ht="14.25" thickTop="1" thickBot="1">
      <c r="A1583" s="95"/>
      <c r="B1583" s="986"/>
      <c r="C1583" s="986"/>
      <c r="D1583" s="986"/>
      <c r="E1583" s="986"/>
      <c r="F1583" s="986"/>
      <c r="G1583" s="986"/>
    </row>
    <row r="1584" spans="1:8" ht="13.5" thickTop="1">
      <c r="A1584" s="95"/>
      <c r="B1584" s="950" t="s">
        <v>304</v>
      </c>
      <c r="C1584" s="951"/>
      <c r="D1584" s="951"/>
      <c r="E1584" s="951"/>
      <c r="F1584" s="951"/>
      <c r="G1584" s="952"/>
    </row>
    <row r="1585" spans="1:7">
      <c r="A1585" s="95"/>
      <c r="B1585" s="229"/>
      <c r="C1585" s="97"/>
      <c r="D1585" s="98" t="s">
        <v>301</v>
      </c>
      <c r="E1585" s="98" t="s">
        <v>1072</v>
      </c>
      <c r="F1585" s="99" t="s">
        <v>839</v>
      </c>
      <c r="G1585" s="107" t="s">
        <v>840</v>
      </c>
    </row>
    <row r="1586" spans="1:7">
      <c r="A1586" s="95"/>
      <c r="B1586" s="982" t="s">
        <v>838</v>
      </c>
      <c r="C1586" s="983"/>
      <c r="D1586" s="100" t="s">
        <v>308</v>
      </c>
      <c r="E1586" s="100" t="s">
        <v>305</v>
      </c>
      <c r="F1586" s="101" t="s">
        <v>306</v>
      </c>
      <c r="G1586" s="108" t="s">
        <v>310</v>
      </c>
    </row>
    <row r="1587" spans="1:7">
      <c r="A1587" s="95"/>
      <c r="B1587" s="230"/>
      <c r="C1587" s="102"/>
      <c r="D1587" s="103"/>
      <c r="E1587" s="103" t="s">
        <v>309</v>
      </c>
      <c r="F1587" s="104" t="s">
        <v>307</v>
      </c>
      <c r="G1587" s="109"/>
    </row>
    <row r="1588" spans="1:7">
      <c r="A1588" s="127"/>
      <c r="B1588" s="841" t="str">
        <f>'MAQUINARIA Y EQUIPOS'!$C$28</f>
        <v>HERRAMIENTAS MENORES</v>
      </c>
      <c r="C1588" s="842"/>
      <c r="D1588" s="87">
        <v>1</v>
      </c>
      <c r="E1588" s="82">
        <f>ROUND(G1621*0.05,0)</f>
        <v>1325</v>
      </c>
      <c r="F1588" s="81">
        <v>1</v>
      </c>
      <c r="G1588" s="110">
        <f>ROUND(D1588*E1588/F1588,0)</f>
        <v>1325</v>
      </c>
    </row>
    <row r="1589" spans="1:7">
      <c r="A1589" s="125"/>
      <c r="B1589" s="938"/>
      <c r="C1589" s="939"/>
      <c r="D1589" s="37"/>
      <c r="E1589" s="5"/>
      <c r="F1589" s="83"/>
      <c r="G1589" s="111"/>
    </row>
    <row r="1590" spans="1:7">
      <c r="A1590" s="125"/>
      <c r="B1590" s="938"/>
      <c r="C1590" s="939"/>
      <c r="D1590" s="37"/>
      <c r="E1590" s="5"/>
      <c r="F1590" s="83"/>
      <c r="G1590" s="111"/>
    </row>
    <row r="1591" spans="1:7">
      <c r="A1591" s="125"/>
      <c r="B1591" s="938"/>
      <c r="C1591" s="939"/>
      <c r="D1591" s="37"/>
      <c r="E1591" s="5"/>
      <c r="F1591" s="83"/>
      <c r="G1591" s="111"/>
    </row>
    <row r="1592" spans="1:7">
      <c r="A1592" s="95"/>
      <c r="B1592" s="854"/>
      <c r="C1592" s="855"/>
      <c r="D1592" s="37"/>
      <c r="E1592" s="129"/>
      <c r="F1592" s="83"/>
      <c r="G1592" s="111"/>
    </row>
    <row r="1593" spans="1:7" ht="13.5" thickBot="1">
      <c r="A1593" s="95"/>
      <c r="B1593" s="942" t="s">
        <v>841</v>
      </c>
      <c r="C1593" s="943"/>
      <c r="D1593" s="77"/>
      <c r="E1593" s="106"/>
      <c r="F1593" s="86"/>
      <c r="G1593" s="112"/>
    </row>
    <row r="1594" spans="1:7" ht="14.25" thickTop="1" thickBot="1">
      <c r="A1594" s="95"/>
      <c r="B1594" s="946"/>
      <c r="C1594" s="946"/>
      <c r="D1594" s="946"/>
      <c r="E1594" s="947"/>
      <c r="F1594" s="119" t="s">
        <v>856</v>
      </c>
      <c r="G1594" s="118">
        <f>SUM(G1588:G1593)</f>
        <v>1325</v>
      </c>
    </row>
    <row r="1595" spans="1:7" ht="14.25" thickTop="1" thickBot="1">
      <c r="A1595" s="95"/>
      <c r="B1595" s="970"/>
      <c r="C1595" s="970"/>
      <c r="D1595" s="970"/>
      <c r="E1595" s="970"/>
      <c r="F1595" s="970"/>
      <c r="G1595" s="970"/>
    </row>
    <row r="1596" spans="1:7" ht="13.5" thickTop="1">
      <c r="A1596" s="95"/>
      <c r="B1596" s="950" t="s">
        <v>311</v>
      </c>
      <c r="C1596" s="951"/>
      <c r="D1596" s="951"/>
      <c r="E1596" s="951"/>
      <c r="F1596" s="951"/>
      <c r="G1596" s="952"/>
    </row>
    <row r="1597" spans="1:7">
      <c r="A1597" s="95"/>
      <c r="B1597" s="978" t="s">
        <v>838</v>
      </c>
      <c r="C1597" s="979"/>
      <c r="D1597" s="98" t="s">
        <v>842</v>
      </c>
      <c r="E1597" s="98" t="s">
        <v>853</v>
      </c>
      <c r="F1597" s="99" t="s">
        <v>1047</v>
      </c>
      <c r="G1597" s="107" t="s">
        <v>840</v>
      </c>
    </row>
    <row r="1598" spans="1:7">
      <c r="A1598" s="95"/>
      <c r="B1598" s="230"/>
      <c r="C1598" s="102"/>
      <c r="D1598" s="100"/>
      <c r="E1598" s="100" t="s">
        <v>312</v>
      </c>
      <c r="F1598" s="101" t="s">
        <v>313</v>
      </c>
      <c r="G1598" s="108" t="s">
        <v>314</v>
      </c>
    </row>
    <row r="1599" spans="1:7">
      <c r="A1599" s="123"/>
      <c r="B1599" s="841" t="str">
        <f>MATERIALES2!$C$469</f>
        <v xml:space="preserve">CABLE 2x22 </v>
      </c>
      <c r="C1599" s="842"/>
      <c r="D1599" s="87" t="s">
        <v>831</v>
      </c>
      <c r="E1599" s="81">
        <v>10</v>
      </c>
      <c r="F1599" s="80">
        <f>MATERIALES2!$E$469</f>
        <v>300</v>
      </c>
      <c r="G1599" s="110">
        <f t="shared" ref="G1599:G1605" si="13">ROUND(E1599*F1599,0)</f>
        <v>3000</v>
      </c>
    </row>
    <row r="1600" spans="1:7">
      <c r="A1600" s="123"/>
      <c r="B1600" s="854" t="str">
        <f>MATERIALES2!$C$550</f>
        <v>TUBO PVC CONDUIT 1/2" x 3.0 M</v>
      </c>
      <c r="C1600" s="855"/>
      <c r="D1600" s="37" t="s">
        <v>865</v>
      </c>
      <c r="E1600" s="83">
        <v>3.3</v>
      </c>
      <c r="F1600" s="82">
        <f>MATERIALES2!$E$550</f>
        <v>5134</v>
      </c>
      <c r="G1600" s="111">
        <f t="shared" si="13"/>
        <v>16942</v>
      </c>
    </row>
    <row r="1601" spans="1:8">
      <c r="A1601" s="123"/>
      <c r="B1601" s="854" t="str">
        <f>MATERIALES2!$C$441</f>
        <v>ADAPTADOR TERMINAL 1/2"</v>
      </c>
      <c r="C1601" s="855"/>
      <c r="D1601" s="37" t="s">
        <v>865</v>
      </c>
      <c r="E1601" s="83">
        <v>2</v>
      </c>
      <c r="F1601" s="82">
        <f>MATERIALES2!$E$441</f>
        <v>212</v>
      </c>
      <c r="G1601" s="111">
        <f t="shared" si="13"/>
        <v>424</v>
      </c>
    </row>
    <row r="1602" spans="1:8">
      <c r="A1602" s="123"/>
      <c r="B1602" s="984" t="str">
        <f>MATERIALES2!$C$476</f>
        <v>CAJA ELECTRICA RECTANGULAR METALICA</v>
      </c>
      <c r="C1602" s="985"/>
      <c r="D1602" s="37" t="s">
        <v>865</v>
      </c>
      <c r="E1602" s="83">
        <v>2</v>
      </c>
      <c r="F1602" s="82">
        <f>MATERIALES2!$E$476</f>
        <v>500</v>
      </c>
      <c r="G1602" s="111">
        <f t="shared" si="13"/>
        <v>1000</v>
      </c>
    </row>
    <row r="1603" spans="1:8">
      <c r="A1603" s="123"/>
      <c r="B1603" s="854" t="str">
        <f>MATERIALES2!$C$485</f>
        <v>CINTA AISLANTE 3M</v>
      </c>
      <c r="C1603" s="855"/>
      <c r="D1603" s="37" t="s">
        <v>865</v>
      </c>
      <c r="E1603" s="83">
        <v>0.2</v>
      </c>
      <c r="F1603" s="82">
        <f>MATERIALES2!$E$485</f>
        <v>5500</v>
      </c>
      <c r="G1603" s="111">
        <f t="shared" si="13"/>
        <v>1100</v>
      </c>
    </row>
    <row r="1604" spans="1:8">
      <c r="A1604" s="123"/>
      <c r="B1604" s="854" t="str">
        <f>MATERIALES2!$C$451</f>
        <v>BOTON TIMBRE SOBRE MURO LUMINEX</v>
      </c>
      <c r="C1604" s="855"/>
      <c r="D1604" s="37" t="s">
        <v>865</v>
      </c>
      <c r="E1604" s="83">
        <v>1</v>
      </c>
      <c r="F1604" s="82">
        <f>MATERIALES2!$E$451</f>
        <v>2200</v>
      </c>
      <c r="G1604" s="111">
        <f t="shared" si="13"/>
        <v>2200</v>
      </c>
    </row>
    <row r="1605" spans="1:8">
      <c r="A1605" s="123"/>
      <c r="B1605" s="854" t="str">
        <f>MATERIALES2!$C$535</f>
        <v>TIMBRE</v>
      </c>
      <c r="C1605" s="855"/>
      <c r="D1605" s="37" t="s">
        <v>865</v>
      </c>
      <c r="E1605" s="83">
        <v>1</v>
      </c>
      <c r="F1605" s="82">
        <f>MATERIALES2!$E$535</f>
        <v>9000</v>
      </c>
      <c r="G1605" s="111">
        <f t="shared" si="13"/>
        <v>9000</v>
      </c>
    </row>
    <row r="1606" spans="1:8">
      <c r="A1606" s="123"/>
      <c r="B1606" s="854"/>
      <c r="C1606" s="855"/>
      <c r="D1606" s="37"/>
      <c r="E1606" s="83"/>
      <c r="F1606" s="82"/>
      <c r="G1606" s="111"/>
      <c r="H1606" s="505" t="s">
        <v>1670</v>
      </c>
    </row>
    <row r="1607" spans="1:8" ht="13.5" thickBot="1">
      <c r="A1607" s="123"/>
      <c r="B1607" s="854"/>
      <c r="C1607" s="855"/>
      <c r="D1607" s="37"/>
      <c r="E1607" s="83"/>
      <c r="F1607" s="82"/>
      <c r="G1607" s="111"/>
    </row>
    <row r="1608" spans="1:8" ht="13.5" thickTop="1">
      <c r="A1608" s="95"/>
      <c r="B1608" s="946"/>
      <c r="C1608" s="947"/>
      <c r="D1608" s="801" t="s">
        <v>856</v>
      </c>
      <c r="E1608" s="802"/>
      <c r="F1608" s="9"/>
      <c r="G1608" s="113">
        <f>SUM(G1599:G1607)</f>
        <v>33666</v>
      </c>
    </row>
    <row r="1609" spans="1:8">
      <c r="A1609" s="95"/>
      <c r="B1609" s="948"/>
      <c r="C1609" s="949"/>
      <c r="D1609" s="801" t="s">
        <v>857</v>
      </c>
      <c r="E1609" s="802"/>
      <c r="F1609" s="79">
        <f>'MANO DE OBRA'!$D$60</f>
        <v>0.05</v>
      </c>
      <c r="G1609" s="113">
        <f>ROUND(G1608*F1609,0)</f>
        <v>1683</v>
      </c>
    </row>
    <row r="1610" spans="1:8" ht="13.5" thickBot="1">
      <c r="A1610" s="95"/>
      <c r="B1610" s="948"/>
      <c r="C1610" s="949"/>
      <c r="D1610" s="803" t="s">
        <v>320</v>
      </c>
      <c r="E1610" s="804"/>
      <c r="F1610" s="114"/>
      <c r="G1610" s="118">
        <f>+G1608+G1609</f>
        <v>35349</v>
      </c>
    </row>
    <row r="1611" spans="1:8" ht="14.25" thickTop="1" thickBot="1">
      <c r="A1611" s="95"/>
      <c r="B1611" s="970"/>
      <c r="C1611" s="970"/>
      <c r="D1611" s="970"/>
      <c r="E1611" s="970"/>
      <c r="F1611" s="970"/>
      <c r="G1611" s="970"/>
    </row>
    <row r="1612" spans="1:8" ht="13.5" thickTop="1">
      <c r="A1612" s="95"/>
      <c r="B1612" s="950" t="s">
        <v>858</v>
      </c>
      <c r="C1612" s="951"/>
      <c r="D1612" s="951"/>
      <c r="E1612" s="951"/>
      <c r="F1612" s="951"/>
      <c r="G1612" s="952"/>
    </row>
    <row r="1613" spans="1:8">
      <c r="A1613" s="95"/>
      <c r="B1613" s="978"/>
      <c r="C1613" s="979"/>
      <c r="D1613" s="98" t="s">
        <v>301</v>
      </c>
      <c r="E1613" s="98" t="s">
        <v>859</v>
      </c>
      <c r="F1613" s="99" t="s">
        <v>839</v>
      </c>
      <c r="G1613" s="107" t="s">
        <v>840</v>
      </c>
    </row>
    <row r="1614" spans="1:8">
      <c r="A1614" s="95"/>
      <c r="B1614" s="982" t="s">
        <v>838</v>
      </c>
      <c r="C1614" s="983"/>
      <c r="D1614" s="100" t="s">
        <v>316</v>
      </c>
      <c r="E1614" s="100" t="s">
        <v>315</v>
      </c>
      <c r="F1614" s="101" t="s">
        <v>306</v>
      </c>
      <c r="G1614" s="108" t="s">
        <v>319</v>
      </c>
    </row>
    <row r="1615" spans="1:8">
      <c r="A1615" s="95"/>
      <c r="B1615" s="230"/>
      <c r="C1615" s="102"/>
      <c r="D1615" s="103"/>
      <c r="E1615" s="103" t="s">
        <v>317</v>
      </c>
      <c r="F1615" s="104" t="s">
        <v>318</v>
      </c>
      <c r="G1615" s="109"/>
    </row>
    <row r="1616" spans="1:8">
      <c r="A1616" s="95"/>
      <c r="B1616" s="841" t="str">
        <f>'MANO DE OBRA'!$B$11</f>
        <v>AYUDANTE CUAD. TIPO BB</v>
      </c>
      <c r="C1616" s="842"/>
      <c r="D1616" s="87">
        <v>1</v>
      </c>
      <c r="E1616" s="80">
        <f>'MANO DE OBRA'!$E$11</f>
        <v>43077</v>
      </c>
      <c r="F1616" s="81">
        <v>4.59</v>
      </c>
      <c r="G1616" s="110">
        <f>ROUND(D1616*E1616/F1616,0)</f>
        <v>9385</v>
      </c>
    </row>
    <row r="1617" spans="1:8">
      <c r="A1617" s="95"/>
      <c r="B1617" s="854" t="str">
        <f>'MANO DE OBRA'!$B$16</f>
        <v>OFICIAL CUAD. TIPO BB</v>
      </c>
      <c r="C1617" s="855"/>
      <c r="D1617" s="37">
        <v>1</v>
      </c>
      <c r="E1617" s="82">
        <f>'MANO DE OBRA'!$E$16</f>
        <v>78577</v>
      </c>
      <c r="F1617" s="83">
        <v>4.59</v>
      </c>
      <c r="G1617" s="111">
        <f>ROUND(D1617*E1617/F1617,0)</f>
        <v>17119</v>
      </c>
    </row>
    <row r="1618" spans="1:8">
      <c r="A1618" s="95"/>
      <c r="B1618" s="854"/>
      <c r="C1618" s="855"/>
      <c r="D1618" s="89"/>
      <c r="E1618" s="82"/>
      <c r="F1618" s="83"/>
      <c r="G1618" s="111"/>
    </row>
    <row r="1619" spans="1:8">
      <c r="A1619" s="95"/>
      <c r="B1619" s="854" t="s">
        <v>841</v>
      </c>
      <c r="C1619" s="855"/>
      <c r="D1619" s="37"/>
      <c r="E1619" s="82"/>
      <c r="F1619" s="83"/>
      <c r="G1619" s="111"/>
    </row>
    <row r="1620" spans="1:8" ht="13.5" thickBot="1">
      <c r="A1620" s="95"/>
      <c r="B1620" s="980" t="s">
        <v>841</v>
      </c>
      <c r="C1620" s="981"/>
      <c r="D1620" s="77"/>
      <c r="E1620" s="82"/>
      <c r="F1620" s="86"/>
      <c r="G1620" s="112"/>
    </row>
    <row r="1621" spans="1:8" ht="14.25" thickTop="1" thickBot="1">
      <c r="A1621" s="95"/>
      <c r="B1621" s="946"/>
      <c r="C1621" s="946"/>
      <c r="D1621" s="946"/>
      <c r="E1621" s="947"/>
      <c r="F1621" s="120" t="s">
        <v>856</v>
      </c>
      <c r="G1621" s="118">
        <f>SUM(G1616:G1620)</f>
        <v>26504</v>
      </c>
    </row>
    <row r="1622" spans="1:8" ht="14.25" thickTop="1" thickBot="1">
      <c r="A1622" s="95"/>
      <c r="B1622" s="970"/>
      <c r="C1622" s="970"/>
      <c r="D1622" s="970"/>
      <c r="E1622" s="970"/>
      <c r="F1622" s="970"/>
      <c r="G1622" s="970"/>
    </row>
    <row r="1623" spans="1:8" ht="13.5" thickTop="1">
      <c r="A1623" s="95"/>
      <c r="B1623" s="950" t="s">
        <v>321</v>
      </c>
      <c r="C1623" s="951"/>
      <c r="D1623" s="951"/>
      <c r="E1623" s="951"/>
      <c r="F1623" s="951"/>
      <c r="G1623" s="952"/>
    </row>
    <row r="1624" spans="1:8">
      <c r="A1624" s="95"/>
      <c r="B1624" s="978" t="s">
        <v>838</v>
      </c>
      <c r="C1624" s="979"/>
      <c r="D1624" s="98" t="s">
        <v>301</v>
      </c>
      <c r="E1624" s="98" t="s">
        <v>297</v>
      </c>
      <c r="F1624" s="99" t="s">
        <v>839</v>
      </c>
      <c r="G1624" s="107" t="s">
        <v>840</v>
      </c>
    </row>
    <row r="1625" spans="1:8">
      <c r="A1625" s="95"/>
      <c r="B1625" s="230"/>
      <c r="C1625" s="102"/>
      <c r="D1625" s="103" t="s">
        <v>322</v>
      </c>
      <c r="E1625" s="103" t="s">
        <v>323</v>
      </c>
      <c r="F1625" s="104" t="s">
        <v>324</v>
      </c>
      <c r="G1625" s="109" t="s">
        <v>325</v>
      </c>
    </row>
    <row r="1626" spans="1:8">
      <c r="A1626" s="95"/>
      <c r="B1626" s="841"/>
      <c r="C1626" s="842"/>
      <c r="D1626" s="96"/>
      <c r="E1626" s="96"/>
      <c r="F1626" s="96"/>
      <c r="G1626" s="116"/>
    </row>
    <row r="1627" spans="1:8" ht="13.5" thickBot="1">
      <c r="A1627" s="95"/>
      <c r="B1627" s="980" t="s">
        <v>841</v>
      </c>
      <c r="C1627" s="981"/>
      <c r="D1627" s="77"/>
      <c r="E1627" s="82"/>
      <c r="F1627" s="86"/>
      <c r="G1627" s="112"/>
    </row>
    <row r="1628" spans="1:8" ht="14.25" thickTop="1" thickBot="1">
      <c r="A1628" s="95"/>
      <c r="B1628" s="946"/>
      <c r="C1628" s="946"/>
      <c r="D1628" s="946"/>
      <c r="E1628" s="947"/>
      <c r="F1628" s="120" t="s">
        <v>856</v>
      </c>
      <c r="G1628" s="118">
        <f>SUM(G1623:G1627)</f>
        <v>0</v>
      </c>
    </row>
    <row r="1629" spans="1:8" ht="14.25" thickTop="1" thickBot="1">
      <c r="A1629" s="95"/>
      <c r="B1629" s="970"/>
      <c r="C1629" s="970"/>
      <c r="D1629" s="970"/>
      <c r="E1629" s="970"/>
      <c r="F1629" s="970"/>
      <c r="G1629" s="943"/>
    </row>
    <row r="1630" spans="1:8" ht="13.5" thickTop="1">
      <c r="A1630" s="95"/>
      <c r="B1630" s="950" t="s">
        <v>326</v>
      </c>
      <c r="C1630" s="951"/>
      <c r="D1630" s="951"/>
      <c r="E1630" s="951"/>
      <c r="F1630" s="971"/>
      <c r="G1630" s="121">
        <f>+G1594+G1610+G1621</f>
        <v>63178</v>
      </c>
    </row>
    <row r="1631" spans="1:8">
      <c r="A1631" s="95"/>
      <c r="B1631" s="972" t="s">
        <v>861</v>
      </c>
      <c r="C1631" s="973"/>
      <c r="D1631" s="973"/>
      <c r="E1631" s="974"/>
      <c r="F1631" s="128">
        <f>'MANO DE OBRA'!$D$59</f>
        <v>0</v>
      </c>
      <c r="G1631" s="122">
        <f>ROUND(G1630*F1631,0)</f>
        <v>0</v>
      </c>
    </row>
    <row r="1632" spans="1:8" ht="13.5" thickBot="1">
      <c r="A1632" s="95"/>
      <c r="B1632" s="975" t="s">
        <v>1049</v>
      </c>
      <c r="C1632" s="976"/>
      <c r="D1632" s="976"/>
      <c r="E1632" s="976"/>
      <c r="F1632" s="977"/>
      <c r="G1632" s="118">
        <f>ROUND(G1630+G1631,-2)</f>
        <v>63200</v>
      </c>
      <c r="H1632" s="505" t="s">
        <v>1670</v>
      </c>
    </row>
    <row r="1633" spans="1:7" ht="13.5" thickTop="1">
      <c r="A1633" s="95"/>
      <c r="B1633" s="225" t="s">
        <v>303</v>
      </c>
      <c r="C1633" s="843"/>
      <c r="D1633" s="843"/>
      <c r="E1633" s="843"/>
      <c r="F1633" s="92" t="s">
        <v>781</v>
      </c>
      <c r="G1633" s="93" t="s">
        <v>865</v>
      </c>
    </row>
    <row r="1634" spans="1:7">
      <c r="A1634" s="95"/>
      <c r="B1634" s="226" t="s">
        <v>834</v>
      </c>
      <c r="C1634" s="844" t="s">
        <v>423</v>
      </c>
      <c r="D1634" s="844"/>
      <c r="E1634" s="844"/>
      <c r="F1634" s="15" t="s">
        <v>833</v>
      </c>
      <c r="G1634" s="165" t="str">
        <f>'MANO DE OBRA'!D61</f>
        <v>Agosto de 2010</v>
      </c>
    </row>
    <row r="1635" spans="1:7" ht="17.25" customHeight="1" thickBot="1">
      <c r="A1635" s="236"/>
      <c r="B1635" s="240" t="s">
        <v>835</v>
      </c>
      <c r="C1635" s="934" t="s">
        <v>424</v>
      </c>
      <c r="D1635" s="934"/>
      <c r="E1635" s="934"/>
      <c r="F1635" s="934"/>
      <c r="G1635" s="935"/>
    </row>
    <row r="1636" spans="1:7" ht="14.25" thickTop="1" thickBot="1">
      <c r="A1636" s="95"/>
      <c r="B1636" s="986"/>
      <c r="C1636" s="986"/>
      <c r="D1636" s="986"/>
      <c r="E1636" s="986"/>
      <c r="F1636" s="986"/>
      <c r="G1636" s="986"/>
    </row>
    <row r="1637" spans="1:7" ht="13.5" thickTop="1">
      <c r="A1637" s="95"/>
      <c r="B1637" s="950" t="s">
        <v>304</v>
      </c>
      <c r="C1637" s="951"/>
      <c r="D1637" s="951"/>
      <c r="E1637" s="951"/>
      <c r="F1637" s="951"/>
      <c r="G1637" s="952"/>
    </row>
    <row r="1638" spans="1:7">
      <c r="A1638" s="95"/>
      <c r="B1638" s="229"/>
      <c r="C1638" s="97"/>
      <c r="D1638" s="98" t="s">
        <v>301</v>
      </c>
      <c r="E1638" s="98" t="s">
        <v>1072</v>
      </c>
      <c r="F1638" s="99" t="s">
        <v>839</v>
      </c>
      <c r="G1638" s="107" t="s">
        <v>840</v>
      </c>
    </row>
    <row r="1639" spans="1:7">
      <c r="A1639" s="95"/>
      <c r="B1639" s="982" t="s">
        <v>838</v>
      </c>
      <c r="C1639" s="983"/>
      <c r="D1639" s="100" t="s">
        <v>308</v>
      </c>
      <c r="E1639" s="100" t="s">
        <v>305</v>
      </c>
      <c r="F1639" s="101" t="s">
        <v>306</v>
      </c>
      <c r="G1639" s="108" t="s">
        <v>310</v>
      </c>
    </row>
    <row r="1640" spans="1:7">
      <c r="A1640" s="95"/>
      <c r="B1640" s="230"/>
      <c r="C1640" s="102"/>
      <c r="D1640" s="103"/>
      <c r="E1640" s="103" t="s">
        <v>309</v>
      </c>
      <c r="F1640" s="104" t="s">
        <v>307</v>
      </c>
      <c r="G1640" s="109"/>
    </row>
    <row r="1641" spans="1:7">
      <c r="A1641" s="127"/>
      <c r="B1641" s="841" t="str">
        <f>'MAQUINARIA Y EQUIPOS'!$C$28</f>
        <v>HERRAMIENTAS MENORES</v>
      </c>
      <c r="C1641" s="842"/>
      <c r="D1641" s="87">
        <v>1</v>
      </c>
      <c r="E1641" s="82">
        <f>ROUND(G1673*0.05,0)</f>
        <v>2304</v>
      </c>
      <c r="F1641" s="81">
        <v>1</v>
      </c>
      <c r="G1641" s="110">
        <f>ROUND(D1641*E1641/F1641,0)</f>
        <v>2304</v>
      </c>
    </row>
    <row r="1642" spans="1:7">
      <c r="A1642" s="125"/>
      <c r="B1642" s="938"/>
      <c r="C1642" s="939"/>
      <c r="D1642" s="37"/>
      <c r="E1642" s="5"/>
      <c r="F1642" s="83"/>
      <c r="G1642" s="111"/>
    </row>
    <row r="1643" spans="1:7">
      <c r="A1643" s="95"/>
      <c r="B1643" s="854"/>
      <c r="C1643" s="855"/>
      <c r="D1643" s="37"/>
      <c r="E1643" s="129"/>
      <c r="F1643" s="83"/>
      <c r="G1643" s="111"/>
    </row>
    <row r="1644" spans="1:7" ht="13.5" thickBot="1">
      <c r="A1644" s="95"/>
      <c r="B1644" s="942" t="s">
        <v>841</v>
      </c>
      <c r="C1644" s="943"/>
      <c r="D1644" s="77"/>
      <c r="E1644" s="106"/>
      <c r="F1644" s="86"/>
      <c r="G1644" s="112"/>
    </row>
    <row r="1645" spans="1:7" ht="14.25" thickTop="1" thickBot="1">
      <c r="A1645" s="95"/>
      <c r="B1645" s="946"/>
      <c r="C1645" s="946"/>
      <c r="D1645" s="946"/>
      <c r="E1645" s="947"/>
      <c r="F1645" s="119" t="s">
        <v>856</v>
      </c>
      <c r="G1645" s="118">
        <f>SUM(G1641:G1644)</f>
        <v>2304</v>
      </c>
    </row>
    <row r="1646" spans="1:7" ht="14.25" thickTop="1" thickBot="1">
      <c r="A1646" s="95"/>
      <c r="B1646" s="970"/>
      <c r="C1646" s="970"/>
      <c r="D1646" s="970"/>
      <c r="E1646" s="970"/>
      <c r="F1646" s="970"/>
      <c r="G1646" s="970"/>
    </row>
    <row r="1647" spans="1:7" ht="13.5" thickTop="1">
      <c r="A1647" s="95"/>
      <c r="B1647" s="950" t="s">
        <v>311</v>
      </c>
      <c r="C1647" s="951"/>
      <c r="D1647" s="951"/>
      <c r="E1647" s="951"/>
      <c r="F1647" s="951"/>
      <c r="G1647" s="952"/>
    </row>
    <row r="1648" spans="1:7">
      <c r="A1648" s="95"/>
      <c r="B1648" s="978" t="s">
        <v>838</v>
      </c>
      <c r="C1648" s="979"/>
      <c r="D1648" s="98" t="s">
        <v>842</v>
      </c>
      <c r="E1648" s="98" t="s">
        <v>853</v>
      </c>
      <c r="F1648" s="99" t="s">
        <v>1047</v>
      </c>
      <c r="G1648" s="107" t="s">
        <v>840</v>
      </c>
    </row>
    <row r="1649" spans="1:8">
      <c r="A1649" s="95"/>
      <c r="B1649" s="230"/>
      <c r="C1649" s="102"/>
      <c r="D1649" s="100"/>
      <c r="E1649" s="100" t="s">
        <v>312</v>
      </c>
      <c r="F1649" s="101" t="s">
        <v>313</v>
      </c>
      <c r="G1649" s="108" t="s">
        <v>314</v>
      </c>
    </row>
    <row r="1650" spans="1:8">
      <c r="A1650" s="123"/>
      <c r="B1650" s="841" t="str">
        <f>MATERIALES2!$C$446</f>
        <v>ALAMBRE DE COBRE AISLADO #10</v>
      </c>
      <c r="C1650" s="842"/>
      <c r="D1650" s="87" t="s">
        <v>831</v>
      </c>
      <c r="E1650" s="81">
        <v>8.26</v>
      </c>
      <c r="F1650" s="80">
        <f>MATERIALES2!$E$446</f>
        <v>1191</v>
      </c>
      <c r="G1650" s="110">
        <f t="shared" ref="G1650:G1659" si="14">ROUND(E1650*F1650,0)</f>
        <v>9838</v>
      </c>
    </row>
    <row r="1651" spans="1:8">
      <c r="A1651" s="123"/>
      <c r="B1651" s="854" t="str">
        <f>MATERIALES2!$C$447</f>
        <v>ALAMBRE DE COBRE AISLADO #12</v>
      </c>
      <c r="C1651" s="855"/>
      <c r="D1651" s="37" t="s">
        <v>831</v>
      </c>
      <c r="E1651" s="83">
        <v>12.15</v>
      </c>
      <c r="F1651" s="82">
        <f>MATERIALES2!$E$447</f>
        <v>1000</v>
      </c>
      <c r="G1651" s="111">
        <f t="shared" si="14"/>
        <v>12150</v>
      </c>
    </row>
    <row r="1652" spans="1:8">
      <c r="A1652" s="123"/>
      <c r="B1652" s="854" t="str">
        <f>MATERIALES2!$C$450</f>
        <v>ALAMBRE DESNUDO #16</v>
      </c>
      <c r="C1652" s="855"/>
      <c r="D1652" s="37" t="s">
        <v>831</v>
      </c>
      <c r="E1652" s="83">
        <v>8.26</v>
      </c>
      <c r="F1652" s="82">
        <f>MATERIALES2!$E$450</f>
        <v>297</v>
      </c>
      <c r="G1652" s="111">
        <f t="shared" si="14"/>
        <v>2453</v>
      </c>
    </row>
    <row r="1653" spans="1:8">
      <c r="A1653" s="123"/>
      <c r="B1653" s="854" t="str">
        <f>MATERIALES2!$C$549</f>
        <v>TUBO PVC CONDUIT 1" x 3.0 M</v>
      </c>
      <c r="C1653" s="855"/>
      <c r="D1653" s="37" t="s">
        <v>865</v>
      </c>
      <c r="E1653" s="83">
        <v>0.85</v>
      </c>
      <c r="F1653" s="82">
        <f>MATERIALES2!$E$549</f>
        <v>9315</v>
      </c>
      <c r="G1653" s="111">
        <f t="shared" si="14"/>
        <v>7918</v>
      </c>
    </row>
    <row r="1654" spans="1:8">
      <c r="A1654" s="123"/>
      <c r="B1654" s="854" t="str">
        <f>MATERIALES2!$C$550</f>
        <v>TUBO PVC CONDUIT 1/2" x 3.0 M</v>
      </c>
      <c r="C1654" s="855"/>
      <c r="D1654" s="37" t="s">
        <v>865</v>
      </c>
      <c r="E1654" s="83">
        <v>1</v>
      </c>
      <c r="F1654" s="82">
        <f>MATERIALES2!$E$550</f>
        <v>5134</v>
      </c>
      <c r="G1654" s="111">
        <f>ROUND(E1654*F1654,0)</f>
        <v>5134</v>
      </c>
    </row>
    <row r="1655" spans="1:8">
      <c r="A1655" s="123"/>
      <c r="B1655" s="854" t="str">
        <f>MATERIALES2!$C$440</f>
        <v>ADAPTADOR TERMINAL 1"</v>
      </c>
      <c r="C1655" s="855"/>
      <c r="D1655" s="37" t="s">
        <v>865</v>
      </c>
      <c r="E1655" s="83">
        <v>1</v>
      </c>
      <c r="F1655" s="82">
        <f>MATERIALES2!$E$440</f>
        <v>641</v>
      </c>
      <c r="G1655" s="111">
        <f t="shared" si="14"/>
        <v>641</v>
      </c>
    </row>
    <row r="1656" spans="1:8">
      <c r="A1656" s="123"/>
      <c r="B1656" s="854" t="str">
        <f>MATERIALES2!$C$441</f>
        <v>ADAPTADOR TERMINAL 1/2"</v>
      </c>
      <c r="C1656" s="855"/>
      <c r="D1656" s="37" t="s">
        <v>865</v>
      </c>
      <c r="E1656" s="83">
        <v>1</v>
      </c>
      <c r="F1656" s="82">
        <f>MATERIALES2!$E$441</f>
        <v>212</v>
      </c>
      <c r="G1656" s="111">
        <f>ROUND(E1656*F1656,0)</f>
        <v>212</v>
      </c>
    </row>
    <row r="1657" spans="1:8">
      <c r="A1657" s="123"/>
      <c r="B1657" s="984" t="str">
        <f>MATERIALES2!$C$476</f>
        <v>CAJA ELECTRICA RECTANGULAR METALICA</v>
      </c>
      <c r="C1657" s="985"/>
      <c r="D1657" s="37" t="s">
        <v>865</v>
      </c>
      <c r="E1657" s="83">
        <v>1</v>
      </c>
      <c r="F1657" s="82">
        <f>MATERIALES2!$E$476</f>
        <v>500</v>
      </c>
      <c r="G1657" s="111">
        <f t="shared" si="14"/>
        <v>500</v>
      </c>
    </row>
    <row r="1658" spans="1:8">
      <c r="A1658" s="123"/>
      <c r="B1658" s="854" t="str">
        <f>MATERIALES2!$C$485</f>
        <v>CINTA AISLANTE 3M</v>
      </c>
      <c r="C1658" s="855"/>
      <c r="D1658" s="37" t="s">
        <v>865</v>
      </c>
      <c r="E1658" s="83">
        <v>0.2</v>
      </c>
      <c r="F1658" s="82">
        <f>MATERIALES2!$E$485</f>
        <v>5500</v>
      </c>
      <c r="G1658" s="111">
        <f t="shared" si="14"/>
        <v>1100</v>
      </c>
      <c r="H1658" s="505" t="s">
        <v>1670</v>
      </c>
    </row>
    <row r="1659" spans="1:8" ht="13.5" thickBot="1">
      <c r="A1659" s="123"/>
      <c r="B1659" s="854" t="str">
        <f>MATERIALES2!$C$541</f>
        <v>TOMA TRIFASICO</v>
      </c>
      <c r="C1659" s="855"/>
      <c r="D1659" s="37" t="s">
        <v>865</v>
      </c>
      <c r="E1659" s="83">
        <v>1</v>
      </c>
      <c r="F1659" s="82">
        <f>MATERIALES2!$E$541</f>
        <v>8000</v>
      </c>
      <c r="G1659" s="111">
        <f t="shared" si="14"/>
        <v>8000</v>
      </c>
    </row>
    <row r="1660" spans="1:8" ht="13.5" thickTop="1">
      <c r="A1660" s="95"/>
      <c r="B1660" s="946"/>
      <c r="C1660" s="947"/>
      <c r="D1660" s="801" t="s">
        <v>856</v>
      </c>
      <c r="E1660" s="802"/>
      <c r="F1660" s="9"/>
      <c r="G1660" s="113">
        <f>SUM(G1650:G1659)</f>
        <v>47946</v>
      </c>
    </row>
    <row r="1661" spans="1:8">
      <c r="A1661" s="95"/>
      <c r="B1661" s="948"/>
      <c r="C1661" s="949"/>
      <c r="D1661" s="801" t="s">
        <v>857</v>
      </c>
      <c r="E1661" s="802"/>
      <c r="F1661" s="79">
        <f>'MANO DE OBRA'!$D$60</f>
        <v>0.05</v>
      </c>
      <c r="G1661" s="113">
        <f>ROUND(G1660*F1661,0)</f>
        <v>2397</v>
      </c>
    </row>
    <row r="1662" spans="1:8" ht="13.5" thickBot="1">
      <c r="A1662" s="95"/>
      <c r="B1662" s="948"/>
      <c r="C1662" s="949"/>
      <c r="D1662" s="803" t="s">
        <v>320</v>
      </c>
      <c r="E1662" s="804"/>
      <c r="F1662" s="114"/>
      <c r="G1662" s="118">
        <f>+G1660+G1661</f>
        <v>50343</v>
      </c>
    </row>
    <row r="1663" spans="1:8" ht="14.25" thickTop="1" thickBot="1">
      <c r="A1663" s="95"/>
      <c r="B1663" s="970"/>
      <c r="C1663" s="970"/>
      <c r="D1663" s="970"/>
      <c r="E1663" s="970"/>
      <c r="F1663" s="970"/>
      <c r="G1663" s="970"/>
    </row>
    <row r="1664" spans="1:8" ht="13.5" thickTop="1">
      <c r="A1664" s="95"/>
      <c r="B1664" s="950" t="s">
        <v>858</v>
      </c>
      <c r="C1664" s="951"/>
      <c r="D1664" s="951"/>
      <c r="E1664" s="951"/>
      <c r="F1664" s="951"/>
      <c r="G1664" s="952"/>
    </row>
    <row r="1665" spans="1:7">
      <c r="A1665" s="95"/>
      <c r="B1665" s="978"/>
      <c r="C1665" s="979"/>
      <c r="D1665" s="98" t="s">
        <v>301</v>
      </c>
      <c r="E1665" s="98" t="s">
        <v>859</v>
      </c>
      <c r="F1665" s="99" t="s">
        <v>839</v>
      </c>
      <c r="G1665" s="107" t="s">
        <v>840</v>
      </c>
    </row>
    <row r="1666" spans="1:7">
      <c r="A1666" s="95"/>
      <c r="B1666" s="982" t="s">
        <v>838</v>
      </c>
      <c r="C1666" s="983"/>
      <c r="D1666" s="100" t="s">
        <v>316</v>
      </c>
      <c r="E1666" s="100" t="s">
        <v>315</v>
      </c>
      <c r="F1666" s="101" t="s">
        <v>306</v>
      </c>
      <c r="G1666" s="108" t="s">
        <v>319</v>
      </c>
    </row>
    <row r="1667" spans="1:7">
      <c r="A1667" s="95"/>
      <c r="B1667" s="230"/>
      <c r="C1667" s="102"/>
      <c r="D1667" s="103"/>
      <c r="E1667" s="103" t="s">
        <v>317</v>
      </c>
      <c r="F1667" s="104" t="s">
        <v>318</v>
      </c>
      <c r="G1667" s="109"/>
    </row>
    <row r="1668" spans="1:7">
      <c r="A1668" s="95"/>
      <c r="B1668" s="841" t="str">
        <f>'MANO DE OBRA'!$B$11</f>
        <v>AYUDANTE CUAD. TIPO BB</v>
      </c>
      <c r="C1668" s="842"/>
      <c r="D1668" s="87">
        <v>1</v>
      </c>
      <c r="E1668" s="80">
        <f>'MANO DE OBRA'!$E$11</f>
        <v>43077</v>
      </c>
      <c r="F1668" s="81">
        <v>2.64</v>
      </c>
      <c r="G1668" s="110">
        <f>ROUND(D1668*E1668/F1668,0)</f>
        <v>16317</v>
      </c>
    </row>
    <row r="1669" spans="1:7">
      <c r="A1669" s="95"/>
      <c r="B1669" s="854" t="str">
        <f>'MANO DE OBRA'!$B$16</f>
        <v>OFICIAL CUAD. TIPO BB</v>
      </c>
      <c r="C1669" s="855"/>
      <c r="D1669" s="37">
        <v>1</v>
      </c>
      <c r="E1669" s="82">
        <f>'MANO DE OBRA'!$E$16</f>
        <v>78577</v>
      </c>
      <c r="F1669" s="83">
        <v>2.64</v>
      </c>
      <c r="G1669" s="111">
        <f>ROUND(D1669*E1669/F1669,0)</f>
        <v>29764</v>
      </c>
    </row>
    <row r="1670" spans="1:7">
      <c r="A1670" s="95"/>
      <c r="B1670" s="854"/>
      <c r="C1670" s="855"/>
      <c r="D1670" s="89"/>
      <c r="E1670" s="82"/>
      <c r="F1670" s="83"/>
      <c r="G1670" s="111"/>
    </row>
    <row r="1671" spans="1:7">
      <c r="A1671" s="95"/>
      <c r="B1671" s="854" t="s">
        <v>841</v>
      </c>
      <c r="C1671" s="855"/>
      <c r="D1671" s="37"/>
      <c r="E1671" s="82"/>
      <c r="F1671" s="83"/>
      <c r="G1671" s="111"/>
    </row>
    <row r="1672" spans="1:7" ht="13.5" thickBot="1">
      <c r="A1672" s="95"/>
      <c r="B1672" s="980" t="s">
        <v>841</v>
      </c>
      <c r="C1672" s="981"/>
      <c r="D1672" s="77"/>
      <c r="E1672" s="82"/>
      <c r="F1672" s="86"/>
      <c r="G1672" s="112"/>
    </row>
    <row r="1673" spans="1:7" ht="14.25" thickTop="1" thickBot="1">
      <c r="A1673" s="95"/>
      <c r="B1673" s="946"/>
      <c r="C1673" s="946"/>
      <c r="D1673" s="946"/>
      <c r="E1673" s="947"/>
      <c r="F1673" s="120" t="s">
        <v>856</v>
      </c>
      <c r="G1673" s="118">
        <f>SUM(G1668:G1672)</f>
        <v>46081</v>
      </c>
    </row>
    <row r="1674" spans="1:7" ht="14.25" thickTop="1" thickBot="1">
      <c r="A1674" s="95"/>
      <c r="B1674" s="970"/>
      <c r="C1674" s="970"/>
      <c r="D1674" s="970"/>
      <c r="E1674" s="970"/>
      <c r="F1674" s="970"/>
      <c r="G1674" s="970"/>
    </row>
    <row r="1675" spans="1:7" ht="13.5" thickTop="1">
      <c r="A1675" s="95"/>
      <c r="B1675" s="950" t="s">
        <v>321</v>
      </c>
      <c r="C1675" s="951"/>
      <c r="D1675" s="951"/>
      <c r="E1675" s="951"/>
      <c r="F1675" s="951"/>
      <c r="G1675" s="952"/>
    </row>
    <row r="1676" spans="1:7">
      <c r="A1676" s="95"/>
      <c r="B1676" s="978" t="s">
        <v>838</v>
      </c>
      <c r="C1676" s="979"/>
      <c r="D1676" s="98" t="s">
        <v>301</v>
      </c>
      <c r="E1676" s="98" t="s">
        <v>297</v>
      </c>
      <c r="F1676" s="99" t="s">
        <v>839</v>
      </c>
      <c r="G1676" s="107" t="s">
        <v>840</v>
      </c>
    </row>
    <row r="1677" spans="1:7">
      <c r="A1677" s="95"/>
      <c r="B1677" s="230"/>
      <c r="C1677" s="102"/>
      <c r="D1677" s="103" t="s">
        <v>322</v>
      </c>
      <c r="E1677" s="103" t="s">
        <v>323</v>
      </c>
      <c r="F1677" s="104" t="s">
        <v>324</v>
      </c>
      <c r="G1677" s="109" t="s">
        <v>325</v>
      </c>
    </row>
    <row r="1678" spans="1:7">
      <c r="A1678" s="95"/>
      <c r="B1678" s="841"/>
      <c r="C1678" s="842"/>
      <c r="D1678" s="96"/>
      <c r="E1678" s="96"/>
      <c r="F1678" s="96"/>
      <c r="G1678" s="116"/>
    </row>
    <row r="1679" spans="1:7" ht="13.5" thickBot="1">
      <c r="A1679" s="95"/>
      <c r="B1679" s="980" t="s">
        <v>841</v>
      </c>
      <c r="C1679" s="981"/>
      <c r="D1679" s="77"/>
      <c r="E1679" s="82"/>
      <c r="F1679" s="86"/>
      <c r="G1679" s="112"/>
    </row>
    <row r="1680" spans="1:7" ht="14.25" thickTop="1" thickBot="1">
      <c r="A1680" s="95"/>
      <c r="B1680" s="946"/>
      <c r="C1680" s="946"/>
      <c r="D1680" s="946"/>
      <c r="E1680" s="947"/>
      <c r="F1680" s="120" t="s">
        <v>856</v>
      </c>
      <c r="G1680" s="118">
        <f>SUM(G1675:G1679)</f>
        <v>0</v>
      </c>
    </row>
    <row r="1681" spans="1:8" ht="14.25" thickTop="1" thickBot="1">
      <c r="A1681" s="95"/>
      <c r="B1681" s="970"/>
      <c r="C1681" s="970"/>
      <c r="D1681" s="970"/>
      <c r="E1681" s="970"/>
      <c r="F1681" s="970"/>
      <c r="G1681" s="943"/>
    </row>
    <row r="1682" spans="1:8" ht="13.5" thickTop="1">
      <c r="A1682" s="95"/>
      <c r="B1682" s="950" t="s">
        <v>326</v>
      </c>
      <c r="C1682" s="951"/>
      <c r="D1682" s="951"/>
      <c r="E1682" s="951"/>
      <c r="F1682" s="971"/>
      <c r="G1682" s="121">
        <f>+G1645+G1662+G1673</f>
        <v>98728</v>
      </c>
    </row>
    <row r="1683" spans="1:8">
      <c r="A1683" s="95"/>
      <c r="B1683" s="972" t="s">
        <v>861</v>
      </c>
      <c r="C1683" s="973"/>
      <c r="D1683" s="973"/>
      <c r="E1683" s="974"/>
      <c r="F1683" s="128">
        <f>'MANO DE OBRA'!$D$59</f>
        <v>0</v>
      </c>
      <c r="G1683" s="122">
        <f>ROUND(G1682*F1683,0)</f>
        <v>0</v>
      </c>
    </row>
    <row r="1684" spans="1:8" ht="13.5" thickBot="1">
      <c r="A1684" s="95"/>
      <c r="B1684" s="975" t="s">
        <v>1049</v>
      </c>
      <c r="C1684" s="976"/>
      <c r="D1684" s="976"/>
      <c r="E1684" s="976"/>
      <c r="F1684" s="977"/>
      <c r="G1684" s="118">
        <f>ROUND(G1682+G1683,-2)</f>
        <v>98700</v>
      </c>
      <c r="H1684" s="505" t="s">
        <v>1670</v>
      </c>
    </row>
    <row r="1685" spans="1:8" ht="13.5" thickTop="1">
      <c r="A1685" s="95"/>
      <c r="B1685" s="225" t="s">
        <v>303</v>
      </c>
      <c r="C1685" s="843"/>
      <c r="D1685" s="843"/>
      <c r="E1685" s="843"/>
      <c r="F1685" s="92" t="s">
        <v>781</v>
      </c>
      <c r="G1685" s="93" t="s">
        <v>865</v>
      </c>
    </row>
    <row r="1686" spans="1:8">
      <c r="A1686" s="95"/>
      <c r="B1686" s="226" t="s">
        <v>834</v>
      </c>
      <c r="C1686" s="844" t="s">
        <v>423</v>
      </c>
      <c r="D1686" s="844"/>
      <c r="E1686" s="844"/>
      <c r="F1686" s="15" t="s">
        <v>833</v>
      </c>
      <c r="G1686" s="165" t="str">
        <f>'MANO DE OBRA'!D61</f>
        <v>Agosto de 2010</v>
      </c>
    </row>
    <row r="1687" spans="1:8" ht="13.5" thickBot="1">
      <c r="A1687" s="236"/>
      <c r="B1687" s="240" t="s">
        <v>835</v>
      </c>
      <c r="C1687" s="934" t="s">
        <v>425</v>
      </c>
      <c r="D1687" s="934"/>
      <c r="E1687" s="934"/>
      <c r="F1687" s="934"/>
      <c r="G1687" s="935"/>
    </row>
    <row r="1688" spans="1:8" ht="14.25" thickTop="1" thickBot="1">
      <c r="A1688" s="95"/>
      <c r="B1688" s="986"/>
      <c r="C1688" s="986"/>
      <c r="D1688" s="986"/>
      <c r="E1688" s="986"/>
      <c r="F1688" s="986"/>
      <c r="G1688" s="986"/>
    </row>
    <row r="1689" spans="1:8" ht="13.5" thickTop="1">
      <c r="A1689" s="95"/>
      <c r="B1689" s="950" t="s">
        <v>304</v>
      </c>
      <c r="C1689" s="951"/>
      <c r="D1689" s="951"/>
      <c r="E1689" s="951"/>
      <c r="F1689" s="951"/>
      <c r="G1689" s="952"/>
    </row>
    <row r="1690" spans="1:8">
      <c r="A1690" s="95"/>
      <c r="B1690" s="229"/>
      <c r="C1690" s="97"/>
      <c r="D1690" s="98" t="s">
        <v>301</v>
      </c>
      <c r="E1690" s="98" t="s">
        <v>1072</v>
      </c>
      <c r="F1690" s="99" t="s">
        <v>839</v>
      </c>
      <c r="G1690" s="107" t="s">
        <v>840</v>
      </c>
    </row>
    <row r="1691" spans="1:8">
      <c r="A1691" s="95"/>
      <c r="B1691" s="982" t="s">
        <v>838</v>
      </c>
      <c r="C1691" s="983"/>
      <c r="D1691" s="100" t="s">
        <v>308</v>
      </c>
      <c r="E1691" s="100" t="s">
        <v>305</v>
      </c>
      <c r="F1691" s="101" t="s">
        <v>306</v>
      </c>
      <c r="G1691" s="108" t="s">
        <v>310</v>
      </c>
    </row>
    <row r="1692" spans="1:8">
      <c r="A1692" s="95"/>
      <c r="B1692" s="230"/>
      <c r="C1692" s="102"/>
      <c r="D1692" s="103"/>
      <c r="E1692" s="103" t="s">
        <v>309</v>
      </c>
      <c r="F1692" s="104" t="s">
        <v>307</v>
      </c>
      <c r="G1692" s="109"/>
    </row>
    <row r="1693" spans="1:8">
      <c r="A1693" s="127"/>
      <c r="B1693" s="841" t="str">
        <f>'MAQUINARIA Y EQUIPOS'!$C$28</f>
        <v>HERRAMIENTAS MENORES</v>
      </c>
      <c r="C1693" s="842"/>
      <c r="D1693" s="87">
        <v>1</v>
      </c>
      <c r="E1693" s="82">
        <f>ROUND(G1726*0.05,0)</f>
        <v>1685</v>
      </c>
      <c r="F1693" s="81">
        <v>1</v>
      </c>
      <c r="G1693" s="110">
        <f>ROUND(D1693*E1693/F1693,0)</f>
        <v>1685</v>
      </c>
    </row>
    <row r="1694" spans="1:8">
      <c r="A1694" s="125"/>
      <c r="B1694" s="938"/>
      <c r="C1694" s="939"/>
      <c r="D1694" s="37"/>
      <c r="E1694" s="5"/>
      <c r="F1694" s="83"/>
      <c r="G1694" s="111"/>
    </row>
    <row r="1695" spans="1:8">
      <c r="A1695" s="125"/>
      <c r="B1695" s="938"/>
      <c r="C1695" s="939"/>
      <c r="D1695" s="37"/>
      <c r="E1695" s="5"/>
      <c r="F1695" s="83"/>
      <c r="G1695" s="111"/>
    </row>
    <row r="1696" spans="1:8">
      <c r="A1696" s="125"/>
      <c r="B1696" s="938"/>
      <c r="C1696" s="939"/>
      <c r="D1696" s="37"/>
      <c r="E1696" s="5"/>
      <c r="F1696" s="83"/>
      <c r="G1696" s="111"/>
    </row>
    <row r="1697" spans="1:8">
      <c r="A1697" s="95"/>
      <c r="B1697" s="854"/>
      <c r="C1697" s="855"/>
      <c r="D1697" s="37"/>
      <c r="E1697" s="129"/>
      <c r="F1697" s="83"/>
      <c r="G1697" s="111"/>
    </row>
    <row r="1698" spans="1:8" ht="13.5" thickBot="1">
      <c r="A1698" s="95"/>
      <c r="B1698" s="942" t="s">
        <v>841</v>
      </c>
      <c r="C1698" s="943"/>
      <c r="D1698" s="77"/>
      <c r="E1698" s="106"/>
      <c r="F1698" s="86"/>
      <c r="G1698" s="112"/>
    </row>
    <row r="1699" spans="1:8" ht="14.25" thickTop="1" thickBot="1">
      <c r="A1699" s="95"/>
      <c r="B1699" s="946"/>
      <c r="C1699" s="946"/>
      <c r="D1699" s="946"/>
      <c r="E1699" s="947"/>
      <c r="F1699" s="119" t="s">
        <v>856</v>
      </c>
      <c r="G1699" s="118">
        <f>SUM(G1693:G1698)</f>
        <v>1685</v>
      </c>
    </row>
    <row r="1700" spans="1:8" ht="14.25" thickTop="1" thickBot="1">
      <c r="A1700" s="95"/>
      <c r="B1700" s="970"/>
      <c r="C1700" s="970"/>
      <c r="D1700" s="970"/>
      <c r="E1700" s="970"/>
      <c r="F1700" s="970"/>
      <c r="G1700" s="970"/>
    </row>
    <row r="1701" spans="1:8" ht="13.5" thickTop="1">
      <c r="A1701" s="95"/>
      <c r="B1701" s="950" t="s">
        <v>311</v>
      </c>
      <c r="C1701" s="951"/>
      <c r="D1701" s="951"/>
      <c r="E1701" s="951"/>
      <c r="F1701" s="951"/>
      <c r="G1701" s="952"/>
    </row>
    <row r="1702" spans="1:8">
      <c r="A1702" s="95"/>
      <c r="B1702" s="978" t="s">
        <v>838</v>
      </c>
      <c r="C1702" s="979"/>
      <c r="D1702" s="98" t="s">
        <v>842</v>
      </c>
      <c r="E1702" s="98" t="s">
        <v>853</v>
      </c>
      <c r="F1702" s="99" t="s">
        <v>1047</v>
      </c>
      <c r="G1702" s="107" t="s">
        <v>840</v>
      </c>
    </row>
    <row r="1703" spans="1:8">
      <c r="A1703" s="95"/>
      <c r="B1703" s="230"/>
      <c r="C1703" s="102"/>
      <c r="D1703" s="100"/>
      <c r="E1703" s="100" t="s">
        <v>312</v>
      </c>
      <c r="F1703" s="101" t="s">
        <v>313</v>
      </c>
      <c r="G1703" s="108" t="s">
        <v>314</v>
      </c>
    </row>
    <row r="1704" spans="1:8">
      <c r="A1704" s="123"/>
      <c r="B1704" s="841" t="str">
        <f>MATERIALES2!$C$470</f>
        <v>CABLE ANTENA TV 75 OHM</v>
      </c>
      <c r="C1704" s="842"/>
      <c r="D1704" s="87" t="s">
        <v>831</v>
      </c>
      <c r="E1704" s="81">
        <v>15</v>
      </c>
      <c r="F1704" s="80">
        <f>MATERIALES2!$E$470</f>
        <v>680</v>
      </c>
      <c r="G1704" s="110">
        <f t="shared" ref="G1704:G1709" si="15">ROUND(E1704*F1704,0)</f>
        <v>10200</v>
      </c>
    </row>
    <row r="1705" spans="1:8">
      <c r="A1705" s="123"/>
      <c r="B1705" s="854" t="str">
        <f>MATERIALES2!$C$550</f>
        <v>TUBO PVC CONDUIT 1/2" x 3.0 M</v>
      </c>
      <c r="C1705" s="855"/>
      <c r="D1705" s="37" t="s">
        <v>865</v>
      </c>
      <c r="E1705" s="83">
        <v>4</v>
      </c>
      <c r="F1705" s="82">
        <f>MATERIALES2!$E$550</f>
        <v>5134</v>
      </c>
      <c r="G1705" s="111">
        <f t="shared" si="15"/>
        <v>20536</v>
      </c>
    </row>
    <row r="1706" spans="1:8">
      <c r="A1706" s="123"/>
      <c r="B1706" s="854" t="str">
        <f>MATERIALES2!$C$441</f>
        <v>ADAPTADOR TERMINAL 1/2"</v>
      </c>
      <c r="C1706" s="855"/>
      <c r="D1706" s="37" t="s">
        <v>865</v>
      </c>
      <c r="E1706" s="83">
        <v>1</v>
      </c>
      <c r="F1706" s="82">
        <f>MATERIALES2!$E$441</f>
        <v>212</v>
      </c>
      <c r="G1706" s="111">
        <f t="shared" si="15"/>
        <v>212</v>
      </c>
    </row>
    <row r="1707" spans="1:8">
      <c r="A1707" s="123"/>
      <c r="B1707" s="984" t="str">
        <f>MATERIALES2!$C$476</f>
        <v>CAJA ELECTRICA RECTANGULAR METALICA</v>
      </c>
      <c r="C1707" s="985"/>
      <c r="D1707" s="37" t="s">
        <v>865</v>
      </c>
      <c r="E1707" s="83">
        <v>1</v>
      </c>
      <c r="F1707" s="82">
        <f>MATERIALES2!$E$476</f>
        <v>500</v>
      </c>
      <c r="G1707" s="111">
        <f t="shared" si="15"/>
        <v>500</v>
      </c>
    </row>
    <row r="1708" spans="1:8">
      <c r="A1708" s="123"/>
      <c r="B1708" s="854" t="str">
        <f>MATERIALES2!$C$485</f>
        <v>CINTA AISLANTE 3M</v>
      </c>
      <c r="C1708" s="855"/>
      <c r="D1708" s="37" t="s">
        <v>865</v>
      </c>
      <c r="E1708" s="83">
        <v>0.2</v>
      </c>
      <c r="F1708" s="82">
        <f>MATERIALES2!$E$485</f>
        <v>5500</v>
      </c>
      <c r="G1708" s="111">
        <f t="shared" si="15"/>
        <v>1100</v>
      </c>
    </row>
    <row r="1709" spans="1:8">
      <c r="A1709" s="123"/>
      <c r="B1709" s="854" t="str">
        <f>MATERIALES2!$C$523</f>
        <v>SALIDA DE TV</v>
      </c>
      <c r="C1709" s="855"/>
      <c r="D1709" s="37" t="s">
        <v>865</v>
      </c>
      <c r="E1709" s="83">
        <v>1</v>
      </c>
      <c r="F1709" s="82">
        <f>MATERIALES2!$E$523</f>
        <v>4400</v>
      </c>
      <c r="G1709" s="111">
        <f t="shared" si="15"/>
        <v>4400</v>
      </c>
    </row>
    <row r="1710" spans="1:8">
      <c r="A1710" s="123"/>
      <c r="B1710" s="938"/>
      <c r="C1710" s="939"/>
      <c r="D1710" s="37"/>
      <c r="E1710" s="83"/>
      <c r="F1710" s="82"/>
      <c r="G1710" s="111"/>
    </row>
    <row r="1711" spans="1:8">
      <c r="A1711" s="123"/>
      <c r="B1711" s="854"/>
      <c r="C1711" s="855"/>
      <c r="D1711" s="37"/>
      <c r="E1711" s="83"/>
      <c r="F1711" s="82"/>
      <c r="G1711" s="111"/>
      <c r="H1711" s="505" t="s">
        <v>1670</v>
      </c>
    </row>
    <row r="1712" spans="1:8" ht="13.5" thickBot="1">
      <c r="A1712" s="123"/>
      <c r="B1712" s="854"/>
      <c r="C1712" s="855"/>
      <c r="D1712" s="37"/>
      <c r="E1712" s="83"/>
      <c r="F1712" s="82"/>
      <c r="G1712" s="111"/>
    </row>
    <row r="1713" spans="1:7" ht="13.5" thickTop="1">
      <c r="A1713" s="95"/>
      <c r="B1713" s="946"/>
      <c r="C1713" s="947"/>
      <c r="D1713" s="801" t="s">
        <v>856</v>
      </c>
      <c r="E1713" s="802"/>
      <c r="F1713" s="9"/>
      <c r="G1713" s="113">
        <f>SUM(G1704:G1712)</f>
        <v>36948</v>
      </c>
    </row>
    <row r="1714" spans="1:7">
      <c r="A1714" s="95"/>
      <c r="B1714" s="948"/>
      <c r="C1714" s="949"/>
      <c r="D1714" s="801" t="s">
        <v>857</v>
      </c>
      <c r="E1714" s="802"/>
      <c r="F1714" s="79">
        <f>'MANO DE OBRA'!$D$60</f>
        <v>0.05</v>
      </c>
      <c r="G1714" s="113">
        <f>ROUND(G1713*F1714,0)</f>
        <v>1847</v>
      </c>
    </row>
    <row r="1715" spans="1:7" ht="13.5" thickBot="1">
      <c r="A1715" s="95"/>
      <c r="B1715" s="948"/>
      <c r="C1715" s="949"/>
      <c r="D1715" s="803" t="s">
        <v>320</v>
      </c>
      <c r="E1715" s="804"/>
      <c r="F1715" s="114"/>
      <c r="G1715" s="118">
        <f>+G1713+G1714</f>
        <v>38795</v>
      </c>
    </row>
    <row r="1716" spans="1:7" ht="14.25" thickTop="1" thickBot="1">
      <c r="A1716" s="95"/>
      <c r="B1716" s="970"/>
      <c r="C1716" s="970"/>
      <c r="D1716" s="970"/>
      <c r="E1716" s="970"/>
      <c r="F1716" s="970"/>
      <c r="G1716" s="970"/>
    </row>
    <row r="1717" spans="1:7" ht="13.5" thickTop="1">
      <c r="A1717" s="95"/>
      <c r="B1717" s="950" t="s">
        <v>858</v>
      </c>
      <c r="C1717" s="951"/>
      <c r="D1717" s="951"/>
      <c r="E1717" s="951"/>
      <c r="F1717" s="951"/>
      <c r="G1717" s="952"/>
    </row>
    <row r="1718" spans="1:7">
      <c r="A1718" s="95"/>
      <c r="B1718" s="978"/>
      <c r="C1718" s="979"/>
      <c r="D1718" s="98" t="s">
        <v>301</v>
      </c>
      <c r="E1718" s="98" t="s">
        <v>859</v>
      </c>
      <c r="F1718" s="99" t="s">
        <v>839</v>
      </c>
      <c r="G1718" s="107" t="s">
        <v>840</v>
      </c>
    </row>
    <row r="1719" spans="1:7">
      <c r="A1719" s="95"/>
      <c r="B1719" s="982" t="s">
        <v>838</v>
      </c>
      <c r="C1719" s="983"/>
      <c r="D1719" s="100" t="s">
        <v>316</v>
      </c>
      <c r="E1719" s="100" t="s">
        <v>315</v>
      </c>
      <c r="F1719" s="101" t="s">
        <v>306</v>
      </c>
      <c r="G1719" s="108" t="s">
        <v>319</v>
      </c>
    </row>
    <row r="1720" spans="1:7">
      <c r="A1720" s="95"/>
      <c r="B1720" s="230"/>
      <c r="C1720" s="102"/>
      <c r="D1720" s="103"/>
      <c r="E1720" s="103" t="s">
        <v>317</v>
      </c>
      <c r="F1720" s="104" t="s">
        <v>318</v>
      </c>
      <c r="G1720" s="109"/>
    </row>
    <row r="1721" spans="1:7">
      <c r="A1721" s="95"/>
      <c r="B1721" s="841" t="str">
        <f>'MANO DE OBRA'!$B$11</f>
        <v>AYUDANTE CUAD. TIPO BB</v>
      </c>
      <c r="C1721" s="842"/>
      <c r="D1721" s="87">
        <v>1</v>
      </c>
      <c r="E1721" s="80">
        <f>'MANO DE OBRA'!$E$11</f>
        <v>43077</v>
      </c>
      <c r="F1721" s="81">
        <v>3.61</v>
      </c>
      <c r="G1721" s="110">
        <f>ROUND(D1721*E1721/F1721,0)</f>
        <v>11933</v>
      </c>
    </row>
    <row r="1722" spans="1:7">
      <c r="A1722" s="95"/>
      <c r="B1722" s="854" t="str">
        <f>'MANO DE OBRA'!$B$16</f>
        <v>OFICIAL CUAD. TIPO BB</v>
      </c>
      <c r="C1722" s="855"/>
      <c r="D1722" s="37">
        <v>1</v>
      </c>
      <c r="E1722" s="82">
        <f>'MANO DE OBRA'!$E$16</f>
        <v>78577</v>
      </c>
      <c r="F1722" s="83">
        <v>3.61</v>
      </c>
      <c r="G1722" s="111">
        <f>ROUND(D1722*E1722/F1722,0)</f>
        <v>21766</v>
      </c>
    </row>
    <row r="1723" spans="1:7">
      <c r="A1723" s="95"/>
      <c r="B1723" s="854"/>
      <c r="C1723" s="855"/>
      <c r="D1723" s="89"/>
      <c r="E1723" s="82"/>
      <c r="F1723" s="83"/>
      <c r="G1723" s="111"/>
    </row>
    <row r="1724" spans="1:7">
      <c r="A1724" s="95"/>
      <c r="B1724" s="854" t="s">
        <v>841</v>
      </c>
      <c r="C1724" s="855"/>
      <c r="D1724" s="37"/>
      <c r="E1724" s="82"/>
      <c r="F1724" s="83"/>
      <c r="G1724" s="111"/>
    </row>
    <row r="1725" spans="1:7" ht="13.5" thickBot="1">
      <c r="A1725" s="95"/>
      <c r="B1725" s="980" t="s">
        <v>841</v>
      </c>
      <c r="C1725" s="981"/>
      <c r="D1725" s="77"/>
      <c r="E1725" s="82"/>
      <c r="F1725" s="86"/>
      <c r="G1725" s="112"/>
    </row>
    <row r="1726" spans="1:7" ht="14.25" thickTop="1" thickBot="1">
      <c r="A1726" s="95"/>
      <c r="B1726" s="946"/>
      <c r="C1726" s="946"/>
      <c r="D1726" s="946"/>
      <c r="E1726" s="947"/>
      <c r="F1726" s="120" t="s">
        <v>856</v>
      </c>
      <c r="G1726" s="118">
        <f>SUM(G1721:G1725)</f>
        <v>33699</v>
      </c>
    </row>
    <row r="1727" spans="1:7" ht="14.25" thickTop="1" thickBot="1">
      <c r="A1727" s="95"/>
      <c r="B1727" s="970"/>
      <c r="C1727" s="970"/>
      <c r="D1727" s="970"/>
      <c r="E1727" s="970"/>
      <c r="F1727" s="970"/>
      <c r="G1727" s="970"/>
    </row>
    <row r="1728" spans="1:7" ht="13.5" thickTop="1">
      <c r="A1728" s="95"/>
      <c r="B1728" s="950" t="s">
        <v>321</v>
      </c>
      <c r="C1728" s="951"/>
      <c r="D1728" s="951"/>
      <c r="E1728" s="951"/>
      <c r="F1728" s="951"/>
      <c r="G1728" s="952"/>
    </row>
    <row r="1729" spans="1:8">
      <c r="A1729" s="95"/>
      <c r="B1729" s="978" t="s">
        <v>838</v>
      </c>
      <c r="C1729" s="979"/>
      <c r="D1729" s="98" t="s">
        <v>301</v>
      </c>
      <c r="E1729" s="98" t="s">
        <v>297</v>
      </c>
      <c r="F1729" s="99" t="s">
        <v>839</v>
      </c>
      <c r="G1729" s="107" t="s">
        <v>840</v>
      </c>
    </row>
    <row r="1730" spans="1:8">
      <c r="A1730" s="95"/>
      <c r="B1730" s="230"/>
      <c r="C1730" s="102"/>
      <c r="D1730" s="103" t="s">
        <v>322</v>
      </c>
      <c r="E1730" s="103" t="s">
        <v>323</v>
      </c>
      <c r="F1730" s="104" t="s">
        <v>324</v>
      </c>
      <c r="G1730" s="109" t="s">
        <v>325</v>
      </c>
    </row>
    <row r="1731" spans="1:8">
      <c r="A1731" s="95"/>
      <c r="B1731" s="841"/>
      <c r="C1731" s="842"/>
      <c r="D1731" s="96"/>
      <c r="E1731" s="96"/>
      <c r="F1731" s="96"/>
      <c r="G1731" s="116"/>
    </row>
    <row r="1732" spans="1:8" ht="13.5" thickBot="1">
      <c r="A1732" s="95"/>
      <c r="B1732" s="980" t="s">
        <v>841</v>
      </c>
      <c r="C1732" s="981"/>
      <c r="D1732" s="77"/>
      <c r="E1732" s="82"/>
      <c r="F1732" s="86"/>
      <c r="G1732" s="112"/>
    </row>
    <row r="1733" spans="1:8" ht="14.25" thickTop="1" thickBot="1">
      <c r="A1733" s="95"/>
      <c r="B1733" s="946"/>
      <c r="C1733" s="946"/>
      <c r="D1733" s="946"/>
      <c r="E1733" s="947"/>
      <c r="F1733" s="120" t="s">
        <v>856</v>
      </c>
      <c r="G1733" s="118">
        <f>SUM(G1728:G1732)</f>
        <v>0</v>
      </c>
    </row>
    <row r="1734" spans="1:8" ht="14.25" thickTop="1" thickBot="1">
      <c r="A1734" s="95"/>
      <c r="B1734" s="970"/>
      <c r="C1734" s="970"/>
      <c r="D1734" s="970"/>
      <c r="E1734" s="970"/>
      <c r="F1734" s="970"/>
      <c r="G1734" s="943"/>
    </row>
    <row r="1735" spans="1:8" ht="13.5" thickTop="1">
      <c r="A1735" s="95"/>
      <c r="B1735" s="950" t="s">
        <v>326</v>
      </c>
      <c r="C1735" s="951"/>
      <c r="D1735" s="951"/>
      <c r="E1735" s="951"/>
      <c r="F1735" s="971"/>
      <c r="G1735" s="121">
        <f>+G1699+G1715+G1726</f>
        <v>74179</v>
      </c>
    </row>
    <row r="1736" spans="1:8">
      <c r="A1736" s="95"/>
      <c r="B1736" s="972" t="s">
        <v>861</v>
      </c>
      <c r="C1736" s="973"/>
      <c r="D1736" s="973"/>
      <c r="E1736" s="974"/>
      <c r="F1736" s="128">
        <f>'MANO DE OBRA'!$D$59</f>
        <v>0</v>
      </c>
      <c r="G1736" s="122">
        <f>ROUND(G1735*F1736,0)</f>
        <v>0</v>
      </c>
    </row>
    <row r="1737" spans="1:8" ht="13.5" thickBot="1">
      <c r="A1737" s="95"/>
      <c r="B1737" s="975" t="s">
        <v>1049</v>
      </c>
      <c r="C1737" s="976"/>
      <c r="D1737" s="976"/>
      <c r="E1737" s="976"/>
      <c r="F1737" s="977"/>
      <c r="G1737" s="118">
        <f>ROUND(G1735+G1736,-2)</f>
        <v>74200</v>
      </c>
      <c r="H1737" s="505" t="s">
        <v>1670</v>
      </c>
    </row>
    <row r="1738" spans="1:8" ht="13.5" thickTop="1">
      <c r="A1738" s="95"/>
      <c r="B1738" s="225" t="s">
        <v>303</v>
      </c>
      <c r="C1738" s="843"/>
      <c r="D1738" s="843"/>
      <c r="E1738" s="843"/>
      <c r="F1738" s="92" t="s">
        <v>781</v>
      </c>
      <c r="G1738" s="93" t="s">
        <v>865</v>
      </c>
    </row>
    <row r="1739" spans="1:8">
      <c r="A1739" s="95"/>
      <c r="B1739" s="226" t="s">
        <v>834</v>
      </c>
      <c r="C1739" s="844" t="s">
        <v>1352</v>
      </c>
      <c r="D1739" s="844"/>
      <c r="E1739" s="844"/>
      <c r="F1739" s="15" t="s">
        <v>833</v>
      </c>
      <c r="G1739" s="165" t="str">
        <f>'MANO DE OBRA'!D61</f>
        <v>Agosto de 2010</v>
      </c>
    </row>
    <row r="1740" spans="1:8" ht="27.75" customHeight="1" thickBot="1">
      <c r="A1740" s="236"/>
      <c r="B1740" s="240" t="s">
        <v>835</v>
      </c>
      <c r="C1740" s="934" t="s">
        <v>1378</v>
      </c>
      <c r="D1740" s="934"/>
      <c r="E1740" s="934"/>
      <c r="F1740" s="934"/>
      <c r="G1740" s="935"/>
    </row>
    <row r="1741" spans="1:8" ht="14.25" thickTop="1" thickBot="1">
      <c r="A1741" s="95"/>
      <c r="B1741" s="986"/>
      <c r="C1741" s="986"/>
      <c r="D1741" s="986"/>
      <c r="E1741" s="986"/>
      <c r="F1741" s="986"/>
      <c r="G1741" s="986"/>
    </row>
    <row r="1742" spans="1:8" ht="13.5" thickTop="1">
      <c r="A1742" s="95"/>
      <c r="B1742" s="950" t="s">
        <v>304</v>
      </c>
      <c r="C1742" s="951"/>
      <c r="D1742" s="951"/>
      <c r="E1742" s="951"/>
      <c r="F1742" s="951"/>
      <c r="G1742" s="952"/>
    </row>
    <row r="1743" spans="1:8">
      <c r="A1743" s="95"/>
      <c r="B1743" s="229"/>
      <c r="C1743" s="97"/>
      <c r="D1743" s="98" t="s">
        <v>301</v>
      </c>
      <c r="E1743" s="98" t="s">
        <v>1072</v>
      </c>
      <c r="F1743" s="99" t="s">
        <v>839</v>
      </c>
      <c r="G1743" s="107" t="s">
        <v>840</v>
      </c>
    </row>
    <row r="1744" spans="1:8">
      <c r="A1744" s="95"/>
      <c r="B1744" s="982" t="s">
        <v>838</v>
      </c>
      <c r="C1744" s="983"/>
      <c r="D1744" s="100" t="s">
        <v>308</v>
      </c>
      <c r="E1744" s="100" t="s">
        <v>305</v>
      </c>
      <c r="F1744" s="101" t="s">
        <v>306</v>
      </c>
      <c r="G1744" s="108" t="s">
        <v>310</v>
      </c>
    </row>
    <row r="1745" spans="1:7">
      <c r="A1745" s="95"/>
      <c r="B1745" s="230"/>
      <c r="C1745" s="102"/>
      <c r="D1745" s="103"/>
      <c r="E1745" s="103" t="s">
        <v>309</v>
      </c>
      <c r="F1745" s="104" t="s">
        <v>307</v>
      </c>
      <c r="G1745" s="109"/>
    </row>
    <row r="1746" spans="1:7">
      <c r="A1746" s="127"/>
      <c r="B1746" s="841" t="str">
        <f>'MAQUINARIA Y EQUIPOS'!$C$28</f>
        <v>HERRAMIENTAS MENORES</v>
      </c>
      <c r="C1746" s="842"/>
      <c r="D1746" s="87">
        <v>1</v>
      </c>
      <c r="E1746" s="82">
        <f>ROUND(G1778*0.05,0)</f>
        <v>824</v>
      </c>
      <c r="F1746" s="81">
        <v>1</v>
      </c>
      <c r="G1746" s="110">
        <f>ROUND(D1746*E1746/F1746,0)</f>
        <v>824</v>
      </c>
    </row>
    <row r="1747" spans="1:7">
      <c r="A1747" s="125"/>
      <c r="B1747" s="246"/>
      <c r="C1747" s="124"/>
      <c r="D1747" s="37"/>
      <c r="E1747" s="5"/>
      <c r="F1747" s="83"/>
      <c r="G1747" s="111"/>
    </row>
    <row r="1748" spans="1:7">
      <c r="A1748" s="125"/>
      <c r="B1748" s="938"/>
      <c r="C1748" s="939"/>
      <c r="D1748" s="37"/>
      <c r="E1748" s="5"/>
      <c r="F1748" s="83"/>
      <c r="G1748" s="111"/>
    </row>
    <row r="1749" spans="1:7">
      <c r="A1749" s="95"/>
      <c r="B1749" s="854"/>
      <c r="C1749" s="855"/>
      <c r="D1749" s="37"/>
      <c r="E1749" s="129"/>
      <c r="F1749" s="83"/>
      <c r="G1749" s="111"/>
    </row>
    <row r="1750" spans="1:7" ht="13.5" thickBot="1">
      <c r="A1750" s="95"/>
      <c r="B1750" s="942" t="s">
        <v>841</v>
      </c>
      <c r="C1750" s="943"/>
      <c r="D1750" s="77"/>
      <c r="E1750" s="106"/>
      <c r="F1750" s="86"/>
      <c r="G1750" s="112"/>
    </row>
    <row r="1751" spans="1:7" ht="14.25" thickTop="1" thickBot="1">
      <c r="A1751" s="95"/>
      <c r="B1751" s="946"/>
      <c r="C1751" s="946"/>
      <c r="D1751" s="946"/>
      <c r="E1751" s="947"/>
      <c r="F1751" s="119" t="s">
        <v>856</v>
      </c>
      <c r="G1751" s="118">
        <f>SUM(G1746:G1750)</f>
        <v>824</v>
      </c>
    </row>
    <row r="1752" spans="1:7" ht="14.25" thickTop="1" thickBot="1">
      <c r="A1752" s="95"/>
      <c r="B1752" s="970"/>
      <c r="C1752" s="970"/>
      <c r="D1752" s="970"/>
      <c r="E1752" s="970"/>
      <c r="F1752" s="970"/>
      <c r="G1752" s="970"/>
    </row>
    <row r="1753" spans="1:7" ht="13.5" thickTop="1">
      <c r="A1753" s="95"/>
      <c r="B1753" s="950" t="s">
        <v>311</v>
      </c>
      <c r="C1753" s="951"/>
      <c r="D1753" s="951"/>
      <c r="E1753" s="951"/>
      <c r="F1753" s="951"/>
      <c r="G1753" s="952"/>
    </row>
    <row r="1754" spans="1:7">
      <c r="A1754" s="95"/>
      <c r="B1754" s="978" t="s">
        <v>838</v>
      </c>
      <c r="C1754" s="979"/>
      <c r="D1754" s="98" t="s">
        <v>842</v>
      </c>
      <c r="E1754" s="98" t="s">
        <v>853</v>
      </c>
      <c r="F1754" s="99" t="s">
        <v>1047</v>
      </c>
      <c r="G1754" s="107" t="s">
        <v>840</v>
      </c>
    </row>
    <row r="1755" spans="1:7">
      <c r="A1755" s="95"/>
      <c r="B1755" s="230"/>
      <c r="C1755" s="102"/>
      <c r="D1755" s="100"/>
      <c r="E1755" s="100" t="s">
        <v>312</v>
      </c>
      <c r="F1755" s="101" t="s">
        <v>313</v>
      </c>
      <c r="G1755" s="108" t="s">
        <v>314</v>
      </c>
    </row>
    <row r="1756" spans="1:7">
      <c r="A1756" s="123"/>
      <c r="B1756" s="841" t="str">
        <f>MATERIALES2!$C$447</f>
        <v>ALAMBRE DE COBRE AISLADO #12</v>
      </c>
      <c r="C1756" s="842"/>
      <c r="D1756" s="87" t="s">
        <v>831</v>
      </c>
      <c r="E1756" s="81">
        <v>9</v>
      </c>
      <c r="F1756" s="80">
        <f>MATERIALES2!$E$447</f>
        <v>1000</v>
      </c>
      <c r="G1756" s="110">
        <f t="shared" ref="G1756:G1761" si="16">ROUND(E1756*F1756,0)</f>
        <v>9000</v>
      </c>
    </row>
    <row r="1757" spans="1:7">
      <c r="A1757" s="123"/>
      <c r="B1757" s="854" t="str">
        <f>MATERIALES2!$C$449</f>
        <v>ALAMBRE DESNUDO #14</v>
      </c>
      <c r="C1757" s="855"/>
      <c r="D1757" s="37" t="s">
        <v>831</v>
      </c>
      <c r="E1757" s="83">
        <v>4.5</v>
      </c>
      <c r="F1757" s="82">
        <f>MATERIALES2!$E$449</f>
        <v>398</v>
      </c>
      <c r="G1757" s="111">
        <f t="shared" si="16"/>
        <v>1791</v>
      </c>
    </row>
    <row r="1758" spans="1:7">
      <c r="A1758" s="123"/>
      <c r="B1758" s="854" t="str">
        <f>MATERIALES2!$C$550</f>
        <v>TUBO PVC CONDUIT 1/2" x 3.0 M</v>
      </c>
      <c r="C1758" s="855"/>
      <c r="D1758" s="37" t="s">
        <v>865</v>
      </c>
      <c r="E1758" s="83">
        <v>1.5</v>
      </c>
      <c r="F1758" s="82">
        <f>MATERIALES2!$E$550</f>
        <v>5134</v>
      </c>
      <c r="G1758" s="111">
        <f t="shared" si="16"/>
        <v>7701</v>
      </c>
    </row>
    <row r="1759" spans="1:7">
      <c r="A1759" s="123"/>
      <c r="B1759" s="854" t="str">
        <f>MATERIALES2!$C$441</f>
        <v>ADAPTADOR TERMINAL 1/2"</v>
      </c>
      <c r="C1759" s="855"/>
      <c r="D1759" s="37" t="s">
        <v>865</v>
      </c>
      <c r="E1759" s="83">
        <v>2</v>
      </c>
      <c r="F1759" s="82">
        <f>MATERIALES2!$E$441</f>
        <v>212</v>
      </c>
      <c r="G1759" s="111">
        <f t="shared" si="16"/>
        <v>424</v>
      </c>
    </row>
    <row r="1760" spans="1:7">
      <c r="A1760" s="123"/>
      <c r="B1760" s="984" t="str">
        <f>MATERIALES2!$C$476</f>
        <v>CAJA ELECTRICA RECTANGULAR METALICA</v>
      </c>
      <c r="C1760" s="985"/>
      <c r="D1760" s="37" t="s">
        <v>865</v>
      </c>
      <c r="E1760" s="83">
        <v>1</v>
      </c>
      <c r="F1760" s="82">
        <f>MATERIALES2!$E$476</f>
        <v>500</v>
      </c>
      <c r="G1760" s="111">
        <f t="shared" si="16"/>
        <v>500</v>
      </c>
    </row>
    <row r="1761" spans="1:8">
      <c r="A1761" s="123"/>
      <c r="B1761" s="854" t="str">
        <f>MATERIALES2!$C$485</f>
        <v>CINTA AISLANTE 3M</v>
      </c>
      <c r="C1761" s="855"/>
      <c r="D1761" s="37" t="s">
        <v>865</v>
      </c>
      <c r="E1761" s="83">
        <v>0.2</v>
      </c>
      <c r="F1761" s="82">
        <f>MATERIALES2!$E$485</f>
        <v>5500</v>
      </c>
      <c r="G1761" s="111">
        <f t="shared" si="16"/>
        <v>1100</v>
      </c>
    </row>
    <row r="1762" spans="1:8">
      <c r="A1762" s="123"/>
      <c r="B1762" s="854"/>
      <c r="C1762" s="855"/>
      <c r="D1762" s="37"/>
      <c r="E1762" s="83"/>
      <c r="F1762" s="82"/>
      <c r="G1762" s="111"/>
    </row>
    <row r="1763" spans="1:8">
      <c r="A1763" s="123"/>
      <c r="B1763" s="854"/>
      <c r="C1763" s="855"/>
      <c r="D1763" s="37"/>
      <c r="E1763" s="83"/>
      <c r="F1763" s="82"/>
      <c r="G1763" s="111"/>
      <c r="H1763" s="505" t="s">
        <v>1670</v>
      </c>
    </row>
    <row r="1764" spans="1:8" ht="13.5" thickBot="1">
      <c r="A1764" s="123"/>
      <c r="B1764" s="854"/>
      <c r="C1764" s="855"/>
      <c r="D1764" s="37"/>
      <c r="E1764" s="83"/>
      <c r="F1764" s="82"/>
      <c r="G1764" s="111"/>
    </row>
    <row r="1765" spans="1:8" ht="13.5" thickTop="1">
      <c r="A1765" s="95"/>
      <c r="B1765" s="946"/>
      <c r="C1765" s="947"/>
      <c r="D1765" s="801" t="s">
        <v>856</v>
      </c>
      <c r="E1765" s="802"/>
      <c r="F1765" s="9"/>
      <c r="G1765" s="113">
        <f>SUM(G1756:G1764)</f>
        <v>20516</v>
      </c>
    </row>
    <row r="1766" spans="1:8">
      <c r="A1766" s="95"/>
      <c r="B1766" s="948"/>
      <c r="C1766" s="949"/>
      <c r="D1766" s="801" t="s">
        <v>857</v>
      </c>
      <c r="E1766" s="802"/>
      <c r="F1766" s="79">
        <f>'MANO DE OBRA'!$D$60</f>
        <v>0.05</v>
      </c>
      <c r="G1766" s="113">
        <f>ROUND(G1765*F1766,0)</f>
        <v>1026</v>
      </c>
    </row>
    <row r="1767" spans="1:8" ht="13.5" thickBot="1">
      <c r="A1767" s="95"/>
      <c r="B1767" s="948"/>
      <c r="C1767" s="949"/>
      <c r="D1767" s="803" t="s">
        <v>320</v>
      </c>
      <c r="E1767" s="804"/>
      <c r="F1767" s="114"/>
      <c r="G1767" s="118">
        <f>+G1765+G1766</f>
        <v>21542</v>
      </c>
    </row>
    <row r="1768" spans="1:8" ht="14.25" thickTop="1" thickBot="1">
      <c r="A1768" s="95"/>
      <c r="B1768" s="970"/>
      <c r="C1768" s="970"/>
      <c r="D1768" s="970"/>
      <c r="E1768" s="970"/>
      <c r="F1768" s="970"/>
      <c r="G1768" s="970"/>
    </row>
    <row r="1769" spans="1:8" ht="13.5" thickTop="1">
      <c r="A1769" s="95"/>
      <c r="B1769" s="950" t="s">
        <v>858</v>
      </c>
      <c r="C1769" s="951"/>
      <c r="D1769" s="951"/>
      <c r="E1769" s="951"/>
      <c r="F1769" s="951"/>
      <c r="G1769" s="952"/>
    </row>
    <row r="1770" spans="1:8">
      <c r="A1770" s="95"/>
      <c r="B1770" s="978"/>
      <c r="C1770" s="979"/>
      <c r="D1770" s="98" t="s">
        <v>301</v>
      </c>
      <c r="E1770" s="98" t="s">
        <v>859</v>
      </c>
      <c r="F1770" s="99" t="s">
        <v>839</v>
      </c>
      <c r="G1770" s="107" t="s">
        <v>840</v>
      </c>
    </row>
    <row r="1771" spans="1:8">
      <c r="A1771" s="95"/>
      <c r="B1771" s="982" t="s">
        <v>838</v>
      </c>
      <c r="C1771" s="983"/>
      <c r="D1771" s="100" t="s">
        <v>316</v>
      </c>
      <c r="E1771" s="100" t="s">
        <v>315</v>
      </c>
      <c r="F1771" s="101" t="s">
        <v>306</v>
      </c>
      <c r="G1771" s="108" t="s">
        <v>319</v>
      </c>
    </row>
    <row r="1772" spans="1:8">
      <c r="A1772" s="95"/>
      <c r="B1772" s="230"/>
      <c r="C1772" s="102"/>
      <c r="D1772" s="103"/>
      <c r="E1772" s="103" t="s">
        <v>317</v>
      </c>
      <c r="F1772" s="104" t="s">
        <v>318</v>
      </c>
      <c r="G1772" s="109"/>
    </row>
    <row r="1773" spans="1:8">
      <c r="A1773" s="95"/>
      <c r="B1773" s="841" t="str">
        <f>'MANO DE OBRA'!$B$11</f>
        <v>AYUDANTE CUAD. TIPO BB</v>
      </c>
      <c r="C1773" s="842"/>
      <c r="D1773" s="87">
        <v>1</v>
      </c>
      <c r="E1773" s="80">
        <f>'MANO DE OBRA'!$E$11</f>
        <v>43077</v>
      </c>
      <c r="F1773" s="81">
        <v>7.38</v>
      </c>
      <c r="G1773" s="110">
        <f>ROUND(D1773*E1773/F1773,0)</f>
        <v>5837</v>
      </c>
    </row>
    <row r="1774" spans="1:8">
      <c r="A1774" s="95"/>
      <c r="B1774" s="854" t="str">
        <f>'MANO DE OBRA'!$B$16</f>
        <v>OFICIAL CUAD. TIPO BB</v>
      </c>
      <c r="C1774" s="855"/>
      <c r="D1774" s="37">
        <v>1</v>
      </c>
      <c r="E1774" s="82">
        <f>'MANO DE OBRA'!$E$16</f>
        <v>78577</v>
      </c>
      <c r="F1774" s="83">
        <v>7.38</v>
      </c>
      <c r="G1774" s="111">
        <f>ROUND(D1774*E1774/F1774,0)</f>
        <v>10647</v>
      </c>
    </row>
    <row r="1775" spans="1:8">
      <c r="A1775" s="95"/>
      <c r="B1775" s="854"/>
      <c r="C1775" s="855"/>
      <c r="D1775" s="89"/>
      <c r="E1775" s="82"/>
      <c r="F1775" s="83"/>
      <c r="G1775" s="111"/>
    </row>
    <row r="1776" spans="1:8">
      <c r="A1776" s="95"/>
      <c r="B1776" s="854" t="s">
        <v>841</v>
      </c>
      <c r="C1776" s="855"/>
      <c r="D1776" s="37"/>
      <c r="E1776" s="82"/>
      <c r="F1776" s="83"/>
      <c r="G1776" s="111"/>
    </row>
    <row r="1777" spans="1:8" ht="13.5" thickBot="1">
      <c r="A1777" s="95"/>
      <c r="B1777" s="980" t="s">
        <v>841</v>
      </c>
      <c r="C1777" s="981"/>
      <c r="D1777" s="77"/>
      <c r="E1777" s="82"/>
      <c r="F1777" s="86"/>
      <c r="G1777" s="112"/>
    </row>
    <row r="1778" spans="1:8" ht="14.25" thickTop="1" thickBot="1">
      <c r="A1778" s="95"/>
      <c r="B1778" s="946"/>
      <c r="C1778" s="946"/>
      <c r="D1778" s="946"/>
      <c r="E1778" s="947"/>
      <c r="F1778" s="120" t="s">
        <v>856</v>
      </c>
      <c r="G1778" s="118">
        <f>SUM(G1773:G1777)</f>
        <v>16484</v>
      </c>
    </row>
    <row r="1779" spans="1:8" ht="14.25" thickTop="1" thickBot="1">
      <c r="A1779" s="95"/>
      <c r="B1779" s="970"/>
      <c r="C1779" s="970"/>
      <c r="D1779" s="970"/>
      <c r="E1779" s="970"/>
      <c r="F1779" s="970"/>
      <c r="G1779" s="970"/>
    </row>
    <row r="1780" spans="1:8" ht="13.5" thickTop="1">
      <c r="A1780" s="95"/>
      <c r="B1780" s="950" t="s">
        <v>321</v>
      </c>
      <c r="C1780" s="951"/>
      <c r="D1780" s="951"/>
      <c r="E1780" s="951"/>
      <c r="F1780" s="951"/>
      <c r="G1780" s="952"/>
    </row>
    <row r="1781" spans="1:8">
      <c r="A1781" s="95"/>
      <c r="B1781" s="978" t="s">
        <v>838</v>
      </c>
      <c r="C1781" s="979"/>
      <c r="D1781" s="98" t="s">
        <v>301</v>
      </c>
      <c r="E1781" s="98" t="s">
        <v>297</v>
      </c>
      <c r="F1781" s="99" t="s">
        <v>839</v>
      </c>
      <c r="G1781" s="107" t="s">
        <v>840</v>
      </c>
    </row>
    <row r="1782" spans="1:8">
      <c r="A1782" s="95"/>
      <c r="B1782" s="230"/>
      <c r="C1782" s="102"/>
      <c r="D1782" s="103" t="s">
        <v>322</v>
      </c>
      <c r="E1782" s="103" t="s">
        <v>323</v>
      </c>
      <c r="F1782" s="104" t="s">
        <v>324</v>
      </c>
      <c r="G1782" s="109" t="s">
        <v>325</v>
      </c>
    </row>
    <row r="1783" spans="1:8">
      <c r="A1783" s="95"/>
      <c r="B1783" s="841"/>
      <c r="C1783" s="842"/>
      <c r="D1783" s="96"/>
      <c r="E1783" s="96"/>
      <c r="F1783" s="96"/>
      <c r="G1783" s="116"/>
    </row>
    <row r="1784" spans="1:8" ht="13.5" thickBot="1">
      <c r="A1784" s="95"/>
      <c r="B1784" s="980" t="s">
        <v>841</v>
      </c>
      <c r="C1784" s="981"/>
      <c r="D1784" s="77"/>
      <c r="E1784" s="82"/>
      <c r="F1784" s="86"/>
      <c r="G1784" s="112"/>
    </row>
    <row r="1785" spans="1:8" ht="14.25" thickTop="1" thickBot="1">
      <c r="A1785" s="95"/>
      <c r="B1785" s="946"/>
      <c r="C1785" s="946"/>
      <c r="D1785" s="946"/>
      <c r="E1785" s="947"/>
      <c r="F1785" s="120" t="s">
        <v>856</v>
      </c>
      <c r="G1785" s="118">
        <f>SUM(G1780:G1784)</f>
        <v>0</v>
      </c>
    </row>
    <row r="1786" spans="1:8" ht="14.25" thickTop="1" thickBot="1">
      <c r="A1786" s="95"/>
      <c r="B1786" s="970"/>
      <c r="C1786" s="970"/>
      <c r="D1786" s="970"/>
      <c r="E1786" s="970"/>
      <c r="F1786" s="970"/>
      <c r="G1786" s="943"/>
    </row>
    <row r="1787" spans="1:8" ht="13.5" thickTop="1">
      <c r="A1787" s="95"/>
      <c r="B1787" s="950" t="s">
        <v>326</v>
      </c>
      <c r="C1787" s="951"/>
      <c r="D1787" s="951"/>
      <c r="E1787" s="951"/>
      <c r="F1787" s="971"/>
      <c r="G1787" s="121">
        <f>+G1751+G1767+G1778</f>
        <v>38850</v>
      </c>
    </row>
    <row r="1788" spans="1:8">
      <c r="A1788" s="95"/>
      <c r="B1788" s="972" t="s">
        <v>861</v>
      </c>
      <c r="C1788" s="973"/>
      <c r="D1788" s="973"/>
      <c r="E1788" s="974"/>
      <c r="F1788" s="128">
        <f>'MANO DE OBRA'!$D$59</f>
        <v>0</v>
      </c>
      <c r="G1788" s="122">
        <f>ROUND(G1787*F1788,0)</f>
        <v>0</v>
      </c>
    </row>
    <row r="1789" spans="1:8" ht="13.5" thickBot="1">
      <c r="A1789" s="95"/>
      <c r="B1789" s="975" t="s">
        <v>1049</v>
      </c>
      <c r="C1789" s="976"/>
      <c r="D1789" s="976"/>
      <c r="E1789" s="976"/>
      <c r="F1789" s="977"/>
      <c r="G1789" s="118">
        <f>ROUND(G1787+G1788,-2)</f>
        <v>38900</v>
      </c>
      <c r="H1789" s="505" t="s">
        <v>1670</v>
      </c>
    </row>
    <row r="1790" spans="1:8" ht="13.5" thickTop="1">
      <c r="A1790" s="95"/>
      <c r="B1790" s="225" t="s">
        <v>303</v>
      </c>
      <c r="C1790" s="843"/>
      <c r="D1790" s="843"/>
      <c r="E1790" s="843"/>
      <c r="F1790" s="92" t="s">
        <v>781</v>
      </c>
      <c r="G1790" s="93" t="s">
        <v>865</v>
      </c>
    </row>
    <row r="1791" spans="1:8">
      <c r="A1791" s="95"/>
      <c r="B1791" s="226" t="s">
        <v>834</v>
      </c>
      <c r="C1791" s="844" t="s">
        <v>1352</v>
      </c>
      <c r="D1791" s="844"/>
      <c r="E1791" s="844"/>
      <c r="F1791" s="15" t="s">
        <v>833</v>
      </c>
      <c r="G1791" s="165" t="str">
        <f>'MANO DE OBRA'!D61</f>
        <v>Agosto de 2010</v>
      </c>
    </row>
    <row r="1792" spans="1:8" ht="27.75" customHeight="1" thickBot="1">
      <c r="A1792" s="236"/>
      <c r="B1792" s="240" t="s">
        <v>835</v>
      </c>
      <c r="C1792" s="934" t="s">
        <v>1379</v>
      </c>
      <c r="D1792" s="934"/>
      <c r="E1792" s="934"/>
      <c r="F1792" s="934"/>
      <c r="G1792" s="935"/>
    </row>
    <row r="1793" spans="1:7" ht="14.25" thickTop="1" thickBot="1">
      <c r="A1793" s="95"/>
      <c r="B1793" s="986"/>
      <c r="C1793" s="986"/>
      <c r="D1793" s="986"/>
      <c r="E1793" s="986"/>
      <c r="F1793" s="986"/>
      <c r="G1793" s="986"/>
    </row>
    <row r="1794" spans="1:7" ht="13.5" thickTop="1">
      <c r="A1794" s="95"/>
      <c r="B1794" s="950" t="s">
        <v>304</v>
      </c>
      <c r="C1794" s="951"/>
      <c r="D1794" s="951"/>
      <c r="E1794" s="951"/>
      <c r="F1794" s="951"/>
      <c r="G1794" s="952"/>
    </row>
    <row r="1795" spans="1:7">
      <c r="A1795" s="95"/>
      <c r="B1795" s="229"/>
      <c r="C1795" s="97"/>
      <c r="D1795" s="98" t="s">
        <v>301</v>
      </c>
      <c r="E1795" s="98" t="s">
        <v>1072</v>
      </c>
      <c r="F1795" s="99" t="s">
        <v>839</v>
      </c>
      <c r="G1795" s="107" t="s">
        <v>840</v>
      </c>
    </row>
    <row r="1796" spans="1:7">
      <c r="A1796" s="95"/>
      <c r="B1796" s="982" t="s">
        <v>838</v>
      </c>
      <c r="C1796" s="983"/>
      <c r="D1796" s="100" t="s">
        <v>308</v>
      </c>
      <c r="E1796" s="100" t="s">
        <v>305</v>
      </c>
      <c r="F1796" s="101" t="s">
        <v>306</v>
      </c>
      <c r="G1796" s="108" t="s">
        <v>310</v>
      </c>
    </row>
    <row r="1797" spans="1:7">
      <c r="A1797" s="95"/>
      <c r="B1797" s="230"/>
      <c r="C1797" s="102"/>
      <c r="D1797" s="103"/>
      <c r="E1797" s="103" t="s">
        <v>309</v>
      </c>
      <c r="F1797" s="104" t="s">
        <v>307</v>
      </c>
      <c r="G1797" s="109"/>
    </row>
    <row r="1798" spans="1:7">
      <c r="A1798" s="127"/>
      <c r="B1798" s="841" t="str">
        <f>'MAQUINARIA Y EQUIPOS'!$C$28</f>
        <v>HERRAMIENTAS MENORES</v>
      </c>
      <c r="C1798" s="842"/>
      <c r="D1798" s="87">
        <v>1</v>
      </c>
      <c r="E1798" s="82">
        <f>ROUND(G1830*0.05,0)</f>
        <v>2028</v>
      </c>
      <c r="F1798" s="81">
        <v>1</v>
      </c>
      <c r="G1798" s="110">
        <f>ROUND(D1798*E1798/F1798,0)</f>
        <v>2028</v>
      </c>
    </row>
    <row r="1799" spans="1:7">
      <c r="A1799" s="125"/>
      <c r="B1799" s="938"/>
      <c r="C1799" s="939"/>
      <c r="D1799" s="37"/>
      <c r="E1799" s="5"/>
      <c r="F1799" s="83"/>
      <c r="G1799" s="111"/>
    </row>
    <row r="1800" spans="1:7">
      <c r="A1800" s="125"/>
      <c r="B1800" s="938"/>
      <c r="C1800" s="939"/>
      <c r="D1800" s="37"/>
      <c r="E1800" s="5"/>
      <c r="F1800" s="83"/>
      <c r="G1800" s="111"/>
    </row>
    <row r="1801" spans="1:7">
      <c r="A1801" s="95"/>
      <c r="B1801" s="854"/>
      <c r="C1801" s="855"/>
      <c r="D1801" s="37"/>
      <c r="E1801" s="129"/>
      <c r="F1801" s="83"/>
      <c r="G1801" s="111"/>
    </row>
    <row r="1802" spans="1:7" ht="13.5" thickBot="1">
      <c r="A1802" s="95"/>
      <c r="B1802" s="942" t="s">
        <v>841</v>
      </c>
      <c r="C1802" s="943"/>
      <c r="D1802" s="77"/>
      <c r="E1802" s="106"/>
      <c r="F1802" s="86"/>
      <c r="G1802" s="112"/>
    </row>
    <row r="1803" spans="1:7" ht="14.25" thickTop="1" thickBot="1">
      <c r="A1803" s="95"/>
      <c r="B1803" s="946"/>
      <c r="C1803" s="946"/>
      <c r="D1803" s="946"/>
      <c r="E1803" s="947"/>
      <c r="F1803" s="119" t="s">
        <v>856</v>
      </c>
      <c r="G1803" s="118">
        <f>SUM(G1798:G1802)</f>
        <v>2028</v>
      </c>
    </row>
    <row r="1804" spans="1:7" ht="14.25" thickTop="1" thickBot="1">
      <c r="A1804" s="95"/>
      <c r="B1804" s="970"/>
      <c r="C1804" s="970"/>
      <c r="D1804" s="970"/>
      <c r="E1804" s="970"/>
      <c r="F1804" s="970"/>
      <c r="G1804" s="970"/>
    </row>
    <row r="1805" spans="1:7" ht="13.5" thickTop="1">
      <c r="A1805" s="95"/>
      <c r="B1805" s="950" t="s">
        <v>311</v>
      </c>
      <c r="C1805" s="951"/>
      <c r="D1805" s="951"/>
      <c r="E1805" s="951"/>
      <c r="F1805" s="951"/>
      <c r="G1805" s="952"/>
    </row>
    <row r="1806" spans="1:7">
      <c r="A1806" s="95"/>
      <c r="B1806" s="978" t="s">
        <v>838</v>
      </c>
      <c r="C1806" s="979"/>
      <c r="D1806" s="98" t="s">
        <v>842</v>
      </c>
      <c r="E1806" s="98" t="s">
        <v>853</v>
      </c>
      <c r="F1806" s="99" t="s">
        <v>1047</v>
      </c>
      <c r="G1806" s="107" t="s">
        <v>840</v>
      </c>
    </row>
    <row r="1807" spans="1:7">
      <c r="A1807" s="95"/>
      <c r="B1807" s="230"/>
      <c r="C1807" s="102"/>
      <c r="D1807" s="100"/>
      <c r="E1807" s="100" t="s">
        <v>312</v>
      </c>
      <c r="F1807" s="101" t="s">
        <v>313</v>
      </c>
      <c r="G1807" s="108" t="s">
        <v>314</v>
      </c>
    </row>
    <row r="1808" spans="1:7">
      <c r="A1808" s="123"/>
      <c r="B1808" s="841" t="str">
        <f>MATERIALES2!$C$447</f>
        <v>ALAMBRE DE COBRE AISLADO #12</v>
      </c>
      <c r="C1808" s="842"/>
      <c r="D1808" s="87" t="s">
        <v>831</v>
      </c>
      <c r="E1808" s="81">
        <v>9</v>
      </c>
      <c r="F1808" s="80">
        <f>MATERIALES2!$E$447</f>
        <v>1000</v>
      </c>
      <c r="G1808" s="110">
        <f t="shared" ref="G1808:G1813" si="17">ROUND(E1808*F1808,0)</f>
        <v>9000</v>
      </c>
    </row>
    <row r="1809" spans="1:8">
      <c r="A1809" s="123"/>
      <c r="B1809" s="854" t="str">
        <f>MATERIALES2!$C$449</f>
        <v>ALAMBRE DESNUDO #14</v>
      </c>
      <c r="C1809" s="855"/>
      <c r="D1809" s="37" t="s">
        <v>831</v>
      </c>
      <c r="E1809" s="83">
        <v>4.5</v>
      </c>
      <c r="F1809" s="82">
        <f>MATERIALES2!$E$449</f>
        <v>398</v>
      </c>
      <c r="G1809" s="111">
        <f t="shared" si="17"/>
        <v>1791</v>
      </c>
    </row>
    <row r="1810" spans="1:8">
      <c r="A1810" s="123"/>
      <c r="B1810" s="854" t="str">
        <f>MATERIALES2!$C$550</f>
        <v>TUBO PVC CONDUIT 1/2" x 3.0 M</v>
      </c>
      <c r="C1810" s="855"/>
      <c r="D1810" s="37" t="s">
        <v>865</v>
      </c>
      <c r="E1810" s="83">
        <v>1.5</v>
      </c>
      <c r="F1810" s="82">
        <f>MATERIALES2!$E$550</f>
        <v>5134</v>
      </c>
      <c r="G1810" s="111">
        <f t="shared" si="17"/>
        <v>7701</v>
      </c>
    </row>
    <row r="1811" spans="1:8">
      <c r="A1811" s="123"/>
      <c r="B1811" s="854" t="str">
        <f>MATERIALES2!$C$441</f>
        <v>ADAPTADOR TERMINAL 1/2"</v>
      </c>
      <c r="C1811" s="855"/>
      <c r="D1811" s="37" t="s">
        <v>865</v>
      </c>
      <c r="E1811" s="83">
        <v>2</v>
      </c>
      <c r="F1811" s="82">
        <f>MATERIALES2!$E$441</f>
        <v>212</v>
      </c>
      <c r="G1811" s="111">
        <f t="shared" si="17"/>
        <v>424</v>
      </c>
    </row>
    <row r="1812" spans="1:8">
      <c r="A1812" s="123"/>
      <c r="B1812" s="984" t="str">
        <f>MATERIALES2!$C$476</f>
        <v>CAJA ELECTRICA RECTANGULAR METALICA</v>
      </c>
      <c r="C1812" s="985"/>
      <c r="D1812" s="37" t="s">
        <v>865</v>
      </c>
      <c r="E1812" s="83">
        <v>1</v>
      </c>
      <c r="F1812" s="82">
        <f>MATERIALES2!$E$476</f>
        <v>500</v>
      </c>
      <c r="G1812" s="111">
        <f t="shared" si="17"/>
        <v>500</v>
      </c>
    </row>
    <row r="1813" spans="1:8">
      <c r="A1813" s="123"/>
      <c r="B1813" s="854" t="str">
        <f>MATERIALES2!$C$485</f>
        <v>CINTA AISLANTE 3M</v>
      </c>
      <c r="C1813" s="855"/>
      <c r="D1813" s="37" t="s">
        <v>865</v>
      </c>
      <c r="E1813" s="83">
        <v>0.2</v>
      </c>
      <c r="F1813" s="82">
        <f>MATERIALES2!$E$485</f>
        <v>5500</v>
      </c>
      <c r="G1813" s="111">
        <f t="shared" si="17"/>
        <v>1100</v>
      </c>
    </row>
    <row r="1814" spans="1:8">
      <c r="A1814" s="123"/>
      <c r="B1814" s="854" t="str">
        <f>MATERIALES2!$C$75</f>
        <v>VARILLA LISA ½" x 6.0 M</v>
      </c>
      <c r="C1814" s="855"/>
      <c r="D1814" s="37" t="s">
        <v>865</v>
      </c>
      <c r="E1814" s="83">
        <v>0.25</v>
      </c>
      <c r="F1814" s="82">
        <f>MATERIALES2!$E$75</f>
        <v>13650</v>
      </c>
      <c r="G1814" s="111">
        <f>ROUND(E1814*F1814,0)</f>
        <v>3413</v>
      </c>
    </row>
    <row r="1815" spans="1:8">
      <c r="A1815" s="123"/>
      <c r="B1815" s="854" t="str">
        <f>MATERIALES2!$C$556</f>
        <v>VENTILADOR DE TECHO KDK</v>
      </c>
      <c r="C1815" s="855"/>
      <c r="D1815" s="37" t="s">
        <v>865</v>
      </c>
      <c r="E1815" s="83">
        <v>1</v>
      </c>
      <c r="F1815" s="82">
        <f>MATERIALES2!$E$556</f>
        <v>160000</v>
      </c>
      <c r="G1815" s="111">
        <f>ROUND(E1815*F1815,0)</f>
        <v>160000</v>
      </c>
      <c r="H1815" s="505" t="s">
        <v>1670</v>
      </c>
    </row>
    <row r="1816" spans="1:8" ht="13.5" thickBot="1">
      <c r="A1816" s="123"/>
      <c r="B1816" s="854"/>
      <c r="C1816" s="855"/>
      <c r="D1816" s="37"/>
      <c r="E1816" s="83"/>
      <c r="F1816" s="82"/>
      <c r="G1816" s="111"/>
    </row>
    <row r="1817" spans="1:8" ht="13.5" thickTop="1">
      <c r="A1817" s="95"/>
      <c r="B1817" s="946"/>
      <c r="C1817" s="947"/>
      <c r="D1817" s="801" t="s">
        <v>856</v>
      </c>
      <c r="E1817" s="802"/>
      <c r="F1817" s="9"/>
      <c r="G1817" s="113">
        <f>SUM(G1808:G1816)</f>
        <v>183929</v>
      </c>
    </row>
    <row r="1818" spans="1:8">
      <c r="A1818" s="95"/>
      <c r="B1818" s="948"/>
      <c r="C1818" s="949"/>
      <c r="D1818" s="801" t="s">
        <v>857</v>
      </c>
      <c r="E1818" s="802"/>
      <c r="F1818" s="79">
        <f>'MANO DE OBRA'!$D$60</f>
        <v>0.05</v>
      </c>
      <c r="G1818" s="113">
        <f>ROUND(G1817*F1818,0)</f>
        <v>9196</v>
      </c>
    </row>
    <row r="1819" spans="1:8" ht="13.5" thickBot="1">
      <c r="A1819" s="95"/>
      <c r="B1819" s="948"/>
      <c r="C1819" s="949"/>
      <c r="D1819" s="803" t="s">
        <v>320</v>
      </c>
      <c r="E1819" s="804"/>
      <c r="F1819" s="114"/>
      <c r="G1819" s="118">
        <f>+G1817+G1818</f>
        <v>193125</v>
      </c>
    </row>
    <row r="1820" spans="1:8" ht="14.25" thickTop="1" thickBot="1">
      <c r="A1820" s="95"/>
      <c r="B1820" s="970"/>
      <c r="C1820" s="970"/>
      <c r="D1820" s="970"/>
      <c r="E1820" s="970"/>
      <c r="F1820" s="970"/>
      <c r="G1820" s="970"/>
    </row>
    <row r="1821" spans="1:8" ht="13.5" thickTop="1">
      <c r="A1821" s="95"/>
      <c r="B1821" s="950" t="s">
        <v>858</v>
      </c>
      <c r="C1821" s="951"/>
      <c r="D1821" s="951"/>
      <c r="E1821" s="951"/>
      <c r="F1821" s="951"/>
      <c r="G1821" s="952"/>
    </row>
    <row r="1822" spans="1:8">
      <c r="A1822" s="95"/>
      <c r="B1822" s="978"/>
      <c r="C1822" s="979"/>
      <c r="D1822" s="98" t="s">
        <v>301</v>
      </c>
      <c r="E1822" s="98" t="s">
        <v>859</v>
      </c>
      <c r="F1822" s="99" t="s">
        <v>839</v>
      </c>
      <c r="G1822" s="107" t="s">
        <v>840</v>
      </c>
    </row>
    <row r="1823" spans="1:8">
      <c r="A1823" s="95"/>
      <c r="B1823" s="982" t="s">
        <v>838</v>
      </c>
      <c r="C1823" s="983"/>
      <c r="D1823" s="100" t="s">
        <v>316</v>
      </c>
      <c r="E1823" s="100" t="s">
        <v>315</v>
      </c>
      <c r="F1823" s="101" t="s">
        <v>306</v>
      </c>
      <c r="G1823" s="108" t="s">
        <v>319</v>
      </c>
    </row>
    <row r="1824" spans="1:8">
      <c r="A1824" s="95"/>
      <c r="B1824" s="230"/>
      <c r="C1824" s="102"/>
      <c r="D1824" s="103"/>
      <c r="E1824" s="103" t="s">
        <v>317</v>
      </c>
      <c r="F1824" s="104" t="s">
        <v>318</v>
      </c>
      <c r="G1824" s="109"/>
    </row>
    <row r="1825" spans="1:7">
      <c r="A1825" s="95"/>
      <c r="B1825" s="841" t="str">
        <f>'MANO DE OBRA'!$B$11</f>
        <v>AYUDANTE CUAD. TIPO BB</v>
      </c>
      <c r="C1825" s="842"/>
      <c r="D1825" s="87">
        <v>1</v>
      </c>
      <c r="E1825" s="80">
        <f>'MANO DE OBRA'!$E$11</f>
        <v>43077</v>
      </c>
      <c r="F1825" s="81">
        <v>3</v>
      </c>
      <c r="G1825" s="110">
        <f>ROUND(D1825*E1825/F1825,0)</f>
        <v>14359</v>
      </c>
    </row>
    <row r="1826" spans="1:7">
      <c r="A1826" s="95"/>
      <c r="B1826" s="854" t="str">
        <f>'MANO DE OBRA'!$B$16</f>
        <v>OFICIAL CUAD. TIPO BB</v>
      </c>
      <c r="C1826" s="855"/>
      <c r="D1826" s="37">
        <v>1</v>
      </c>
      <c r="E1826" s="82">
        <f>'MANO DE OBRA'!$E$16</f>
        <v>78577</v>
      </c>
      <c r="F1826" s="83">
        <v>3</v>
      </c>
      <c r="G1826" s="111">
        <f>ROUND(D1826*E1826/F1826,0)</f>
        <v>26192</v>
      </c>
    </row>
    <row r="1827" spans="1:7">
      <c r="A1827" s="95"/>
      <c r="B1827" s="854"/>
      <c r="C1827" s="855"/>
      <c r="D1827" s="89"/>
      <c r="E1827" s="82"/>
      <c r="F1827" s="83"/>
      <c r="G1827" s="111"/>
    </row>
    <row r="1828" spans="1:7">
      <c r="A1828" s="95"/>
      <c r="B1828" s="854" t="s">
        <v>841</v>
      </c>
      <c r="C1828" s="855"/>
      <c r="D1828" s="37"/>
      <c r="E1828" s="82"/>
      <c r="F1828" s="83"/>
      <c r="G1828" s="111"/>
    </row>
    <row r="1829" spans="1:7" ht="13.5" thickBot="1">
      <c r="A1829" s="95"/>
      <c r="B1829" s="980" t="s">
        <v>841</v>
      </c>
      <c r="C1829" s="981"/>
      <c r="D1829" s="77"/>
      <c r="E1829" s="82"/>
      <c r="F1829" s="86"/>
      <c r="G1829" s="112"/>
    </row>
    <row r="1830" spans="1:7" ht="14.25" thickTop="1" thickBot="1">
      <c r="A1830" s="95"/>
      <c r="B1830" s="946"/>
      <c r="C1830" s="946"/>
      <c r="D1830" s="946"/>
      <c r="E1830" s="947"/>
      <c r="F1830" s="120" t="s">
        <v>856</v>
      </c>
      <c r="G1830" s="118">
        <f>SUM(G1825:G1829)</f>
        <v>40551</v>
      </c>
    </row>
    <row r="1831" spans="1:7" ht="14.25" thickTop="1" thickBot="1">
      <c r="A1831" s="95"/>
      <c r="B1831" s="970"/>
      <c r="C1831" s="970"/>
      <c r="D1831" s="970"/>
      <c r="E1831" s="970"/>
      <c r="F1831" s="970"/>
      <c r="G1831" s="970"/>
    </row>
    <row r="1832" spans="1:7" ht="13.5" thickTop="1">
      <c r="A1832" s="95"/>
      <c r="B1832" s="950" t="s">
        <v>321</v>
      </c>
      <c r="C1832" s="951"/>
      <c r="D1832" s="951"/>
      <c r="E1832" s="951"/>
      <c r="F1832" s="951"/>
      <c r="G1832" s="952"/>
    </row>
    <row r="1833" spans="1:7">
      <c r="A1833" s="95"/>
      <c r="B1833" s="978" t="s">
        <v>838</v>
      </c>
      <c r="C1833" s="979"/>
      <c r="D1833" s="98" t="s">
        <v>301</v>
      </c>
      <c r="E1833" s="98" t="s">
        <v>297</v>
      </c>
      <c r="F1833" s="99" t="s">
        <v>839</v>
      </c>
      <c r="G1833" s="107" t="s">
        <v>840</v>
      </c>
    </row>
    <row r="1834" spans="1:7">
      <c r="A1834" s="95"/>
      <c r="B1834" s="230"/>
      <c r="C1834" s="102"/>
      <c r="D1834" s="103" t="s">
        <v>322</v>
      </c>
      <c r="E1834" s="103" t="s">
        <v>323</v>
      </c>
      <c r="F1834" s="104" t="s">
        <v>324</v>
      </c>
      <c r="G1834" s="109" t="s">
        <v>325</v>
      </c>
    </row>
    <row r="1835" spans="1:7">
      <c r="A1835" s="95"/>
      <c r="B1835" s="841"/>
      <c r="C1835" s="842"/>
      <c r="D1835" s="96"/>
      <c r="E1835" s="96"/>
      <c r="F1835" s="96"/>
      <c r="G1835" s="116"/>
    </row>
    <row r="1836" spans="1:7" ht="13.5" thickBot="1">
      <c r="A1836" s="95"/>
      <c r="B1836" s="980" t="s">
        <v>841</v>
      </c>
      <c r="C1836" s="981"/>
      <c r="D1836" s="77"/>
      <c r="E1836" s="82"/>
      <c r="F1836" s="86"/>
      <c r="G1836" s="112"/>
    </row>
    <row r="1837" spans="1:7" ht="14.25" thickTop="1" thickBot="1">
      <c r="A1837" s="95"/>
      <c r="B1837" s="946"/>
      <c r="C1837" s="946"/>
      <c r="D1837" s="946"/>
      <c r="E1837" s="947"/>
      <c r="F1837" s="120" t="s">
        <v>856</v>
      </c>
      <c r="G1837" s="118">
        <f>SUM(G1832:G1836)</f>
        <v>0</v>
      </c>
    </row>
    <row r="1838" spans="1:7" ht="14.25" thickTop="1" thickBot="1">
      <c r="A1838" s="95"/>
      <c r="B1838" s="970"/>
      <c r="C1838" s="970"/>
      <c r="D1838" s="970"/>
      <c r="E1838" s="970"/>
      <c r="F1838" s="970"/>
      <c r="G1838" s="943"/>
    </row>
    <row r="1839" spans="1:7" ht="13.5" thickTop="1">
      <c r="A1839" s="95"/>
      <c r="B1839" s="950" t="s">
        <v>326</v>
      </c>
      <c r="C1839" s="951"/>
      <c r="D1839" s="951"/>
      <c r="E1839" s="951"/>
      <c r="F1839" s="971"/>
      <c r="G1839" s="121">
        <f>+G1803+G1819+G1830</f>
        <v>235704</v>
      </c>
    </row>
    <row r="1840" spans="1:7">
      <c r="A1840" s="95"/>
      <c r="B1840" s="972" t="s">
        <v>861</v>
      </c>
      <c r="C1840" s="973"/>
      <c r="D1840" s="973"/>
      <c r="E1840" s="974"/>
      <c r="F1840" s="128">
        <f>'MANO DE OBRA'!$D$59</f>
        <v>0</v>
      </c>
      <c r="G1840" s="122">
        <f>ROUND(G1839*F1840,0)</f>
        <v>0</v>
      </c>
    </row>
    <row r="1841" spans="1:8" ht="13.5" thickBot="1">
      <c r="A1841" s="95"/>
      <c r="B1841" s="975" t="s">
        <v>1049</v>
      </c>
      <c r="C1841" s="976"/>
      <c r="D1841" s="976"/>
      <c r="E1841" s="976"/>
      <c r="F1841" s="977"/>
      <c r="G1841" s="118">
        <f>ROUND(G1839+G1840,-2)</f>
        <v>235700</v>
      </c>
      <c r="H1841" s="505" t="s">
        <v>1670</v>
      </c>
    </row>
    <row r="1842" spans="1:8" ht="13.5" thickTop="1">
      <c r="A1842" s="95"/>
      <c r="B1842" s="225" t="s">
        <v>303</v>
      </c>
      <c r="C1842" s="843"/>
      <c r="D1842" s="843"/>
      <c r="E1842" s="843"/>
      <c r="F1842" s="92" t="s">
        <v>781</v>
      </c>
      <c r="G1842" s="93" t="s">
        <v>865</v>
      </c>
    </row>
    <row r="1843" spans="1:8">
      <c r="A1843" s="95"/>
      <c r="B1843" s="226" t="s">
        <v>834</v>
      </c>
      <c r="C1843" s="844" t="s">
        <v>1352</v>
      </c>
      <c r="D1843" s="844"/>
      <c r="E1843" s="844"/>
      <c r="F1843" s="15" t="s">
        <v>833</v>
      </c>
      <c r="G1843" s="165" t="str">
        <f>'MANO DE OBRA'!D61</f>
        <v>Agosto de 2010</v>
      </c>
    </row>
    <row r="1844" spans="1:8" ht="27.75" customHeight="1" thickBot="1">
      <c r="A1844" s="236"/>
      <c r="B1844" s="240" t="s">
        <v>835</v>
      </c>
      <c r="C1844" s="987" t="s">
        <v>1382</v>
      </c>
      <c r="D1844" s="987"/>
      <c r="E1844" s="987"/>
      <c r="F1844" s="987"/>
      <c r="G1844" s="988"/>
    </row>
    <row r="1845" spans="1:8" ht="14.25" thickTop="1" thickBot="1">
      <c r="A1845" s="95"/>
      <c r="B1845" s="986"/>
      <c r="C1845" s="986"/>
      <c r="D1845" s="986"/>
      <c r="E1845" s="986"/>
      <c r="F1845" s="986"/>
      <c r="G1845" s="986"/>
    </row>
    <row r="1846" spans="1:8" ht="13.5" thickTop="1">
      <c r="A1846" s="95"/>
      <c r="B1846" s="950" t="s">
        <v>304</v>
      </c>
      <c r="C1846" s="951"/>
      <c r="D1846" s="951"/>
      <c r="E1846" s="951"/>
      <c r="F1846" s="951"/>
      <c r="G1846" s="952"/>
    </row>
    <row r="1847" spans="1:8">
      <c r="A1847" s="95"/>
      <c r="B1847" s="229"/>
      <c r="C1847" s="97"/>
      <c r="D1847" s="98" t="s">
        <v>301</v>
      </c>
      <c r="E1847" s="98" t="s">
        <v>1072</v>
      </c>
      <c r="F1847" s="99" t="s">
        <v>839</v>
      </c>
      <c r="G1847" s="107" t="s">
        <v>840</v>
      </c>
    </row>
    <row r="1848" spans="1:8">
      <c r="A1848" s="95"/>
      <c r="B1848" s="982" t="s">
        <v>838</v>
      </c>
      <c r="C1848" s="983"/>
      <c r="D1848" s="100" t="s">
        <v>308</v>
      </c>
      <c r="E1848" s="100" t="s">
        <v>305</v>
      </c>
      <c r="F1848" s="101" t="s">
        <v>306</v>
      </c>
      <c r="G1848" s="108" t="s">
        <v>310</v>
      </c>
    </row>
    <row r="1849" spans="1:8">
      <c r="A1849" s="95"/>
      <c r="B1849" s="230"/>
      <c r="C1849" s="102"/>
      <c r="D1849" s="103"/>
      <c r="E1849" s="103" t="s">
        <v>309</v>
      </c>
      <c r="F1849" s="104" t="s">
        <v>307</v>
      </c>
      <c r="G1849" s="109"/>
    </row>
    <row r="1850" spans="1:8">
      <c r="A1850" s="127"/>
      <c r="B1850" s="841" t="str">
        <f>'MAQUINARIA Y EQUIPOS'!$C$28</f>
        <v>HERRAMIENTAS MENORES</v>
      </c>
      <c r="C1850" s="842"/>
      <c r="D1850" s="87">
        <v>1</v>
      </c>
      <c r="E1850" s="82">
        <f>ROUND(G1882*0.05,0)</f>
        <v>869</v>
      </c>
      <c r="F1850" s="81">
        <v>1</v>
      </c>
      <c r="G1850" s="110">
        <f>ROUND(D1850*E1850/F1850,0)</f>
        <v>869</v>
      </c>
    </row>
    <row r="1851" spans="1:8">
      <c r="A1851" s="125"/>
      <c r="B1851" s="938"/>
      <c r="C1851" s="939"/>
      <c r="D1851" s="37"/>
      <c r="E1851" s="5"/>
      <c r="F1851" s="83"/>
      <c r="G1851" s="111"/>
    </row>
    <row r="1852" spans="1:8">
      <c r="A1852" s="95"/>
      <c r="B1852" s="854"/>
      <c r="C1852" s="855"/>
      <c r="D1852" s="37"/>
      <c r="E1852" s="129"/>
      <c r="F1852" s="83"/>
      <c r="G1852" s="111"/>
    </row>
    <row r="1853" spans="1:8" ht="13.5" thickBot="1">
      <c r="A1853" s="95"/>
      <c r="B1853" s="942" t="s">
        <v>841</v>
      </c>
      <c r="C1853" s="943"/>
      <c r="D1853" s="77"/>
      <c r="E1853" s="106"/>
      <c r="F1853" s="86"/>
      <c r="G1853" s="112"/>
    </row>
    <row r="1854" spans="1:8" ht="14.25" thickTop="1" thickBot="1">
      <c r="A1854" s="95"/>
      <c r="B1854" s="946"/>
      <c r="C1854" s="946"/>
      <c r="D1854" s="946"/>
      <c r="E1854" s="947"/>
      <c r="F1854" s="119" t="s">
        <v>856</v>
      </c>
      <c r="G1854" s="118">
        <f>SUM(G1850:G1853)</f>
        <v>869</v>
      </c>
    </row>
    <row r="1855" spans="1:8" ht="14.25" thickTop="1" thickBot="1">
      <c r="A1855" s="95"/>
      <c r="B1855" s="970"/>
      <c r="C1855" s="970"/>
      <c r="D1855" s="970"/>
      <c r="E1855" s="970"/>
      <c r="F1855" s="970"/>
      <c r="G1855" s="970"/>
    </row>
    <row r="1856" spans="1:8" ht="13.5" thickTop="1">
      <c r="A1856" s="95"/>
      <c r="B1856" s="950" t="s">
        <v>311</v>
      </c>
      <c r="C1856" s="951"/>
      <c r="D1856" s="951"/>
      <c r="E1856" s="951"/>
      <c r="F1856" s="951"/>
      <c r="G1856" s="952"/>
    </row>
    <row r="1857" spans="1:8">
      <c r="A1857" s="95"/>
      <c r="B1857" s="978" t="s">
        <v>838</v>
      </c>
      <c r="C1857" s="979"/>
      <c r="D1857" s="98" t="s">
        <v>842</v>
      </c>
      <c r="E1857" s="98" t="s">
        <v>853</v>
      </c>
      <c r="F1857" s="99" t="s">
        <v>1047</v>
      </c>
      <c r="G1857" s="107" t="s">
        <v>840</v>
      </c>
    </row>
    <row r="1858" spans="1:8">
      <c r="A1858" s="95"/>
      <c r="B1858" s="230"/>
      <c r="C1858" s="102"/>
      <c r="D1858" s="100"/>
      <c r="E1858" s="100" t="s">
        <v>312</v>
      </c>
      <c r="F1858" s="101" t="s">
        <v>313</v>
      </c>
      <c r="G1858" s="108" t="s">
        <v>314</v>
      </c>
    </row>
    <row r="1859" spans="1:8">
      <c r="A1859" s="123"/>
      <c r="B1859" s="841" t="str">
        <f>MATERIALES2!$C$447</f>
        <v>ALAMBRE DE COBRE AISLADO #12</v>
      </c>
      <c r="C1859" s="842"/>
      <c r="D1859" s="87" t="s">
        <v>831</v>
      </c>
      <c r="E1859" s="81">
        <v>9</v>
      </c>
      <c r="F1859" s="80">
        <f>MATERIALES2!$E$447</f>
        <v>1000</v>
      </c>
      <c r="G1859" s="110">
        <f t="shared" ref="G1859:G1866" si="18">ROUND(E1859*F1859,0)</f>
        <v>9000</v>
      </c>
    </row>
    <row r="1860" spans="1:8">
      <c r="A1860" s="123"/>
      <c r="B1860" s="854" t="str">
        <f>MATERIALES2!$C$448</f>
        <v>ALAMBRE DE COBRE AISLADO #14</v>
      </c>
      <c r="C1860" s="855"/>
      <c r="D1860" s="37" t="s">
        <v>831</v>
      </c>
      <c r="E1860" s="83">
        <v>4.5</v>
      </c>
      <c r="F1860" s="82">
        <f>MATERIALES2!$E$448</f>
        <v>700</v>
      </c>
      <c r="G1860" s="111">
        <f t="shared" si="18"/>
        <v>3150</v>
      </c>
    </row>
    <row r="1861" spans="1:8">
      <c r="A1861" s="123"/>
      <c r="B1861" s="854" t="str">
        <f>MATERIALES2!$C$450</f>
        <v>ALAMBRE DESNUDO #16</v>
      </c>
      <c r="C1861" s="855"/>
      <c r="D1861" s="37" t="s">
        <v>831</v>
      </c>
      <c r="E1861" s="83">
        <v>4.5</v>
      </c>
      <c r="F1861" s="82">
        <f>MATERIALES2!$E$450</f>
        <v>297</v>
      </c>
      <c r="G1861" s="111">
        <f>ROUND(E1861*F1861,0)</f>
        <v>1337</v>
      </c>
    </row>
    <row r="1862" spans="1:8">
      <c r="A1862" s="123"/>
      <c r="B1862" s="854" t="str">
        <f>MATERIALES2!$C$550</f>
        <v>TUBO PVC CONDUIT 1/2" x 3.0 M</v>
      </c>
      <c r="C1862" s="855"/>
      <c r="D1862" s="37" t="s">
        <v>865</v>
      </c>
      <c r="E1862" s="83">
        <v>1.5</v>
      </c>
      <c r="F1862" s="82">
        <f>MATERIALES2!$E$550</f>
        <v>5134</v>
      </c>
      <c r="G1862" s="111">
        <f t="shared" si="18"/>
        <v>7701</v>
      </c>
    </row>
    <row r="1863" spans="1:8">
      <c r="A1863" s="123"/>
      <c r="B1863" s="854" t="str">
        <f>MATERIALES2!$C$441</f>
        <v>ADAPTADOR TERMINAL 1/2"</v>
      </c>
      <c r="C1863" s="855"/>
      <c r="D1863" s="37" t="s">
        <v>865</v>
      </c>
      <c r="E1863" s="83">
        <v>2</v>
      </c>
      <c r="F1863" s="82">
        <f>MATERIALES2!$E$441</f>
        <v>212</v>
      </c>
      <c r="G1863" s="111">
        <f t="shared" si="18"/>
        <v>424</v>
      </c>
    </row>
    <row r="1864" spans="1:8">
      <c r="A1864" s="123"/>
      <c r="B1864" s="984" t="str">
        <f>MATERIALES2!$C$476</f>
        <v>CAJA ELECTRICA RECTANGULAR METALICA</v>
      </c>
      <c r="C1864" s="985"/>
      <c r="D1864" s="37" t="s">
        <v>865</v>
      </c>
      <c r="E1864" s="83">
        <v>1</v>
      </c>
      <c r="F1864" s="82">
        <f>MATERIALES2!$E$476</f>
        <v>500</v>
      </c>
      <c r="G1864" s="111">
        <f t="shared" si="18"/>
        <v>500</v>
      </c>
    </row>
    <row r="1865" spans="1:8">
      <c r="A1865" s="123"/>
      <c r="B1865" s="984" t="str">
        <f>MATERIALES2!$C$475</f>
        <v>CAJA ELECTRICA OCTOGONAL PVC</v>
      </c>
      <c r="C1865" s="985"/>
      <c r="D1865" s="37" t="s">
        <v>865</v>
      </c>
      <c r="E1865" s="83">
        <v>1</v>
      </c>
      <c r="F1865" s="82">
        <f>MATERIALES2!$E$475</f>
        <v>1200</v>
      </c>
      <c r="G1865" s="111">
        <f>ROUND(E1865*F1865,0)</f>
        <v>1200</v>
      </c>
    </row>
    <row r="1866" spans="1:8">
      <c r="A1866" s="123"/>
      <c r="B1866" s="854" t="str">
        <f>MATERIALES2!$C$485</f>
        <v>CINTA AISLANTE 3M</v>
      </c>
      <c r="C1866" s="855"/>
      <c r="D1866" s="37" t="s">
        <v>865</v>
      </c>
      <c r="E1866" s="83">
        <v>0.2</v>
      </c>
      <c r="F1866" s="82">
        <f>MATERIALES2!$E$485</f>
        <v>5500</v>
      </c>
      <c r="G1866" s="111">
        <f t="shared" si="18"/>
        <v>1100</v>
      </c>
    </row>
    <row r="1867" spans="1:8">
      <c r="A1867" s="123"/>
      <c r="B1867" s="854" t="str">
        <f>MATERIALES2!$C$518</f>
        <v>PLAFON LOZA</v>
      </c>
      <c r="C1867" s="855"/>
      <c r="D1867" s="37" t="s">
        <v>865</v>
      </c>
      <c r="E1867" s="83">
        <v>1</v>
      </c>
      <c r="F1867" s="82">
        <f>MATERIALES2!$E$518</f>
        <v>1318</v>
      </c>
      <c r="G1867" s="111">
        <f>ROUND(E1867*F1867,0)</f>
        <v>1318</v>
      </c>
      <c r="H1867" s="505" t="s">
        <v>1670</v>
      </c>
    </row>
    <row r="1868" spans="1:8" ht="13.5" thickBot="1">
      <c r="A1868" s="123"/>
      <c r="B1868" s="854" t="str">
        <f>MATERIALES2!$C$507</f>
        <v>INTERRUPTOR SENCILLO LUMINEX</v>
      </c>
      <c r="C1868" s="855"/>
      <c r="D1868" s="37" t="s">
        <v>865</v>
      </c>
      <c r="E1868" s="83">
        <v>1</v>
      </c>
      <c r="F1868" s="82">
        <f>MATERIALES2!$E$507</f>
        <v>2500</v>
      </c>
      <c r="G1868" s="111">
        <f>ROUND(E1868*F1868,0)</f>
        <v>2500</v>
      </c>
    </row>
    <row r="1869" spans="1:8" ht="13.5" thickTop="1">
      <c r="A1869" s="95"/>
      <c r="B1869" s="946"/>
      <c r="C1869" s="947"/>
      <c r="D1869" s="801" t="s">
        <v>856</v>
      </c>
      <c r="E1869" s="802"/>
      <c r="F1869" s="9"/>
      <c r="G1869" s="113">
        <f>SUM(G1859:G1868)</f>
        <v>28230</v>
      </c>
    </row>
    <row r="1870" spans="1:8">
      <c r="A1870" s="95"/>
      <c r="B1870" s="948"/>
      <c r="C1870" s="949"/>
      <c r="D1870" s="801" t="s">
        <v>857</v>
      </c>
      <c r="E1870" s="802"/>
      <c r="F1870" s="79">
        <f>'MANO DE OBRA'!$D$60</f>
        <v>0.05</v>
      </c>
      <c r="G1870" s="113">
        <f>ROUND(G1869*F1870,0)</f>
        <v>1412</v>
      </c>
    </row>
    <row r="1871" spans="1:8" ht="13.5" thickBot="1">
      <c r="A1871" s="95"/>
      <c r="B1871" s="948"/>
      <c r="C1871" s="949"/>
      <c r="D1871" s="803" t="s">
        <v>320</v>
      </c>
      <c r="E1871" s="804"/>
      <c r="F1871" s="114"/>
      <c r="G1871" s="118">
        <f>+G1869+G1870</f>
        <v>29642</v>
      </c>
    </row>
    <row r="1872" spans="1:8" ht="14.25" thickTop="1" thickBot="1">
      <c r="A1872" s="95"/>
      <c r="B1872" s="970"/>
      <c r="C1872" s="970"/>
      <c r="D1872" s="970"/>
      <c r="E1872" s="970"/>
      <c r="F1872" s="970"/>
      <c r="G1872" s="970"/>
    </row>
    <row r="1873" spans="1:7" ht="13.5" thickTop="1">
      <c r="A1873" s="95"/>
      <c r="B1873" s="950" t="s">
        <v>858</v>
      </c>
      <c r="C1873" s="951"/>
      <c r="D1873" s="951"/>
      <c r="E1873" s="951"/>
      <c r="F1873" s="951"/>
      <c r="G1873" s="952"/>
    </row>
    <row r="1874" spans="1:7">
      <c r="A1874" s="95"/>
      <c r="B1874" s="978"/>
      <c r="C1874" s="979"/>
      <c r="D1874" s="98" t="s">
        <v>301</v>
      </c>
      <c r="E1874" s="98" t="s">
        <v>859</v>
      </c>
      <c r="F1874" s="99" t="s">
        <v>839</v>
      </c>
      <c r="G1874" s="107" t="s">
        <v>840</v>
      </c>
    </row>
    <row r="1875" spans="1:7">
      <c r="A1875" s="95"/>
      <c r="B1875" s="982" t="s">
        <v>838</v>
      </c>
      <c r="C1875" s="983"/>
      <c r="D1875" s="100" t="s">
        <v>316</v>
      </c>
      <c r="E1875" s="100" t="s">
        <v>315</v>
      </c>
      <c r="F1875" s="101" t="s">
        <v>306</v>
      </c>
      <c r="G1875" s="108" t="s">
        <v>319</v>
      </c>
    </row>
    <row r="1876" spans="1:7">
      <c r="A1876" s="95"/>
      <c r="B1876" s="230"/>
      <c r="C1876" s="102"/>
      <c r="D1876" s="103"/>
      <c r="E1876" s="103" t="s">
        <v>317</v>
      </c>
      <c r="F1876" s="104" t="s">
        <v>318</v>
      </c>
      <c r="G1876" s="109"/>
    </row>
    <row r="1877" spans="1:7">
      <c r="A1877" s="95"/>
      <c r="B1877" s="841" t="str">
        <f>'MANO DE OBRA'!$B$11</f>
        <v>AYUDANTE CUAD. TIPO BB</v>
      </c>
      <c r="C1877" s="842"/>
      <c r="D1877" s="87">
        <v>1</v>
      </c>
      <c r="E1877" s="80">
        <f>'MANO DE OBRA'!$E$11</f>
        <v>43077</v>
      </c>
      <c r="F1877" s="81">
        <v>7</v>
      </c>
      <c r="G1877" s="110">
        <f>ROUND(D1877*E1877/F1877,0)</f>
        <v>6154</v>
      </c>
    </row>
    <row r="1878" spans="1:7">
      <c r="A1878" s="95"/>
      <c r="B1878" s="854" t="str">
        <f>'MANO DE OBRA'!$B$16</f>
        <v>OFICIAL CUAD. TIPO BB</v>
      </c>
      <c r="C1878" s="855"/>
      <c r="D1878" s="37">
        <v>1</v>
      </c>
      <c r="E1878" s="82">
        <f>'MANO DE OBRA'!$E$16</f>
        <v>78577</v>
      </c>
      <c r="F1878" s="83">
        <v>7</v>
      </c>
      <c r="G1878" s="111">
        <f>ROUND(D1878*E1878/F1878,0)</f>
        <v>11225</v>
      </c>
    </row>
    <row r="1879" spans="1:7">
      <c r="A1879" s="95"/>
      <c r="B1879" s="854"/>
      <c r="C1879" s="855"/>
      <c r="D1879" s="89"/>
      <c r="E1879" s="82"/>
      <c r="F1879" s="83"/>
      <c r="G1879" s="111"/>
    </row>
    <row r="1880" spans="1:7">
      <c r="A1880" s="95"/>
      <c r="B1880" s="854" t="s">
        <v>841</v>
      </c>
      <c r="C1880" s="855"/>
      <c r="D1880" s="37"/>
      <c r="E1880" s="82"/>
      <c r="F1880" s="83"/>
      <c r="G1880" s="111"/>
    </row>
    <row r="1881" spans="1:7" ht="13.5" thickBot="1">
      <c r="A1881" s="95"/>
      <c r="B1881" s="980" t="s">
        <v>841</v>
      </c>
      <c r="C1881" s="981"/>
      <c r="D1881" s="77"/>
      <c r="E1881" s="82"/>
      <c r="F1881" s="86"/>
      <c r="G1881" s="112"/>
    </row>
    <row r="1882" spans="1:7" ht="14.25" thickTop="1" thickBot="1">
      <c r="A1882" s="95"/>
      <c r="B1882" s="946"/>
      <c r="C1882" s="946"/>
      <c r="D1882" s="946"/>
      <c r="E1882" s="947"/>
      <c r="F1882" s="120" t="s">
        <v>856</v>
      </c>
      <c r="G1882" s="118">
        <f>SUM(G1877:G1881)</f>
        <v>17379</v>
      </c>
    </row>
    <row r="1883" spans="1:7" ht="14.25" thickTop="1" thickBot="1">
      <c r="A1883" s="95"/>
      <c r="B1883" s="970"/>
      <c r="C1883" s="970"/>
      <c r="D1883" s="970"/>
      <c r="E1883" s="970"/>
      <c r="F1883" s="970"/>
      <c r="G1883" s="970"/>
    </row>
    <row r="1884" spans="1:7" ht="13.5" thickTop="1">
      <c r="A1884" s="95"/>
      <c r="B1884" s="950" t="s">
        <v>321</v>
      </c>
      <c r="C1884" s="951"/>
      <c r="D1884" s="951"/>
      <c r="E1884" s="951"/>
      <c r="F1884" s="951"/>
      <c r="G1884" s="952"/>
    </row>
    <row r="1885" spans="1:7">
      <c r="A1885" s="95"/>
      <c r="B1885" s="978" t="s">
        <v>838</v>
      </c>
      <c r="C1885" s="979"/>
      <c r="D1885" s="98" t="s">
        <v>301</v>
      </c>
      <c r="E1885" s="98" t="s">
        <v>297</v>
      </c>
      <c r="F1885" s="99" t="s">
        <v>839</v>
      </c>
      <c r="G1885" s="107" t="s">
        <v>840</v>
      </c>
    </row>
    <row r="1886" spans="1:7">
      <c r="A1886" s="95"/>
      <c r="B1886" s="230"/>
      <c r="C1886" s="102"/>
      <c r="D1886" s="103" t="s">
        <v>322</v>
      </c>
      <c r="E1886" s="103" t="s">
        <v>323</v>
      </c>
      <c r="F1886" s="104" t="s">
        <v>324</v>
      </c>
      <c r="G1886" s="109" t="s">
        <v>325</v>
      </c>
    </row>
    <row r="1887" spans="1:7">
      <c r="A1887" s="95"/>
      <c r="B1887" s="841"/>
      <c r="C1887" s="842"/>
      <c r="D1887" s="96"/>
      <c r="E1887" s="96"/>
      <c r="F1887" s="96"/>
      <c r="G1887" s="116"/>
    </row>
    <row r="1888" spans="1:7" ht="13.5" thickBot="1">
      <c r="A1888" s="95"/>
      <c r="B1888" s="980" t="s">
        <v>841</v>
      </c>
      <c r="C1888" s="981"/>
      <c r="D1888" s="77"/>
      <c r="E1888" s="82"/>
      <c r="F1888" s="86"/>
      <c r="G1888" s="112"/>
    </row>
    <row r="1889" spans="1:8" ht="14.25" thickTop="1" thickBot="1">
      <c r="A1889" s="95"/>
      <c r="B1889" s="946"/>
      <c r="C1889" s="946"/>
      <c r="D1889" s="946"/>
      <c r="E1889" s="947"/>
      <c r="F1889" s="120" t="s">
        <v>856</v>
      </c>
      <c r="G1889" s="118">
        <f>SUM(G1884:G1888)</f>
        <v>0</v>
      </c>
    </row>
    <row r="1890" spans="1:8" ht="14.25" thickTop="1" thickBot="1">
      <c r="A1890" s="95"/>
      <c r="B1890" s="970"/>
      <c r="C1890" s="970"/>
      <c r="D1890" s="970"/>
      <c r="E1890" s="970"/>
      <c r="F1890" s="970"/>
      <c r="G1890" s="943"/>
    </row>
    <row r="1891" spans="1:8" ht="13.5" thickTop="1">
      <c r="A1891" s="95"/>
      <c r="B1891" s="950" t="s">
        <v>326</v>
      </c>
      <c r="C1891" s="951"/>
      <c r="D1891" s="951"/>
      <c r="E1891" s="951"/>
      <c r="F1891" s="971"/>
      <c r="G1891" s="121">
        <f>+G1854+G1871+G1882</f>
        <v>47890</v>
      </c>
    </row>
    <row r="1892" spans="1:8">
      <c r="A1892" s="95"/>
      <c r="B1892" s="972" t="s">
        <v>861</v>
      </c>
      <c r="C1892" s="973"/>
      <c r="D1892" s="973"/>
      <c r="E1892" s="974"/>
      <c r="F1892" s="128">
        <f>'MANO DE OBRA'!$D$59</f>
        <v>0</v>
      </c>
      <c r="G1892" s="122">
        <f>ROUND(G1891*F1892,0)</f>
        <v>0</v>
      </c>
    </row>
    <row r="1893" spans="1:8" ht="13.5" thickBot="1">
      <c r="A1893" s="95"/>
      <c r="B1893" s="975" t="s">
        <v>1049</v>
      </c>
      <c r="C1893" s="976"/>
      <c r="D1893" s="976"/>
      <c r="E1893" s="976"/>
      <c r="F1893" s="977"/>
      <c r="G1893" s="118">
        <f>ROUND(G1891+G1892,-2)</f>
        <v>47900</v>
      </c>
      <c r="H1893" s="505" t="s">
        <v>1670</v>
      </c>
    </row>
    <row r="1894" spans="1:8" ht="13.5" thickTop="1">
      <c r="A1894" s="95"/>
      <c r="B1894" s="225" t="s">
        <v>303</v>
      </c>
      <c r="C1894" s="843"/>
      <c r="D1894" s="843"/>
      <c r="E1894" s="843"/>
      <c r="F1894" s="92" t="s">
        <v>781</v>
      </c>
      <c r="G1894" s="93" t="s">
        <v>865</v>
      </c>
      <c r="H1894" s="505"/>
    </row>
    <row r="1895" spans="1:8">
      <c r="A1895" s="95"/>
      <c r="B1895" s="226" t="s">
        <v>834</v>
      </c>
      <c r="C1895" s="844" t="s">
        <v>1352</v>
      </c>
      <c r="D1895" s="844"/>
      <c r="E1895" s="844"/>
      <c r="F1895" s="15" t="s">
        <v>833</v>
      </c>
      <c r="G1895" s="165" t="str">
        <f>'MANO DE OBRA'!D61</f>
        <v>Agosto de 2010</v>
      </c>
    </row>
    <row r="1896" spans="1:8" ht="27.75" customHeight="1" thickBot="1">
      <c r="A1896" s="236"/>
      <c r="B1896" s="240" t="s">
        <v>835</v>
      </c>
      <c r="C1896" s="993" t="s">
        <v>1383</v>
      </c>
      <c r="D1896" s="993"/>
      <c r="E1896" s="993"/>
      <c r="F1896" s="993"/>
      <c r="G1896" s="994"/>
    </row>
    <row r="1897" spans="1:8" ht="14.25" thickTop="1" thickBot="1">
      <c r="A1897" s="95"/>
      <c r="B1897" s="986"/>
      <c r="C1897" s="986"/>
      <c r="D1897" s="986"/>
      <c r="E1897" s="986"/>
      <c r="F1897" s="986"/>
      <c r="G1897" s="986"/>
    </row>
    <row r="1898" spans="1:8" ht="13.5" thickTop="1">
      <c r="A1898" s="95"/>
      <c r="B1898" s="950" t="s">
        <v>304</v>
      </c>
      <c r="C1898" s="951"/>
      <c r="D1898" s="951"/>
      <c r="E1898" s="951"/>
      <c r="F1898" s="951"/>
      <c r="G1898" s="952"/>
    </row>
    <row r="1899" spans="1:8">
      <c r="A1899" s="95"/>
      <c r="B1899" s="229"/>
      <c r="C1899" s="97"/>
      <c r="D1899" s="98" t="s">
        <v>301</v>
      </c>
      <c r="E1899" s="98" t="s">
        <v>1072</v>
      </c>
      <c r="F1899" s="99" t="s">
        <v>839</v>
      </c>
      <c r="G1899" s="107" t="s">
        <v>840</v>
      </c>
    </row>
    <row r="1900" spans="1:8">
      <c r="A1900" s="95"/>
      <c r="B1900" s="982" t="s">
        <v>838</v>
      </c>
      <c r="C1900" s="983"/>
      <c r="D1900" s="100" t="s">
        <v>308</v>
      </c>
      <c r="E1900" s="100" t="s">
        <v>305</v>
      </c>
      <c r="F1900" s="101" t="s">
        <v>306</v>
      </c>
      <c r="G1900" s="108" t="s">
        <v>310</v>
      </c>
    </row>
    <row r="1901" spans="1:8">
      <c r="A1901" s="95"/>
      <c r="B1901" s="230"/>
      <c r="C1901" s="102"/>
      <c r="D1901" s="103"/>
      <c r="E1901" s="103" t="s">
        <v>309</v>
      </c>
      <c r="F1901" s="104" t="s">
        <v>307</v>
      </c>
      <c r="G1901" s="109"/>
    </row>
    <row r="1902" spans="1:8">
      <c r="A1902" s="127"/>
      <c r="B1902" s="841" t="str">
        <f>'MAQUINARIA Y EQUIPOS'!$C$28</f>
        <v>HERRAMIENTAS MENORES</v>
      </c>
      <c r="C1902" s="842"/>
      <c r="D1902" s="87">
        <v>1</v>
      </c>
      <c r="E1902" s="82">
        <f>ROUND(G1934*0.05,0)</f>
        <v>869</v>
      </c>
      <c r="F1902" s="81">
        <v>1</v>
      </c>
      <c r="G1902" s="110">
        <f>ROUND(D1902*E1902/F1902,0)</f>
        <v>869</v>
      </c>
    </row>
    <row r="1903" spans="1:8">
      <c r="A1903" s="125"/>
      <c r="B1903" s="938"/>
      <c r="C1903" s="939"/>
      <c r="D1903" s="37"/>
      <c r="E1903" s="5"/>
      <c r="F1903" s="83"/>
      <c r="G1903" s="111"/>
    </row>
    <row r="1904" spans="1:8">
      <c r="A1904" s="95"/>
      <c r="B1904" s="854"/>
      <c r="C1904" s="855"/>
      <c r="D1904" s="37"/>
      <c r="E1904" s="129"/>
      <c r="F1904" s="83"/>
      <c r="G1904" s="111"/>
    </row>
    <row r="1905" spans="1:8" ht="13.5" thickBot="1">
      <c r="A1905" s="95"/>
      <c r="B1905" s="942" t="s">
        <v>841</v>
      </c>
      <c r="C1905" s="943"/>
      <c r="D1905" s="77"/>
      <c r="E1905" s="106"/>
      <c r="F1905" s="86"/>
      <c r="G1905" s="112"/>
    </row>
    <row r="1906" spans="1:8" ht="14.25" thickTop="1" thickBot="1">
      <c r="A1906" s="95"/>
      <c r="B1906" s="946"/>
      <c r="C1906" s="946"/>
      <c r="D1906" s="946"/>
      <c r="E1906" s="947"/>
      <c r="F1906" s="119" t="s">
        <v>856</v>
      </c>
      <c r="G1906" s="118">
        <f>SUM(G1902:G1905)</f>
        <v>869</v>
      </c>
    </row>
    <row r="1907" spans="1:8" ht="14.25" thickTop="1" thickBot="1">
      <c r="A1907" s="95"/>
      <c r="B1907" s="970"/>
      <c r="C1907" s="970"/>
      <c r="D1907" s="970"/>
      <c r="E1907" s="970"/>
      <c r="F1907" s="970"/>
      <c r="G1907" s="970"/>
    </row>
    <row r="1908" spans="1:8" ht="13.5" thickTop="1">
      <c r="A1908" s="95"/>
      <c r="B1908" s="950" t="s">
        <v>311</v>
      </c>
      <c r="C1908" s="951"/>
      <c r="D1908" s="951"/>
      <c r="E1908" s="951"/>
      <c r="F1908" s="951"/>
      <c r="G1908" s="952"/>
    </row>
    <row r="1909" spans="1:8">
      <c r="A1909" s="95"/>
      <c r="B1909" s="978" t="s">
        <v>838</v>
      </c>
      <c r="C1909" s="979"/>
      <c r="D1909" s="98" t="s">
        <v>842</v>
      </c>
      <c r="E1909" s="98" t="s">
        <v>853</v>
      </c>
      <c r="F1909" s="99" t="s">
        <v>1047</v>
      </c>
      <c r="G1909" s="107" t="s">
        <v>840</v>
      </c>
    </row>
    <row r="1910" spans="1:8">
      <c r="A1910" s="95"/>
      <c r="B1910" s="230"/>
      <c r="C1910" s="102"/>
      <c r="D1910" s="100"/>
      <c r="E1910" s="100" t="s">
        <v>312</v>
      </c>
      <c r="F1910" s="101" t="s">
        <v>313</v>
      </c>
      <c r="G1910" s="108" t="s">
        <v>314</v>
      </c>
    </row>
    <row r="1911" spans="1:8">
      <c r="A1911" s="123"/>
      <c r="B1911" s="841" t="str">
        <f>MATERIALES2!$C$447</f>
        <v>ALAMBRE DE COBRE AISLADO #12</v>
      </c>
      <c r="C1911" s="842"/>
      <c r="D1911" s="87" t="s">
        <v>831</v>
      </c>
      <c r="E1911" s="81">
        <v>9</v>
      </c>
      <c r="F1911" s="80">
        <f>MATERIALES2!$E$447</f>
        <v>1000</v>
      </c>
      <c r="G1911" s="110">
        <f t="shared" ref="G1911:G1920" si="19">ROUND(E1911*F1911,0)</f>
        <v>9000</v>
      </c>
    </row>
    <row r="1912" spans="1:8">
      <c r="A1912" s="123"/>
      <c r="B1912" s="854" t="str">
        <f>MATERIALES2!$C$448</f>
        <v>ALAMBRE DE COBRE AISLADO #14</v>
      </c>
      <c r="C1912" s="855"/>
      <c r="D1912" s="37" t="s">
        <v>831</v>
      </c>
      <c r="E1912" s="83">
        <v>4.5</v>
      </c>
      <c r="F1912" s="82">
        <f>MATERIALES2!$E$448</f>
        <v>700</v>
      </c>
      <c r="G1912" s="111">
        <f t="shared" si="19"/>
        <v>3150</v>
      </c>
    </row>
    <row r="1913" spans="1:8">
      <c r="A1913" s="123"/>
      <c r="B1913" s="854" t="str">
        <f>MATERIALES2!$C$450</f>
        <v>ALAMBRE DESNUDO #16</v>
      </c>
      <c r="C1913" s="855"/>
      <c r="D1913" s="37" t="s">
        <v>831</v>
      </c>
      <c r="E1913" s="83">
        <v>4.5</v>
      </c>
      <c r="F1913" s="82">
        <f>MATERIALES2!$E$450</f>
        <v>297</v>
      </c>
      <c r="G1913" s="111">
        <f>ROUND(E1913*F1913,0)</f>
        <v>1337</v>
      </c>
    </row>
    <row r="1914" spans="1:8">
      <c r="A1914" s="123"/>
      <c r="B1914" s="854" t="str">
        <f>MATERIALES2!$C$550</f>
        <v>TUBO PVC CONDUIT 1/2" x 3.0 M</v>
      </c>
      <c r="C1914" s="855"/>
      <c r="D1914" s="37" t="s">
        <v>865</v>
      </c>
      <c r="E1914" s="83">
        <v>1.5</v>
      </c>
      <c r="F1914" s="82">
        <f>MATERIALES2!$E$550</f>
        <v>5134</v>
      </c>
      <c r="G1914" s="111">
        <f t="shared" si="19"/>
        <v>7701</v>
      </c>
    </row>
    <row r="1915" spans="1:8">
      <c r="A1915" s="123"/>
      <c r="B1915" s="854" t="str">
        <f>MATERIALES2!$C$441</f>
        <v>ADAPTADOR TERMINAL 1/2"</v>
      </c>
      <c r="C1915" s="855"/>
      <c r="D1915" s="37" t="s">
        <v>865</v>
      </c>
      <c r="E1915" s="83">
        <v>2</v>
      </c>
      <c r="F1915" s="82">
        <f>MATERIALES2!$E$441</f>
        <v>212</v>
      </c>
      <c r="G1915" s="111">
        <f t="shared" si="19"/>
        <v>424</v>
      </c>
    </row>
    <row r="1916" spans="1:8">
      <c r="A1916" s="123"/>
      <c r="B1916" s="984" t="str">
        <f>MATERIALES2!$C$476</f>
        <v>CAJA ELECTRICA RECTANGULAR METALICA</v>
      </c>
      <c r="C1916" s="985"/>
      <c r="D1916" s="37" t="s">
        <v>865</v>
      </c>
      <c r="E1916" s="83">
        <v>1</v>
      </c>
      <c r="F1916" s="82">
        <f>MATERIALES2!$E$476</f>
        <v>500</v>
      </c>
      <c r="G1916" s="111">
        <f t="shared" si="19"/>
        <v>500</v>
      </c>
    </row>
    <row r="1917" spans="1:8">
      <c r="A1917" s="123"/>
      <c r="B1917" s="984" t="str">
        <f>MATERIALES2!$C$475</f>
        <v>CAJA ELECTRICA OCTOGONAL PVC</v>
      </c>
      <c r="C1917" s="985"/>
      <c r="D1917" s="37" t="s">
        <v>865</v>
      </c>
      <c r="E1917" s="83">
        <v>1</v>
      </c>
      <c r="F1917" s="82">
        <f>MATERIALES2!$E$475</f>
        <v>1200</v>
      </c>
      <c r="G1917" s="111">
        <f t="shared" si="19"/>
        <v>1200</v>
      </c>
    </row>
    <row r="1918" spans="1:8">
      <c r="A1918" s="123"/>
      <c r="B1918" s="854" t="str">
        <f>MATERIALES2!$C$485</f>
        <v>CINTA AISLANTE 3M</v>
      </c>
      <c r="C1918" s="855"/>
      <c r="D1918" s="37" t="s">
        <v>865</v>
      </c>
      <c r="E1918" s="83">
        <v>0.2</v>
      </c>
      <c r="F1918" s="82">
        <f>MATERIALES2!$E$485</f>
        <v>5500</v>
      </c>
      <c r="G1918" s="111">
        <f t="shared" si="19"/>
        <v>1100</v>
      </c>
    </row>
    <row r="1919" spans="1:8">
      <c r="A1919" s="123"/>
      <c r="B1919" s="854" t="str">
        <f>MATERIALES2!$C$518</f>
        <v>PLAFON LOZA</v>
      </c>
      <c r="C1919" s="855"/>
      <c r="D1919" s="37" t="s">
        <v>865</v>
      </c>
      <c r="E1919" s="83">
        <v>1</v>
      </c>
      <c r="F1919" s="82">
        <f>MATERIALES2!$E$518</f>
        <v>1318</v>
      </c>
      <c r="G1919" s="111">
        <f t="shared" si="19"/>
        <v>1318</v>
      </c>
      <c r="H1919" s="505" t="s">
        <v>1670</v>
      </c>
    </row>
    <row r="1920" spans="1:8" ht="13.5" thickBot="1">
      <c r="A1920" s="123"/>
      <c r="B1920" s="854" t="str">
        <f>MATERIALES2!$C$507</f>
        <v>INTERRUPTOR SENCILLO LUMINEX</v>
      </c>
      <c r="C1920" s="855"/>
      <c r="D1920" s="37" t="s">
        <v>865</v>
      </c>
      <c r="E1920" s="83">
        <v>1</v>
      </c>
      <c r="F1920" s="82">
        <f>MATERIALES2!$E$507</f>
        <v>2500</v>
      </c>
      <c r="G1920" s="111">
        <f t="shared" si="19"/>
        <v>2500</v>
      </c>
    </row>
    <row r="1921" spans="1:7" ht="13.5" thickTop="1">
      <c r="A1921" s="95"/>
      <c r="B1921" s="946"/>
      <c r="C1921" s="947"/>
      <c r="D1921" s="801" t="s">
        <v>856</v>
      </c>
      <c r="E1921" s="802"/>
      <c r="F1921" s="9"/>
      <c r="G1921" s="113">
        <f>SUM(G1911:G1920)</f>
        <v>28230</v>
      </c>
    </row>
    <row r="1922" spans="1:7">
      <c r="A1922" s="95"/>
      <c r="B1922" s="948"/>
      <c r="C1922" s="949"/>
      <c r="D1922" s="801" t="s">
        <v>857</v>
      </c>
      <c r="E1922" s="802"/>
      <c r="F1922" s="79">
        <f>'MANO DE OBRA'!$D$60</f>
        <v>0.05</v>
      </c>
      <c r="G1922" s="113">
        <f>ROUND(G1921*F1922,0)</f>
        <v>1412</v>
      </c>
    </row>
    <row r="1923" spans="1:7" ht="13.5" thickBot="1">
      <c r="A1923" s="95"/>
      <c r="B1923" s="948"/>
      <c r="C1923" s="949"/>
      <c r="D1923" s="803" t="s">
        <v>320</v>
      </c>
      <c r="E1923" s="804"/>
      <c r="F1923" s="114"/>
      <c r="G1923" s="118">
        <f>+G1921+G1922</f>
        <v>29642</v>
      </c>
    </row>
    <row r="1924" spans="1:7" ht="14.25" thickTop="1" thickBot="1">
      <c r="A1924" s="95"/>
      <c r="B1924" s="970"/>
      <c r="C1924" s="970"/>
      <c r="D1924" s="970"/>
      <c r="E1924" s="970"/>
      <c r="F1924" s="970"/>
      <c r="G1924" s="970"/>
    </row>
    <row r="1925" spans="1:7" ht="13.5" thickTop="1">
      <c r="A1925" s="95"/>
      <c r="B1925" s="950" t="s">
        <v>858</v>
      </c>
      <c r="C1925" s="951"/>
      <c r="D1925" s="951"/>
      <c r="E1925" s="951"/>
      <c r="F1925" s="951"/>
      <c r="G1925" s="952"/>
    </row>
    <row r="1926" spans="1:7">
      <c r="A1926" s="95"/>
      <c r="B1926" s="978"/>
      <c r="C1926" s="979"/>
      <c r="D1926" s="98" t="s">
        <v>301</v>
      </c>
      <c r="E1926" s="98" t="s">
        <v>859</v>
      </c>
      <c r="F1926" s="99" t="s">
        <v>839</v>
      </c>
      <c r="G1926" s="107" t="s">
        <v>840</v>
      </c>
    </row>
    <row r="1927" spans="1:7">
      <c r="A1927" s="95"/>
      <c r="B1927" s="982" t="s">
        <v>838</v>
      </c>
      <c r="C1927" s="983"/>
      <c r="D1927" s="100" t="s">
        <v>316</v>
      </c>
      <c r="E1927" s="100" t="s">
        <v>315</v>
      </c>
      <c r="F1927" s="101" t="s">
        <v>306</v>
      </c>
      <c r="G1927" s="108" t="s">
        <v>319</v>
      </c>
    </row>
    <row r="1928" spans="1:7">
      <c r="A1928" s="95"/>
      <c r="B1928" s="230"/>
      <c r="C1928" s="102"/>
      <c r="D1928" s="103"/>
      <c r="E1928" s="103" t="s">
        <v>317</v>
      </c>
      <c r="F1928" s="104" t="s">
        <v>318</v>
      </c>
      <c r="G1928" s="109"/>
    </row>
    <row r="1929" spans="1:7">
      <c r="A1929" s="95"/>
      <c r="B1929" s="841" t="str">
        <f>'MANO DE OBRA'!$B$11</f>
        <v>AYUDANTE CUAD. TIPO BB</v>
      </c>
      <c r="C1929" s="842"/>
      <c r="D1929" s="87">
        <v>1</v>
      </c>
      <c r="E1929" s="80">
        <f>'MANO DE OBRA'!$E$11</f>
        <v>43077</v>
      </c>
      <c r="F1929" s="81">
        <v>7</v>
      </c>
      <c r="G1929" s="110">
        <f>ROUND(D1929*E1929/F1929,0)</f>
        <v>6154</v>
      </c>
    </row>
    <row r="1930" spans="1:7">
      <c r="A1930" s="95"/>
      <c r="B1930" s="854" t="str">
        <f>'MANO DE OBRA'!$B$16</f>
        <v>OFICIAL CUAD. TIPO BB</v>
      </c>
      <c r="C1930" s="855"/>
      <c r="D1930" s="37">
        <v>1</v>
      </c>
      <c r="E1930" s="82">
        <f>'MANO DE OBRA'!$E$16</f>
        <v>78577</v>
      </c>
      <c r="F1930" s="83">
        <v>7</v>
      </c>
      <c r="G1930" s="111">
        <f>ROUND(D1930*E1930/F1930,0)</f>
        <v>11225</v>
      </c>
    </row>
    <row r="1931" spans="1:7">
      <c r="A1931" s="95"/>
      <c r="B1931" s="854"/>
      <c r="C1931" s="855"/>
      <c r="D1931" s="89"/>
      <c r="E1931" s="82"/>
      <c r="F1931" s="83"/>
      <c r="G1931" s="111"/>
    </row>
    <row r="1932" spans="1:7">
      <c r="A1932" s="95"/>
      <c r="B1932" s="854" t="s">
        <v>841</v>
      </c>
      <c r="C1932" s="855"/>
      <c r="D1932" s="37"/>
      <c r="E1932" s="82"/>
      <c r="F1932" s="83"/>
      <c r="G1932" s="111"/>
    </row>
    <row r="1933" spans="1:7" ht="13.5" thickBot="1">
      <c r="A1933" s="95"/>
      <c r="B1933" s="980" t="s">
        <v>841</v>
      </c>
      <c r="C1933" s="981"/>
      <c r="D1933" s="77"/>
      <c r="E1933" s="82"/>
      <c r="F1933" s="86"/>
      <c r="G1933" s="112"/>
    </row>
    <row r="1934" spans="1:7" ht="14.25" thickTop="1" thickBot="1">
      <c r="A1934" s="95"/>
      <c r="B1934" s="946"/>
      <c r="C1934" s="946"/>
      <c r="D1934" s="946"/>
      <c r="E1934" s="947"/>
      <c r="F1934" s="120" t="s">
        <v>856</v>
      </c>
      <c r="G1934" s="118">
        <f>SUM(G1929:G1933)</f>
        <v>17379</v>
      </c>
    </row>
    <row r="1935" spans="1:7" ht="14.25" thickTop="1" thickBot="1">
      <c r="A1935" s="95"/>
      <c r="B1935" s="970"/>
      <c r="C1935" s="970"/>
      <c r="D1935" s="970"/>
      <c r="E1935" s="970"/>
      <c r="F1935" s="970"/>
      <c r="G1935" s="970"/>
    </row>
    <row r="1936" spans="1:7" ht="13.5" thickTop="1">
      <c r="A1936" s="95"/>
      <c r="B1936" s="950" t="s">
        <v>321</v>
      </c>
      <c r="C1936" s="951"/>
      <c r="D1936" s="951"/>
      <c r="E1936" s="951"/>
      <c r="F1936" s="951"/>
      <c r="G1936" s="952"/>
    </row>
    <row r="1937" spans="1:8">
      <c r="A1937" s="95"/>
      <c r="B1937" s="978" t="s">
        <v>838</v>
      </c>
      <c r="C1937" s="979"/>
      <c r="D1937" s="98" t="s">
        <v>301</v>
      </c>
      <c r="E1937" s="98" t="s">
        <v>297</v>
      </c>
      <c r="F1937" s="99" t="s">
        <v>839</v>
      </c>
      <c r="G1937" s="107" t="s">
        <v>840</v>
      </c>
    </row>
    <row r="1938" spans="1:8">
      <c r="A1938" s="95"/>
      <c r="B1938" s="230"/>
      <c r="C1938" s="102"/>
      <c r="D1938" s="103" t="s">
        <v>322</v>
      </c>
      <c r="E1938" s="103" t="s">
        <v>323</v>
      </c>
      <c r="F1938" s="104" t="s">
        <v>324</v>
      </c>
      <c r="G1938" s="109" t="s">
        <v>325</v>
      </c>
    </row>
    <row r="1939" spans="1:8">
      <c r="A1939" s="95"/>
      <c r="B1939" s="841"/>
      <c r="C1939" s="842"/>
      <c r="D1939" s="96"/>
      <c r="E1939" s="96"/>
      <c r="F1939" s="96"/>
      <c r="G1939" s="116"/>
    </row>
    <row r="1940" spans="1:8" ht="13.5" thickBot="1">
      <c r="A1940" s="95"/>
      <c r="B1940" s="980" t="s">
        <v>841</v>
      </c>
      <c r="C1940" s="981"/>
      <c r="D1940" s="77"/>
      <c r="E1940" s="82"/>
      <c r="F1940" s="86"/>
      <c r="G1940" s="112"/>
    </row>
    <row r="1941" spans="1:8" ht="14.25" thickTop="1" thickBot="1">
      <c r="A1941" s="95"/>
      <c r="B1941" s="946"/>
      <c r="C1941" s="946"/>
      <c r="D1941" s="946"/>
      <c r="E1941" s="947"/>
      <c r="F1941" s="120" t="s">
        <v>856</v>
      </c>
      <c r="G1941" s="118">
        <f>SUM(G1936:G1940)</f>
        <v>0</v>
      </c>
    </row>
    <row r="1942" spans="1:8" ht="14.25" thickTop="1" thickBot="1">
      <c r="A1942" s="95"/>
      <c r="B1942" s="970"/>
      <c r="C1942" s="970"/>
      <c r="D1942" s="970"/>
      <c r="E1942" s="970"/>
      <c r="F1942" s="970"/>
      <c r="G1942" s="943"/>
    </row>
    <row r="1943" spans="1:8" ht="13.5" thickTop="1">
      <c r="A1943" s="95"/>
      <c r="B1943" s="950" t="s">
        <v>326</v>
      </c>
      <c r="C1943" s="951"/>
      <c r="D1943" s="951"/>
      <c r="E1943" s="951"/>
      <c r="F1943" s="971"/>
      <c r="G1943" s="121">
        <f>+G1906+G1923+G1934</f>
        <v>47890</v>
      </c>
    </row>
    <row r="1944" spans="1:8">
      <c r="A1944" s="95"/>
      <c r="B1944" s="972" t="s">
        <v>861</v>
      </c>
      <c r="C1944" s="973"/>
      <c r="D1944" s="973"/>
      <c r="E1944" s="974"/>
      <c r="F1944" s="128">
        <f>'MANO DE OBRA'!$D$59</f>
        <v>0</v>
      </c>
      <c r="G1944" s="122">
        <f>ROUND(G1943*F1944,0)</f>
        <v>0</v>
      </c>
    </row>
    <row r="1945" spans="1:8" ht="13.5" thickBot="1">
      <c r="A1945" s="95"/>
      <c r="B1945" s="975" t="s">
        <v>1049</v>
      </c>
      <c r="C1945" s="976"/>
      <c r="D1945" s="976"/>
      <c r="E1945" s="976"/>
      <c r="F1945" s="977"/>
      <c r="G1945" s="118">
        <f>ROUND(G1943+G1944,-2)</f>
        <v>47900</v>
      </c>
      <c r="H1945" s="505" t="s">
        <v>1670</v>
      </c>
    </row>
    <row r="1946" spans="1:8" ht="13.5" thickTop="1">
      <c r="A1946" s="95"/>
      <c r="B1946" s="225" t="s">
        <v>303</v>
      </c>
      <c r="C1946" s="843"/>
      <c r="D1946" s="843"/>
      <c r="E1946" s="843"/>
      <c r="F1946" s="92" t="s">
        <v>781</v>
      </c>
      <c r="G1946" s="93" t="s">
        <v>865</v>
      </c>
    </row>
    <row r="1947" spans="1:8">
      <c r="A1947" s="95"/>
      <c r="B1947" s="226" t="s">
        <v>834</v>
      </c>
      <c r="C1947" s="844" t="s">
        <v>1352</v>
      </c>
      <c r="D1947" s="844"/>
      <c r="E1947" s="844"/>
      <c r="F1947" s="15" t="s">
        <v>833</v>
      </c>
      <c r="G1947" s="165" t="str">
        <f>'MANO DE OBRA'!D61</f>
        <v>Agosto de 2010</v>
      </c>
    </row>
    <row r="1948" spans="1:8" ht="14.25" customHeight="1" thickBot="1">
      <c r="A1948" s="236"/>
      <c r="B1948" s="240" t="s">
        <v>835</v>
      </c>
      <c r="C1948" s="987" t="s">
        <v>1366</v>
      </c>
      <c r="D1948" s="987"/>
      <c r="E1948" s="987"/>
      <c r="F1948" s="987"/>
      <c r="G1948" s="988"/>
    </row>
    <row r="1949" spans="1:8" ht="14.25" thickTop="1" thickBot="1">
      <c r="A1949" s="95"/>
      <c r="B1949" s="986"/>
      <c r="C1949" s="986"/>
      <c r="D1949" s="986"/>
      <c r="E1949" s="986"/>
      <c r="F1949" s="986"/>
      <c r="G1949" s="986"/>
    </row>
    <row r="1950" spans="1:8" ht="13.5" thickTop="1">
      <c r="A1950" s="95"/>
      <c r="B1950" s="950" t="s">
        <v>304</v>
      </c>
      <c r="C1950" s="951"/>
      <c r="D1950" s="951"/>
      <c r="E1950" s="951"/>
      <c r="F1950" s="951"/>
      <c r="G1950" s="952"/>
    </row>
    <row r="1951" spans="1:8">
      <c r="A1951" s="95"/>
      <c r="B1951" s="229"/>
      <c r="C1951" s="97"/>
      <c r="D1951" s="98" t="s">
        <v>301</v>
      </c>
      <c r="E1951" s="98" t="s">
        <v>1072</v>
      </c>
      <c r="F1951" s="99" t="s">
        <v>839</v>
      </c>
      <c r="G1951" s="107" t="s">
        <v>840</v>
      </c>
    </row>
    <row r="1952" spans="1:8">
      <c r="A1952" s="95"/>
      <c r="B1952" s="982" t="s">
        <v>838</v>
      </c>
      <c r="C1952" s="983"/>
      <c r="D1952" s="100" t="s">
        <v>308</v>
      </c>
      <c r="E1952" s="100" t="s">
        <v>305</v>
      </c>
      <c r="F1952" s="101" t="s">
        <v>306</v>
      </c>
      <c r="G1952" s="108" t="s">
        <v>310</v>
      </c>
    </row>
    <row r="1953" spans="1:7">
      <c r="A1953" s="95"/>
      <c r="B1953" s="230"/>
      <c r="C1953" s="102"/>
      <c r="D1953" s="103"/>
      <c r="E1953" s="103" t="s">
        <v>309</v>
      </c>
      <c r="F1953" s="104" t="s">
        <v>307</v>
      </c>
      <c r="G1953" s="109"/>
    </row>
    <row r="1954" spans="1:7">
      <c r="A1954" s="127"/>
      <c r="B1954" s="841" t="str">
        <f>'MAQUINARIA Y EQUIPOS'!$C$28</f>
        <v>HERRAMIENTAS MENORES</v>
      </c>
      <c r="C1954" s="842"/>
      <c r="D1954" s="87">
        <v>1</v>
      </c>
      <c r="E1954" s="82">
        <f>ROUND(G1986*0.05,0)</f>
        <v>869</v>
      </c>
      <c r="F1954" s="81">
        <v>1</v>
      </c>
      <c r="G1954" s="110">
        <f>ROUND(D1954*E1954/F1954,0)</f>
        <v>869</v>
      </c>
    </row>
    <row r="1955" spans="1:7">
      <c r="A1955" s="125"/>
      <c r="B1955" s="938"/>
      <c r="C1955" s="939"/>
      <c r="D1955" s="37"/>
      <c r="E1955" s="5"/>
      <c r="F1955" s="83"/>
      <c r="G1955" s="111"/>
    </row>
    <row r="1956" spans="1:7">
      <c r="A1956" s="95"/>
      <c r="B1956" s="854"/>
      <c r="C1956" s="855"/>
      <c r="D1956" s="37"/>
      <c r="E1956" s="129"/>
      <c r="F1956" s="83"/>
      <c r="G1956" s="111"/>
    </row>
    <row r="1957" spans="1:7" ht="13.5" thickBot="1">
      <c r="A1957" s="95"/>
      <c r="B1957" s="942" t="s">
        <v>841</v>
      </c>
      <c r="C1957" s="943"/>
      <c r="D1957" s="77"/>
      <c r="E1957" s="106"/>
      <c r="F1957" s="86"/>
      <c r="G1957" s="112"/>
    </row>
    <row r="1958" spans="1:7" ht="14.25" thickTop="1" thickBot="1">
      <c r="A1958" s="95"/>
      <c r="B1958" s="946"/>
      <c r="C1958" s="946"/>
      <c r="D1958" s="946"/>
      <c r="E1958" s="947"/>
      <c r="F1958" s="119" t="s">
        <v>856</v>
      </c>
      <c r="G1958" s="118">
        <f>SUM(G1954:G1957)</f>
        <v>869</v>
      </c>
    </row>
    <row r="1959" spans="1:7" ht="14.25" thickTop="1" thickBot="1">
      <c r="A1959" s="95"/>
      <c r="B1959" s="970"/>
      <c r="C1959" s="970"/>
      <c r="D1959" s="970"/>
      <c r="E1959" s="970"/>
      <c r="F1959" s="970"/>
      <c r="G1959" s="970"/>
    </row>
    <row r="1960" spans="1:7" ht="13.5" thickTop="1">
      <c r="A1960" s="95"/>
      <c r="B1960" s="950" t="s">
        <v>311</v>
      </c>
      <c r="C1960" s="951"/>
      <c r="D1960" s="951"/>
      <c r="E1960" s="951"/>
      <c r="F1960" s="951"/>
      <c r="G1960" s="952"/>
    </row>
    <row r="1961" spans="1:7">
      <c r="A1961" s="95"/>
      <c r="B1961" s="978" t="s">
        <v>838</v>
      </c>
      <c r="C1961" s="979"/>
      <c r="D1961" s="98" t="s">
        <v>842</v>
      </c>
      <c r="E1961" s="98" t="s">
        <v>853</v>
      </c>
      <c r="F1961" s="99" t="s">
        <v>1047</v>
      </c>
      <c r="G1961" s="107" t="s">
        <v>840</v>
      </c>
    </row>
    <row r="1962" spans="1:7">
      <c r="A1962" s="95"/>
      <c r="B1962" s="230"/>
      <c r="C1962" s="102"/>
      <c r="D1962" s="100"/>
      <c r="E1962" s="100" t="s">
        <v>312</v>
      </c>
      <c r="F1962" s="101" t="s">
        <v>313</v>
      </c>
      <c r="G1962" s="108" t="s">
        <v>314</v>
      </c>
    </row>
    <row r="1963" spans="1:7">
      <c r="A1963" s="123"/>
      <c r="B1963" s="841" t="str">
        <f>MATERIALES2!$C$447</f>
        <v>ALAMBRE DE COBRE AISLADO #12</v>
      </c>
      <c r="C1963" s="842"/>
      <c r="D1963" s="87" t="s">
        <v>831</v>
      </c>
      <c r="E1963" s="81">
        <v>9</v>
      </c>
      <c r="F1963" s="80">
        <f>MATERIALES2!$E$447</f>
        <v>1000</v>
      </c>
      <c r="G1963" s="110">
        <f t="shared" ref="G1963:G1968" si="20">ROUND(E1963*F1963,0)</f>
        <v>9000</v>
      </c>
    </row>
    <row r="1964" spans="1:7">
      <c r="A1964" s="123"/>
      <c r="B1964" s="854" t="str">
        <f>MATERIALES2!$C$449</f>
        <v>ALAMBRE DESNUDO #14</v>
      </c>
      <c r="C1964" s="855"/>
      <c r="D1964" s="37" t="s">
        <v>831</v>
      </c>
      <c r="E1964" s="83">
        <v>4.5</v>
      </c>
      <c r="F1964" s="82">
        <f>MATERIALES2!$E$449</f>
        <v>398</v>
      </c>
      <c r="G1964" s="111">
        <f>ROUND(E1964*F1964,0)</f>
        <v>1791</v>
      </c>
    </row>
    <row r="1965" spans="1:7">
      <c r="A1965" s="123"/>
      <c r="B1965" s="854" t="str">
        <f>MATERIALES2!$C$550</f>
        <v>TUBO PVC CONDUIT 1/2" x 3.0 M</v>
      </c>
      <c r="C1965" s="855"/>
      <c r="D1965" s="37" t="s">
        <v>865</v>
      </c>
      <c r="E1965" s="83">
        <v>1.5</v>
      </c>
      <c r="F1965" s="82">
        <f>MATERIALES2!$E$550</f>
        <v>5134</v>
      </c>
      <c r="G1965" s="111">
        <f t="shared" si="20"/>
        <v>7701</v>
      </c>
    </row>
    <row r="1966" spans="1:7">
      <c r="A1966" s="123"/>
      <c r="B1966" s="854" t="str">
        <f>MATERIALES2!$C$441</f>
        <v>ADAPTADOR TERMINAL 1/2"</v>
      </c>
      <c r="C1966" s="855"/>
      <c r="D1966" s="37" t="s">
        <v>865</v>
      </c>
      <c r="E1966" s="83">
        <v>2</v>
      </c>
      <c r="F1966" s="82">
        <f>MATERIALES2!$E$441</f>
        <v>212</v>
      </c>
      <c r="G1966" s="111">
        <f t="shared" si="20"/>
        <v>424</v>
      </c>
    </row>
    <row r="1967" spans="1:7">
      <c r="A1967" s="123"/>
      <c r="B1967" s="984" t="str">
        <f>MATERIALES2!$C$476</f>
        <v>CAJA ELECTRICA RECTANGULAR METALICA</v>
      </c>
      <c r="C1967" s="985"/>
      <c r="D1967" s="37" t="s">
        <v>865</v>
      </c>
      <c r="E1967" s="83">
        <v>1</v>
      </c>
      <c r="F1967" s="82">
        <f>MATERIALES2!$E$476</f>
        <v>500</v>
      </c>
      <c r="G1967" s="111">
        <f t="shared" si="20"/>
        <v>500</v>
      </c>
    </row>
    <row r="1968" spans="1:7">
      <c r="A1968" s="123"/>
      <c r="B1968" s="854" t="str">
        <f>MATERIALES2!$C$485</f>
        <v>CINTA AISLANTE 3M</v>
      </c>
      <c r="C1968" s="855"/>
      <c r="D1968" s="37" t="s">
        <v>865</v>
      </c>
      <c r="E1968" s="83">
        <v>0.2</v>
      </c>
      <c r="F1968" s="82">
        <f>MATERIALES2!$E$485</f>
        <v>5500</v>
      </c>
      <c r="G1968" s="111">
        <f t="shared" si="20"/>
        <v>1100</v>
      </c>
    </row>
    <row r="1969" spans="1:8">
      <c r="A1969" s="123"/>
      <c r="B1969" s="854" t="str">
        <f>MATERIALES2!$C$537</f>
        <v>TOMA DOBLE LEVINTONG</v>
      </c>
      <c r="C1969" s="855"/>
      <c r="D1969" s="37" t="s">
        <v>865</v>
      </c>
      <c r="E1969" s="83">
        <v>1</v>
      </c>
      <c r="F1969" s="82">
        <f>MATERIALES2!$E$537</f>
        <v>9925</v>
      </c>
      <c r="G1969" s="111">
        <f>ROUND(E1969*F1969,0)</f>
        <v>9925</v>
      </c>
    </row>
    <row r="1970" spans="1:8">
      <c r="A1970" s="123"/>
      <c r="B1970" s="854"/>
      <c r="C1970" s="855"/>
      <c r="D1970" s="37"/>
      <c r="E1970" s="83"/>
      <c r="F1970" s="82"/>
      <c r="G1970" s="111"/>
    </row>
    <row r="1971" spans="1:8">
      <c r="A1971" s="123"/>
      <c r="B1971" s="854"/>
      <c r="C1971" s="855"/>
      <c r="D1971" s="37"/>
      <c r="E1971" s="83"/>
      <c r="F1971" s="82"/>
      <c r="G1971" s="111"/>
      <c r="H1971" s="505" t="s">
        <v>1670</v>
      </c>
    </row>
    <row r="1972" spans="1:8" ht="13.5" thickBot="1">
      <c r="A1972" s="125"/>
      <c r="B1972" s="942"/>
      <c r="C1972" s="943"/>
      <c r="D1972" s="251"/>
      <c r="E1972" s="86"/>
      <c r="F1972" s="82"/>
      <c r="G1972" s="111"/>
    </row>
    <row r="1973" spans="1:8" ht="13.5" thickTop="1">
      <c r="A1973" s="95"/>
      <c r="B1973" s="946"/>
      <c r="C1973" s="947"/>
      <c r="D1973" s="801" t="s">
        <v>856</v>
      </c>
      <c r="E1973" s="802"/>
      <c r="F1973" s="9"/>
      <c r="G1973" s="113">
        <f>SUM(G1963:G1971)</f>
        <v>30441</v>
      </c>
    </row>
    <row r="1974" spans="1:8">
      <c r="A1974" s="95"/>
      <c r="B1974" s="948"/>
      <c r="C1974" s="949"/>
      <c r="D1974" s="801" t="s">
        <v>857</v>
      </c>
      <c r="E1974" s="802"/>
      <c r="F1974" s="79">
        <f>'MANO DE OBRA'!$D$60</f>
        <v>0.05</v>
      </c>
      <c r="G1974" s="113">
        <f>ROUND(G1973*F1974,0)</f>
        <v>1522</v>
      </c>
    </row>
    <row r="1975" spans="1:8" ht="13.5" thickBot="1">
      <c r="A1975" s="95"/>
      <c r="B1975" s="948"/>
      <c r="C1975" s="949"/>
      <c r="D1975" s="803" t="s">
        <v>320</v>
      </c>
      <c r="E1975" s="804"/>
      <c r="F1975" s="114"/>
      <c r="G1975" s="118">
        <f>+G1973+G1974</f>
        <v>31963</v>
      </c>
    </row>
    <row r="1976" spans="1:8" ht="14.25" thickTop="1" thickBot="1">
      <c r="A1976" s="95"/>
      <c r="B1976" s="970"/>
      <c r="C1976" s="970"/>
      <c r="D1976" s="970"/>
      <c r="E1976" s="970"/>
      <c r="F1976" s="970"/>
      <c r="G1976" s="970"/>
    </row>
    <row r="1977" spans="1:8" ht="13.5" thickTop="1">
      <c r="A1977" s="95"/>
      <c r="B1977" s="950" t="s">
        <v>858</v>
      </c>
      <c r="C1977" s="951"/>
      <c r="D1977" s="951"/>
      <c r="E1977" s="951"/>
      <c r="F1977" s="951"/>
      <c r="G1977" s="952"/>
    </row>
    <row r="1978" spans="1:8">
      <c r="A1978" s="95"/>
      <c r="B1978" s="978"/>
      <c r="C1978" s="979"/>
      <c r="D1978" s="98" t="s">
        <v>301</v>
      </c>
      <c r="E1978" s="98" t="s">
        <v>859</v>
      </c>
      <c r="F1978" s="99" t="s">
        <v>839</v>
      </c>
      <c r="G1978" s="107" t="s">
        <v>840</v>
      </c>
    </row>
    <row r="1979" spans="1:8">
      <c r="A1979" s="95"/>
      <c r="B1979" s="982" t="s">
        <v>838</v>
      </c>
      <c r="C1979" s="983"/>
      <c r="D1979" s="100" t="s">
        <v>316</v>
      </c>
      <c r="E1979" s="100" t="s">
        <v>315</v>
      </c>
      <c r="F1979" s="101" t="s">
        <v>306</v>
      </c>
      <c r="G1979" s="108" t="s">
        <v>319</v>
      </c>
    </row>
    <row r="1980" spans="1:8">
      <c r="A1980" s="95"/>
      <c r="B1980" s="230"/>
      <c r="C1980" s="102"/>
      <c r="D1980" s="103"/>
      <c r="E1980" s="103" t="s">
        <v>317</v>
      </c>
      <c r="F1980" s="104" t="s">
        <v>318</v>
      </c>
      <c r="G1980" s="109"/>
    </row>
    <row r="1981" spans="1:8">
      <c r="A1981" s="95"/>
      <c r="B1981" s="841" t="str">
        <f>'MANO DE OBRA'!$B$11</f>
        <v>AYUDANTE CUAD. TIPO BB</v>
      </c>
      <c r="C1981" s="842"/>
      <c r="D1981" s="87">
        <v>1</v>
      </c>
      <c r="E1981" s="80">
        <f>'MANO DE OBRA'!$E$11</f>
        <v>43077</v>
      </c>
      <c r="F1981" s="81">
        <v>7</v>
      </c>
      <c r="G1981" s="110">
        <f>ROUND(D1981*E1981/F1981,0)</f>
        <v>6154</v>
      </c>
    </row>
    <row r="1982" spans="1:8">
      <c r="A1982" s="95"/>
      <c r="B1982" s="854" t="str">
        <f>'MANO DE OBRA'!$B$16</f>
        <v>OFICIAL CUAD. TIPO BB</v>
      </c>
      <c r="C1982" s="855"/>
      <c r="D1982" s="37">
        <v>1</v>
      </c>
      <c r="E1982" s="82">
        <f>'MANO DE OBRA'!$E$16</f>
        <v>78577</v>
      </c>
      <c r="F1982" s="83">
        <v>7</v>
      </c>
      <c r="G1982" s="111">
        <f>ROUND(D1982*E1982/F1982,0)</f>
        <v>11225</v>
      </c>
    </row>
    <row r="1983" spans="1:8">
      <c r="A1983" s="95"/>
      <c r="B1983" s="854"/>
      <c r="C1983" s="855"/>
      <c r="D1983" s="89"/>
      <c r="E1983" s="82"/>
      <c r="F1983" s="83"/>
      <c r="G1983" s="111"/>
    </row>
    <row r="1984" spans="1:8">
      <c r="A1984" s="95"/>
      <c r="B1984" s="854" t="s">
        <v>841</v>
      </c>
      <c r="C1984" s="855"/>
      <c r="D1984" s="37"/>
      <c r="E1984" s="82"/>
      <c r="F1984" s="83"/>
      <c r="G1984" s="111"/>
    </row>
    <row r="1985" spans="1:8" ht="13.5" thickBot="1">
      <c r="A1985" s="95"/>
      <c r="B1985" s="980" t="s">
        <v>841</v>
      </c>
      <c r="C1985" s="981"/>
      <c r="D1985" s="77"/>
      <c r="E1985" s="82"/>
      <c r="F1985" s="86"/>
      <c r="G1985" s="112"/>
    </row>
    <row r="1986" spans="1:8" ht="14.25" thickTop="1" thickBot="1">
      <c r="A1986" s="95"/>
      <c r="B1986" s="946"/>
      <c r="C1986" s="946"/>
      <c r="D1986" s="946"/>
      <c r="E1986" s="947"/>
      <c r="F1986" s="120" t="s">
        <v>856</v>
      </c>
      <c r="G1986" s="118">
        <f>SUM(G1981:G1985)</f>
        <v>17379</v>
      </c>
    </row>
    <row r="1987" spans="1:8" ht="14.25" thickTop="1" thickBot="1">
      <c r="A1987" s="95"/>
      <c r="B1987" s="970"/>
      <c r="C1987" s="970"/>
      <c r="D1987" s="970"/>
      <c r="E1987" s="970"/>
      <c r="F1987" s="970"/>
      <c r="G1987" s="970"/>
    </row>
    <row r="1988" spans="1:8" ht="13.5" thickTop="1">
      <c r="A1988" s="95"/>
      <c r="B1988" s="950" t="s">
        <v>321</v>
      </c>
      <c r="C1988" s="951"/>
      <c r="D1988" s="951"/>
      <c r="E1988" s="951"/>
      <c r="F1988" s="951"/>
      <c r="G1988" s="952"/>
    </row>
    <row r="1989" spans="1:8">
      <c r="A1989" s="95"/>
      <c r="B1989" s="978" t="s">
        <v>838</v>
      </c>
      <c r="C1989" s="979"/>
      <c r="D1989" s="98" t="s">
        <v>301</v>
      </c>
      <c r="E1989" s="98" t="s">
        <v>297</v>
      </c>
      <c r="F1989" s="99" t="s">
        <v>839</v>
      </c>
      <c r="G1989" s="107" t="s">
        <v>840</v>
      </c>
    </row>
    <row r="1990" spans="1:8">
      <c r="A1990" s="95"/>
      <c r="B1990" s="230"/>
      <c r="C1990" s="102"/>
      <c r="D1990" s="103" t="s">
        <v>322</v>
      </c>
      <c r="E1990" s="103" t="s">
        <v>323</v>
      </c>
      <c r="F1990" s="104" t="s">
        <v>324</v>
      </c>
      <c r="G1990" s="109" t="s">
        <v>325</v>
      </c>
    </row>
    <row r="1991" spans="1:8">
      <c r="A1991" s="95"/>
      <c r="B1991" s="841"/>
      <c r="C1991" s="842"/>
      <c r="D1991" s="96"/>
      <c r="E1991" s="96"/>
      <c r="F1991" s="96"/>
      <c r="G1991" s="116"/>
    </row>
    <row r="1992" spans="1:8" ht="13.5" thickBot="1">
      <c r="A1992" s="95"/>
      <c r="B1992" s="980" t="s">
        <v>841</v>
      </c>
      <c r="C1992" s="981"/>
      <c r="D1992" s="77"/>
      <c r="E1992" s="82"/>
      <c r="F1992" s="86"/>
      <c r="G1992" s="112"/>
    </row>
    <row r="1993" spans="1:8" ht="14.25" thickTop="1" thickBot="1">
      <c r="A1993" s="95"/>
      <c r="B1993" s="946"/>
      <c r="C1993" s="946"/>
      <c r="D1993" s="946"/>
      <c r="E1993" s="947"/>
      <c r="F1993" s="120" t="s">
        <v>856</v>
      </c>
      <c r="G1993" s="118">
        <f>SUM(G1988:G1992)</f>
        <v>0</v>
      </c>
    </row>
    <row r="1994" spans="1:8" ht="14.25" thickTop="1" thickBot="1">
      <c r="A1994" s="95"/>
      <c r="B1994" s="970"/>
      <c r="C1994" s="970"/>
      <c r="D1994" s="970"/>
      <c r="E1994" s="970"/>
      <c r="F1994" s="970"/>
      <c r="G1994" s="943"/>
    </row>
    <row r="1995" spans="1:8" ht="13.5" thickTop="1">
      <c r="A1995" s="95"/>
      <c r="B1995" s="950" t="s">
        <v>326</v>
      </c>
      <c r="C1995" s="951"/>
      <c r="D1995" s="951"/>
      <c r="E1995" s="951"/>
      <c r="F1995" s="971"/>
      <c r="G1995" s="121">
        <f>+G1958+G1975+G1986</f>
        <v>50211</v>
      </c>
    </row>
    <row r="1996" spans="1:8">
      <c r="A1996" s="95"/>
      <c r="B1996" s="972" t="s">
        <v>861</v>
      </c>
      <c r="C1996" s="973"/>
      <c r="D1996" s="973"/>
      <c r="E1996" s="974"/>
      <c r="F1996" s="128">
        <f>'MANO DE OBRA'!$D$59</f>
        <v>0</v>
      </c>
      <c r="G1996" s="122">
        <f>ROUND(G1995*F1996,0)</f>
        <v>0</v>
      </c>
    </row>
    <row r="1997" spans="1:8" ht="13.5" thickBot="1">
      <c r="A1997" s="95"/>
      <c r="B1997" s="975" t="s">
        <v>1049</v>
      </c>
      <c r="C1997" s="976"/>
      <c r="D1997" s="976"/>
      <c r="E1997" s="976"/>
      <c r="F1997" s="977"/>
      <c r="G1997" s="118">
        <f>ROUND(G1995+G1996,-2)</f>
        <v>50200</v>
      </c>
      <c r="H1997" s="505" t="s">
        <v>1670</v>
      </c>
    </row>
    <row r="1998" spans="1:8" ht="13.5" thickTop="1">
      <c r="A1998" s="95"/>
      <c r="B1998" s="225" t="s">
        <v>303</v>
      </c>
      <c r="C1998" s="843"/>
      <c r="D1998" s="843"/>
      <c r="E1998" s="843"/>
      <c r="F1998" s="92" t="s">
        <v>781</v>
      </c>
      <c r="G1998" s="93" t="s">
        <v>865</v>
      </c>
    </row>
    <row r="1999" spans="1:8">
      <c r="A1999" s="95"/>
      <c r="B1999" s="226" t="s">
        <v>834</v>
      </c>
      <c r="C1999" s="844" t="s">
        <v>1352</v>
      </c>
      <c r="D1999" s="844"/>
      <c r="E1999" s="844"/>
      <c r="F1999" s="15" t="s">
        <v>833</v>
      </c>
      <c r="G1999" s="165" t="str">
        <f>'MANO DE OBRA'!D61</f>
        <v>Agosto de 2010</v>
      </c>
    </row>
    <row r="2000" spans="1:8" ht="27.75" customHeight="1" thickBot="1">
      <c r="A2000" s="236"/>
      <c r="B2000" s="240" t="s">
        <v>835</v>
      </c>
      <c r="C2000" s="934" t="s">
        <v>932</v>
      </c>
      <c r="D2000" s="934"/>
      <c r="E2000" s="934"/>
      <c r="F2000" s="934"/>
      <c r="G2000" s="935"/>
    </row>
    <row r="2001" spans="1:7" ht="14.25" thickTop="1" thickBot="1">
      <c r="A2001" s="95"/>
      <c r="B2001" s="986"/>
      <c r="C2001" s="986"/>
      <c r="D2001" s="986"/>
      <c r="E2001" s="986"/>
      <c r="F2001" s="986"/>
      <c r="G2001" s="986"/>
    </row>
    <row r="2002" spans="1:7" ht="13.5" thickTop="1">
      <c r="A2002" s="95"/>
      <c r="B2002" s="950" t="s">
        <v>304</v>
      </c>
      <c r="C2002" s="951"/>
      <c r="D2002" s="951"/>
      <c r="E2002" s="951"/>
      <c r="F2002" s="951"/>
      <c r="G2002" s="952"/>
    </row>
    <row r="2003" spans="1:7">
      <c r="A2003" s="95"/>
      <c r="B2003" s="229"/>
      <c r="C2003" s="97"/>
      <c r="D2003" s="98" t="s">
        <v>301</v>
      </c>
      <c r="E2003" s="98" t="s">
        <v>1072</v>
      </c>
      <c r="F2003" s="99" t="s">
        <v>839</v>
      </c>
      <c r="G2003" s="107" t="s">
        <v>840</v>
      </c>
    </row>
    <row r="2004" spans="1:7">
      <c r="A2004" s="95"/>
      <c r="B2004" s="982" t="s">
        <v>838</v>
      </c>
      <c r="C2004" s="983"/>
      <c r="D2004" s="100" t="s">
        <v>308</v>
      </c>
      <c r="E2004" s="100" t="s">
        <v>305</v>
      </c>
      <c r="F2004" s="101" t="s">
        <v>306</v>
      </c>
      <c r="G2004" s="108" t="s">
        <v>310</v>
      </c>
    </row>
    <row r="2005" spans="1:7">
      <c r="A2005" s="95"/>
      <c r="B2005" s="230"/>
      <c r="C2005" s="102"/>
      <c r="D2005" s="103"/>
      <c r="E2005" s="103" t="s">
        <v>309</v>
      </c>
      <c r="F2005" s="104" t="s">
        <v>307</v>
      </c>
      <c r="G2005" s="109"/>
    </row>
    <row r="2006" spans="1:7">
      <c r="A2006" s="127"/>
      <c r="B2006" s="841" t="str">
        <f>'MAQUINARIA Y EQUIPOS'!$C$28</f>
        <v>HERRAMIENTAS MENORES</v>
      </c>
      <c r="C2006" s="842"/>
      <c r="D2006" s="87">
        <v>1</v>
      </c>
      <c r="E2006" s="82">
        <f>ROUND(G2037*0.05,0)</f>
        <v>2028</v>
      </c>
      <c r="F2006" s="81">
        <v>1</v>
      </c>
      <c r="G2006" s="110">
        <f>ROUND(D2006*E2006/F2006,0)</f>
        <v>2028</v>
      </c>
    </row>
    <row r="2007" spans="1:7">
      <c r="A2007" s="125"/>
      <c r="B2007" s="938"/>
      <c r="C2007" s="939"/>
      <c r="D2007" s="37"/>
      <c r="E2007" s="5"/>
      <c r="F2007" s="83"/>
      <c r="G2007" s="111"/>
    </row>
    <row r="2008" spans="1:7" ht="13.5" thickBot="1">
      <c r="A2008" s="95"/>
      <c r="B2008" s="942" t="s">
        <v>841</v>
      </c>
      <c r="C2008" s="943"/>
      <c r="D2008" s="77"/>
      <c r="E2008" s="106"/>
      <c r="F2008" s="86"/>
      <c r="G2008" s="112"/>
    </row>
    <row r="2009" spans="1:7" ht="14.25" thickTop="1" thickBot="1">
      <c r="A2009" s="95"/>
      <c r="B2009" s="946"/>
      <c r="C2009" s="946"/>
      <c r="D2009" s="946"/>
      <c r="E2009" s="947"/>
      <c r="F2009" s="119" t="s">
        <v>856</v>
      </c>
      <c r="G2009" s="118">
        <f>SUM(G2006:G2008)</f>
        <v>2028</v>
      </c>
    </row>
    <row r="2010" spans="1:7" ht="14.25" thickTop="1" thickBot="1">
      <c r="A2010" s="95"/>
      <c r="B2010" s="970"/>
      <c r="C2010" s="970"/>
      <c r="D2010" s="970"/>
      <c r="E2010" s="970"/>
      <c r="F2010" s="970"/>
      <c r="G2010" s="970"/>
    </row>
    <row r="2011" spans="1:7" ht="13.5" thickTop="1">
      <c r="A2011" s="95"/>
      <c r="B2011" s="950" t="s">
        <v>311</v>
      </c>
      <c r="C2011" s="951"/>
      <c r="D2011" s="951"/>
      <c r="E2011" s="951"/>
      <c r="F2011" s="951"/>
      <c r="G2011" s="952"/>
    </row>
    <row r="2012" spans="1:7">
      <c r="A2012" s="95"/>
      <c r="B2012" s="978" t="s">
        <v>838</v>
      </c>
      <c r="C2012" s="979"/>
      <c r="D2012" s="98" t="s">
        <v>842</v>
      </c>
      <c r="E2012" s="98" t="s">
        <v>853</v>
      </c>
      <c r="F2012" s="99" t="s">
        <v>1047</v>
      </c>
      <c r="G2012" s="107" t="s">
        <v>840</v>
      </c>
    </row>
    <row r="2013" spans="1:7">
      <c r="A2013" s="95"/>
      <c r="B2013" s="230"/>
      <c r="C2013" s="102"/>
      <c r="D2013" s="100"/>
      <c r="E2013" s="100" t="s">
        <v>312</v>
      </c>
      <c r="F2013" s="101" t="s">
        <v>313</v>
      </c>
      <c r="G2013" s="108" t="s">
        <v>314</v>
      </c>
    </row>
    <row r="2014" spans="1:7">
      <c r="A2014" s="123"/>
      <c r="B2014" s="841" t="str">
        <f>MATERIALES2!$C$447</f>
        <v>ALAMBRE DE COBRE AISLADO #12</v>
      </c>
      <c r="C2014" s="842"/>
      <c r="D2014" s="87" t="s">
        <v>831</v>
      </c>
      <c r="E2014" s="81">
        <v>9</v>
      </c>
      <c r="F2014" s="80">
        <f>MATERIALES2!$E$447</f>
        <v>1000</v>
      </c>
      <c r="G2014" s="110">
        <f t="shared" ref="G2014:G2019" si="21">ROUND(E2014*F2014,0)</f>
        <v>9000</v>
      </c>
    </row>
    <row r="2015" spans="1:7">
      <c r="A2015" s="123"/>
      <c r="B2015" s="854" t="str">
        <f>MATERIALES2!$C$448</f>
        <v>ALAMBRE DE COBRE AISLADO #14</v>
      </c>
      <c r="C2015" s="855"/>
      <c r="D2015" s="37" t="s">
        <v>831</v>
      </c>
      <c r="E2015" s="83">
        <v>4.5</v>
      </c>
      <c r="F2015" s="82">
        <f>MATERIALES2!$E$448</f>
        <v>700</v>
      </c>
      <c r="G2015" s="111">
        <f t="shared" si="21"/>
        <v>3150</v>
      </c>
    </row>
    <row r="2016" spans="1:7">
      <c r="A2016" s="123"/>
      <c r="B2016" s="854" t="str">
        <f>MATERIALES2!$C$450</f>
        <v>ALAMBRE DESNUDO #16</v>
      </c>
      <c r="C2016" s="855"/>
      <c r="D2016" s="37" t="s">
        <v>831</v>
      </c>
      <c r="E2016" s="83">
        <v>4.5</v>
      </c>
      <c r="F2016" s="82">
        <f>MATERIALES2!$E$450</f>
        <v>297</v>
      </c>
      <c r="G2016" s="111">
        <f t="shared" si="21"/>
        <v>1337</v>
      </c>
    </row>
    <row r="2017" spans="1:8">
      <c r="A2017" s="123"/>
      <c r="B2017" s="854" t="str">
        <f>MATERIALES2!$C$550</f>
        <v>TUBO PVC CONDUIT 1/2" x 3.0 M</v>
      </c>
      <c r="C2017" s="855"/>
      <c r="D2017" s="37" t="s">
        <v>865</v>
      </c>
      <c r="E2017" s="83">
        <v>1.5</v>
      </c>
      <c r="F2017" s="82">
        <f>MATERIALES2!$E$550</f>
        <v>5134</v>
      </c>
      <c r="G2017" s="111">
        <f t="shared" si="21"/>
        <v>7701</v>
      </c>
    </row>
    <row r="2018" spans="1:8">
      <c r="A2018" s="123"/>
      <c r="B2018" s="854" t="str">
        <f>MATERIALES2!$C$441</f>
        <v>ADAPTADOR TERMINAL 1/2"</v>
      </c>
      <c r="C2018" s="855"/>
      <c r="D2018" s="37" t="s">
        <v>865</v>
      </c>
      <c r="E2018" s="83">
        <v>2</v>
      </c>
      <c r="F2018" s="82">
        <f>MATERIALES2!$E$441</f>
        <v>212</v>
      </c>
      <c r="G2018" s="111">
        <f t="shared" si="21"/>
        <v>424</v>
      </c>
    </row>
    <row r="2019" spans="1:8">
      <c r="A2019" s="123"/>
      <c r="B2019" s="984" t="str">
        <f>MATERIALES2!$C$476</f>
        <v>CAJA ELECTRICA RECTANGULAR METALICA</v>
      </c>
      <c r="C2019" s="985"/>
      <c r="D2019" s="37" t="s">
        <v>865</v>
      </c>
      <c r="E2019" s="83">
        <v>1</v>
      </c>
      <c r="F2019" s="82">
        <f>MATERIALES2!$E$476</f>
        <v>500</v>
      </c>
      <c r="G2019" s="111">
        <f t="shared" si="21"/>
        <v>500</v>
      </c>
    </row>
    <row r="2020" spans="1:8">
      <c r="A2020" s="123"/>
      <c r="B2020" s="984" t="str">
        <f>MATERIALES2!$C$475</f>
        <v>CAJA ELECTRICA OCTOGONAL PVC</v>
      </c>
      <c r="C2020" s="985"/>
      <c r="D2020" s="37" t="s">
        <v>865</v>
      </c>
      <c r="E2020" s="83">
        <v>1</v>
      </c>
      <c r="F2020" s="82">
        <f>MATERIALES2!$E$475</f>
        <v>1200</v>
      </c>
      <c r="G2020" s="111">
        <f>ROUND(E2020*F2020,0)</f>
        <v>1200</v>
      </c>
    </row>
    <row r="2021" spans="1:8">
      <c r="A2021" s="123"/>
      <c r="B2021" s="854" t="str">
        <f>MATERIALES2!$C$485</f>
        <v>CINTA AISLANTE 3M</v>
      </c>
      <c r="C2021" s="855"/>
      <c r="D2021" s="37" t="s">
        <v>865</v>
      </c>
      <c r="E2021" s="83">
        <v>0.2</v>
      </c>
      <c r="F2021" s="82">
        <f>MATERIALES2!$E$485</f>
        <v>5500</v>
      </c>
      <c r="G2021" s="111">
        <f>ROUND(E2021*F2021,0)</f>
        <v>1100</v>
      </c>
    </row>
    <row r="2022" spans="1:8" ht="26.25" customHeight="1">
      <c r="A2022" s="252"/>
      <c r="B2022" s="991" t="str">
        <f>MATERIALES2!$C$515</f>
        <v>LAMPARA FLUORESCENTE SLIN LINE 2x48 SOBREPONER</v>
      </c>
      <c r="C2022" s="992"/>
      <c r="D2022" s="37" t="s">
        <v>865</v>
      </c>
      <c r="E2022" s="83">
        <v>1</v>
      </c>
      <c r="F2022" s="82">
        <f>MATERIALES2!$E$515</f>
        <v>57600</v>
      </c>
      <c r="G2022" s="111">
        <f>ROUND(E2022*F2022,0)</f>
        <v>57600</v>
      </c>
      <c r="H2022" s="505" t="s">
        <v>1670</v>
      </c>
    </row>
    <row r="2023" spans="1:8" ht="13.5" thickBot="1">
      <c r="A2023" s="123"/>
      <c r="B2023" s="854" t="str">
        <f>MATERIALES2!$C$507</f>
        <v>INTERRUPTOR SENCILLO LUMINEX</v>
      </c>
      <c r="C2023" s="855"/>
      <c r="D2023" s="37" t="s">
        <v>865</v>
      </c>
      <c r="E2023" s="83">
        <v>1</v>
      </c>
      <c r="F2023" s="82">
        <f>MATERIALES2!$E$507</f>
        <v>2500</v>
      </c>
      <c r="G2023" s="111">
        <f>ROUND(E2023*F2023,0)</f>
        <v>2500</v>
      </c>
    </row>
    <row r="2024" spans="1:8" ht="13.5" thickTop="1">
      <c r="A2024" s="95"/>
      <c r="B2024" s="946"/>
      <c r="C2024" s="947"/>
      <c r="D2024" s="801" t="s">
        <v>856</v>
      </c>
      <c r="E2024" s="802"/>
      <c r="F2024" s="9"/>
      <c r="G2024" s="113">
        <f>SUM(G2014:G2023)</f>
        <v>84512</v>
      </c>
    </row>
    <row r="2025" spans="1:8">
      <c r="A2025" s="95"/>
      <c r="B2025" s="948"/>
      <c r="C2025" s="949"/>
      <c r="D2025" s="801" t="s">
        <v>857</v>
      </c>
      <c r="E2025" s="802"/>
      <c r="F2025" s="79">
        <f>'MANO DE OBRA'!$D$60</f>
        <v>0.05</v>
      </c>
      <c r="G2025" s="113">
        <f>ROUND(G2024*F2025,0)</f>
        <v>4226</v>
      </c>
    </row>
    <row r="2026" spans="1:8" ht="13.5" thickBot="1">
      <c r="A2026" s="95"/>
      <c r="B2026" s="948"/>
      <c r="C2026" s="949"/>
      <c r="D2026" s="803" t="s">
        <v>320</v>
      </c>
      <c r="E2026" s="804"/>
      <c r="F2026" s="114"/>
      <c r="G2026" s="118">
        <f>+G2024+G2025</f>
        <v>88738</v>
      </c>
    </row>
    <row r="2027" spans="1:8" ht="14.25" thickTop="1" thickBot="1">
      <c r="A2027" s="95"/>
      <c r="B2027" s="970"/>
      <c r="C2027" s="970"/>
      <c r="D2027" s="970"/>
      <c r="E2027" s="970"/>
      <c r="F2027" s="970"/>
      <c r="G2027" s="970"/>
    </row>
    <row r="2028" spans="1:8" ht="13.5" thickTop="1">
      <c r="A2028" s="95"/>
      <c r="B2028" s="950" t="s">
        <v>858</v>
      </c>
      <c r="C2028" s="951"/>
      <c r="D2028" s="951"/>
      <c r="E2028" s="951"/>
      <c r="F2028" s="951"/>
      <c r="G2028" s="952"/>
    </row>
    <row r="2029" spans="1:8">
      <c r="A2029" s="95"/>
      <c r="B2029" s="978"/>
      <c r="C2029" s="979"/>
      <c r="D2029" s="98" t="s">
        <v>301</v>
      </c>
      <c r="E2029" s="98" t="s">
        <v>859</v>
      </c>
      <c r="F2029" s="99" t="s">
        <v>839</v>
      </c>
      <c r="G2029" s="107" t="s">
        <v>840</v>
      </c>
    </row>
    <row r="2030" spans="1:8">
      <c r="A2030" s="95"/>
      <c r="B2030" s="982" t="s">
        <v>838</v>
      </c>
      <c r="C2030" s="983"/>
      <c r="D2030" s="100" t="s">
        <v>316</v>
      </c>
      <c r="E2030" s="100" t="s">
        <v>315</v>
      </c>
      <c r="F2030" s="101" t="s">
        <v>306</v>
      </c>
      <c r="G2030" s="108" t="s">
        <v>319</v>
      </c>
    </row>
    <row r="2031" spans="1:8">
      <c r="A2031" s="95"/>
      <c r="B2031" s="230"/>
      <c r="C2031" s="102"/>
      <c r="D2031" s="103"/>
      <c r="E2031" s="103" t="s">
        <v>317</v>
      </c>
      <c r="F2031" s="104" t="s">
        <v>318</v>
      </c>
      <c r="G2031" s="109"/>
    </row>
    <row r="2032" spans="1:8">
      <c r="A2032" s="95"/>
      <c r="B2032" s="841" t="str">
        <f>'MANO DE OBRA'!$B$11</f>
        <v>AYUDANTE CUAD. TIPO BB</v>
      </c>
      <c r="C2032" s="842"/>
      <c r="D2032" s="87">
        <v>1</v>
      </c>
      <c r="E2032" s="80">
        <f>'MANO DE OBRA'!$E$11</f>
        <v>43077</v>
      </c>
      <c r="F2032" s="81">
        <v>3</v>
      </c>
      <c r="G2032" s="110">
        <f>ROUND(D2032*E2032/F2032,0)</f>
        <v>14359</v>
      </c>
    </row>
    <row r="2033" spans="1:8">
      <c r="A2033" s="95"/>
      <c r="B2033" s="854" t="str">
        <f>'MANO DE OBRA'!$B$16</f>
        <v>OFICIAL CUAD. TIPO BB</v>
      </c>
      <c r="C2033" s="855"/>
      <c r="D2033" s="37">
        <v>1</v>
      </c>
      <c r="E2033" s="82">
        <f>'MANO DE OBRA'!$E$16</f>
        <v>78577</v>
      </c>
      <c r="F2033" s="83">
        <v>3</v>
      </c>
      <c r="G2033" s="111">
        <f>ROUND(D2033*E2033/F2033,0)</f>
        <v>26192</v>
      </c>
    </row>
    <row r="2034" spans="1:8">
      <c r="A2034" s="95"/>
      <c r="B2034" s="854"/>
      <c r="C2034" s="855"/>
      <c r="D2034" s="89"/>
      <c r="E2034" s="82"/>
      <c r="F2034" s="83"/>
      <c r="G2034" s="111"/>
    </row>
    <row r="2035" spans="1:8">
      <c r="A2035" s="95"/>
      <c r="B2035" s="854" t="s">
        <v>841</v>
      </c>
      <c r="C2035" s="855"/>
      <c r="D2035" s="37"/>
      <c r="E2035" s="82"/>
      <c r="F2035" s="83"/>
      <c r="G2035" s="111"/>
    </row>
    <row r="2036" spans="1:8" ht="13.5" thickBot="1">
      <c r="A2036" s="95"/>
      <c r="B2036" s="980" t="s">
        <v>841</v>
      </c>
      <c r="C2036" s="981"/>
      <c r="D2036" s="77"/>
      <c r="E2036" s="82"/>
      <c r="F2036" s="86"/>
      <c r="G2036" s="112"/>
    </row>
    <row r="2037" spans="1:8" ht="14.25" thickTop="1" thickBot="1">
      <c r="A2037" s="95"/>
      <c r="B2037" s="946"/>
      <c r="C2037" s="946"/>
      <c r="D2037" s="946"/>
      <c r="E2037" s="947"/>
      <c r="F2037" s="120" t="s">
        <v>856</v>
      </c>
      <c r="G2037" s="118">
        <f>SUM(G2032:G2036)</f>
        <v>40551</v>
      </c>
    </row>
    <row r="2038" spans="1:8" ht="14.25" thickTop="1" thickBot="1">
      <c r="A2038" s="95"/>
      <c r="B2038" s="970"/>
      <c r="C2038" s="970"/>
      <c r="D2038" s="970"/>
      <c r="E2038" s="970"/>
      <c r="F2038" s="970"/>
      <c r="G2038" s="970"/>
    </row>
    <row r="2039" spans="1:8" ht="13.5" thickTop="1">
      <c r="A2039" s="95"/>
      <c r="B2039" s="950" t="s">
        <v>321</v>
      </c>
      <c r="C2039" s="951"/>
      <c r="D2039" s="951"/>
      <c r="E2039" s="951"/>
      <c r="F2039" s="951"/>
      <c r="G2039" s="952"/>
    </row>
    <row r="2040" spans="1:8">
      <c r="A2040" s="95"/>
      <c r="B2040" s="978" t="s">
        <v>838</v>
      </c>
      <c r="C2040" s="979"/>
      <c r="D2040" s="98" t="s">
        <v>301</v>
      </c>
      <c r="E2040" s="98" t="s">
        <v>297</v>
      </c>
      <c r="F2040" s="99" t="s">
        <v>839</v>
      </c>
      <c r="G2040" s="107" t="s">
        <v>840</v>
      </c>
    </row>
    <row r="2041" spans="1:8">
      <c r="A2041" s="95"/>
      <c r="B2041" s="230"/>
      <c r="C2041" s="102"/>
      <c r="D2041" s="103" t="s">
        <v>322</v>
      </c>
      <c r="E2041" s="103" t="s">
        <v>323</v>
      </c>
      <c r="F2041" s="104" t="s">
        <v>324</v>
      </c>
      <c r="G2041" s="109" t="s">
        <v>325</v>
      </c>
    </row>
    <row r="2042" spans="1:8">
      <c r="A2042" s="95"/>
      <c r="B2042" s="841"/>
      <c r="C2042" s="842"/>
      <c r="D2042" s="96"/>
      <c r="E2042" s="96"/>
      <c r="F2042" s="96"/>
      <c r="G2042" s="116"/>
    </row>
    <row r="2043" spans="1:8" ht="13.5" thickBot="1">
      <c r="A2043" s="95"/>
      <c r="B2043" s="980" t="s">
        <v>841</v>
      </c>
      <c r="C2043" s="981"/>
      <c r="D2043" s="77"/>
      <c r="E2043" s="82"/>
      <c r="F2043" s="86"/>
      <c r="G2043" s="112"/>
    </row>
    <row r="2044" spans="1:8" ht="14.25" thickTop="1" thickBot="1">
      <c r="A2044" s="95"/>
      <c r="B2044" s="946"/>
      <c r="C2044" s="946"/>
      <c r="D2044" s="946"/>
      <c r="E2044" s="947"/>
      <c r="F2044" s="120" t="s">
        <v>856</v>
      </c>
      <c r="G2044" s="118">
        <f>SUM(G2039:G2043)</f>
        <v>0</v>
      </c>
    </row>
    <row r="2045" spans="1:8" ht="14.25" thickTop="1" thickBot="1">
      <c r="A2045" s="95"/>
      <c r="B2045" s="970"/>
      <c r="C2045" s="970"/>
      <c r="D2045" s="970"/>
      <c r="E2045" s="970"/>
      <c r="F2045" s="970"/>
      <c r="G2045" s="943"/>
    </row>
    <row r="2046" spans="1:8" ht="13.5" thickTop="1">
      <c r="A2046" s="95"/>
      <c r="B2046" s="950" t="s">
        <v>326</v>
      </c>
      <c r="C2046" s="951"/>
      <c r="D2046" s="951"/>
      <c r="E2046" s="951"/>
      <c r="F2046" s="971"/>
      <c r="G2046" s="121">
        <f>+G2009+G2026+G2037</f>
        <v>131317</v>
      </c>
    </row>
    <row r="2047" spans="1:8">
      <c r="A2047" s="95"/>
      <c r="B2047" s="972" t="s">
        <v>861</v>
      </c>
      <c r="C2047" s="973"/>
      <c r="D2047" s="973"/>
      <c r="E2047" s="974"/>
      <c r="F2047" s="128">
        <f>'MANO DE OBRA'!$D$59</f>
        <v>0</v>
      </c>
      <c r="G2047" s="122">
        <f>ROUND(G2046*F2047,0)</f>
        <v>0</v>
      </c>
    </row>
    <row r="2048" spans="1:8" ht="13.5" thickBot="1">
      <c r="A2048" s="95"/>
      <c r="B2048" s="975" t="s">
        <v>1049</v>
      </c>
      <c r="C2048" s="976"/>
      <c r="D2048" s="976"/>
      <c r="E2048" s="976"/>
      <c r="F2048" s="977"/>
      <c r="G2048" s="118">
        <f>ROUND(G2046+G2047,-2)</f>
        <v>131300</v>
      </c>
      <c r="H2048" s="505" t="s">
        <v>1670</v>
      </c>
    </row>
    <row r="2049" spans="1:7" ht="13.5" thickTop="1">
      <c r="A2049" s="95"/>
      <c r="B2049" s="225" t="s">
        <v>303</v>
      </c>
      <c r="C2049" s="843"/>
      <c r="D2049" s="843"/>
      <c r="E2049" s="843"/>
      <c r="F2049" s="92" t="s">
        <v>781</v>
      </c>
      <c r="G2049" s="93" t="s">
        <v>865</v>
      </c>
    </row>
    <row r="2050" spans="1:7">
      <c r="A2050" s="95"/>
      <c r="B2050" s="226" t="s">
        <v>834</v>
      </c>
      <c r="C2050" s="844" t="s">
        <v>1352</v>
      </c>
      <c r="D2050" s="844"/>
      <c r="E2050" s="844"/>
      <c r="F2050" s="15" t="s">
        <v>833</v>
      </c>
      <c r="G2050" s="165" t="str">
        <f>'MANO DE OBRA'!D61</f>
        <v>Agosto de 2010</v>
      </c>
    </row>
    <row r="2051" spans="1:7" ht="27.75" customHeight="1" thickBot="1">
      <c r="A2051" s="236"/>
      <c r="B2051" s="240" t="s">
        <v>835</v>
      </c>
      <c r="C2051" s="934" t="s">
        <v>933</v>
      </c>
      <c r="D2051" s="934"/>
      <c r="E2051" s="934"/>
      <c r="F2051" s="934"/>
      <c r="G2051" s="935"/>
    </row>
    <row r="2052" spans="1:7" ht="14.25" thickTop="1" thickBot="1">
      <c r="A2052" s="95"/>
      <c r="B2052" s="986"/>
      <c r="C2052" s="986"/>
      <c r="D2052" s="986"/>
      <c r="E2052" s="986"/>
      <c r="F2052" s="986"/>
      <c r="G2052" s="986"/>
    </row>
    <row r="2053" spans="1:7" ht="13.5" thickTop="1">
      <c r="A2053" s="95"/>
      <c r="B2053" s="950" t="s">
        <v>304</v>
      </c>
      <c r="C2053" s="951"/>
      <c r="D2053" s="951"/>
      <c r="E2053" s="951"/>
      <c r="F2053" s="951"/>
      <c r="G2053" s="952"/>
    </row>
    <row r="2054" spans="1:7">
      <c r="A2054" s="95"/>
      <c r="B2054" s="229"/>
      <c r="C2054" s="97"/>
      <c r="D2054" s="98" t="s">
        <v>301</v>
      </c>
      <c r="E2054" s="98" t="s">
        <v>1072</v>
      </c>
      <c r="F2054" s="99" t="s">
        <v>839</v>
      </c>
      <c r="G2054" s="107" t="s">
        <v>840</v>
      </c>
    </row>
    <row r="2055" spans="1:7">
      <c r="A2055" s="95"/>
      <c r="B2055" s="982" t="s">
        <v>838</v>
      </c>
      <c r="C2055" s="983"/>
      <c r="D2055" s="100" t="s">
        <v>308</v>
      </c>
      <c r="E2055" s="100" t="s">
        <v>305</v>
      </c>
      <c r="F2055" s="101" t="s">
        <v>306</v>
      </c>
      <c r="G2055" s="108" t="s">
        <v>310</v>
      </c>
    </row>
    <row r="2056" spans="1:7">
      <c r="A2056" s="95"/>
      <c r="B2056" s="230"/>
      <c r="C2056" s="102"/>
      <c r="D2056" s="103"/>
      <c r="E2056" s="103" t="s">
        <v>309</v>
      </c>
      <c r="F2056" s="104" t="s">
        <v>307</v>
      </c>
      <c r="G2056" s="109"/>
    </row>
    <row r="2057" spans="1:7">
      <c r="A2057" s="127"/>
      <c r="B2057" s="841" t="str">
        <f>'MAQUINARIA Y EQUIPOS'!$C$28</f>
        <v>HERRAMIENTAS MENORES</v>
      </c>
      <c r="C2057" s="842"/>
      <c r="D2057" s="87">
        <v>1</v>
      </c>
      <c r="E2057" s="82">
        <f>ROUND(G2088*0.05,0)</f>
        <v>3041</v>
      </c>
      <c r="F2057" s="81">
        <v>1</v>
      </c>
      <c r="G2057" s="110">
        <f>ROUND(D2057*E2057/F2057,0)</f>
        <v>3041</v>
      </c>
    </row>
    <row r="2058" spans="1:7">
      <c r="A2058" s="125"/>
      <c r="B2058" s="938"/>
      <c r="C2058" s="939"/>
      <c r="D2058" s="37"/>
      <c r="E2058" s="5"/>
      <c r="F2058" s="83"/>
      <c r="G2058" s="111"/>
    </row>
    <row r="2059" spans="1:7" ht="13.5" thickBot="1">
      <c r="A2059" s="95"/>
      <c r="B2059" s="942" t="s">
        <v>841</v>
      </c>
      <c r="C2059" s="943"/>
      <c r="D2059" s="77"/>
      <c r="E2059" s="106"/>
      <c r="F2059" s="86"/>
      <c r="G2059" s="112"/>
    </row>
    <row r="2060" spans="1:7" ht="14.25" thickTop="1" thickBot="1">
      <c r="A2060" s="95"/>
      <c r="B2060" s="946"/>
      <c r="C2060" s="946"/>
      <c r="D2060" s="946"/>
      <c r="E2060" s="947"/>
      <c r="F2060" s="119" t="s">
        <v>856</v>
      </c>
      <c r="G2060" s="118">
        <f>SUM(G2057:G2059)</f>
        <v>3041</v>
      </c>
    </row>
    <row r="2061" spans="1:7" ht="14.25" thickTop="1" thickBot="1">
      <c r="A2061" s="95"/>
      <c r="B2061" s="970"/>
      <c r="C2061" s="970"/>
      <c r="D2061" s="970"/>
      <c r="E2061" s="970"/>
      <c r="F2061" s="970"/>
      <c r="G2061" s="970"/>
    </row>
    <row r="2062" spans="1:7" ht="13.5" thickTop="1">
      <c r="A2062" s="95"/>
      <c r="B2062" s="950" t="s">
        <v>311</v>
      </c>
      <c r="C2062" s="951"/>
      <c r="D2062" s="951"/>
      <c r="E2062" s="951"/>
      <c r="F2062" s="951"/>
      <c r="G2062" s="952"/>
    </row>
    <row r="2063" spans="1:7">
      <c r="A2063" s="95"/>
      <c r="B2063" s="978" t="s">
        <v>838</v>
      </c>
      <c r="C2063" s="979"/>
      <c r="D2063" s="98" t="s">
        <v>842</v>
      </c>
      <c r="E2063" s="98" t="s">
        <v>853</v>
      </c>
      <c r="F2063" s="99" t="s">
        <v>1047</v>
      </c>
      <c r="G2063" s="107" t="s">
        <v>840</v>
      </c>
    </row>
    <row r="2064" spans="1:7">
      <c r="A2064" s="95"/>
      <c r="B2064" s="230"/>
      <c r="C2064" s="102"/>
      <c r="D2064" s="100"/>
      <c r="E2064" s="100" t="s">
        <v>312</v>
      </c>
      <c r="F2064" s="101" t="s">
        <v>313</v>
      </c>
      <c r="G2064" s="108" t="s">
        <v>314</v>
      </c>
    </row>
    <row r="2065" spans="1:8">
      <c r="A2065" s="123"/>
      <c r="B2065" s="841" t="str">
        <f>MATERIALES2!$C$447</f>
        <v>ALAMBRE DE COBRE AISLADO #12</v>
      </c>
      <c r="C2065" s="842"/>
      <c r="D2065" s="87" t="s">
        <v>831</v>
      </c>
      <c r="E2065" s="81">
        <v>9</v>
      </c>
      <c r="F2065" s="80">
        <f>MATERIALES2!$E$447</f>
        <v>1000</v>
      </c>
      <c r="G2065" s="110">
        <f t="shared" ref="G2065:G2070" si="22">ROUND(E2065*F2065,0)</f>
        <v>9000</v>
      </c>
    </row>
    <row r="2066" spans="1:8">
      <c r="A2066" s="123"/>
      <c r="B2066" s="854" t="str">
        <f>MATERIALES2!$C$448</f>
        <v>ALAMBRE DE COBRE AISLADO #14</v>
      </c>
      <c r="C2066" s="855"/>
      <c r="D2066" s="37" t="s">
        <v>831</v>
      </c>
      <c r="E2066" s="83">
        <v>4.5</v>
      </c>
      <c r="F2066" s="82">
        <f>MATERIALES2!$E$448</f>
        <v>700</v>
      </c>
      <c r="G2066" s="111">
        <f t="shared" si="22"/>
        <v>3150</v>
      </c>
    </row>
    <row r="2067" spans="1:8">
      <c r="A2067" s="123"/>
      <c r="B2067" s="854" t="str">
        <f>MATERIALES2!$C$450</f>
        <v>ALAMBRE DESNUDO #16</v>
      </c>
      <c r="C2067" s="855"/>
      <c r="D2067" s="37" t="s">
        <v>831</v>
      </c>
      <c r="E2067" s="83">
        <v>4.5</v>
      </c>
      <c r="F2067" s="82">
        <f>MATERIALES2!$E$450</f>
        <v>297</v>
      </c>
      <c r="G2067" s="111">
        <f t="shared" si="22"/>
        <v>1337</v>
      </c>
    </row>
    <row r="2068" spans="1:8">
      <c r="A2068" s="123"/>
      <c r="B2068" s="854" t="str">
        <f>MATERIALES2!$C$550</f>
        <v>TUBO PVC CONDUIT 1/2" x 3.0 M</v>
      </c>
      <c r="C2068" s="855"/>
      <c r="D2068" s="37" t="s">
        <v>865</v>
      </c>
      <c r="E2068" s="83">
        <v>1.5</v>
      </c>
      <c r="F2068" s="82">
        <f>MATERIALES2!$E$550</f>
        <v>5134</v>
      </c>
      <c r="G2068" s="111">
        <f t="shared" si="22"/>
        <v>7701</v>
      </c>
    </row>
    <row r="2069" spans="1:8">
      <c r="A2069" s="123"/>
      <c r="B2069" s="854" t="str">
        <f>MATERIALES2!$C$441</f>
        <v>ADAPTADOR TERMINAL 1/2"</v>
      </c>
      <c r="C2069" s="855"/>
      <c r="D2069" s="37" t="s">
        <v>865</v>
      </c>
      <c r="E2069" s="83">
        <v>2</v>
      </c>
      <c r="F2069" s="82">
        <f>MATERIALES2!$E$441</f>
        <v>212</v>
      </c>
      <c r="G2069" s="111">
        <f t="shared" si="22"/>
        <v>424</v>
      </c>
    </row>
    <row r="2070" spans="1:8">
      <c r="A2070" s="123"/>
      <c r="B2070" s="984" t="str">
        <f>MATERIALES2!$C$476</f>
        <v>CAJA ELECTRICA RECTANGULAR METALICA</v>
      </c>
      <c r="C2070" s="985"/>
      <c r="D2070" s="37" t="s">
        <v>865</v>
      </c>
      <c r="E2070" s="83">
        <v>1</v>
      </c>
      <c r="F2070" s="82">
        <f>MATERIALES2!$E$476</f>
        <v>500</v>
      </c>
      <c r="G2070" s="111">
        <f t="shared" si="22"/>
        <v>500</v>
      </c>
    </row>
    <row r="2071" spans="1:8">
      <c r="A2071" s="123"/>
      <c r="B2071" s="984" t="str">
        <f>MATERIALES2!$C$475</f>
        <v>CAJA ELECTRICA OCTOGONAL PVC</v>
      </c>
      <c r="C2071" s="985"/>
      <c r="D2071" s="37" t="s">
        <v>865</v>
      </c>
      <c r="E2071" s="83">
        <v>1</v>
      </c>
      <c r="F2071" s="82">
        <f>MATERIALES2!$E$475</f>
        <v>1200</v>
      </c>
      <c r="G2071" s="111">
        <f>ROUND(E2071*F2071,0)</f>
        <v>1200</v>
      </c>
    </row>
    <row r="2072" spans="1:8">
      <c r="A2072" s="123"/>
      <c r="B2072" s="854" t="str">
        <f>MATERIALES2!$C$485</f>
        <v>CINTA AISLANTE 3M</v>
      </c>
      <c r="C2072" s="855"/>
      <c r="D2072" s="37" t="s">
        <v>865</v>
      </c>
      <c r="E2072" s="83">
        <v>0.2</v>
      </c>
      <c r="F2072" s="82">
        <f>MATERIALES2!$E$485</f>
        <v>5500</v>
      </c>
      <c r="G2072" s="111">
        <f>ROUND(E2072*F2072,0)</f>
        <v>1100</v>
      </c>
    </row>
    <row r="2073" spans="1:8" ht="26.25" customHeight="1">
      <c r="A2073" s="252"/>
      <c r="B2073" s="989" t="str">
        <f>MATERIALES2!$C$513</f>
        <v>LAMPARA FLUORESCENTE SLIN LINE 2x48 INCRUSTAR</v>
      </c>
      <c r="C2073" s="990"/>
      <c r="D2073" s="37" t="s">
        <v>865</v>
      </c>
      <c r="E2073" s="83">
        <v>1</v>
      </c>
      <c r="F2073" s="82">
        <f>MATERIALES2!$E$513</f>
        <v>67300</v>
      </c>
      <c r="G2073" s="111">
        <f>ROUND(E2073*F2073,0)</f>
        <v>67300</v>
      </c>
      <c r="H2073" s="505" t="s">
        <v>1670</v>
      </c>
    </row>
    <row r="2074" spans="1:8" ht="13.5" thickBot="1">
      <c r="A2074" s="123"/>
      <c r="B2074" s="854" t="str">
        <f>MATERIALES2!$C$507</f>
        <v>INTERRUPTOR SENCILLO LUMINEX</v>
      </c>
      <c r="C2074" s="855"/>
      <c r="D2074" s="37" t="s">
        <v>865</v>
      </c>
      <c r="E2074" s="83">
        <v>1</v>
      </c>
      <c r="F2074" s="82">
        <f>MATERIALES2!$E$507</f>
        <v>2500</v>
      </c>
      <c r="G2074" s="111">
        <f>ROUND(E2074*F2074,0)</f>
        <v>2500</v>
      </c>
    </row>
    <row r="2075" spans="1:8" ht="13.5" thickTop="1">
      <c r="A2075" s="95"/>
      <c r="B2075" s="946"/>
      <c r="C2075" s="947"/>
      <c r="D2075" s="801" t="s">
        <v>856</v>
      </c>
      <c r="E2075" s="802"/>
      <c r="F2075" s="9"/>
      <c r="G2075" s="113">
        <f>SUM(G2065:G2074)</f>
        <v>94212</v>
      </c>
    </row>
    <row r="2076" spans="1:8">
      <c r="A2076" s="95"/>
      <c r="B2076" s="948"/>
      <c r="C2076" s="949"/>
      <c r="D2076" s="801" t="s">
        <v>857</v>
      </c>
      <c r="E2076" s="802"/>
      <c r="F2076" s="79">
        <f>'MANO DE OBRA'!$D$60</f>
        <v>0.05</v>
      </c>
      <c r="G2076" s="113">
        <f>ROUND(G2075*F2076,0)</f>
        <v>4711</v>
      </c>
    </row>
    <row r="2077" spans="1:8" ht="13.5" thickBot="1">
      <c r="A2077" s="95"/>
      <c r="B2077" s="948"/>
      <c r="C2077" s="949"/>
      <c r="D2077" s="803" t="s">
        <v>320</v>
      </c>
      <c r="E2077" s="804"/>
      <c r="F2077" s="114"/>
      <c r="G2077" s="118">
        <f>+G2075+G2076</f>
        <v>98923</v>
      </c>
    </row>
    <row r="2078" spans="1:8" ht="14.25" thickTop="1" thickBot="1">
      <c r="A2078" s="95"/>
      <c r="B2078" s="970"/>
      <c r="C2078" s="970"/>
      <c r="D2078" s="970"/>
      <c r="E2078" s="970"/>
      <c r="F2078" s="970"/>
      <c r="G2078" s="970"/>
    </row>
    <row r="2079" spans="1:8" ht="13.5" thickTop="1">
      <c r="A2079" s="95"/>
      <c r="B2079" s="950" t="s">
        <v>858</v>
      </c>
      <c r="C2079" s="951"/>
      <c r="D2079" s="951"/>
      <c r="E2079" s="951"/>
      <c r="F2079" s="951"/>
      <c r="G2079" s="952"/>
    </row>
    <row r="2080" spans="1:8">
      <c r="A2080" s="95"/>
      <c r="B2080" s="978"/>
      <c r="C2080" s="979"/>
      <c r="D2080" s="98" t="s">
        <v>301</v>
      </c>
      <c r="E2080" s="98" t="s">
        <v>859</v>
      </c>
      <c r="F2080" s="99" t="s">
        <v>839</v>
      </c>
      <c r="G2080" s="107" t="s">
        <v>840</v>
      </c>
    </row>
    <row r="2081" spans="1:7">
      <c r="A2081" s="95"/>
      <c r="B2081" s="982" t="s">
        <v>838</v>
      </c>
      <c r="C2081" s="983"/>
      <c r="D2081" s="100" t="s">
        <v>316</v>
      </c>
      <c r="E2081" s="100" t="s">
        <v>315</v>
      </c>
      <c r="F2081" s="101" t="s">
        <v>306</v>
      </c>
      <c r="G2081" s="108" t="s">
        <v>319</v>
      </c>
    </row>
    <row r="2082" spans="1:7">
      <c r="A2082" s="95"/>
      <c r="B2082" s="230"/>
      <c r="C2082" s="102"/>
      <c r="D2082" s="103"/>
      <c r="E2082" s="103" t="s">
        <v>317</v>
      </c>
      <c r="F2082" s="104" t="s">
        <v>318</v>
      </c>
      <c r="G2082" s="109"/>
    </row>
    <row r="2083" spans="1:7">
      <c r="A2083" s="95"/>
      <c r="B2083" s="841" t="str">
        <f>'MANO DE OBRA'!$B$11</f>
        <v>AYUDANTE CUAD. TIPO BB</v>
      </c>
      <c r="C2083" s="842"/>
      <c r="D2083" s="87">
        <v>1</v>
      </c>
      <c r="E2083" s="80">
        <f>'MANO DE OBRA'!$E$11</f>
        <v>43077</v>
      </c>
      <c r="F2083" s="81">
        <v>2</v>
      </c>
      <c r="G2083" s="110">
        <f>ROUND(D2083*E2083/F2083,0)</f>
        <v>21539</v>
      </c>
    </row>
    <row r="2084" spans="1:7">
      <c r="A2084" s="95"/>
      <c r="B2084" s="854" t="str">
        <f>'MANO DE OBRA'!$B$16</f>
        <v>OFICIAL CUAD. TIPO BB</v>
      </c>
      <c r="C2084" s="855"/>
      <c r="D2084" s="37">
        <v>1</v>
      </c>
      <c r="E2084" s="82">
        <f>'MANO DE OBRA'!$E$16</f>
        <v>78577</v>
      </c>
      <c r="F2084" s="83">
        <v>2</v>
      </c>
      <c r="G2084" s="111">
        <f>ROUND(D2084*E2084/F2084,0)</f>
        <v>39289</v>
      </c>
    </row>
    <row r="2085" spans="1:7">
      <c r="A2085" s="95"/>
      <c r="B2085" s="854"/>
      <c r="C2085" s="855"/>
      <c r="D2085" s="89"/>
      <c r="E2085" s="82"/>
      <c r="F2085" s="83"/>
      <c r="G2085" s="111"/>
    </row>
    <row r="2086" spans="1:7">
      <c r="A2086" s="95"/>
      <c r="B2086" s="854" t="s">
        <v>841</v>
      </c>
      <c r="C2086" s="855"/>
      <c r="D2086" s="37"/>
      <c r="E2086" s="82"/>
      <c r="F2086" s="83"/>
      <c r="G2086" s="111"/>
    </row>
    <row r="2087" spans="1:7" ht="13.5" thickBot="1">
      <c r="A2087" s="95"/>
      <c r="B2087" s="980" t="s">
        <v>841</v>
      </c>
      <c r="C2087" s="981"/>
      <c r="D2087" s="77"/>
      <c r="E2087" s="82"/>
      <c r="F2087" s="86"/>
      <c r="G2087" s="112"/>
    </row>
    <row r="2088" spans="1:7" ht="14.25" thickTop="1" thickBot="1">
      <c r="A2088" s="95"/>
      <c r="B2088" s="946"/>
      <c r="C2088" s="946"/>
      <c r="D2088" s="946"/>
      <c r="E2088" s="947"/>
      <c r="F2088" s="120" t="s">
        <v>856</v>
      </c>
      <c r="G2088" s="118">
        <f>SUM(G2083:G2087)</f>
        <v>60828</v>
      </c>
    </row>
    <row r="2089" spans="1:7" ht="14.25" thickTop="1" thickBot="1">
      <c r="A2089" s="95"/>
      <c r="B2089" s="970"/>
      <c r="C2089" s="970"/>
      <c r="D2089" s="970"/>
      <c r="E2089" s="970"/>
      <c r="F2089" s="970"/>
      <c r="G2089" s="970"/>
    </row>
    <row r="2090" spans="1:7" ht="13.5" thickTop="1">
      <c r="A2090" s="95"/>
      <c r="B2090" s="950" t="s">
        <v>321</v>
      </c>
      <c r="C2090" s="951"/>
      <c r="D2090" s="951"/>
      <c r="E2090" s="951"/>
      <c r="F2090" s="951"/>
      <c r="G2090" s="952"/>
    </row>
    <row r="2091" spans="1:7">
      <c r="A2091" s="95"/>
      <c r="B2091" s="978" t="s">
        <v>838</v>
      </c>
      <c r="C2091" s="979"/>
      <c r="D2091" s="98" t="s">
        <v>301</v>
      </c>
      <c r="E2091" s="98" t="s">
        <v>297</v>
      </c>
      <c r="F2091" s="99" t="s">
        <v>839</v>
      </c>
      <c r="G2091" s="107" t="s">
        <v>840</v>
      </c>
    </row>
    <row r="2092" spans="1:7">
      <c r="A2092" s="95"/>
      <c r="B2092" s="230"/>
      <c r="C2092" s="102"/>
      <c r="D2092" s="103" t="s">
        <v>322</v>
      </c>
      <c r="E2092" s="103" t="s">
        <v>323</v>
      </c>
      <c r="F2092" s="104" t="s">
        <v>324</v>
      </c>
      <c r="G2092" s="109" t="s">
        <v>325</v>
      </c>
    </row>
    <row r="2093" spans="1:7">
      <c r="A2093" s="95"/>
      <c r="B2093" s="841"/>
      <c r="C2093" s="842"/>
      <c r="D2093" s="96"/>
      <c r="E2093" s="96"/>
      <c r="F2093" s="96"/>
      <c r="G2093" s="116"/>
    </row>
    <row r="2094" spans="1:7" ht="13.5" thickBot="1">
      <c r="A2094" s="95"/>
      <c r="B2094" s="980" t="s">
        <v>841</v>
      </c>
      <c r="C2094" s="981"/>
      <c r="D2094" s="77"/>
      <c r="E2094" s="82"/>
      <c r="F2094" s="86"/>
      <c r="G2094" s="112"/>
    </row>
    <row r="2095" spans="1:7" ht="14.25" thickTop="1" thickBot="1">
      <c r="A2095" s="95"/>
      <c r="B2095" s="946"/>
      <c r="C2095" s="946"/>
      <c r="D2095" s="946"/>
      <c r="E2095" s="947"/>
      <c r="F2095" s="120" t="s">
        <v>856</v>
      </c>
      <c r="G2095" s="118">
        <f>SUM(G2090:G2094)</f>
        <v>0</v>
      </c>
    </row>
    <row r="2096" spans="1:7" ht="14.25" thickTop="1" thickBot="1">
      <c r="A2096" s="95"/>
      <c r="B2096" s="970"/>
      <c r="C2096" s="970"/>
      <c r="D2096" s="970"/>
      <c r="E2096" s="970"/>
      <c r="F2096" s="970"/>
      <c r="G2096" s="943"/>
    </row>
    <row r="2097" spans="1:8" ht="13.5" thickTop="1">
      <c r="A2097" s="95"/>
      <c r="B2097" s="950" t="s">
        <v>326</v>
      </c>
      <c r="C2097" s="951"/>
      <c r="D2097" s="951"/>
      <c r="E2097" s="951"/>
      <c r="F2097" s="971"/>
      <c r="G2097" s="121">
        <f>+G2060+G2077+G2088</f>
        <v>162792</v>
      </c>
    </row>
    <row r="2098" spans="1:8">
      <c r="A2098" s="95"/>
      <c r="B2098" s="972" t="s">
        <v>861</v>
      </c>
      <c r="C2098" s="973"/>
      <c r="D2098" s="973"/>
      <c r="E2098" s="974"/>
      <c r="F2098" s="128">
        <f>'MANO DE OBRA'!$D$59</f>
        <v>0</v>
      </c>
      <c r="G2098" s="122">
        <f>ROUND(G2097*F2098,0)</f>
        <v>0</v>
      </c>
    </row>
    <row r="2099" spans="1:8" ht="13.5" thickBot="1">
      <c r="A2099" s="95"/>
      <c r="B2099" s="975" t="s">
        <v>1049</v>
      </c>
      <c r="C2099" s="976"/>
      <c r="D2099" s="976"/>
      <c r="E2099" s="976"/>
      <c r="F2099" s="977"/>
      <c r="G2099" s="118">
        <f>ROUND(G2097+G2098,-2)</f>
        <v>162800</v>
      </c>
      <c r="H2099" s="505" t="s">
        <v>1670</v>
      </c>
    </row>
    <row r="2100" spans="1:8" ht="13.5" thickTop="1">
      <c r="A2100" s="95"/>
      <c r="B2100" s="225" t="s">
        <v>303</v>
      </c>
      <c r="C2100" s="843"/>
      <c r="D2100" s="843"/>
      <c r="E2100" s="843"/>
      <c r="F2100" s="92" t="s">
        <v>781</v>
      </c>
      <c r="G2100" s="93" t="s">
        <v>865</v>
      </c>
    </row>
    <row r="2101" spans="1:8">
      <c r="A2101" s="95"/>
      <c r="B2101" s="226" t="s">
        <v>834</v>
      </c>
      <c r="C2101" s="844" t="s">
        <v>1352</v>
      </c>
      <c r="D2101" s="844"/>
      <c r="E2101" s="844"/>
      <c r="F2101" s="15" t="s">
        <v>833</v>
      </c>
      <c r="G2101" s="165" t="str">
        <f>'MANO DE OBRA'!D61</f>
        <v>Agosto de 2010</v>
      </c>
    </row>
    <row r="2102" spans="1:8" ht="13.5" thickBot="1">
      <c r="A2102" s="236"/>
      <c r="B2102" s="240" t="s">
        <v>835</v>
      </c>
      <c r="C2102" s="987" t="s">
        <v>330</v>
      </c>
      <c r="D2102" s="987"/>
      <c r="E2102" s="987"/>
      <c r="F2102" s="987"/>
      <c r="G2102" s="988"/>
    </row>
    <row r="2103" spans="1:8" ht="14.25" thickTop="1" thickBot="1">
      <c r="A2103" s="95"/>
      <c r="B2103" s="986"/>
      <c r="C2103" s="986"/>
      <c r="D2103" s="986"/>
      <c r="E2103" s="986"/>
      <c r="F2103" s="986"/>
      <c r="G2103" s="986"/>
    </row>
    <row r="2104" spans="1:8" ht="13.5" thickTop="1">
      <c r="A2104" s="95"/>
      <c r="B2104" s="950" t="s">
        <v>304</v>
      </c>
      <c r="C2104" s="951"/>
      <c r="D2104" s="951"/>
      <c r="E2104" s="951"/>
      <c r="F2104" s="951"/>
      <c r="G2104" s="952"/>
    </row>
    <row r="2105" spans="1:8">
      <c r="A2105" s="95"/>
      <c r="B2105" s="229"/>
      <c r="C2105" s="97"/>
      <c r="D2105" s="98" t="s">
        <v>301</v>
      </c>
      <c r="E2105" s="98" t="s">
        <v>1072</v>
      </c>
      <c r="F2105" s="99" t="s">
        <v>839</v>
      </c>
      <c r="G2105" s="107" t="s">
        <v>840</v>
      </c>
    </row>
    <row r="2106" spans="1:8">
      <c r="A2106" s="95"/>
      <c r="B2106" s="982" t="s">
        <v>838</v>
      </c>
      <c r="C2106" s="983"/>
      <c r="D2106" s="100" t="s">
        <v>308</v>
      </c>
      <c r="E2106" s="100" t="s">
        <v>305</v>
      </c>
      <c r="F2106" s="101" t="s">
        <v>306</v>
      </c>
      <c r="G2106" s="108" t="s">
        <v>310</v>
      </c>
    </row>
    <row r="2107" spans="1:8">
      <c r="A2107" s="95"/>
      <c r="B2107" s="230"/>
      <c r="C2107" s="102"/>
      <c r="D2107" s="103"/>
      <c r="E2107" s="103" t="s">
        <v>309</v>
      </c>
      <c r="F2107" s="104" t="s">
        <v>307</v>
      </c>
      <c r="G2107" s="109"/>
    </row>
    <row r="2108" spans="1:8">
      <c r="A2108" s="127"/>
      <c r="B2108" s="841" t="str">
        <f>'MAQUINARIA Y EQUIPOS'!$C$28</f>
        <v>HERRAMIENTAS MENORES</v>
      </c>
      <c r="C2108" s="842"/>
      <c r="D2108" s="87">
        <v>1</v>
      </c>
      <c r="E2108" s="82">
        <f>ROUND(G2139*0.05,0)</f>
        <v>6083</v>
      </c>
      <c r="F2108" s="81">
        <v>1</v>
      </c>
      <c r="G2108" s="110">
        <f>ROUND(D2108*E2108/F2108,0)</f>
        <v>6083</v>
      </c>
    </row>
    <row r="2109" spans="1:8">
      <c r="A2109" s="125"/>
      <c r="B2109" s="938"/>
      <c r="C2109" s="939"/>
      <c r="D2109" s="37"/>
      <c r="E2109" s="5"/>
      <c r="F2109" s="83"/>
      <c r="G2109" s="111"/>
    </row>
    <row r="2110" spans="1:8" ht="13.5" thickBot="1">
      <c r="A2110" s="95"/>
      <c r="B2110" s="942" t="s">
        <v>841</v>
      </c>
      <c r="C2110" s="943"/>
      <c r="D2110" s="77"/>
      <c r="E2110" s="106"/>
      <c r="F2110" s="86"/>
      <c r="G2110" s="112"/>
    </row>
    <row r="2111" spans="1:8" ht="14.25" thickTop="1" thickBot="1">
      <c r="A2111" s="95"/>
      <c r="B2111" s="946"/>
      <c r="C2111" s="946"/>
      <c r="D2111" s="946"/>
      <c r="E2111" s="947"/>
      <c r="F2111" s="119" t="s">
        <v>856</v>
      </c>
      <c r="G2111" s="118">
        <f>SUM(G2108:G2110)</f>
        <v>6083</v>
      </c>
    </row>
    <row r="2112" spans="1:8" ht="14.25" thickTop="1" thickBot="1">
      <c r="A2112" s="95"/>
      <c r="B2112" s="970"/>
      <c r="C2112" s="970"/>
      <c r="D2112" s="970"/>
      <c r="E2112" s="970"/>
      <c r="F2112" s="970"/>
      <c r="G2112" s="970"/>
    </row>
    <row r="2113" spans="1:8" ht="13.5" thickTop="1">
      <c r="A2113" s="95"/>
      <c r="B2113" s="950" t="s">
        <v>311</v>
      </c>
      <c r="C2113" s="951"/>
      <c r="D2113" s="951"/>
      <c r="E2113" s="951"/>
      <c r="F2113" s="951"/>
      <c r="G2113" s="952"/>
    </row>
    <row r="2114" spans="1:8">
      <c r="A2114" s="95"/>
      <c r="B2114" s="978" t="s">
        <v>838</v>
      </c>
      <c r="C2114" s="979"/>
      <c r="D2114" s="98" t="s">
        <v>842</v>
      </c>
      <c r="E2114" s="98" t="s">
        <v>853</v>
      </c>
      <c r="F2114" s="99" t="s">
        <v>1047</v>
      </c>
      <c r="G2114" s="107" t="s">
        <v>840</v>
      </c>
    </row>
    <row r="2115" spans="1:8">
      <c r="A2115" s="95"/>
      <c r="B2115" s="230"/>
      <c r="C2115" s="102"/>
      <c r="D2115" s="100"/>
      <c r="E2115" s="100" t="s">
        <v>312</v>
      </c>
      <c r="F2115" s="101" t="s">
        <v>313</v>
      </c>
      <c r="G2115" s="108" t="s">
        <v>314</v>
      </c>
    </row>
    <row r="2116" spans="1:8">
      <c r="A2116" s="123"/>
      <c r="B2116" s="841" t="s">
        <v>70</v>
      </c>
      <c r="C2116" s="842"/>
      <c r="D2116" s="87" t="s">
        <v>842</v>
      </c>
      <c r="E2116" s="81">
        <v>1</v>
      </c>
      <c r="F2116" s="80">
        <v>1850000</v>
      </c>
      <c r="G2116" s="110">
        <f>ROUND(E2116*F2116,0)</f>
        <v>1850000</v>
      </c>
    </row>
    <row r="2117" spans="1:8">
      <c r="A2117" s="123"/>
      <c r="B2117" s="854" t="s">
        <v>71</v>
      </c>
      <c r="C2117" s="855"/>
      <c r="D2117" s="37" t="s">
        <v>842</v>
      </c>
      <c r="E2117" s="83">
        <v>1</v>
      </c>
      <c r="F2117" s="82">
        <v>67000</v>
      </c>
      <c r="G2117" s="111">
        <f>ROUND(E2117*F2117,0)</f>
        <v>67000</v>
      </c>
    </row>
    <row r="2118" spans="1:8">
      <c r="A2118" s="123"/>
      <c r="B2118" s="854"/>
      <c r="C2118" s="855"/>
      <c r="D2118" s="37"/>
      <c r="E2118" s="83"/>
      <c r="F2118" s="82"/>
      <c r="G2118" s="111"/>
    </row>
    <row r="2119" spans="1:8">
      <c r="A2119" s="123"/>
      <c r="B2119" s="854"/>
      <c r="C2119" s="855"/>
      <c r="D2119" s="37"/>
      <c r="E2119" s="83"/>
      <c r="F2119" s="82"/>
      <c r="G2119" s="111"/>
    </row>
    <row r="2120" spans="1:8">
      <c r="A2120" s="123"/>
      <c r="B2120" s="854"/>
      <c r="C2120" s="855"/>
      <c r="D2120" s="37"/>
      <c r="E2120" s="83"/>
      <c r="F2120" s="82"/>
      <c r="G2120" s="111"/>
    </row>
    <row r="2121" spans="1:8">
      <c r="A2121" s="123"/>
      <c r="B2121" s="984"/>
      <c r="C2121" s="985"/>
      <c r="D2121" s="37"/>
      <c r="E2121" s="83"/>
      <c r="F2121" s="82"/>
      <c r="G2121" s="111"/>
    </row>
    <row r="2122" spans="1:8">
      <c r="A2122" s="123"/>
      <c r="B2122" s="984"/>
      <c r="C2122" s="985"/>
      <c r="D2122" s="37"/>
      <c r="E2122" s="83"/>
      <c r="F2122" s="82"/>
      <c r="G2122" s="111"/>
    </row>
    <row r="2123" spans="1:8">
      <c r="A2123" s="123"/>
      <c r="B2123" s="854"/>
      <c r="C2123" s="855"/>
      <c r="D2123" s="37"/>
      <c r="E2123" s="83"/>
      <c r="F2123" s="82"/>
      <c r="G2123" s="111"/>
    </row>
    <row r="2124" spans="1:8">
      <c r="A2124" s="252"/>
      <c r="B2124" s="991"/>
      <c r="C2124" s="992"/>
      <c r="D2124" s="37"/>
      <c r="E2124" s="83"/>
      <c r="F2124" s="82"/>
      <c r="G2124" s="111"/>
      <c r="H2124" s="505" t="s">
        <v>1670</v>
      </c>
    </row>
    <row r="2125" spans="1:8" ht="13.5" thickBot="1">
      <c r="A2125" s="123"/>
      <c r="B2125" s="854"/>
      <c r="C2125" s="855"/>
      <c r="D2125" s="37"/>
      <c r="E2125" s="83"/>
      <c r="F2125" s="82"/>
      <c r="G2125" s="111"/>
    </row>
    <row r="2126" spans="1:8" ht="13.5" thickTop="1">
      <c r="A2126" s="95"/>
      <c r="B2126" s="946"/>
      <c r="C2126" s="947"/>
      <c r="D2126" s="801" t="s">
        <v>856</v>
      </c>
      <c r="E2126" s="802"/>
      <c r="F2126" s="9"/>
      <c r="G2126" s="113">
        <f>SUM(G2116:G2125)</f>
        <v>1917000</v>
      </c>
    </row>
    <row r="2127" spans="1:8">
      <c r="A2127" s="95"/>
      <c r="B2127" s="948"/>
      <c r="C2127" s="949"/>
      <c r="D2127" s="801" t="s">
        <v>857</v>
      </c>
      <c r="E2127" s="802"/>
      <c r="F2127" s="79">
        <f>'MANO DE OBRA'!$D$60</f>
        <v>0.05</v>
      </c>
      <c r="G2127" s="113">
        <f>ROUND(G2126*F2127,0)</f>
        <v>95850</v>
      </c>
    </row>
    <row r="2128" spans="1:8" ht="13.5" thickBot="1">
      <c r="A2128" s="95"/>
      <c r="B2128" s="948"/>
      <c r="C2128" s="949"/>
      <c r="D2128" s="803" t="s">
        <v>320</v>
      </c>
      <c r="E2128" s="804"/>
      <c r="F2128" s="114"/>
      <c r="G2128" s="118">
        <f>+G2126+G2127</f>
        <v>2012850</v>
      </c>
    </row>
    <row r="2129" spans="1:7" ht="14.25" thickTop="1" thickBot="1">
      <c r="A2129" s="95"/>
      <c r="B2129" s="970"/>
      <c r="C2129" s="970"/>
      <c r="D2129" s="970"/>
      <c r="E2129" s="970"/>
      <c r="F2129" s="970"/>
      <c r="G2129" s="970"/>
    </row>
    <row r="2130" spans="1:7" ht="13.5" thickTop="1">
      <c r="A2130" s="95"/>
      <c r="B2130" s="950" t="s">
        <v>858</v>
      </c>
      <c r="C2130" s="951"/>
      <c r="D2130" s="951"/>
      <c r="E2130" s="951"/>
      <c r="F2130" s="951"/>
      <c r="G2130" s="952"/>
    </row>
    <row r="2131" spans="1:7">
      <c r="A2131" s="95"/>
      <c r="B2131" s="978"/>
      <c r="C2131" s="979"/>
      <c r="D2131" s="98" t="s">
        <v>301</v>
      </c>
      <c r="E2131" s="98" t="s">
        <v>859</v>
      </c>
      <c r="F2131" s="99" t="s">
        <v>839</v>
      </c>
      <c r="G2131" s="107" t="s">
        <v>840</v>
      </c>
    </row>
    <row r="2132" spans="1:7">
      <c r="A2132" s="95"/>
      <c r="B2132" s="982" t="s">
        <v>838</v>
      </c>
      <c r="C2132" s="983"/>
      <c r="D2132" s="100" t="s">
        <v>316</v>
      </c>
      <c r="E2132" s="100" t="s">
        <v>315</v>
      </c>
      <c r="F2132" s="101" t="s">
        <v>306</v>
      </c>
      <c r="G2132" s="108" t="s">
        <v>319</v>
      </c>
    </row>
    <row r="2133" spans="1:7">
      <c r="A2133" s="95"/>
      <c r="B2133" s="230"/>
      <c r="C2133" s="102"/>
      <c r="D2133" s="103"/>
      <c r="E2133" s="103" t="s">
        <v>317</v>
      </c>
      <c r="F2133" s="104" t="s">
        <v>318</v>
      </c>
      <c r="G2133" s="109"/>
    </row>
    <row r="2134" spans="1:7">
      <c r="A2134" s="95"/>
      <c r="B2134" s="841" t="str">
        <f>'MANO DE OBRA'!$B$11</f>
        <v>AYUDANTE CUAD. TIPO BB</v>
      </c>
      <c r="C2134" s="842"/>
      <c r="D2134" s="87">
        <v>1</v>
      </c>
      <c r="E2134" s="80">
        <f>'MANO DE OBRA'!$E$11</f>
        <v>43077</v>
      </c>
      <c r="F2134" s="81">
        <v>1</v>
      </c>
      <c r="G2134" s="110">
        <f>ROUND(D2134*E2134/F2134,0)</f>
        <v>43077</v>
      </c>
    </row>
    <row r="2135" spans="1:7">
      <c r="A2135" s="95"/>
      <c r="B2135" s="854" t="str">
        <f>'MANO DE OBRA'!$B$16</f>
        <v>OFICIAL CUAD. TIPO BB</v>
      </c>
      <c r="C2135" s="855"/>
      <c r="D2135" s="37">
        <v>1</v>
      </c>
      <c r="E2135" s="82">
        <f>'MANO DE OBRA'!$E$16</f>
        <v>78577</v>
      </c>
      <c r="F2135" s="83">
        <v>1</v>
      </c>
      <c r="G2135" s="111">
        <f>ROUND(D2135*E2135/F2135,0)</f>
        <v>78577</v>
      </c>
    </row>
    <row r="2136" spans="1:7">
      <c r="A2136" s="95"/>
      <c r="B2136" s="854"/>
      <c r="C2136" s="855"/>
      <c r="D2136" s="89"/>
      <c r="E2136" s="82"/>
      <c r="F2136" s="83"/>
      <c r="G2136" s="111"/>
    </row>
    <row r="2137" spans="1:7">
      <c r="A2137" s="95"/>
      <c r="B2137" s="854" t="s">
        <v>841</v>
      </c>
      <c r="C2137" s="855"/>
      <c r="D2137" s="37"/>
      <c r="E2137" s="82"/>
      <c r="F2137" s="83"/>
      <c r="G2137" s="111"/>
    </row>
    <row r="2138" spans="1:7" ht="13.5" thickBot="1">
      <c r="A2138" s="95"/>
      <c r="B2138" s="980" t="s">
        <v>841</v>
      </c>
      <c r="C2138" s="981"/>
      <c r="D2138" s="77"/>
      <c r="E2138" s="82"/>
      <c r="F2138" s="86"/>
      <c r="G2138" s="112"/>
    </row>
    <row r="2139" spans="1:7" ht="14.25" thickTop="1" thickBot="1">
      <c r="A2139" s="95"/>
      <c r="B2139" s="946"/>
      <c r="C2139" s="946"/>
      <c r="D2139" s="946"/>
      <c r="E2139" s="947"/>
      <c r="F2139" s="120" t="s">
        <v>856</v>
      </c>
      <c r="G2139" s="118">
        <f>SUM(G2134:G2138)</f>
        <v>121654</v>
      </c>
    </row>
    <row r="2140" spans="1:7" ht="14.25" thickTop="1" thickBot="1">
      <c r="A2140" s="95"/>
      <c r="B2140" s="970"/>
      <c r="C2140" s="970"/>
      <c r="D2140" s="970"/>
      <c r="E2140" s="970"/>
      <c r="F2140" s="970"/>
      <c r="G2140" s="970"/>
    </row>
    <row r="2141" spans="1:7" ht="13.5" thickTop="1">
      <c r="A2141" s="95"/>
      <c r="B2141" s="950" t="s">
        <v>321</v>
      </c>
      <c r="C2141" s="951"/>
      <c r="D2141" s="951"/>
      <c r="E2141" s="951"/>
      <c r="F2141" s="951"/>
      <c r="G2141" s="952"/>
    </row>
    <row r="2142" spans="1:7">
      <c r="A2142" s="95"/>
      <c r="B2142" s="978" t="s">
        <v>838</v>
      </c>
      <c r="C2142" s="979"/>
      <c r="D2142" s="98" t="s">
        <v>301</v>
      </c>
      <c r="E2142" s="98" t="s">
        <v>297</v>
      </c>
      <c r="F2142" s="99" t="s">
        <v>839</v>
      </c>
      <c r="G2142" s="107" t="s">
        <v>840</v>
      </c>
    </row>
    <row r="2143" spans="1:7">
      <c r="A2143" s="95"/>
      <c r="B2143" s="230"/>
      <c r="C2143" s="102"/>
      <c r="D2143" s="103" t="s">
        <v>322</v>
      </c>
      <c r="E2143" s="103" t="s">
        <v>323</v>
      </c>
      <c r="F2143" s="104" t="s">
        <v>324</v>
      </c>
      <c r="G2143" s="109" t="s">
        <v>325</v>
      </c>
    </row>
    <row r="2144" spans="1:7">
      <c r="A2144" s="95"/>
      <c r="B2144" s="841"/>
      <c r="C2144" s="842"/>
      <c r="D2144" s="96"/>
      <c r="E2144" s="96"/>
      <c r="F2144" s="96"/>
      <c r="G2144" s="116"/>
    </row>
    <row r="2145" spans="1:8" ht="13.5" thickBot="1">
      <c r="A2145" s="95"/>
      <c r="B2145" s="980" t="s">
        <v>841</v>
      </c>
      <c r="C2145" s="981"/>
      <c r="D2145" s="77"/>
      <c r="E2145" s="82"/>
      <c r="F2145" s="86"/>
      <c r="G2145" s="112"/>
    </row>
    <row r="2146" spans="1:8" ht="14.25" thickTop="1" thickBot="1">
      <c r="A2146" s="95"/>
      <c r="B2146" s="946"/>
      <c r="C2146" s="946"/>
      <c r="D2146" s="946"/>
      <c r="E2146" s="947"/>
      <c r="F2146" s="120" t="s">
        <v>856</v>
      </c>
      <c r="G2146" s="118">
        <f>SUM(G2141:G2145)</f>
        <v>0</v>
      </c>
    </row>
    <row r="2147" spans="1:8" ht="14.25" thickTop="1" thickBot="1">
      <c r="A2147" s="95"/>
      <c r="B2147" s="970"/>
      <c r="C2147" s="970"/>
      <c r="D2147" s="970"/>
      <c r="E2147" s="970"/>
      <c r="F2147" s="970"/>
      <c r="G2147" s="943"/>
    </row>
    <row r="2148" spans="1:8" ht="13.5" thickTop="1">
      <c r="A2148" s="95"/>
      <c r="B2148" s="950" t="s">
        <v>326</v>
      </c>
      <c r="C2148" s="951"/>
      <c r="D2148" s="951"/>
      <c r="E2148" s="951"/>
      <c r="F2148" s="971"/>
      <c r="G2148" s="121">
        <f>+G2111+G2128+G2139</f>
        <v>2140587</v>
      </c>
    </row>
    <row r="2149" spans="1:8">
      <c r="A2149" s="95"/>
      <c r="B2149" s="972" t="s">
        <v>861</v>
      </c>
      <c r="C2149" s="973"/>
      <c r="D2149" s="973"/>
      <c r="E2149" s="974"/>
      <c r="F2149" s="128">
        <f>'MANO DE OBRA'!$D$59</f>
        <v>0</v>
      </c>
      <c r="G2149" s="122">
        <f>ROUND(G2148*F2149,0)</f>
        <v>0</v>
      </c>
    </row>
    <row r="2150" spans="1:8" ht="13.5" thickBot="1">
      <c r="A2150" s="95"/>
      <c r="B2150" s="975" t="s">
        <v>1049</v>
      </c>
      <c r="C2150" s="976"/>
      <c r="D2150" s="976"/>
      <c r="E2150" s="976"/>
      <c r="F2150" s="977"/>
      <c r="G2150" s="118">
        <f>ROUND(G2148+G2149,-2)</f>
        <v>2140600</v>
      </c>
      <c r="H2150" s="505" t="s">
        <v>1670</v>
      </c>
    </row>
    <row r="2151" spans="1:8" ht="13.5" thickTop="1">
      <c r="A2151" s="95"/>
      <c r="B2151" s="225" t="s">
        <v>303</v>
      </c>
      <c r="C2151" s="843"/>
      <c r="D2151" s="843"/>
      <c r="E2151" s="843"/>
      <c r="F2151" s="92" t="s">
        <v>781</v>
      </c>
      <c r="G2151" s="93" t="s">
        <v>865</v>
      </c>
    </row>
    <row r="2152" spans="1:8">
      <c r="A2152" s="95"/>
      <c r="B2152" s="226" t="s">
        <v>834</v>
      </c>
      <c r="C2152" s="844" t="s">
        <v>343</v>
      </c>
      <c r="D2152" s="844"/>
      <c r="E2152" s="844"/>
      <c r="F2152" s="15" t="s">
        <v>833</v>
      </c>
      <c r="G2152" s="165" t="str">
        <f>'MANO DE OBRA'!D61</f>
        <v>Agosto de 2010</v>
      </c>
    </row>
    <row r="2153" spans="1:8" ht="13.5" thickBot="1">
      <c r="A2153" s="236"/>
      <c r="B2153" s="240" t="s">
        <v>835</v>
      </c>
      <c r="C2153" s="934" t="s">
        <v>3</v>
      </c>
      <c r="D2153" s="934"/>
      <c r="E2153" s="934"/>
      <c r="F2153" s="934"/>
      <c r="G2153" s="935"/>
    </row>
    <row r="2154" spans="1:8" ht="14.25" thickTop="1" thickBot="1">
      <c r="A2154" s="95"/>
      <c r="B2154" s="986"/>
      <c r="C2154" s="986"/>
      <c r="D2154" s="986"/>
      <c r="E2154" s="986"/>
      <c r="F2154" s="986"/>
      <c r="G2154" s="986"/>
    </row>
    <row r="2155" spans="1:8" ht="13.5" thickTop="1">
      <c r="A2155" s="95"/>
      <c r="B2155" s="950" t="s">
        <v>304</v>
      </c>
      <c r="C2155" s="951"/>
      <c r="D2155" s="951"/>
      <c r="E2155" s="951"/>
      <c r="F2155" s="951"/>
      <c r="G2155" s="952"/>
    </row>
    <row r="2156" spans="1:8">
      <c r="A2156" s="95"/>
      <c r="B2156" s="229"/>
      <c r="C2156" s="97"/>
      <c r="D2156" s="98" t="s">
        <v>301</v>
      </c>
      <c r="E2156" s="98" t="s">
        <v>1072</v>
      </c>
      <c r="F2156" s="99" t="s">
        <v>839</v>
      </c>
      <c r="G2156" s="107" t="s">
        <v>840</v>
      </c>
    </row>
    <row r="2157" spans="1:8">
      <c r="A2157" s="95"/>
      <c r="B2157" s="982" t="s">
        <v>838</v>
      </c>
      <c r="C2157" s="983"/>
      <c r="D2157" s="100" t="s">
        <v>308</v>
      </c>
      <c r="E2157" s="100" t="s">
        <v>305</v>
      </c>
      <c r="F2157" s="101" t="s">
        <v>306</v>
      </c>
      <c r="G2157" s="108" t="s">
        <v>310</v>
      </c>
    </row>
    <row r="2158" spans="1:8">
      <c r="A2158" s="95"/>
      <c r="B2158" s="230"/>
      <c r="C2158" s="102"/>
      <c r="D2158" s="103"/>
      <c r="E2158" s="103" t="s">
        <v>309</v>
      </c>
      <c r="F2158" s="104" t="s">
        <v>307</v>
      </c>
      <c r="G2158" s="109"/>
    </row>
    <row r="2159" spans="1:8">
      <c r="A2159" s="127"/>
      <c r="B2159" s="841" t="str">
        <f>'MAQUINARIA Y EQUIPOS'!$C$28</f>
        <v>HERRAMIENTAS MENORES</v>
      </c>
      <c r="C2159" s="842"/>
      <c r="D2159" s="87">
        <v>1</v>
      </c>
      <c r="E2159" s="82">
        <f>ROUND(G2190*0.05,0)</f>
        <v>304</v>
      </c>
      <c r="F2159" s="81">
        <v>1</v>
      </c>
      <c r="G2159" s="110">
        <f>ROUND(D2159*E2159/F2159,0)</f>
        <v>304</v>
      </c>
    </row>
    <row r="2160" spans="1:8">
      <c r="A2160" s="125"/>
      <c r="B2160" s="938"/>
      <c r="C2160" s="939"/>
      <c r="D2160" s="37"/>
      <c r="E2160" s="5"/>
      <c r="F2160" s="83"/>
      <c r="G2160" s="111"/>
    </row>
    <row r="2161" spans="1:8" ht="13.5" thickBot="1">
      <c r="A2161" s="95"/>
      <c r="B2161" s="942" t="s">
        <v>841</v>
      </c>
      <c r="C2161" s="943"/>
      <c r="D2161" s="77"/>
      <c r="E2161" s="106"/>
      <c r="F2161" s="86"/>
      <c r="G2161" s="112"/>
    </row>
    <row r="2162" spans="1:8" ht="14.25" thickTop="1" thickBot="1">
      <c r="A2162" s="95"/>
      <c r="B2162" s="946"/>
      <c r="C2162" s="946"/>
      <c r="D2162" s="946"/>
      <c r="E2162" s="947"/>
      <c r="F2162" s="119" t="s">
        <v>856</v>
      </c>
      <c r="G2162" s="118">
        <f>SUM(G2159:G2161)</f>
        <v>304</v>
      </c>
    </row>
    <row r="2163" spans="1:8" ht="14.25" thickTop="1" thickBot="1">
      <c r="A2163" s="95"/>
      <c r="B2163" s="970"/>
      <c r="C2163" s="970"/>
      <c r="D2163" s="970"/>
      <c r="E2163" s="970"/>
      <c r="F2163" s="970"/>
      <c r="G2163" s="970"/>
    </row>
    <row r="2164" spans="1:8" ht="13.5" thickTop="1">
      <c r="A2164" s="95"/>
      <c r="B2164" s="950" t="s">
        <v>311</v>
      </c>
      <c r="C2164" s="951"/>
      <c r="D2164" s="951"/>
      <c r="E2164" s="951"/>
      <c r="F2164" s="951"/>
      <c r="G2164" s="952"/>
    </row>
    <row r="2165" spans="1:8">
      <c r="A2165" s="95"/>
      <c r="B2165" s="978" t="s">
        <v>838</v>
      </c>
      <c r="C2165" s="979"/>
      <c r="D2165" s="98" t="s">
        <v>842</v>
      </c>
      <c r="E2165" s="98" t="s">
        <v>853</v>
      </c>
      <c r="F2165" s="99" t="s">
        <v>1047</v>
      </c>
      <c r="G2165" s="107" t="s">
        <v>840</v>
      </c>
    </row>
    <row r="2166" spans="1:8">
      <c r="A2166" s="95"/>
      <c r="B2166" s="230"/>
      <c r="C2166" s="102"/>
      <c r="D2166" s="100"/>
      <c r="E2166" s="100" t="s">
        <v>312</v>
      </c>
      <c r="F2166" s="101" t="s">
        <v>313</v>
      </c>
      <c r="G2166" s="108" t="s">
        <v>314</v>
      </c>
    </row>
    <row r="2167" spans="1:8">
      <c r="A2167" s="123"/>
      <c r="B2167" s="841" t="str">
        <f>MATERIALES2!C472</f>
        <v>CAJA ELECTRICA CUADRADA METALICA</v>
      </c>
      <c r="C2167" s="842"/>
      <c r="D2167" s="87" t="s">
        <v>842</v>
      </c>
      <c r="E2167" s="81">
        <v>1</v>
      </c>
      <c r="F2167" s="80">
        <f>MATERIALES2!E472</f>
        <v>1000</v>
      </c>
      <c r="G2167" s="110">
        <f>ROUND(E2167*F2167,0)</f>
        <v>1000</v>
      </c>
    </row>
    <row r="2168" spans="1:8">
      <c r="A2168" s="123"/>
      <c r="B2168" s="953" t="str">
        <f>'CONCRETOS - HIERROS'!C432</f>
        <v>MORTERO 1:4</v>
      </c>
      <c r="C2168" s="855"/>
      <c r="D2168" s="37" t="s">
        <v>669</v>
      </c>
      <c r="E2168" s="83">
        <v>0.02</v>
      </c>
      <c r="F2168" s="82">
        <f>'CONCRETOS - HIERROS'!G482</f>
        <v>326500</v>
      </c>
      <c r="G2168" s="111">
        <f>ROUND(E2168*F2168,0)</f>
        <v>6530</v>
      </c>
    </row>
    <row r="2169" spans="1:8">
      <c r="A2169" s="123"/>
      <c r="B2169" s="854"/>
      <c r="C2169" s="855"/>
      <c r="D2169" s="37"/>
      <c r="E2169" s="83"/>
      <c r="F2169" s="82"/>
      <c r="G2169" s="111"/>
    </row>
    <row r="2170" spans="1:8">
      <c r="A2170" s="123"/>
      <c r="B2170" s="854"/>
      <c r="C2170" s="855"/>
      <c r="D2170" s="37"/>
      <c r="E2170" s="83"/>
      <c r="F2170" s="82"/>
      <c r="G2170" s="111"/>
    </row>
    <row r="2171" spans="1:8">
      <c r="A2171" s="123"/>
      <c r="B2171" s="854"/>
      <c r="C2171" s="855"/>
      <c r="D2171" s="37"/>
      <c r="E2171" s="83"/>
      <c r="F2171" s="82"/>
      <c r="G2171" s="111"/>
    </row>
    <row r="2172" spans="1:8">
      <c r="A2172" s="123"/>
      <c r="B2172" s="984"/>
      <c r="C2172" s="985"/>
      <c r="D2172" s="37"/>
      <c r="E2172" s="83"/>
      <c r="F2172" s="82"/>
      <c r="G2172" s="111"/>
    </row>
    <row r="2173" spans="1:8">
      <c r="A2173" s="123"/>
      <c r="B2173" s="984"/>
      <c r="C2173" s="985"/>
      <c r="D2173" s="37"/>
      <c r="E2173" s="83"/>
      <c r="F2173" s="82"/>
      <c r="G2173" s="111"/>
    </row>
    <row r="2174" spans="1:8">
      <c r="A2174" s="123"/>
      <c r="B2174" s="854"/>
      <c r="C2174" s="855"/>
      <c r="D2174" s="37"/>
      <c r="E2174" s="83"/>
      <c r="F2174" s="82"/>
      <c r="G2174" s="111"/>
    </row>
    <row r="2175" spans="1:8">
      <c r="A2175" s="252"/>
      <c r="B2175" s="991"/>
      <c r="C2175" s="992"/>
      <c r="D2175" s="37"/>
      <c r="E2175" s="83"/>
      <c r="F2175" s="82"/>
      <c r="G2175" s="111"/>
      <c r="H2175" s="505" t="s">
        <v>1670</v>
      </c>
    </row>
    <row r="2176" spans="1:8" ht="13.5" thickBot="1">
      <c r="A2176" s="123"/>
      <c r="B2176" s="854"/>
      <c r="C2176" s="855"/>
      <c r="D2176" s="37"/>
      <c r="E2176" s="83"/>
      <c r="F2176" s="82"/>
      <c r="G2176" s="111"/>
    </row>
    <row r="2177" spans="1:7" ht="13.5" thickTop="1">
      <c r="A2177" s="95"/>
      <c r="B2177" s="946"/>
      <c r="C2177" s="947"/>
      <c r="D2177" s="801" t="s">
        <v>856</v>
      </c>
      <c r="E2177" s="802"/>
      <c r="F2177" s="9"/>
      <c r="G2177" s="113">
        <f>SUM(G2167:G2176)</f>
        <v>7530</v>
      </c>
    </row>
    <row r="2178" spans="1:7">
      <c r="A2178" s="95"/>
      <c r="B2178" s="948"/>
      <c r="C2178" s="949"/>
      <c r="D2178" s="801" t="s">
        <v>857</v>
      </c>
      <c r="E2178" s="802"/>
      <c r="F2178" s="79">
        <v>0</v>
      </c>
      <c r="G2178" s="113">
        <f>ROUND(G2177*F2178,0)</f>
        <v>0</v>
      </c>
    </row>
    <row r="2179" spans="1:7" ht="13.5" thickBot="1">
      <c r="A2179" s="95"/>
      <c r="B2179" s="948"/>
      <c r="C2179" s="949"/>
      <c r="D2179" s="803" t="s">
        <v>320</v>
      </c>
      <c r="E2179" s="804"/>
      <c r="F2179" s="114"/>
      <c r="G2179" s="118">
        <f>+G2177+G2178</f>
        <v>7530</v>
      </c>
    </row>
    <row r="2180" spans="1:7" ht="14.25" thickTop="1" thickBot="1">
      <c r="A2180" s="95"/>
      <c r="B2180" s="970"/>
      <c r="C2180" s="970"/>
      <c r="D2180" s="970"/>
      <c r="E2180" s="970"/>
      <c r="F2180" s="970"/>
      <c r="G2180" s="970"/>
    </row>
    <row r="2181" spans="1:7" ht="13.5" thickTop="1">
      <c r="A2181" s="95"/>
      <c r="B2181" s="950" t="s">
        <v>858</v>
      </c>
      <c r="C2181" s="951"/>
      <c r="D2181" s="951"/>
      <c r="E2181" s="951"/>
      <c r="F2181" s="951"/>
      <c r="G2181" s="952"/>
    </row>
    <row r="2182" spans="1:7">
      <c r="A2182" s="95"/>
      <c r="B2182" s="978"/>
      <c r="C2182" s="979"/>
      <c r="D2182" s="98" t="s">
        <v>301</v>
      </c>
      <c r="E2182" s="98" t="s">
        <v>859</v>
      </c>
      <c r="F2182" s="99" t="s">
        <v>839</v>
      </c>
      <c r="G2182" s="107" t="s">
        <v>840</v>
      </c>
    </row>
    <row r="2183" spans="1:7">
      <c r="A2183" s="95"/>
      <c r="B2183" s="982" t="s">
        <v>838</v>
      </c>
      <c r="C2183" s="983"/>
      <c r="D2183" s="100" t="s">
        <v>316</v>
      </c>
      <c r="E2183" s="100" t="s">
        <v>315</v>
      </c>
      <c r="F2183" s="101" t="s">
        <v>306</v>
      </c>
      <c r="G2183" s="108" t="s">
        <v>319</v>
      </c>
    </row>
    <row r="2184" spans="1:7">
      <c r="A2184" s="95"/>
      <c r="B2184" s="230"/>
      <c r="C2184" s="102"/>
      <c r="D2184" s="103"/>
      <c r="E2184" s="103" t="s">
        <v>317</v>
      </c>
      <c r="F2184" s="104" t="s">
        <v>318</v>
      </c>
      <c r="G2184" s="109"/>
    </row>
    <row r="2185" spans="1:7">
      <c r="A2185" s="95"/>
      <c r="B2185" s="841" t="str">
        <f>'MANO DE OBRA'!$B$11</f>
        <v>AYUDANTE CUAD. TIPO BB</v>
      </c>
      <c r="C2185" s="842"/>
      <c r="D2185" s="87">
        <v>1</v>
      </c>
      <c r="E2185" s="80">
        <f>'MANO DE OBRA'!$E$11</f>
        <v>43077</v>
      </c>
      <c r="F2185" s="81">
        <v>20</v>
      </c>
      <c r="G2185" s="110">
        <f>ROUND(D2185*E2185/F2185,0)</f>
        <v>2154</v>
      </c>
    </row>
    <row r="2186" spans="1:7">
      <c r="A2186" s="95"/>
      <c r="B2186" s="854" t="str">
        <f>'MANO DE OBRA'!$B$16</f>
        <v>OFICIAL CUAD. TIPO BB</v>
      </c>
      <c r="C2186" s="855"/>
      <c r="D2186" s="37">
        <v>1</v>
      </c>
      <c r="E2186" s="82">
        <f>'MANO DE OBRA'!$E$16</f>
        <v>78577</v>
      </c>
      <c r="F2186" s="83">
        <v>20</v>
      </c>
      <c r="G2186" s="111">
        <f>ROUND(D2186*E2186/F2186,0)</f>
        <v>3929</v>
      </c>
    </row>
    <row r="2187" spans="1:7">
      <c r="A2187" s="95"/>
      <c r="B2187" s="854"/>
      <c r="C2187" s="855"/>
      <c r="D2187" s="89"/>
      <c r="E2187" s="82"/>
      <c r="F2187" s="83"/>
      <c r="G2187" s="111"/>
    </row>
    <row r="2188" spans="1:7">
      <c r="A2188" s="95"/>
      <c r="B2188" s="854" t="s">
        <v>841</v>
      </c>
      <c r="C2188" s="855"/>
      <c r="D2188" s="37"/>
      <c r="E2188" s="82"/>
      <c r="F2188" s="83"/>
      <c r="G2188" s="111"/>
    </row>
    <row r="2189" spans="1:7" ht="13.5" thickBot="1">
      <c r="A2189" s="95"/>
      <c r="B2189" s="980" t="s">
        <v>841</v>
      </c>
      <c r="C2189" s="981"/>
      <c r="D2189" s="77"/>
      <c r="E2189" s="82"/>
      <c r="F2189" s="86"/>
      <c r="G2189" s="112"/>
    </row>
    <row r="2190" spans="1:7" ht="14.25" thickTop="1" thickBot="1">
      <c r="A2190" s="95"/>
      <c r="B2190" s="946"/>
      <c r="C2190" s="946"/>
      <c r="D2190" s="946"/>
      <c r="E2190" s="947"/>
      <c r="F2190" s="120" t="s">
        <v>856</v>
      </c>
      <c r="G2190" s="118">
        <f>SUM(G2185:G2189)</f>
        <v>6083</v>
      </c>
    </row>
    <row r="2191" spans="1:7" ht="14.25" thickTop="1" thickBot="1">
      <c r="A2191" s="95"/>
      <c r="B2191" s="970"/>
      <c r="C2191" s="970"/>
      <c r="D2191" s="970"/>
      <c r="E2191" s="970"/>
      <c r="F2191" s="970"/>
      <c r="G2191" s="970"/>
    </row>
    <row r="2192" spans="1:7" ht="13.5" thickTop="1">
      <c r="A2192" s="95"/>
      <c r="B2192" s="950" t="s">
        <v>321</v>
      </c>
      <c r="C2192" s="951"/>
      <c r="D2192" s="951"/>
      <c r="E2192" s="951"/>
      <c r="F2192" s="951"/>
      <c r="G2192" s="952"/>
    </row>
    <row r="2193" spans="1:8">
      <c r="A2193" s="95"/>
      <c r="B2193" s="978" t="s">
        <v>838</v>
      </c>
      <c r="C2193" s="979"/>
      <c r="D2193" s="98" t="s">
        <v>301</v>
      </c>
      <c r="E2193" s="98" t="s">
        <v>297</v>
      </c>
      <c r="F2193" s="99" t="s">
        <v>839</v>
      </c>
      <c r="G2193" s="107" t="s">
        <v>840</v>
      </c>
    </row>
    <row r="2194" spans="1:8">
      <c r="A2194" s="95"/>
      <c r="B2194" s="230"/>
      <c r="C2194" s="102"/>
      <c r="D2194" s="103" t="s">
        <v>322</v>
      </c>
      <c r="E2194" s="103" t="s">
        <v>323</v>
      </c>
      <c r="F2194" s="104" t="s">
        <v>324</v>
      </c>
      <c r="G2194" s="109" t="s">
        <v>325</v>
      </c>
    </row>
    <row r="2195" spans="1:8">
      <c r="A2195" s="95"/>
      <c r="B2195" s="841"/>
      <c r="C2195" s="842"/>
      <c r="D2195" s="96"/>
      <c r="E2195" s="96"/>
      <c r="F2195" s="96"/>
      <c r="G2195" s="116"/>
    </row>
    <row r="2196" spans="1:8" ht="13.5" thickBot="1">
      <c r="A2196" s="95"/>
      <c r="B2196" s="980" t="s">
        <v>841</v>
      </c>
      <c r="C2196" s="981"/>
      <c r="D2196" s="77"/>
      <c r="E2196" s="82"/>
      <c r="F2196" s="86"/>
      <c r="G2196" s="112"/>
    </row>
    <row r="2197" spans="1:8" ht="14.25" thickTop="1" thickBot="1">
      <c r="A2197" s="95"/>
      <c r="B2197" s="946"/>
      <c r="C2197" s="946"/>
      <c r="D2197" s="946"/>
      <c r="E2197" s="947"/>
      <c r="F2197" s="120" t="s">
        <v>856</v>
      </c>
      <c r="G2197" s="118">
        <f>SUM(G2192:G2196)</f>
        <v>0</v>
      </c>
    </row>
    <row r="2198" spans="1:8" ht="14.25" thickTop="1" thickBot="1">
      <c r="A2198" s="95"/>
      <c r="B2198" s="970"/>
      <c r="C2198" s="970"/>
      <c r="D2198" s="970"/>
      <c r="E2198" s="970"/>
      <c r="F2198" s="970"/>
      <c r="G2198" s="943"/>
    </row>
    <row r="2199" spans="1:8" ht="13.5" thickTop="1">
      <c r="A2199" s="95"/>
      <c r="B2199" s="950" t="s">
        <v>326</v>
      </c>
      <c r="C2199" s="951"/>
      <c r="D2199" s="951"/>
      <c r="E2199" s="951"/>
      <c r="F2199" s="971"/>
      <c r="G2199" s="121">
        <f>+G2162+G2179+G2190</f>
        <v>13917</v>
      </c>
    </row>
    <row r="2200" spans="1:8">
      <c r="A2200" s="95"/>
      <c r="B2200" s="972" t="s">
        <v>861</v>
      </c>
      <c r="C2200" s="973"/>
      <c r="D2200" s="973"/>
      <c r="E2200" s="974"/>
      <c r="F2200" s="128">
        <f>'MANO DE OBRA'!$D$59</f>
        <v>0</v>
      </c>
      <c r="G2200" s="122">
        <f>ROUND(G2199*F2200,0)</f>
        <v>0</v>
      </c>
    </row>
    <row r="2201" spans="1:8" ht="13.5" thickBot="1">
      <c r="A2201" s="95"/>
      <c r="B2201" s="975" t="s">
        <v>1049</v>
      </c>
      <c r="C2201" s="976"/>
      <c r="D2201" s="976"/>
      <c r="E2201" s="976"/>
      <c r="F2201" s="977"/>
      <c r="G2201" s="118">
        <f>ROUND(G2199+G2200,-2)</f>
        <v>13900</v>
      </c>
      <c r="H2201" s="505" t="s">
        <v>1670</v>
      </c>
    </row>
    <row r="2202" spans="1:8" ht="13.5" thickTop="1">
      <c r="B2202" s="225" t="s">
        <v>303</v>
      </c>
      <c r="C2202" s="843"/>
      <c r="D2202" s="843"/>
      <c r="E2202" s="843"/>
      <c r="F2202" s="92" t="s">
        <v>781</v>
      </c>
      <c r="G2202" s="93" t="s">
        <v>865</v>
      </c>
    </row>
    <row r="2203" spans="1:8">
      <c r="B2203" s="226" t="s">
        <v>834</v>
      </c>
      <c r="C2203" s="844" t="s">
        <v>1352</v>
      </c>
      <c r="D2203" s="844"/>
      <c r="E2203" s="844"/>
      <c r="F2203" s="15" t="s">
        <v>833</v>
      </c>
      <c r="G2203" s="165" t="str">
        <f>'MANO DE OBRA'!D61</f>
        <v>Agosto de 2010</v>
      </c>
    </row>
    <row r="2204" spans="1:8" ht="13.5" thickBot="1">
      <c r="B2204" s="240" t="s">
        <v>835</v>
      </c>
      <c r="C2204" s="934" t="s">
        <v>10</v>
      </c>
      <c r="D2204" s="934"/>
      <c r="E2204" s="934"/>
      <c r="F2204" s="934"/>
      <c r="G2204" s="935"/>
    </row>
    <row r="2205" spans="1:8" ht="14.25" thickTop="1" thickBot="1">
      <c r="B2205" s="986"/>
      <c r="C2205" s="986"/>
      <c r="D2205" s="986"/>
      <c r="E2205" s="986"/>
      <c r="F2205" s="986"/>
      <c r="G2205" s="986"/>
    </row>
    <row r="2206" spans="1:8" ht="13.5" thickTop="1">
      <c r="B2206" s="950" t="s">
        <v>304</v>
      </c>
      <c r="C2206" s="951"/>
      <c r="D2206" s="951"/>
      <c r="E2206" s="951"/>
      <c r="F2206" s="951"/>
      <c r="G2206" s="952"/>
    </row>
    <row r="2207" spans="1:8">
      <c r="B2207" s="229"/>
      <c r="C2207" s="97"/>
      <c r="D2207" s="98" t="s">
        <v>301</v>
      </c>
      <c r="E2207" s="98" t="s">
        <v>1072</v>
      </c>
      <c r="F2207" s="99" t="s">
        <v>839</v>
      </c>
      <c r="G2207" s="107" t="s">
        <v>840</v>
      </c>
    </row>
    <row r="2208" spans="1:8">
      <c r="B2208" s="982" t="s">
        <v>838</v>
      </c>
      <c r="C2208" s="983"/>
      <c r="D2208" s="100" t="s">
        <v>308</v>
      </c>
      <c r="E2208" s="100" t="s">
        <v>305</v>
      </c>
      <c r="F2208" s="101" t="s">
        <v>306</v>
      </c>
      <c r="G2208" s="108" t="s">
        <v>310</v>
      </c>
    </row>
    <row r="2209" spans="2:7">
      <c r="B2209" s="230"/>
      <c r="C2209" s="102"/>
      <c r="D2209" s="103"/>
      <c r="E2209" s="103" t="s">
        <v>309</v>
      </c>
      <c r="F2209" s="104" t="s">
        <v>307</v>
      </c>
      <c r="G2209" s="109"/>
    </row>
    <row r="2210" spans="2:7">
      <c r="B2210" s="841" t="str">
        <f>'MAQUINARIA Y EQUIPOS'!$C$28</f>
        <v>HERRAMIENTAS MENORES</v>
      </c>
      <c r="C2210" s="842"/>
      <c r="D2210" s="87">
        <v>1</v>
      </c>
      <c r="E2210" s="82">
        <f>ROUND(G2242*0.05,0)</f>
        <v>1738</v>
      </c>
      <c r="F2210" s="81">
        <v>1</v>
      </c>
      <c r="G2210" s="110">
        <f>ROUND(D2210*E2210/F2210,0)</f>
        <v>1738</v>
      </c>
    </row>
    <row r="2211" spans="2:7">
      <c r="B2211" s="938"/>
      <c r="C2211" s="939"/>
      <c r="D2211" s="37"/>
      <c r="E2211" s="5"/>
      <c r="F2211" s="83"/>
      <c r="G2211" s="111"/>
    </row>
    <row r="2212" spans="2:7">
      <c r="B2212" s="854"/>
      <c r="C2212" s="855"/>
      <c r="D2212" s="37"/>
      <c r="E2212" s="129"/>
      <c r="F2212" s="83"/>
      <c r="G2212" s="111"/>
    </row>
    <row r="2213" spans="2:7" ht="13.5" thickBot="1">
      <c r="B2213" s="942" t="s">
        <v>841</v>
      </c>
      <c r="C2213" s="943"/>
      <c r="D2213" s="77"/>
      <c r="E2213" s="106"/>
      <c r="F2213" s="86"/>
      <c r="G2213" s="112"/>
    </row>
    <row r="2214" spans="2:7" ht="14.25" thickTop="1" thickBot="1">
      <c r="B2214" s="946"/>
      <c r="C2214" s="946"/>
      <c r="D2214" s="946"/>
      <c r="E2214" s="947"/>
      <c r="F2214" s="119" t="s">
        <v>856</v>
      </c>
      <c r="G2214" s="118">
        <f>SUM(G2210:G2213)</f>
        <v>1738</v>
      </c>
    </row>
    <row r="2215" spans="2:7" ht="14.25" thickTop="1" thickBot="1">
      <c r="B2215" s="970"/>
      <c r="C2215" s="970"/>
      <c r="D2215" s="970"/>
      <c r="E2215" s="970"/>
      <c r="F2215" s="970"/>
      <c r="G2215" s="970"/>
    </row>
    <row r="2216" spans="2:7" ht="13.5" thickTop="1">
      <c r="B2216" s="950" t="s">
        <v>311</v>
      </c>
      <c r="C2216" s="951"/>
      <c r="D2216" s="951"/>
      <c r="E2216" s="951"/>
      <c r="F2216" s="951"/>
      <c r="G2216" s="952"/>
    </row>
    <row r="2217" spans="2:7">
      <c r="B2217" s="978" t="s">
        <v>838</v>
      </c>
      <c r="C2217" s="979"/>
      <c r="D2217" s="98" t="s">
        <v>842</v>
      </c>
      <c r="E2217" s="98" t="s">
        <v>853</v>
      </c>
      <c r="F2217" s="99" t="s">
        <v>1047</v>
      </c>
      <c r="G2217" s="107" t="s">
        <v>840</v>
      </c>
    </row>
    <row r="2218" spans="2:7">
      <c r="B2218" s="230"/>
      <c r="C2218" s="102"/>
      <c r="D2218" s="100"/>
      <c r="E2218" s="100" t="s">
        <v>312</v>
      </c>
      <c r="F2218" s="101" t="s">
        <v>313</v>
      </c>
      <c r="G2218" s="108" t="s">
        <v>314</v>
      </c>
    </row>
    <row r="2219" spans="2:7">
      <c r="B2219" s="841" t="str">
        <f>MATERIALES2!$C$446</f>
        <v>ALAMBRE DE COBRE AISLADO #10</v>
      </c>
      <c r="C2219" s="842"/>
      <c r="D2219" s="87" t="s">
        <v>831</v>
      </c>
      <c r="E2219" s="81">
        <v>8.26</v>
      </c>
      <c r="F2219" s="80">
        <f>MATERIALES2!$E$446</f>
        <v>1191</v>
      </c>
      <c r="G2219" s="110">
        <f t="shared" ref="G2219:G2228" si="23">ROUND(E2219*F2219,0)</f>
        <v>9838</v>
      </c>
    </row>
    <row r="2220" spans="2:7">
      <c r="B2220" s="854" t="str">
        <f>MATERIALES2!$C$447</f>
        <v>ALAMBRE DE COBRE AISLADO #12</v>
      </c>
      <c r="C2220" s="855"/>
      <c r="D2220" s="37" t="s">
        <v>831</v>
      </c>
      <c r="E2220" s="83">
        <v>12.15</v>
      </c>
      <c r="F2220" s="82">
        <f>MATERIALES2!$E$447</f>
        <v>1000</v>
      </c>
      <c r="G2220" s="111">
        <f t="shared" si="23"/>
        <v>12150</v>
      </c>
    </row>
    <row r="2221" spans="2:7">
      <c r="B2221" s="854" t="str">
        <f>MATERIALES2!$C$450</f>
        <v>ALAMBRE DESNUDO #16</v>
      </c>
      <c r="C2221" s="855"/>
      <c r="D2221" s="37" t="s">
        <v>831</v>
      </c>
      <c r="E2221" s="83">
        <v>8.26</v>
      </c>
      <c r="F2221" s="82">
        <f>MATERIALES2!$E$450</f>
        <v>297</v>
      </c>
      <c r="G2221" s="111">
        <f t="shared" si="23"/>
        <v>2453</v>
      </c>
    </row>
    <row r="2222" spans="2:7">
      <c r="B2222" s="854" t="str">
        <f>MATERIALES2!$C$549</f>
        <v>TUBO PVC CONDUIT 1" x 3.0 M</v>
      </c>
      <c r="C2222" s="855"/>
      <c r="D2222" s="37" t="s">
        <v>865</v>
      </c>
      <c r="E2222" s="83">
        <v>0.85</v>
      </c>
      <c r="F2222" s="82">
        <f>MATERIALES2!$E$549</f>
        <v>9315</v>
      </c>
      <c r="G2222" s="111">
        <f t="shared" si="23"/>
        <v>7918</v>
      </c>
    </row>
    <row r="2223" spans="2:7">
      <c r="B2223" s="854" t="str">
        <f>MATERIALES2!$C$550</f>
        <v>TUBO PVC CONDUIT 1/2" x 3.0 M</v>
      </c>
      <c r="C2223" s="855"/>
      <c r="D2223" s="37" t="s">
        <v>865</v>
      </c>
      <c r="E2223" s="83">
        <v>1</v>
      </c>
      <c r="F2223" s="82">
        <f>MATERIALES2!$E$550</f>
        <v>5134</v>
      </c>
      <c r="G2223" s="111">
        <f t="shared" si="23"/>
        <v>5134</v>
      </c>
    </row>
    <row r="2224" spans="2:7">
      <c r="B2224" s="854" t="str">
        <f>MATERIALES2!$C$440</f>
        <v>ADAPTADOR TERMINAL 1"</v>
      </c>
      <c r="C2224" s="855"/>
      <c r="D2224" s="37" t="s">
        <v>865</v>
      </c>
      <c r="E2224" s="83">
        <v>1</v>
      </c>
      <c r="F2224" s="82">
        <f>MATERIALES2!$E$440</f>
        <v>641</v>
      </c>
      <c r="G2224" s="111">
        <f t="shared" si="23"/>
        <v>641</v>
      </c>
    </row>
    <row r="2225" spans="2:8">
      <c r="B2225" s="854" t="str">
        <f>MATERIALES2!$C$441</f>
        <v>ADAPTADOR TERMINAL 1/2"</v>
      </c>
      <c r="C2225" s="855"/>
      <c r="D2225" s="37" t="s">
        <v>865</v>
      </c>
      <c r="E2225" s="83">
        <v>1</v>
      </c>
      <c r="F2225" s="82">
        <f>MATERIALES2!$E$441</f>
        <v>212</v>
      </c>
      <c r="G2225" s="111">
        <f t="shared" si="23"/>
        <v>212</v>
      </c>
    </row>
    <row r="2226" spans="2:8">
      <c r="B2226" s="984" t="str">
        <f>MATERIALES2!$C$476</f>
        <v>CAJA ELECTRICA RECTANGULAR METALICA</v>
      </c>
      <c r="C2226" s="985"/>
      <c r="D2226" s="37" t="s">
        <v>865</v>
      </c>
      <c r="E2226" s="83">
        <v>1</v>
      </c>
      <c r="F2226" s="82">
        <f>MATERIALES2!$E$476</f>
        <v>500</v>
      </c>
      <c r="G2226" s="111">
        <f t="shared" si="23"/>
        <v>500</v>
      </c>
    </row>
    <row r="2227" spans="2:8">
      <c r="B2227" s="854" t="str">
        <f>MATERIALES2!$C$485</f>
        <v>CINTA AISLANTE 3M</v>
      </c>
      <c r="C2227" s="855"/>
      <c r="D2227" s="37" t="s">
        <v>865</v>
      </c>
      <c r="E2227" s="83">
        <v>0.2</v>
      </c>
      <c r="F2227" s="82">
        <f>MATERIALES2!$E$485</f>
        <v>5500</v>
      </c>
      <c r="G2227" s="111">
        <f t="shared" si="23"/>
        <v>1100</v>
      </c>
      <c r="H2227" s="505" t="s">
        <v>1670</v>
      </c>
    </row>
    <row r="2228" spans="2:8" ht="13.5" thickBot="1">
      <c r="B2228" s="854" t="str">
        <f>MATERIALES2!C537</f>
        <v>TOMA DOBLE LEVINTONG</v>
      </c>
      <c r="C2228" s="855"/>
      <c r="D2228" s="37" t="s">
        <v>865</v>
      </c>
      <c r="E2228" s="83">
        <v>1</v>
      </c>
      <c r="F2228" s="82">
        <f>MATERIALES2!$E$537</f>
        <v>9925</v>
      </c>
      <c r="G2228" s="111">
        <f t="shared" si="23"/>
        <v>9925</v>
      </c>
      <c r="H2228" s="505"/>
    </row>
    <row r="2229" spans="2:8" ht="13.5" thickTop="1">
      <c r="B2229" s="946"/>
      <c r="C2229" s="947"/>
      <c r="D2229" s="801" t="s">
        <v>856</v>
      </c>
      <c r="E2229" s="802"/>
      <c r="F2229" s="9"/>
      <c r="G2229" s="113">
        <f>SUM(G2219:G2228)</f>
        <v>49871</v>
      </c>
    </row>
    <row r="2230" spans="2:8">
      <c r="B2230" s="948"/>
      <c r="C2230" s="949"/>
      <c r="D2230" s="801" t="s">
        <v>857</v>
      </c>
      <c r="E2230" s="802"/>
      <c r="F2230" s="79">
        <f>'MANO DE OBRA'!$D$60</f>
        <v>0.05</v>
      </c>
      <c r="G2230" s="113">
        <f>ROUND(G2229*F2230,0)</f>
        <v>2494</v>
      </c>
    </row>
    <row r="2231" spans="2:8" ht="13.5" thickBot="1">
      <c r="B2231" s="948"/>
      <c r="C2231" s="949"/>
      <c r="D2231" s="803" t="s">
        <v>320</v>
      </c>
      <c r="E2231" s="804"/>
      <c r="F2231" s="114"/>
      <c r="G2231" s="118">
        <f>+G2229+G2230</f>
        <v>52365</v>
      </c>
    </row>
    <row r="2232" spans="2:8" ht="14.25" thickTop="1" thickBot="1">
      <c r="B2232" s="970"/>
      <c r="C2232" s="970"/>
      <c r="D2232" s="970"/>
      <c r="E2232" s="970"/>
      <c r="F2232" s="970"/>
      <c r="G2232" s="970"/>
    </row>
    <row r="2233" spans="2:8" ht="13.5" thickTop="1">
      <c r="B2233" s="950" t="s">
        <v>858</v>
      </c>
      <c r="C2233" s="951"/>
      <c r="D2233" s="951"/>
      <c r="E2233" s="951"/>
      <c r="F2233" s="951"/>
      <c r="G2233" s="952"/>
    </row>
    <row r="2234" spans="2:8">
      <c r="B2234" s="978"/>
      <c r="C2234" s="979"/>
      <c r="D2234" s="98" t="s">
        <v>301</v>
      </c>
      <c r="E2234" s="98" t="s">
        <v>859</v>
      </c>
      <c r="F2234" s="99" t="s">
        <v>839</v>
      </c>
      <c r="G2234" s="107" t="s">
        <v>840</v>
      </c>
    </row>
    <row r="2235" spans="2:8">
      <c r="B2235" s="982" t="s">
        <v>838</v>
      </c>
      <c r="C2235" s="983"/>
      <c r="D2235" s="100" t="s">
        <v>316</v>
      </c>
      <c r="E2235" s="100" t="s">
        <v>315</v>
      </c>
      <c r="F2235" s="101" t="s">
        <v>306</v>
      </c>
      <c r="G2235" s="108" t="s">
        <v>319</v>
      </c>
    </row>
    <row r="2236" spans="2:8">
      <c r="B2236" s="230"/>
      <c r="C2236" s="102"/>
      <c r="D2236" s="103"/>
      <c r="E2236" s="103" t="s">
        <v>317</v>
      </c>
      <c r="F2236" s="104" t="s">
        <v>318</v>
      </c>
      <c r="G2236" s="109"/>
    </row>
    <row r="2237" spans="2:8">
      <c r="B2237" s="841" t="str">
        <f>'MANO DE OBRA'!$B$11</f>
        <v>AYUDANTE CUAD. TIPO BB</v>
      </c>
      <c r="C2237" s="842"/>
      <c r="D2237" s="87">
        <v>1</v>
      </c>
      <c r="E2237" s="80">
        <f>'MANO DE OBRA'!$E$11</f>
        <v>43077</v>
      </c>
      <c r="F2237" s="81">
        <v>3.5</v>
      </c>
      <c r="G2237" s="110">
        <f>ROUND(D2237*E2237/F2237,0)</f>
        <v>12308</v>
      </c>
    </row>
    <row r="2238" spans="2:8">
      <c r="B2238" s="854" t="str">
        <f>'MANO DE OBRA'!$B$16</f>
        <v>OFICIAL CUAD. TIPO BB</v>
      </c>
      <c r="C2238" s="855"/>
      <c r="D2238" s="37">
        <v>1</v>
      </c>
      <c r="E2238" s="82">
        <f>'MANO DE OBRA'!$E$16</f>
        <v>78577</v>
      </c>
      <c r="F2238" s="83">
        <v>3.5</v>
      </c>
      <c r="G2238" s="111">
        <f>ROUND(D2238*E2238/F2238,0)</f>
        <v>22451</v>
      </c>
    </row>
    <row r="2239" spans="2:8">
      <c r="B2239" s="854"/>
      <c r="C2239" s="855"/>
      <c r="D2239" s="89"/>
      <c r="E2239" s="82"/>
      <c r="F2239" s="83"/>
      <c r="G2239" s="111"/>
    </row>
    <row r="2240" spans="2:8">
      <c r="B2240" s="854" t="s">
        <v>841</v>
      </c>
      <c r="C2240" s="855"/>
      <c r="D2240" s="37"/>
      <c r="E2240" s="82"/>
      <c r="F2240" s="83"/>
      <c r="G2240" s="111"/>
    </row>
    <row r="2241" spans="2:8" ht="13.5" thickBot="1">
      <c r="B2241" s="980" t="s">
        <v>841</v>
      </c>
      <c r="C2241" s="981"/>
      <c r="D2241" s="77"/>
      <c r="E2241" s="82"/>
      <c r="F2241" s="86"/>
      <c r="G2241" s="112"/>
    </row>
    <row r="2242" spans="2:8" ht="14.25" thickTop="1" thickBot="1">
      <c r="B2242" s="946"/>
      <c r="C2242" s="946"/>
      <c r="D2242" s="946"/>
      <c r="E2242" s="947"/>
      <c r="F2242" s="120" t="s">
        <v>856</v>
      </c>
      <c r="G2242" s="118">
        <f>SUM(G2237:G2241)</f>
        <v>34759</v>
      </c>
    </row>
    <row r="2243" spans="2:8" ht="14.25" thickTop="1" thickBot="1">
      <c r="B2243" s="970"/>
      <c r="C2243" s="970"/>
      <c r="D2243" s="970"/>
      <c r="E2243" s="970"/>
      <c r="F2243" s="970"/>
      <c r="G2243" s="970"/>
    </row>
    <row r="2244" spans="2:8" ht="13.5" thickTop="1">
      <c r="B2244" s="950" t="s">
        <v>321</v>
      </c>
      <c r="C2244" s="951"/>
      <c r="D2244" s="951"/>
      <c r="E2244" s="951"/>
      <c r="F2244" s="951"/>
      <c r="G2244" s="952"/>
    </row>
    <row r="2245" spans="2:8">
      <c r="B2245" s="978" t="s">
        <v>838</v>
      </c>
      <c r="C2245" s="979"/>
      <c r="D2245" s="98" t="s">
        <v>301</v>
      </c>
      <c r="E2245" s="98" t="s">
        <v>297</v>
      </c>
      <c r="F2245" s="99" t="s">
        <v>839</v>
      </c>
      <c r="G2245" s="107" t="s">
        <v>840</v>
      </c>
    </row>
    <row r="2246" spans="2:8">
      <c r="B2246" s="230"/>
      <c r="C2246" s="102"/>
      <c r="D2246" s="103" t="s">
        <v>322</v>
      </c>
      <c r="E2246" s="103" t="s">
        <v>323</v>
      </c>
      <c r="F2246" s="104" t="s">
        <v>324</v>
      </c>
      <c r="G2246" s="109" t="s">
        <v>325</v>
      </c>
    </row>
    <row r="2247" spans="2:8">
      <c r="B2247" s="841"/>
      <c r="C2247" s="842"/>
      <c r="D2247" s="96"/>
      <c r="E2247" s="96"/>
      <c r="F2247" s="96"/>
      <c r="G2247" s="116"/>
    </row>
    <row r="2248" spans="2:8" ht="13.5" thickBot="1">
      <c r="B2248" s="980" t="s">
        <v>841</v>
      </c>
      <c r="C2248" s="981"/>
      <c r="D2248" s="77"/>
      <c r="E2248" s="82"/>
      <c r="F2248" s="86"/>
      <c r="G2248" s="112"/>
    </row>
    <row r="2249" spans="2:8" ht="14.25" thickTop="1" thickBot="1">
      <c r="B2249" s="946"/>
      <c r="C2249" s="946"/>
      <c r="D2249" s="946"/>
      <c r="E2249" s="947"/>
      <c r="F2249" s="120" t="s">
        <v>856</v>
      </c>
      <c r="G2249" s="118">
        <f>SUM(G2244:G2248)</f>
        <v>0</v>
      </c>
    </row>
    <row r="2250" spans="2:8" ht="14.25" thickTop="1" thickBot="1">
      <c r="B2250" s="970"/>
      <c r="C2250" s="970"/>
      <c r="D2250" s="970"/>
      <c r="E2250" s="970"/>
      <c r="F2250" s="970"/>
      <c r="G2250" s="943"/>
    </row>
    <row r="2251" spans="2:8" ht="13.5" thickTop="1">
      <c r="B2251" s="950" t="s">
        <v>326</v>
      </c>
      <c r="C2251" s="951"/>
      <c r="D2251" s="951"/>
      <c r="E2251" s="951"/>
      <c r="F2251" s="971"/>
      <c r="G2251" s="121">
        <f>+G2214+G2231+G2242</f>
        <v>88862</v>
      </c>
    </row>
    <row r="2252" spans="2:8">
      <c r="B2252" s="972" t="s">
        <v>861</v>
      </c>
      <c r="C2252" s="973"/>
      <c r="D2252" s="973"/>
      <c r="E2252" s="974"/>
      <c r="F2252" s="128">
        <f>'MANO DE OBRA'!$D$59</f>
        <v>0</v>
      </c>
      <c r="G2252" s="122">
        <f>ROUND(G2251*F2252,0)</f>
        <v>0</v>
      </c>
    </row>
    <row r="2253" spans="2:8" ht="13.5" thickBot="1">
      <c r="B2253" s="975" t="s">
        <v>1049</v>
      </c>
      <c r="C2253" s="976"/>
      <c r="D2253" s="976"/>
      <c r="E2253" s="976"/>
      <c r="F2253" s="977"/>
      <c r="G2253" s="118">
        <f>ROUND(G2251+G2252,-2)</f>
        <v>88900</v>
      </c>
      <c r="H2253" s="505" t="s">
        <v>1670</v>
      </c>
    </row>
    <row r="2254" spans="2:8" ht="13.5" thickTop="1">
      <c r="B2254" s="225" t="s">
        <v>303</v>
      </c>
      <c r="C2254" s="843"/>
      <c r="D2254" s="843"/>
      <c r="E2254" s="843"/>
      <c r="F2254" s="92" t="s">
        <v>781</v>
      </c>
      <c r="G2254" s="93" t="s">
        <v>865</v>
      </c>
    </row>
    <row r="2255" spans="2:8">
      <c r="B2255" s="226" t="s">
        <v>834</v>
      </c>
      <c r="C2255" s="844" t="s">
        <v>423</v>
      </c>
      <c r="D2255" s="844"/>
      <c r="E2255" s="844"/>
      <c r="F2255" s="15" t="s">
        <v>833</v>
      </c>
      <c r="G2255" s="165" t="str">
        <f>'MANO DE OBRA'!D61</f>
        <v>Agosto de 2010</v>
      </c>
    </row>
    <row r="2256" spans="2:8" ht="25.5" customHeight="1" thickBot="1">
      <c r="B2256" s="240" t="s">
        <v>835</v>
      </c>
      <c r="C2256" s="934" t="s">
        <v>427</v>
      </c>
      <c r="D2256" s="934"/>
      <c r="E2256" s="934"/>
      <c r="F2256" s="934"/>
      <c r="G2256" s="935"/>
    </row>
    <row r="2257" spans="2:7" ht="14.25" thickTop="1" thickBot="1">
      <c r="B2257" s="986"/>
      <c r="C2257" s="986"/>
      <c r="D2257" s="986"/>
      <c r="E2257" s="986"/>
      <c r="F2257" s="986"/>
      <c r="G2257" s="986"/>
    </row>
    <row r="2258" spans="2:7" ht="13.5" thickTop="1">
      <c r="B2258" s="950" t="s">
        <v>304</v>
      </c>
      <c r="C2258" s="951"/>
      <c r="D2258" s="951"/>
      <c r="E2258" s="951"/>
      <c r="F2258" s="951"/>
      <c r="G2258" s="952"/>
    </row>
    <row r="2259" spans="2:7">
      <c r="B2259" s="229"/>
      <c r="C2259" s="97"/>
      <c r="D2259" s="98" t="s">
        <v>301</v>
      </c>
      <c r="E2259" s="98" t="s">
        <v>1072</v>
      </c>
      <c r="F2259" s="99" t="s">
        <v>839</v>
      </c>
      <c r="G2259" s="107" t="s">
        <v>840</v>
      </c>
    </row>
    <row r="2260" spans="2:7">
      <c r="B2260" s="982" t="s">
        <v>838</v>
      </c>
      <c r="C2260" s="983"/>
      <c r="D2260" s="100" t="s">
        <v>308</v>
      </c>
      <c r="E2260" s="100" t="s">
        <v>305</v>
      </c>
      <c r="F2260" s="101" t="s">
        <v>306</v>
      </c>
      <c r="G2260" s="108" t="s">
        <v>310</v>
      </c>
    </row>
    <row r="2261" spans="2:7">
      <c r="B2261" s="230"/>
      <c r="C2261" s="102"/>
      <c r="D2261" s="103"/>
      <c r="E2261" s="103" t="s">
        <v>309</v>
      </c>
      <c r="F2261" s="104" t="s">
        <v>307</v>
      </c>
      <c r="G2261" s="109"/>
    </row>
    <row r="2262" spans="2:7">
      <c r="B2262" s="841" t="str">
        <f>'MAQUINARIA Y EQUIPOS'!$C$28</f>
        <v>HERRAMIENTAS MENORES</v>
      </c>
      <c r="C2262" s="842"/>
      <c r="D2262" s="87">
        <v>1</v>
      </c>
      <c r="E2262" s="82">
        <f>ROUND(G2294*0.05,0)</f>
        <v>406</v>
      </c>
      <c r="F2262" s="81">
        <v>1</v>
      </c>
      <c r="G2262" s="110">
        <f>ROUND(D2262*E2262/F2262,0)</f>
        <v>406</v>
      </c>
    </row>
    <row r="2263" spans="2:7">
      <c r="B2263" s="938"/>
      <c r="C2263" s="939"/>
      <c r="D2263" s="37"/>
      <c r="E2263" s="5"/>
      <c r="F2263" s="83"/>
      <c r="G2263" s="111"/>
    </row>
    <row r="2264" spans="2:7">
      <c r="B2264" s="854"/>
      <c r="C2264" s="855"/>
      <c r="D2264" s="37"/>
      <c r="E2264" s="129"/>
      <c r="F2264" s="83"/>
      <c r="G2264" s="111"/>
    </row>
    <row r="2265" spans="2:7" ht="13.5" thickBot="1">
      <c r="B2265" s="942" t="s">
        <v>841</v>
      </c>
      <c r="C2265" s="943"/>
      <c r="D2265" s="77"/>
      <c r="E2265" s="106"/>
      <c r="F2265" s="86"/>
      <c r="G2265" s="112"/>
    </row>
    <row r="2266" spans="2:7" ht="14.25" thickTop="1" thickBot="1">
      <c r="B2266" s="946"/>
      <c r="C2266" s="946"/>
      <c r="D2266" s="946"/>
      <c r="E2266" s="947"/>
      <c r="F2266" s="119" t="s">
        <v>856</v>
      </c>
      <c r="G2266" s="118">
        <f>SUM(G2262:G2265)</f>
        <v>406</v>
      </c>
    </row>
    <row r="2267" spans="2:7" ht="14.25" thickTop="1" thickBot="1">
      <c r="B2267" s="970"/>
      <c r="C2267" s="970"/>
      <c r="D2267" s="970"/>
      <c r="E2267" s="970"/>
      <c r="F2267" s="970"/>
      <c r="G2267" s="970"/>
    </row>
    <row r="2268" spans="2:7" ht="13.5" thickTop="1">
      <c r="B2268" s="950" t="s">
        <v>311</v>
      </c>
      <c r="C2268" s="951"/>
      <c r="D2268" s="951"/>
      <c r="E2268" s="951"/>
      <c r="F2268" s="951"/>
      <c r="G2268" s="952"/>
    </row>
    <row r="2269" spans="2:7">
      <c r="B2269" s="978" t="s">
        <v>838</v>
      </c>
      <c r="C2269" s="979"/>
      <c r="D2269" s="98" t="s">
        <v>842</v>
      </c>
      <c r="E2269" s="98" t="s">
        <v>853</v>
      </c>
      <c r="F2269" s="99" t="s">
        <v>1047</v>
      </c>
      <c r="G2269" s="107" t="s">
        <v>840</v>
      </c>
    </row>
    <row r="2270" spans="2:7">
      <c r="B2270" s="230"/>
      <c r="C2270" s="102"/>
      <c r="D2270" s="100"/>
      <c r="E2270" s="100" t="s">
        <v>312</v>
      </c>
      <c r="F2270" s="101" t="s">
        <v>313</v>
      </c>
      <c r="G2270" s="108" t="s">
        <v>314</v>
      </c>
    </row>
    <row r="2271" spans="2:7">
      <c r="B2271" s="841" t="s">
        <v>428</v>
      </c>
      <c r="C2271" s="842"/>
      <c r="D2271" s="87" t="s">
        <v>865</v>
      </c>
      <c r="E2271" s="81">
        <v>2</v>
      </c>
      <c r="F2271" s="80">
        <v>15000</v>
      </c>
      <c r="G2271" s="110">
        <f t="shared" ref="G2271:G2280" si="24">ROUND(E2271*F2271,0)</f>
        <v>30000</v>
      </c>
    </row>
    <row r="2272" spans="2:7">
      <c r="B2272" s="854"/>
      <c r="C2272" s="855"/>
      <c r="D2272" s="37"/>
      <c r="E2272" s="83"/>
      <c r="F2272" s="82"/>
      <c r="G2272" s="111">
        <f t="shared" si="24"/>
        <v>0</v>
      </c>
    </row>
    <row r="2273" spans="2:8">
      <c r="B2273" s="854"/>
      <c r="C2273" s="855"/>
      <c r="D2273" s="37"/>
      <c r="E2273" s="83"/>
      <c r="F2273" s="82"/>
      <c r="G2273" s="111">
        <f t="shared" si="24"/>
        <v>0</v>
      </c>
    </row>
    <row r="2274" spans="2:8">
      <c r="B2274" s="854"/>
      <c r="C2274" s="855"/>
      <c r="D2274" s="37"/>
      <c r="E2274" s="83"/>
      <c r="F2274" s="82"/>
      <c r="G2274" s="111">
        <f t="shared" si="24"/>
        <v>0</v>
      </c>
    </row>
    <row r="2275" spans="2:8">
      <c r="B2275" s="854"/>
      <c r="C2275" s="855"/>
      <c r="D2275" s="37"/>
      <c r="E2275" s="83"/>
      <c r="F2275" s="82"/>
      <c r="G2275" s="111">
        <f t="shared" si="24"/>
        <v>0</v>
      </c>
    </row>
    <row r="2276" spans="2:8">
      <c r="B2276" s="854"/>
      <c r="C2276" s="855"/>
      <c r="D2276" s="37"/>
      <c r="E2276" s="83"/>
      <c r="F2276" s="82"/>
      <c r="G2276" s="111">
        <f t="shared" si="24"/>
        <v>0</v>
      </c>
    </row>
    <row r="2277" spans="2:8">
      <c r="B2277" s="854"/>
      <c r="C2277" s="855"/>
      <c r="D2277" s="37"/>
      <c r="E2277" s="83"/>
      <c r="F2277" s="82"/>
      <c r="G2277" s="111">
        <f t="shared" si="24"/>
        <v>0</v>
      </c>
    </row>
    <row r="2278" spans="2:8">
      <c r="B2278" s="984"/>
      <c r="C2278" s="985"/>
      <c r="D2278" s="37"/>
      <c r="E2278" s="83"/>
      <c r="F2278" s="82"/>
      <c r="G2278" s="111">
        <f t="shared" si="24"/>
        <v>0</v>
      </c>
    </row>
    <row r="2279" spans="2:8">
      <c r="B2279" s="854"/>
      <c r="C2279" s="855"/>
      <c r="D2279" s="37"/>
      <c r="E2279" s="83"/>
      <c r="F2279" s="82"/>
      <c r="G2279" s="111">
        <f t="shared" si="24"/>
        <v>0</v>
      </c>
      <c r="H2279" s="505" t="s">
        <v>1670</v>
      </c>
    </row>
    <row r="2280" spans="2:8" ht="13.5" thickBot="1">
      <c r="B2280" s="854"/>
      <c r="C2280" s="855"/>
      <c r="D2280" s="37"/>
      <c r="E2280" s="83"/>
      <c r="F2280" s="82"/>
      <c r="G2280" s="111">
        <f t="shared" si="24"/>
        <v>0</v>
      </c>
    </row>
    <row r="2281" spans="2:8" ht="13.5" thickTop="1">
      <c r="B2281" s="946"/>
      <c r="C2281" s="947"/>
      <c r="D2281" s="801" t="s">
        <v>856</v>
      </c>
      <c r="E2281" s="802"/>
      <c r="F2281" s="9"/>
      <c r="G2281" s="113">
        <f>SUM(G2271:G2280)</f>
        <v>30000</v>
      </c>
    </row>
    <row r="2282" spans="2:8">
      <c r="B2282" s="948"/>
      <c r="C2282" s="949"/>
      <c r="D2282" s="801" t="s">
        <v>857</v>
      </c>
      <c r="E2282" s="802"/>
      <c r="F2282" s="79">
        <f>'MANO DE OBRA'!$D$60</f>
        <v>0.05</v>
      </c>
      <c r="G2282" s="113">
        <f>ROUND(G2281*F2282,0)</f>
        <v>1500</v>
      </c>
    </row>
    <row r="2283" spans="2:8" ht="13.5" thickBot="1">
      <c r="B2283" s="948"/>
      <c r="C2283" s="949"/>
      <c r="D2283" s="803" t="s">
        <v>320</v>
      </c>
      <c r="E2283" s="804"/>
      <c r="F2283" s="114"/>
      <c r="G2283" s="118">
        <f>+G2281+G2282</f>
        <v>31500</v>
      </c>
    </row>
    <row r="2284" spans="2:8" ht="14.25" thickTop="1" thickBot="1">
      <c r="B2284" s="970"/>
      <c r="C2284" s="970"/>
      <c r="D2284" s="970"/>
      <c r="E2284" s="970"/>
      <c r="F2284" s="970"/>
      <c r="G2284" s="970"/>
    </row>
    <row r="2285" spans="2:8" ht="13.5" thickTop="1">
      <c r="B2285" s="950" t="s">
        <v>858</v>
      </c>
      <c r="C2285" s="951"/>
      <c r="D2285" s="951"/>
      <c r="E2285" s="951"/>
      <c r="F2285" s="951"/>
      <c r="G2285" s="952"/>
    </row>
    <row r="2286" spans="2:8">
      <c r="B2286" s="978"/>
      <c r="C2286" s="979"/>
      <c r="D2286" s="98" t="s">
        <v>301</v>
      </c>
      <c r="E2286" s="98" t="s">
        <v>859</v>
      </c>
      <c r="F2286" s="99" t="s">
        <v>839</v>
      </c>
      <c r="G2286" s="107" t="s">
        <v>840</v>
      </c>
    </row>
    <row r="2287" spans="2:8">
      <c r="B2287" s="982" t="s">
        <v>838</v>
      </c>
      <c r="C2287" s="983"/>
      <c r="D2287" s="100" t="s">
        <v>316</v>
      </c>
      <c r="E2287" s="100" t="s">
        <v>315</v>
      </c>
      <c r="F2287" s="101" t="s">
        <v>306</v>
      </c>
      <c r="G2287" s="108" t="s">
        <v>319</v>
      </c>
    </row>
    <row r="2288" spans="2:8">
      <c r="B2288" s="230"/>
      <c r="C2288" s="102"/>
      <c r="D2288" s="103"/>
      <c r="E2288" s="103" t="s">
        <v>317</v>
      </c>
      <c r="F2288" s="104" t="s">
        <v>318</v>
      </c>
      <c r="G2288" s="109"/>
    </row>
    <row r="2289" spans="2:7">
      <c r="B2289" s="841" t="str">
        <f>'MANO DE OBRA'!$B$11</f>
        <v>AYUDANTE CUAD. TIPO BB</v>
      </c>
      <c r="C2289" s="842"/>
      <c r="D2289" s="87">
        <v>1</v>
      </c>
      <c r="E2289" s="80">
        <f>'MANO DE OBRA'!$E$11</f>
        <v>43077</v>
      </c>
      <c r="F2289" s="81">
        <v>15</v>
      </c>
      <c r="G2289" s="110">
        <f>ROUND(D2289*E2289/F2289,0)</f>
        <v>2872</v>
      </c>
    </row>
    <row r="2290" spans="2:7">
      <c r="B2290" s="854" t="str">
        <f>'MANO DE OBRA'!$B$16</f>
        <v>OFICIAL CUAD. TIPO BB</v>
      </c>
      <c r="C2290" s="855"/>
      <c r="D2290" s="37">
        <v>1</v>
      </c>
      <c r="E2290" s="82">
        <f>'MANO DE OBRA'!$E$16</f>
        <v>78577</v>
      </c>
      <c r="F2290" s="83">
        <v>15</v>
      </c>
      <c r="G2290" s="111">
        <f>ROUND(D2290*E2290/F2290,0)</f>
        <v>5238</v>
      </c>
    </row>
    <row r="2291" spans="2:7">
      <c r="B2291" s="854"/>
      <c r="C2291" s="855"/>
      <c r="D2291" s="89"/>
      <c r="E2291" s="82"/>
      <c r="F2291" s="83"/>
      <c r="G2291" s="111"/>
    </row>
    <row r="2292" spans="2:7">
      <c r="B2292" s="854" t="s">
        <v>841</v>
      </c>
      <c r="C2292" s="855"/>
      <c r="D2292" s="37"/>
      <c r="E2292" s="82"/>
      <c r="F2292" s="83"/>
      <c r="G2292" s="111"/>
    </row>
    <row r="2293" spans="2:7" ht="13.5" thickBot="1">
      <c r="B2293" s="980" t="s">
        <v>841</v>
      </c>
      <c r="C2293" s="981"/>
      <c r="D2293" s="77"/>
      <c r="E2293" s="82"/>
      <c r="F2293" s="86"/>
      <c r="G2293" s="112"/>
    </row>
    <row r="2294" spans="2:7" ht="14.25" thickTop="1" thickBot="1">
      <c r="B2294" s="946"/>
      <c r="C2294" s="946"/>
      <c r="D2294" s="946"/>
      <c r="E2294" s="947"/>
      <c r="F2294" s="120" t="s">
        <v>856</v>
      </c>
      <c r="G2294" s="118">
        <f>SUM(G2289:G2293)</f>
        <v>8110</v>
      </c>
    </row>
    <row r="2295" spans="2:7" ht="14.25" thickTop="1" thickBot="1">
      <c r="B2295" s="970"/>
      <c r="C2295" s="970"/>
      <c r="D2295" s="970"/>
      <c r="E2295" s="970"/>
      <c r="F2295" s="970"/>
      <c r="G2295" s="970"/>
    </row>
    <row r="2296" spans="2:7" ht="13.5" thickTop="1">
      <c r="B2296" s="950" t="s">
        <v>321</v>
      </c>
      <c r="C2296" s="951"/>
      <c r="D2296" s="951"/>
      <c r="E2296" s="951"/>
      <c r="F2296" s="951"/>
      <c r="G2296" s="952"/>
    </row>
    <row r="2297" spans="2:7">
      <c r="B2297" s="978" t="s">
        <v>838</v>
      </c>
      <c r="C2297" s="979"/>
      <c r="D2297" s="98" t="s">
        <v>301</v>
      </c>
      <c r="E2297" s="98" t="s">
        <v>297</v>
      </c>
      <c r="F2297" s="99" t="s">
        <v>839</v>
      </c>
      <c r="G2297" s="107" t="s">
        <v>840</v>
      </c>
    </row>
    <row r="2298" spans="2:7">
      <c r="B2298" s="230"/>
      <c r="C2298" s="102"/>
      <c r="D2298" s="103" t="s">
        <v>322</v>
      </c>
      <c r="E2298" s="103" t="s">
        <v>323</v>
      </c>
      <c r="F2298" s="104" t="s">
        <v>324</v>
      </c>
      <c r="G2298" s="109" t="s">
        <v>325</v>
      </c>
    </row>
    <row r="2299" spans="2:7">
      <c r="B2299" s="841"/>
      <c r="C2299" s="842"/>
      <c r="D2299" s="96"/>
      <c r="E2299" s="96"/>
      <c r="F2299" s="96"/>
      <c r="G2299" s="116"/>
    </row>
    <row r="2300" spans="2:7" ht="13.5" thickBot="1">
      <c r="B2300" s="980" t="s">
        <v>841</v>
      </c>
      <c r="C2300" s="981"/>
      <c r="D2300" s="77"/>
      <c r="E2300" s="82"/>
      <c r="F2300" s="86"/>
      <c r="G2300" s="112"/>
    </row>
    <row r="2301" spans="2:7" ht="14.25" thickTop="1" thickBot="1">
      <c r="B2301" s="946"/>
      <c r="C2301" s="946"/>
      <c r="D2301" s="946"/>
      <c r="E2301" s="947"/>
      <c r="F2301" s="120" t="s">
        <v>856</v>
      </c>
      <c r="G2301" s="118">
        <f>SUM(G2296:G2300)</f>
        <v>0</v>
      </c>
    </row>
    <row r="2302" spans="2:7" ht="14.25" thickTop="1" thickBot="1">
      <c r="B2302" s="970"/>
      <c r="C2302" s="970"/>
      <c r="D2302" s="970"/>
      <c r="E2302" s="970"/>
      <c r="F2302" s="970"/>
      <c r="G2302" s="943"/>
    </row>
    <row r="2303" spans="2:7" ht="13.5" thickTop="1">
      <c r="B2303" s="950" t="s">
        <v>326</v>
      </c>
      <c r="C2303" s="951"/>
      <c r="D2303" s="951"/>
      <c r="E2303" s="951"/>
      <c r="F2303" s="971"/>
      <c r="G2303" s="121">
        <f>+G2266+G2283+G2294</f>
        <v>40016</v>
      </c>
    </row>
    <row r="2304" spans="2:7">
      <c r="B2304" s="972" t="s">
        <v>861</v>
      </c>
      <c r="C2304" s="973"/>
      <c r="D2304" s="973"/>
      <c r="E2304" s="974"/>
      <c r="F2304" s="128">
        <f>'MANO DE OBRA'!$D$59</f>
        <v>0</v>
      </c>
      <c r="G2304" s="122">
        <f>ROUND(G2303*F2304,0)</f>
        <v>0</v>
      </c>
    </row>
    <row r="2305" spans="2:8" ht="13.5" thickBot="1">
      <c r="B2305" s="975" t="s">
        <v>1049</v>
      </c>
      <c r="C2305" s="976"/>
      <c r="D2305" s="976"/>
      <c r="E2305" s="976"/>
      <c r="F2305" s="977"/>
      <c r="G2305" s="118">
        <f>ROUND(G2303+G2304,-2)</f>
        <v>40000</v>
      </c>
      <c r="H2305" s="505" t="s">
        <v>1670</v>
      </c>
    </row>
    <row r="2306" spans="2:8" ht="13.5" thickTop="1"/>
  </sheetData>
  <mergeCells count="2127">
    <mergeCell ref="B2234:C2234"/>
    <mergeCell ref="B2235:C2235"/>
    <mergeCell ref="B2237:C2237"/>
    <mergeCell ref="D2229:E2229"/>
    <mergeCell ref="D2230:E2230"/>
    <mergeCell ref="D2231:E2231"/>
    <mergeCell ref="B2232:G2232"/>
    <mergeCell ref="B2242:E2242"/>
    <mergeCell ref="B2243:G2243"/>
    <mergeCell ref="B2244:G2244"/>
    <mergeCell ref="B2245:C2245"/>
    <mergeCell ref="B2238:C2238"/>
    <mergeCell ref="B2239:C2239"/>
    <mergeCell ref="B2240:C2240"/>
    <mergeCell ref="B2241:C2241"/>
    <mergeCell ref="B2253:F2253"/>
    <mergeCell ref="B2247:C2247"/>
    <mergeCell ref="B2248:C2248"/>
    <mergeCell ref="B2249:E2249"/>
    <mergeCell ref="B2250:G2250"/>
    <mergeCell ref="B2251:F2251"/>
    <mergeCell ref="B2252:E2252"/>
    <mergeCell ref="B2217:C2217"/>
    <mergeCell ref="B2219:C2219"/>
    <mergeCell ref="B2220:C2220"/>
    <mergeCell ref="B2221:C2221"/>
    <mergeCell ref="B2213:C2213"/>
    <mergeCell ref="B2214:E2214"/>
    <mergeCell ref="B2215:G2215"/>
    <mergeCell ref="B2216:G2216"/>
    <mergeCell ref="B2226:C2226"/>
    <mergeCell ref="B2227:C2227"/>
    <mergeCell ref="B2228:C2228"/>
    <mergeCell ref="B2229:C2231"/>
    <mergeCell ref="B2222:C2222"/>
    <mergeCell ref="B2223:C2223"/>
    <mergeCell ref="B2224:C2224"/>
    <mergeCell ref="B2225:C2225"/>
    <mergeCell ref="B2233:G2233"/>
    <mergeCell ref="B2193:C2193"/>
    <mergeCell ref="B2186:C2186"/>
    <mergeCell ref="B2187:C2187"/>
    <mergeCell ref="B2188:C2188"/>
    <mergeCell ref="B2189:C2189"/>
    <mergeCell ref="B2199:F2199"/>
    <mergeCell ref="B2200:E2200"/>
    <mergeCell ref="B2201:F2201"/>
    <mergeCell ref="C2202:E2202"/>
    <mergeCell ref="B2195:C2195"/>
    <mergeCell ref="B2196:C2196"/>
    <mergeCell ref="B2197:E2197"/>
    <mergeCell ref="B2198:G2198"/>
    <mergeCell ref="B2208:C2208"/>
    <mergeCell ref="B2210:C2210"/>
    <mergeCell ref="B2211:C2211"/>
    <mergeCell ref="B2212:C2212"/>
    <mergeCell ref="C2203:E2203"/>
    <mergeCell ref="C2204:G2204"/>
    <mergeCell ref="B2205:G2205"/>
    <mergeCell ref="B2206:G2206"/>
    <mergeCell ref="B2176:C2176"/>
    <mergeCell ref="B2177:C2179"/>
    <mergeCell ref="B2170:C2170"/>
    <mergeCell ref="B2171:C2171"/>
    <mergeCell ref="B2172:C2172"/>
    <mergeCell ref="B2173:C2173"/>
    <mergeCell ref="B2181:G2181"/>
    <mergeCell ref="B2182:C2182"/>
    <mergeCell ref="B2183:C2183"/>
    <mergeCell ref="B2185:C2185"/>
    <mergeCell ref="D2177:E2177"/>
    <mergeCell ref="D2178:E2178"/>
    <mergeCell ref="D2179:E2179"/>
    <mergeCell ref="B2180:G2180"/>
    <mergeCell ref="B2190:E2190"/>
    <mergeCell ref="B2191:G2191"/>
    <mergeCell ref="B2192:G2192"/>
    <mergeCell ref="B2157:C2157"/>
    <mergeCell ref="B2159:C2159"/>
    <mergeCell ref="B2160:C2160"/>
    <mergeCell ref="C2151:E2151"/>
    <mergeCell ref="C2152:E2152"/>
    <mergeCell ref="C2153:G2153"/>
    <mergeCell ref="B2154:G2154"/>
    <mergeCell ref="B2165:C2165"/>
    <mergeCell ref="B2167:C2167"/>
    <mergeCell ref="B2168:C2168"/>
    <mergeCell ref="B2169:C2169"/>
    <mergeCell ref="B2161:C2161"/>
    <mergeCell ref="B2162:E2162"/>
    <mergeCell ref="B2163:G2163"/>
    <mergeCell ref="B2164:G2164"/>
    <mergeCell ref="B2174:C2174"/>
    <mergeCell ref="B2175:C2175"/>
    <mergeCell ref="B2138:C2138"/>
    <mergeCell ref="B2139:E2139"/>
    <mergeCell ref="B2140:G2140"/>
    <mergeCell ref="B2141:G2141"/>
    <mergeCell ref="B2134:C2134"/>
    <mergeCell ref="B2135:C2135"/>
    <mergeCell ref="B2136:C2136"/>
    <mergeCell ref="B2137:C2137"/>
    <mergeCell ref="B2147:G2147"/>
    <mergeCell ref="B2148:F2148"/>
    <mergeCell ref="B2149:E2149"/>
    <mergeCell ref="B2150:F2150"/>
    <mergeCell ref="B2142:C2142"/>
    <mergeCell ref="B2144:C2144"/>
    <mergeCell ref="B2145:C2145"/>
    <mergeCell ref="B2146:E2146"/>
    <mergeCell ref="B2155:G2155"/>
    <mergeCell ref="B2121:C2121"/>
    <mergeCell ref="B2122:C2122"/>
    <mergeCell ref="B2123:C2123"/>
    <mergeCell ref="B2124:C2124"/>
    <mergeCell ref="B2117:C2117"/>
    <mergeCell ref="B2118:C2118"/>
    <mergeCell ref="B2119:C2119"/>
    <mergeCell ref="B2120:C2120"/>
    <mergeCell ref="B2129:G2129"/>
    <mergeCell ref="B2130:G2130"/>
    <mergeCell ref="B2131:C2131"/>
    <mergeCell ref="B2132:C2132"/>
    <mergeCell ref="B2125:C2125"/>
    <mergeCell ref="B2126:C2128"/>
    <mergeCell ref="D2126:E2126"/>
    <mergeCell ref="D2127:E2127"/>
    <mergeCell ref="D2128:E2128"/>
    <mergeCell ref="B23:C23"/>
    <mergeCell ref="B25:C25"/>
    <mergeCell ref="B26:C26"/>
    <mergeCell ref="B27:C27"/>
    <mergeCell ref="B28:C28"/>
    <mergeCell ref="B29:C29"/>
    <mergeCell ref="B21:G21"/>
    <mergeCell ref="B22:G22"/>
    <mergeCell ref="B15:C15"/>
    <mergeCell ref="B16:C16"/>
    <mergeCell ref="B17:C17"/>
    <mergeCell ref="B18:C18"/>
    <mergeCell ref="B19:C19"/>
    <mergeCell ref="B20:E20"/>
    <mergeCell ref="C1:G1"/>
    <mergeCell ref="C2:G2"/>
    <mergeCell ref="C5:G5"/>
    <mergeCell ref="C6:E6"/>
    <mergeCell ref="C7:E7"/>
    <mergeCell ref="C8:G8"/>
    <mergeCell ref="B9:G9"/>
    <mergeCell ref="B10:G10"/>
    <mergeCell ref="B12:C12"/>
    <mergeCell ref="B14:C14"/>
    <mergeCell ref="C3:G3"/>
    <mergeCell ref="B4:G4"/>
    <mergeCell ref="B44:C44"/>
    <mergeCell ref="B45:C45"/>
    <mergeCell ref="B46:C46"/>
    <mergeCell ref="B47:E47"/>
    <mergeCell ref="B48:G48"/>
    <mergeCell ref="B49:G49"/>
    <mergeCell ref="B37:G37"/>
    <mergeCell ref="B38:G38"/>
    <mergeCell ref="B39:C39"/>
    <mergeCell ref="B40:C40"/>
    <mergeCell ref="B42:C42"/>
    <mergeCell ref="B43:C43"/>
    <mergeCell ref="B30:C30"/>
    <mergeCell ref="B31:C31"/>
    <mergeCell ref="B32:C32"/>
    <mergeCell ref="B33:C33"/>
    <mergeCell ref="B34:C36"/>
    <mergeCell ref="D34:E34"/>
    <mergeCell ref="D35:E35"/>
    <mergeCell ref="D36:E36"/>
    <mergeCell ref="B63:G63"/>
    <mergeCell ref="B65:C65"/>
    <mergeCell ref="B67:C67"/>
    <mergeCell ref="B68:C68"/>
    <mergeCell ref="B69:C69"/>
    <mergeCell ref="B70:C70"/>
    <mergeCell ref="B57:E57"/>
    <mergeCell ref="B58:F58"/>
    <mergeCell ref="C59:E59"/>
    <mergeCell ref="C60:E60"/>
    <mergeCell ref="C61:G61"/>
    <mergeCell ref="B62:G62"/>
    <mergeCell ref="B50:C50"/>
    <mergeCell ref="B52:C52"/>
    <mergeCell ref="B53:C53"/>
    <mergeCell ref="B54:E54"/>
    <mergeCell ref="B55:G55"/>
    <mergeCell ref="B56:F56"/>
    <mergeCell ref="B84:C84"/>
    <mergeCell ref="B85:C85"/>
    <mergeCell ref="B86:C86"/>
    <mergeCell ref="B87:C89"/>
    <mergeCell ref="D87:E87"/>
    <mergeCell ref="D88:E88"/>
    <mergeCell ref="D89:E89"/>
    <mergeCell ref="B78:C78"/>
    <mergeCell ref="B79:C79"/>
    <mergeCell ref="B80:C80"/>
    <mergeCell ref="B81:C81"/>
    <mergeCell ref="B82:C82"/>
    <mergeCell ref="B83:C83"/>
    <mergeCell ref="B71:C71"/>
    <mergeCell ref="B72:C72"/>
    <mergeCell ref="B73:E73"/>
    <mergeCell ref="B74:G74"/>
    <mergeCell ref="B75:G75"/>
    <mergeCell ref="B76:C76"/>
    <mergeCell ref="B103:C103"/>
    <mergeCell ref="B105:C105"/>
    <mergeCell ref="B106:C106"/>
    <mergeCell ref="B107:E107"/>
    <mergeCell ref="B108:G108"/>
    <mergeCell ref="B109:F109"/>
    <mergeCell ref="B97:C97"/>
    <mergeCell ref="B98:C98"/>
    <mergeCell ref="B99:C99"/>
    <mergeCell ref="B100:E100"/>
    <mergeCell ref="B101:G101"/>
    <mergeCell ref="B102:G102"/>
    <mergeCell ref="B90:G90"/>
    <mergeCell ref="B91:G91"/>
    <mergeCell ref="B92:C92"/>
    <mergeCell ref="B93:C93"/>
    <mergeCell ref="B95:C95"/>
    <mergeCell ref="B96:C96"/>
    <mergeCell ref="B124:C124"/>
    <mergeCell ref="B125:C125"/>
    <mergeCell ref="B126:E126"/>
    <mergeCell ref="B127:G127"/>
    <mergeCell ref="B128:G128"/>
    <mergeCell ref="B129:C129"/>
    <mergeCell ref="B116:G116"/>
    <mergeCell ref="B118:C118"/>
    <mergeCell ref="B120:C120"/>
    <mergeCell ref="B121:C121"/>
    <mergeCell ref="B122:C122"/>
    <mergeCell ref="B123:C123"/>
    <mergeCell ref="B110:E110"/>
    <mergeCell ref="B111:F111"/>
    <mergeCell ref="C112:E112"/>
    <mergeCell ref="C113:E113"/>
    <mergeCell ref="C114:G114"/>
    <mergeCell ref="B115:G115"/>
    <mergeCell ref="B143:G143"/>
    <mergeCell ref="B144:G144"/>
    <mergeCell ref="B145:C145"/>
    <mergeCell ref="B146:C146"/>
    <mergeCell ref="B148:C148"/>
    <mergeCell ref="B149:C149"/>
    <mergeCell ref="B137:C137"/>
    <mergeCell ref="B138:C138"/>
    <mergeCell ref="B139:C139"/>
    <mergeCell ref="B140:C142"/>
    <mergeCell ref="D140:E140"/>
    <mergeCell ref="D141:E141"/>
    <mergeCell ref="D142:E142"/>
    <mergeCell ref="B131:C131"/>
    <mergeCell ref="B132:C132"/>
    <mergeCell ref="B133:C133"/>
    <mergeCell ref="B134:C134"/>
    <mergeCell ref="B135:C135"/>
    <mergeCell ref="B136:C136"/>
    <mergeCell ref="B163:E163"/>
    <mergeCell ref="B164:F164"/>
    <mergeCell ref="C165:E165"/>
    <mergeCell ref="C166:E166"/>
    <mergeCell ref="C167:G167"/>
    <mergeCell ref="B168:G168"/>
    <mergeCell ref="B156:C156"/>
    <mergeCell ref="B158:C158"/>
    <mergeCell ref="B159:C159"/>
    <mergeCell ref="B160:E160"/>
    <mergeCell ref="B161:G161"/>
    <mergeCell ref="B162:F162"/>
    <mergeCell ref="B150:C150"/>
    <mergeCell ref="B151:C151"/>
    <mergeCell ref="B152:C152"/>
    <mergeCell ref="B153:E153"/>
    <mergeCell ref="B154:G154"/>
    <mergeCell ref="B155:G155"/>
    <mergeCell ref="B184:C184"/>
    <mergeCell ref="B185:C185"/>
    <mergeCell ref="B186:C186"/>
    <mergeCell ref="B187:C187"/>
    <mergeCell ref="B188:C188"/>
    <mergeCell ref="B189:C189"/>
    <mergeCell ref="B177:C177"/>
    <mergeCell ref="B178:C178"/>
    <mergeCell ref="B179:E179"/>
    <mergeCell ref="B180:G180"/>
    <mergeCell ref="B181:G181"/>
    <mergeCell ref="B182:C182"/>
    <mergeCell ref="B169:G169"/>
    <mergeCell ref="B171:C171"/>
    <mergeCell ref="B173:C173"/>
    <mergeCell ref="B174:C174"/>
    <mergeCell ref="B175:C175"/>
    <mergeCell ref="B176:C176"/>
    <mergeCell ref="B203:C203"/>
    <mergeCell ref="B204:C204"/>
    <mergeCell ref="B205:C205"/>
    <mergeCell ref="B206:E206"/>
    <mergeCell ref="B207:G207"/>
    <mergeCell ref="B208:G208"/>
    <mergeCell ref="B196:G196"/>
    <mergeCell ref="B197:G197"/>
    <mergeCell ref="B198:C198"/>
    <mergeCell ref="B199:C199"/>
    <mergeCell ref="B201:C201"/>
    <mergeCell ref="B202:C202"/>
    <mergeCell ref="B190:C190"/>
    <mergeCell ref="B191:C191"/>
    <mergeCell ref="B192:C192"/>
    <mergeCell ref="B193:C195"/>
    <mergeCell ref="D193:E193"/>
    <mergeCell ref="D194:E194"/>
    <mergeCell ref="D195:E195"/>
    <mergeCell ref="B222:G222"/>
    <mergeCell ref="B224:C224"/>
    <mergeCell ref="B226:C226"/>
    <mergeCell ref="B227:C227"/>
    <mergeCell ref="B228:C228"/>
    <mergeCell ref="B229:C229"/>
    <mergeCell ref="B216:E216"/>
    <mergeCell ref="B217:F217"/>
    <mergeCell ref="C218:E218"/>
    <mergeCell ref="C219:E219"/>
    <mergeCell ref="C220:G220"/>
    <mergeCell ref="B221:G221"/>
    <mergeCell ref="B209:C209"/>
    <mergeCell ref="B211:C211"/>
    <mergeCell ref="B212:C212"/>
    <mergeCell ref="B213:E213"/>
    <mergeCell ref="B214:G214"/>
    <mergeCell ref="B215:F215"/>
    <mergeCell ref="B243:C243"/>
    <mergeCell ref="B244:C244"/>
    <mergeCell ref="B245:C245"/>
    <mergeCell ref="B246:C248"/>
    <mergeCell ref="D246:E246"/>
    <mergeCell ref="D247:E247"/>
    <mergeCell ref="D248:E248"/>
    <mergeCell ref="B237:C237"/>
    <mergeCell ref="B238:C238"/>
    <mergeCell ref="B239:C239"/>
    <mergeCell ref="B240:C240"/>
    <mergeCell ref="B241:C241"/>
    <mergeCell ref="B242:C242"/>
    <mergeCell ref="B230:C230"/>
    <mergeCell ref="B231:C231"/>
    <mergeCell ref="B232:E232"/>
    <mergeCell ref="B233:G233"/>
    <mergeCell ref="B234:G234"/>
    <mergeCell ref="B235:C235"/>
    <mergeCell ref="B262:C262"/>
    <mergeCell ref="B264:C264"/>
    <mergeCell ref="B265:C265"/>
    <mergeCell ref="B266:E266"/>
    <mergeCell ref="B267:G267"/>
    <mergeCell ref="B268:F268"/>
    <mergeCell ref="B256:C256"/>
    <mergeCell ref="B257:C257"/>
    <mergeCell ref="B258:C258"/>
    <mergeCell ref="B259:E259"/>
    <mergeCell ref="B260:G260"/>
    <mergeCell ref="B261:G261"/>
    <mergeCell ref="B249:G249"/>
    <mergeCell ref="B250:G250"/>
    <mergeCell ref="B251:C251"/>
    <mergeCell ref="B252:C252"/>
    <mergeCell ref="B254:C254"/>
    <mergeCell ref="B255:C255"/>
    <mergeCell ref="B283:C283"/>
    <mergeCell ref="B284:C284"/>
    <mergeCell ref="B285:E285"/>
    <mergeCell ref="B286:G286"/>
    <mergeCell ref="B287:G287"/>
    <mergeCell ref="B288:C288"/>
    <mergeCell ref="B275:G275"/>
    <mergeCell ref="B277:C277"/>
    <mergeCell ref="B279:C279"/>
    <mergeCell ref="B280:C280"/>
    <mergeCell ref="B281:C281"/>
    <mergeCell ref="B282:C282"/>
    <mergeCell ref="B269:E269"/>
    <mergeCell ref="B270:F270"/>
    <mergeCell ref="C271:E271"/>
    <mergeCell ref="C272:E272"/>
    <mergeCell ref="C273:G273"/>
    <mergeCell ref="B274:G274"/>
    <mergeCell ref="B302:G302"/>
    <mergeCell ref="B303:G303"/>
    <mergeCell ref="B304:C304"/>
    <mergeCell ref="B305:C305"/>
    <mergeCell ref="B307:C307"/>
    <mergeCell ref="B308:C308"/>
    <mergeCell ref="B296:C296"/>
    <mergeCell ref="B297:C297"/>
    <mergeCell ref="B298:C298"/>
    <mergeCell ref="B299:C301"/>
    <mergeCell ref="D299:E299"/>
    <mergeCell ref="D300:E300"/>
    <mergeCell ref="D301:E301"/>
    <mergeCell ref="B290:C290"/>
    <mergeCell ref="B291:C291"/>
    <mergeCell ref="B292:C292"/>
    <mergeCell ref="B293:C293"/>
    <mergeCell ref="B294:C294"/>
    <mergeCell ref="B295:C295"/>
    <mergeCell ref="B322:E322"/>
    <mergeCell ref="B323:F323"/>
    <mergeCell ref="C324:E324"/>
    <mergeCell ref="C325:E325"/>
    <mergeCell ref="C326:G326"/>
    <mergeCell ref="B327:G327"/>
    <mergeCell ref="B315:C315"/>
    <mergeCell ref="B317:C317"/>
    <mergeCell ref="B318:C318"/>
    <mergeCell ref="B319:E319"/>
    <mergeCell ref="B320:G320"/>
    <mergeCell ref="B321:F321"/>
    <mergeCell ref="B309:C309"/>
    <mergeCell ref="B310:C310"/>
    <mergeCell ref="B311:C311"/>
    <mergeCell ref="B312:E312"/>
    <mergeCell ref="B313:G313"/>
    <mergeCell ref="B314:G314"/>
    <mergeCell ref="B343:C343"/>
    <mergeCell ref="B344:C344"/>
    <mergeCell ref="B345:C345"/>
    <mergeCell ref="B346:C346"/>
    <mergeCell ref="B347:C347"/>
    <mergeCell ref="B348:C348"/>
    <mergeCell ref="B336:C336"/>
    <mergeCell ref="B337:C337"/>
    <mergeCell ref="B338:E338"/>
    <mergeCell ref="B339:G339"/>
    <mergeCell ref="B340:G340"/>
    <mergeCell ref="B341:C341"/>
    <mergeCell ref="B328:G328"/>
    <mergeCell ref="B330:C330"/>
    <mergeCell ref="B332:C332"/>
    <mergeCell ref="B333:C333"/>
    <mergeCell ref="B334:C334"/>
    <mergeCell ref="B335:C335"/>
    <mergeCell ref="B362:C362"/>
    <mergeCell ref="B363:C363"/>
    <mergeCell ref="B364:C364"/>
    <mergeCell ref="B365:E365"/>
    <mergeCell ref="B366:G366"/>
    <mergeCell ref="B367:G367"/>
    <mergeCell ref="B355:G355"/>
    <mergeCell ref="B356:G356"/>
    <mergeCell ref="B357:C357"/>
    <mergeCell ref="B358:C358"/>
    <mergeCell ref="B360:C360"/>
    <mergeCell ref="B361:C361"/>
    <mergeCell ref="B349:C349"/>
    <mergeCell ref="B350:C350"/>
    <mergeCell ref="B351:C351"/>
    <mergeCell ref="B352:C354"/>
    <mergeCell ref="D352:E352"/>
    <mergeCell ref="D353:E353"/>
    <mergeCell ref="D354:E354"/>
    <mergeCell ref="B381:G381"/>
    <mergeCell ref="B383:C383"/>
    <mergeCell ref="B385:C385"/>
    <mergeCell ref="B386:C386"/>
    <mergeCell ref="B387:C387"/>
    <mergeCell ref="B388:C388"/>
    <mergeCell ref="B375:E375"/>
    <mergeCell ref="B376:F376"/>
    <mergeCell ref="C377:E377"/>
    <mergeCell ref="C378:E378"/>
    <mergeCell ref="C379:G379"/>
    <mergeCell ref="B380:G380"/>
    <mergeCell ref="B368:C368"/>
    <mergeCell ref="B370:C370"/>
    <mergeCell ref="B371:C371"/>
    <mergeCell ref="B372:E372"/>
    <mergeCell ref="B373:G373"/>
    <mergeCell ref="B374:F374"/>
    <mergeCell ref="B402:C402"/>
    <mergeCell ref="B403:C403"/>
    <mergeCell ref="B404:C404"/>
    <mergeCell ref="B405:C407"/>
    <mergeCell ref="D405:E405"/>
    <mergeCell ref="D406:E406"/>
    <mergeCell ref="D407:E407"/>
    <mergeCell ref="B396:C396"/>
    <mergeCell ref="B397:C397"/>
    <mergeCell ref="B398:C398"/>
    <mergeCell ref="B399:C399"/>
    <mergeCell ref="B400:C400"/>
    <mergeCell ref="B401:C401"/>
    <mergeCell ref="B389:C389"/>
    <mergeCell ref="B390:C390"/>
    <mergeCell ref="B391:E391"/>
    <mergeCell ref="B392:G392"/>
    <mergeCell ref="B393:G393"/>
    <mergeCell ref="B394:C394"/>
    <mergeCell ref="B421:C421"/>
    <mergeCell ref="B423:C423"/>
    <mergeCell ref="B424:C424"/>
    <mergeCell ref="B425:E425"/>
    <mergeCell ref="B426:G426"/>
    <mergeCell ref="B427:F427"/>
    <mergeCell ref="B415:C415"/>
    <mergeCell ref="B416:C416"/>
    <mergeCell ref="B417:C417"/>
    <mergeCell ref="B418:E418"/>
    <mergeCell ref="B419:G419"/>
    <mergeCell ref="B420:G420"/>
    <mergeCell ref="B408:G408"/>
    <mergeCell ref="B409:G409"/>
    <mergeCell ref="B410:C410"/>
    <mergeCell ref="B411:C411"/>
    <mergeCell ref="B413:C413"/>
    <mergeCell ref="B414:C414"/>
    <mergeCell ref="B442:C442"/>
    <mergeCell ref="B443:C443"/>
    <mergeCell ref="B444:E444"/>
    <mergeCell ref="B445:G445"/>
    <mergeCell ref="B446:G446"/>
    <mergeCell ref="B447:C447"/>
    <mergeCell ref="B434:G434"/>
    <mergeCell ref="B436:C436"/>
    <mergeCell ref="B438:C438"/>
    <mergeCell ref="B439:C439"/>
    <mergeCell ref="B440:C440"/>
    <mergeCell ref="B441:C441"/>
    <mergeCell ref="B428:E428"/>
    <mergeCell ref="B429:F429"/>
    <mergeCell ref="C430:E430"/>
    <mergeCell ref="C431:E431"/>
    <mergeCell ref="C432:G432"/>
    <mergeCell ref="B433:G433"/>
    <mergeCell ref="B461:G461"/>
    <mergeCell ref="B462:G462"/>
    <mergeCell ref="B463:C463"/>
    <mergeCell ref="B464:C464"/>
    <mergeCell ref="B466:C466"/>
    <mergeCell ref="B467:C467"/>
    <mergeCell ref="B455:C455"/>
    <mergeCell ref="B456:C456"/>
    <mergeCell ref="B457:C457"/>
    <mergeCell ref="B458:C460"/>
    <mergeCell ref="D458:E458"/>
    <mergeCell ref="D459:E459"/>
    <mergeCell ref="D460:E460"/>
    <mergeCell ref="B449:C449"/>
    <mergeCell ref="B450:C450"/>
    <mergeCell ref="B451:C451"/>
    <mergeCell ref="B452:C452"/>
    <mergeCell ref="B453:C453"/>
    <mergeCell ref="B454:C454"/>
    <mergeCell ref="B481:E481"/>
    <mergeCell ref="B482:F482"/>
    <mergeCell ref="C483:E483"/>
    <mergeCell ref="C484:E484"/>
    <mergeCell ref="C485:G485"/>
    <mergeCell ref="B486:G486"/>
    <mergeCell ref="B474:C474"/>
    <mergeCell ref="B476:C476"/>
    <mergeCell ref="B477:C477"/>
    <mergeCell ref="B478:E478"/>
    <mergeCell ref="B479:G479"/>
    <mergeCell ref="B480:F480"/>
    <mergeCell ref="B468:C468"/>
    <mergeCell ref="B469:C469"/>
    <mergeCell ref="B470:C470"/>
    <mergeCell ref="B471:E471"/>
    <mergeCell ref="B472:G472"/>
    <mergeCell ref="B473:G473"/>
    <mergeCell ref="B502:C502"/>
    <mergeCell ref="B503:C503"/>
    <mergeCell ref="B504:C504"/>
    <mergeCell ref="B505:C505"/>
    <mergeCell ref="B506:C506"/>
    <mergeCell ref="B507:C507"/>
    <mergeCell ref="B495:C495"/>
    <mergeCell ref="B496:E496"/>
    <mergeCell ref="B497:G497"/>
    <mergeCell ref="B498:G498"/>
    <mergeCell ref="B499:C499"/>
    <mergeCell ref="B501:C501"/>
    <mergeCell ref="B487:G487"/>
    <mergeCell ref="B489:C489"/>
    <mergeCell ref="B491:C491"/>
    <mergeCell ref="B492:C492"/>
    <mergeCell ref="B493:C493"/>
    <mergeCell ref="B494:C494"/>
    <mergeCell ref="B520:C520"/>
    <mergeCell ref="B521:C521"/>
    <mergeCell ref="B522:C522"/>
    <mergeCell ref="B523:E523"/>
    <mergeCell ref="B524:G524"/>
    <mergeCell ref="B525:G525"/>
    <mergeCell ref="B513:G513"/>
    <mergeCell ref="B514:G514"/>
    <mergeCell ref="B515:C515"/>
    <mergeCell ref="B516:C516"/>
    <mergeCell ref="B518:C518"/>
    <mergeCell ref="B519:C519"/>
    <mergeCell ref="B508:C508"/>
    <mergeCell ref="B509:C509"/>
    <mergeCell ref="B510:C512"/>
    <mergeCell ref="D510:E510"/>
    <mergeCell ref="D511:E511"/>
    <mergeCell ref="D512:E512"/>
    <mergeCell ref="B539:G539"/>
    <mergeCell ref="B541:C541"/>
    <mergeCell ref="B543:C543"/>
    <mergeCell ref="B544:C544"/>
    <mergeCell ref="B545:C545"/>
    <mergeCell ref="B546:C546"/>
    <mergeCell ref="B533:E533"/>
    <mergeCell ref="B534:F534"/>
    <mergeCell ref="C535:E535"/>
    <mergeCell ref="C536:E536"/>
    <mergeCell ref="C537:G537"/>
    <mergeCell ref="B538:G538"/>
    <mergeCell ref="B526:C526"/>
    <mergeCell ref="B528:C528"/>
    <mergeCell ref="B529:C529"/>
    <mergeCell ref="B530:E530"/>
    <mergeCell ref="B531:G531"/>
    <mergeCell ref="B532:F532"/>
    <mergeCell ref="B560:C560"/>
    <mergeCell ref="B561:C561"/>
    <mergeCell ref="B562:C564"/>
    <mergeCell ref="D562:E562"/>
    <mergeCell ref="D563:E563"/>
    <mergeCell ref="D564:E564"/>
    <mergeCell ref="B554:C554"/>
    <mergeCell ref="B555:C555"/>
    <mergeCell ref="B556:C556"/>
    <mergeCell ref="B557:C557"/>
    <mergeCell ref="B558:C558"/>
    <mergeCell ref="B559:C559"/>
    <mergeCell ref="B547:C547"/>
    <mergeCell ref="B548:E548"/>
    <mergeCell ref="B549:G549"/>
    <mergeCell ref="B550:G550"/>
    <mergeCell ref="B551:C551"/>
    <mergeCell ref="B553:C553"/>
    <mergeCell ref="B578:C578"/>
    <mergeCell ref="B580:C580"/>
    <mergeCell ref="B581:C581"/>
    <mergeCell ref="B582:E582"/>
    <mergeCell ref="B583:G583"/>
    <mergeCell ref="B584:F584"/>
    <mergeCell ref="B572:C572"/>
    <mergeCell ref="B573:C573"/>
    <mergeCell ref="B574:C574"/>
    <mergeCell ref="B575:E575"/>
    <mergeCell ref="B576:G576"/>
    <mergeCell ref="B577:G577"/>
    <mergeCell ref="B565:G565"/>
    <mergeCell ref="B566:G566"/>
    <mergeCell ref="B567:C567"/>
    <mergeCell ref="B568:C568"/>
    <mergeCell ref="B570:C570"/>
    <mergeCell ref="B571:C571"/>
    <mergeCell ref="B599:C599"/>
    <mergeCell ref="B600:E600"/>
    <mergeCell ref="B601:G601"/>
    <mergeCell ref="B602:G602"/>
    <mergeCell ref="B603:C603"/>
    <mergeCell ref="B605:C605"/>
    <mergeCell ref="B591:G591"/>
    <mergeCell ref="B593:C593"/>
    <mergeCell ref="B595:C595"/>
    <mergeCell ref="B596:C596"/>
    <mergeCell ref="B597:C597"/>
    <mergeCell ref="B598:C598"/>
    <mergeCell ref="B585:E585"/>
    <mergeCell ref="B586:F586"/>
    <mergeCell ref="C587:E587"/>
    <mergeCell ref="C588:E588"/>
    <mergeCell ref="C589:G589"/>
    <mergeCell ref="B590:G590"/>
    <mergeCell ref="B617:G617"/>
    <mergeCell ref="B618:G618"/>
    <mergeCell ref="B619:C619"/>
    <mergeCell ref="B620:C620"/>
    <mergeCell ref="B622:C622"/>
    <mergeCell ref="B623:C623"/>
    <mergeCell ref="B612:C612"/>
    <mergeCell ref="B613:C613"/>
    <mergeCell ref="B614:C616"/>
    <mergeCell ref="D614:E614"/>
    <mergeCell ref="D615:E615"/>
    <mergeCell ref="D616:E616"/>
    <mergeCell ref="B606:C606"/>
    <mergeCell ref="B607:C607"/>
    <mergeCell ref="B608:C608"/>
    <mergeCell ref="B609:C609"/>
    <mergeCell ref="B610:C610"/>
    <mergeCell ref="B611:C611"/>
    <mergeCell ref="B637:E637"/>
    <mergeCell ref="B638:F638"/>
    <mergeCell ref="C639:E639"/>
    <mergeCell ref="C640:E640"/>
    <mergeCell ref="C641:G641"/>
    <mergeCell ref="B642:G642"/>
    <mergeCell ref="B630:C630"/>
    <mergeCell ref="B632:C632"/>
    <mergeCell ref="B633:C633"/>
    <mergeCell ref="B634:E634"/>
    <mergeCell ref="B635:G635"/>
    <mergeCell ref="B636:F636"/>
    <mergeCell ref="B624:C624"/>
    <mergeCell ref="B625:C625"/>
    <mergeCell ref="B626:C626"/>
    <mergeCell ref="B627:E627"/>
    <mergeCell ref="B628:G628"/>
    <mergeCell ref="B629:G629"/>
    <mergeCell ref="B658:C658"/>
    <mergeCell ref="B659:C659"/>
    <mergeCell ref="B660:C660"/>
    <mergeCell ref="B661:C661"/>
    <mergeCell ref="B662:C662"/>
    <mergeCell ref="B663:C663"/>
    <mergeCell ref="B651:C651"/>
    <mergeCell ref="B652:E652"/>
    <mergeCell ref="B653:G653"/>
    <mergeCell ref="B654:G654"/>
    <mergeCell ref="B655:C655"/>
    <mergeCell ref="B657:C657"/>
    <mergeCell ref="B643:G643"/>
    <mergeCell ref="B645:C645"/>
    <mergeCell ref="B647:C647"/>
    <mergeCell ref="B648:C648"/>
    <mergeCell ref="B649:C649"/>
    <mergeCell ref="B650:C650"/>
    <mergeCell ref="B676:C676"/>
    <mergeCell ref="B677:C677"/>
    <mergeCell ref="B678:C678"/>
    <mergeCell ref="B679:E679"/>
    <mergeCell ref="B680:G680"/>
    <mergeCell ref="B681:G681"/>
    <mergeCell ref="B669:G669"/>
    <mergeCell ref="B670:G670"/>
    <mergeCell ref="B671:C671"/>
    <mergeCell ref="B672:C672"/>
    <mergeCell ref="B674:C674"/>
    <mergeCell ref="B675:C675"/>
    <mergeCell ref="B664:C664"/>
    <mergeCell ref="B665:C665"/>
    <mergeCell ref="B666:C668"/>
    <mergeCell ref="D666:E666"/>
    <mergeCell ref="D667:E667"/>
    <mergeCell ref="D668:E668"/>
    <mergeCell ref="B695:G695"/>
    <mergeCell ref="B697:C697"/>
    <mergeCell ref="B699:C699"/>
    <mergeCell ref="B700:C700"/>
    <mergeCell ref="B701:C701"/>
    <mergeCell ref="B702:C702"/>
    <mergeCell ref="B689:E689"/>
    <mergeCell ref="B690:F690"/>
    <mergeCell ref="C691:E691"/>
    <mergeCell ref="C692:E692"/>
    <mergeCell ref="C693:G693"/>
    <mergeCell ref="B694:G694"/>
    <mergeCell ref="B682:C682"/>
    <mergeCell ref="B684:C684"/>
    <mergeCell ref="B685:C685"/>
    <mergeCell ref="B686:E686"/>
    <mergeCell ref="B687:G687"/>
    <mergeCell ref="B688:F688"/>
    <mergeCell ref="B716:C716"/>
    <mergeCell ref="B717:C717"/>
    <mergeCell ref="B718:C720"/>
    <mergeCell ref="D718:E718"/>
    <mergeCell ref="D719:E719"/>
    <mergeCell ref="D720:E720"/>
    <mergeCell ref="B710:C710"/>
    <mergeCell ref="B711:C711"/>
    <mergeCell ref="B712:C712"/>
    <mergeCell ref="B713:C713"/>
    <mergeCell ref="B714:C714"/>
    <mergeCell ref="B715:C715"/>
    <mergeCell ref="B703:C703"/>
    <mergeCell ref="B704:E704"/>
    <mergeCell ref="B705:G705"/>
    <mergeCell ref="B706:G706"/>
    <mergeCell ref="B707:C707"/>
    <mergeCell ref="B709:C709"/>
    <mergeCell ref="B734:C734"/>
    <mergeCell ref="B736:C736"/>
    <mergeCell ref="B737:C737"/>
    <mergeCell ref="B738:E738"/>
    <mergeCell ref="B739:G739"/>
    <mergeCell ref="B740:F740"/>
    <mergeCell ref="B728:C728"/>
    <mergeCell ref="B729:C729"/>
    <mergeCell ref="B730:C730"/>
    <mergeCell ref="B731:E731"/>
    <mergeCell ref="B732:G732"/>
    <mergeCell ref="B733:G733"/>
    <mergeCell ref="B721:G721"/>
    <mergeCell ref="B722:G722"/>
    <mergeCell ref="B723:C723"/>
    <mergeCell ref="B724:C724"/>
    <mergeCell ref="B726:C726"/>
    <mergeCell ref="B727:C727"/>
    <mergeCell ref="B755:C755"/>
    <mergeCell ref="B756:E756"/>
    <mergeCell ref="B757:G757"/>
    <mergeCell ref="B758:G758"/>
    <mergeCell ref="B759:C759"/>
    <mergeCell ref="B761:C761"/>
    <mergeCell ref="B747:G747"/>
    <mergeCell ref="B749:C749"/>
    <mergeCell ref="B751:C751"/>
    <mergeCell ref="B752:C752"/>
    <mergeCell ref="B753:C753"/>
    <mergeCell ref="B754:C754"/>
    <mergeCell ref="B741:E741"/>
    <mergeCell ref="B742:F742"/>
    <mergeCell ref="C743:E743"/>
    <mergeCell ref="C744:E744"/>
    <mergeCell ref="C745:G745"/>
    <mergeCell ref="B746:G746"/>
    <mergeCell ref="B773:G773"/>
    <mergeCell ref="B774:G774"/>
    <mergeCell ref="B775:C775"/>
    <mergeCell ref="B776:C776"/>
    <mergeCell ref="B778:C778"/>
    <mergeCell ref="B779:C779"/>
    <mergeCell ref="B768:C768"/>
    <mergeCell ref="B769:C769"/>
    <mergeCell ref="B770:C772"/>
    <mergeCell ref="D770:E770"/>
    <mergeCell ref="D771:E771"/>
    <mergeCell ref="D772:E772"/>
    <mergeCell ref="B762:C762"/>
    <mergeCell ref="B763:C763"/>
    <mergeCell ref="B764:C764"/>
    <mergeCell ref="B765:C765"/>
    <mergeCell ref="B766:C766"/>
    <mergeCell ref="B767:C767"/>
    <mergeCell ref="B793:E793"/>
    <mergeCell ref="B794:F794"/>
    <mergeCell ref="C795:E795"/>
    <mergeCell ref="C796:E796"/>
    <mergeCell ref="C797:G797"/>
    <mergeCell ref="B798:G798"/>
    <mergeCell ref="B786:C786"/>
    <mergeCell ref="B788:C788"/>
    <mergeCell ref="B789:C789"/>
    <mergeCell ref="B790:E790"/>
    <mergeCell ref="B791:G791"/>
    <mergeCell ref="B792:F792"/>
    <mergeCell ref="B780:C780"/>
    <mergeCell ref="B781:C781"/>
    <mergeCell ref="B782:C782"/>
    <mergeCell ref="B783:E783"/>
    <mergeCell ref="B784:G784"/>
    <mergeCell ref="B785:G785"/>
    <mergeCell ref="B814:C814"/>
    <mergeCell ref="B815:C815"/>
    <mergeCell ref="B816:C816"/>
    <mergeCell ref="B817:C817"/>
    <mergeCell ref="B818:C818"/>
    <mergeCell ref="B819:C819"/>
    <mergeCell ref="B807:C807"/>
    <mergeCell ref="B808:E808"/>
    <mergeCell ref="B809:G809"/>
    <mergeCell ref="B810:G810"/>
    <mergeCell ref="B811:C811"/>
    <mergeCell ref="B813:C813"/>
    <mergeCell ref="B799:G799"/>
    <mergeCell ref="B801:C801"/>
    <mergeCell ref="B803:C803"/>
    <mergeCell ref="B804:C804"/>
    <mergeCell ref="B805:C805"/>
    <mergeCell ref="B806:C806"/>
    <mergeCell ref="B832:C832"/>
    <mergeCell ref="B833:C833"/>
    <mergeCell ref="B834:C834"/>
    <mergeCell ref="B835:E835"/>
    <mergeCell ref="B836:G836"/>
    <mergeCell ref="B837:G837"/>
    <mergeCell ref="B825:G825"/>
    <mergeCell ref="B826:G826"/>
    <mergeCell ref="B827:C827"/>
    <mergeCell ref="B828:C828"/>
    <mergeCell ref="B830:C830"/>
    <mergeCell ref="B831:C831"/>
    <mergeCell ref="B820:C820"/>
    <mergeCell ref="B821:C821"/>
    <mergeCell ref="B822:C824"/>
    <mergeCell ref="D822:E822"/>
    <mergeCell ref="D823:E823"/>
    <mergeCell ref="D824:E824"/>
    <mergeCell ref="B851:G851"/>
    <mergeCell ref="B853:C853"/>
    <mergeCell ref="B855:C855"/>
    <mergeCell ref="B856:C856"/>
    <mergeCell ref="B857:C857"/>
    <mergeCell ref="B858:C858"/>
    <mergeCell ref="B845:E845"/>
    <mergeCell ref="B846:F846"/>
    <mergeCell ref="C847:E847"/>
    <mergeCell ref="C848:E848"/>
    <mergeCell ref="C849:G849"/>
    <mergeCell ref="B850:G850"/>
    <mergeCell ref="B838:C838"/>
    <mergeCell ref="B840:C840"/>
    <mergeCell ref="B841:C841"/>
    <mergeCell ref="B842:E842"/>
    <mergeCell ref="B843:G843"/>
    <mergeCell ref="B844:F844"/>
    <mergeCell ref="B872:C872"/>
    <mergeCell ref="B873:C873"/>
    <mergeCell ref="B874:C874"/>
    <mergeCell ref="B875:C877"/>
    <mergeCell ref="D875:E875"/>
    <mergeCell ref="D876:E876"/>
    <mergeCell ref="D877:E877"/>
    <mergeCell ref="B866:C866"/>
    <mergeCell ref="B867:C867"/>
    <mergeCell ref="B868:C868"/>
    <mergeCell ref="B869:C869"/>
    <mergeCell ref="B870:C870"/>
    <mergeCell ref="B871:C871"/>
    <mergeCell ref="B859:C859"/>
    <mergeCell ref="B860:C860"/>
    <mergeCell ref="B861:E861"/>
    <mergeCell ref="B862:G862"/>
    <mergeCell ref="B863:G863"/>
    <mergeCell ref="B864:C864"/>
    <mergeCell ref="B891:C891"/>
    <mergeCell ref="B893:C893"/>
    <mergeCell ref="B894:C894"/>
    <mergeCell ref="B895:E895"/>
    <mergeCell ref="B896:G896"/>
    <mergeCell ref="B897:F897"/>
    <mergeCell ref="B885:C885"/>
    <mergeCell ref="B886:C886"/>
    <mergeCell ref="B887:C887"/>
    <mergeCell ref="B888:E888"/>
    <mergeCell ref="B889:G889"/>
    <mergeCell ref="B890:G890"/>
    <mergeCell ref="B878:G878"/>
    <mergeCell ref="B879:G879"/>
    <mergeCell ref="B880:C880"/>
    <mergeCell ref="B881:C881"/>
    <mergeCell ref="B883:C883"/>
    <mergeCell ref="B884:C884"/>
    <mergeCell ref="B912:C912"/>
    <mergeCell ref="B913:C913"/>
    <mergeCell ref="B914:E914"/>
    <mergeCell ref="B915:G915"/>
    <mergeCell ref="B916:G916"/>
    <mergeCell ref="B917:C917"/>
    <mergeCell ref="B904:G904"/>
    <mergeCell ref="B906:C906"/>
    <mergeCell ref="B908:C908"/>
    <mergeCell ref="B909:C909"/>
    <mergeCell ref="B910:C910"/>
    <mergeCell ref="B911:C911"/>
    <mergeCell ref="B898:E898"/>
    <mergeCell ref="B899:F899"/>
    <mergeCell ref="C900:E900"/>
    <mergeCell ref="C901:E901"/>
    <mergeCell ref="C902:G902"/>
    <mergeCell ref="B903:G903"/>
    <mergeCell ref="B931:G931"/>
    <mergeCell ref="B932:G932"/>
    <mergeCell ref="B933:C933"/>
    <mergeCell ref="B934:C934"/>
    <mergeCell ref="B936:C936"/>
    <mergeCell ref="B937:C937"/>
    <mergeCell ref="B925:C925"/>
    <mergeCell ref="B926:C926"/>
    <mergeCell ref="B927:C927"/>
    <mergeCell ref="B928:C930"/>
    <mergeCell ref="D928:E928"/>
    <mergeCell ref="D929:E929"/>
    <mergeCell ref="D930:E930"/>
    <mergeCell ref="B919:C919"/>
    <mergeCell ref="B920:C920"/>
    <mergeCell ref="B921:C921"/>
    <mergeCell ref="B922:C922"/>
    <mergeCell ref="B923:C923"/>
    <mergeCell ref="B924:C924"/>
    <mergeCell ref="B951:E951"/>
    <mergeCell ref="B952:F952"/>
    <mergeCell ref="C953:E953"/>
    <mergeCell ref="C954:E954"/>
    <mergeCell ref="C955:G955"/>
    <mergeCell ref="B956:G956"/>
    <mergeCell ref="B944:C944"/>
    <mergeCell ref="B946:C946"/>
    <mergeCell ref="B947:C947"/>
    <mergeCell ref="B948:E948"/>
    <mergeCell ref="B949:G949"/>
    <mergeCell ref="B950:F950"/>
    <mergeCell ref="B938:C938"/>
    <mergeCell ref="B939:C939"/>
    <mergeCell ref="B940:C940"/>
    <mergeCell ref="B941:E941"/>
    <mergeCell ref="B942:G942"/>
    <mergeCell ref="B943:G943"/>
    <mergeCell ref="B972:C972"/>
    <mergeCell ref="B973:C973"/>
    <mergeCell ref="B974:C974"/>
    <mergeCell ref="B975:C975"/>
    <mergeCell ref="B976:C976"/>
    <mergeCell ref="B977:C977"/>
    <mergeCell ref="B965:C965"/>
    <mergeCell ref="B966:E966"/>
    <mergeCell ref="B967:G967"/>
    <mergeCell ref="B968:G968"/>
    <mergeCell ref="B969:C969"/>
    <mergeCell ref="B971:C971"/>
    <mergeCell ref="B957:G957"/>
    <mergeCell ref="B959:C959"/>
    <mergeCell ref="B961:C961"/>
    <mergeCell ref="B962:C962"/>
    <mergeCell ref="B963:C963"/>
    <mergeCell ref="B964:C964"/>
    <mergeCell ref="B990:C990"/>
    <mergeCell ref="B991:C991"/>
    <mergeCell ref="B992:C992"/>
    <mergeCell ref="B993:E993"/>
    <mergeCell ref="B994:G994"/>
    <mergeCell ref="B995:G995"/>
    <mergeCell ref="B983:G983"/>
    <mergeCell ref="B984:G984"/>
    <mergeCell ref="B985:C985"/>
    <mergeCell ref="B986:C986"/>
    <mergeCell ref="B988:C988"/>
    <mergeCell ref="B989:C989"/>
    <mergeCell ref="B978:C978"/>
    <mergeCell ref="B979:C979"/>
    <mergeCell ref="B980:C982"/>
    <mergeCell ref="D980:E980"/>
    <mergeCell ref="D981:E981"/>
    <mergeCell ref="D982:E982"/>
    <mergeCell ref="B1009:G1009"/>
    <mergeCell ref="B1011:C1011"/>
    <mergeCell ref="B1013:C1013"/>
    <mergeCell ref="B1014:C1014"/>
    <mergeCell ref="B1015:C1015"/>
    <mergeCell ref="B1016:C1016"/>
    <mergeCell ref="B1003:E1003"/>
    <mergeCell ref="B1004:F1004"/>
    <mergeCell ref="C1005:E1005"/>
    <mergeCell ref="C1006:E1006"/>
    <mergeCell ref="C1007:G1007"/>
    <mergeCell ref="B1008:G1008"/>
    <mergeCell ref="B996:C996"/>
    <mergeCell ref="B998:C998"/>
    <mergeCell ref="B999:C999"/>
    <mergeCell ref="B1000:E1000"/>
    <mergeCell ref="B1001:G1001"/>
    <mergeCell ref="B1002:F1002"/>
    <mergeCell ref="B1030:C1030"/>
    <mergeCell ref="B1031:C1031"/>
    <mergeCell ref="B1032:C1034"/>
    <mergeCell ref="D1032:E1032"/>
    <mergeCell ref="D1033:E1033"/>
    <mergeCell ref="D1034:E1034"/>
    <mergeCell ref="B1024:C1024"/>
    <mergeCell ref="B1025:C1025"/>
    <mergeCell ref="B1026:C1026"/>
    <mergeCell ref="B1027:C1027"/>
    <mergeCell ref="B1028:C1028"/>
    <mergeCell ref="B1029:C1029"/>
    <mergeCell ref="B1017:C1017"/>
    <mergeCell ref="B1018:E1018"/>
    <mergeCell ref="B1019:G1019"/>
    <mergeCell ref="B1020:G1020"/>
    <mergeCell ref="B1021:C1021"/>
    <mergeCell ref="B1023:C1023"/>
    <mergeCell ref="B1048:C1048"/>
    <mergeCell ref="B1050:C1050"/>
    <mergeCell ref="B1051:C1051"/>
    <mergeCell ref="B1052:E1052"/>
    <mergeCell ref="B1053:G1053"/>
    <mergeCell ref="B1054:F1054"/>
    <mergeCell ref="B1042:C1042"/>
    <mergeCell ref="B1043:C1043"/>
    <mergeCell ref="B1044:C1044"/>
    <mergeCell ref="B1045:E1045"/>
    <mergeCell ref="B1046:G1046"/>
    <mergeCell ref="B1047:G1047"/>
    <mergeCell ref="B1035:G1035"/>
    <mergeCell ref="B1036:G1036"/>
    <mergeCell ref="B1037:C1037"/>
    <mergeCell ref="B1038:C1038"/>
    <mergeCell ref="B1040:C1040"/>
    <mergeCell ref="B1041:C1041"/>
    <mergeCell ref="B1069:C1069"/>
    <mergeCell ref="B1070:E1070"/>
    <mergeCell ref="B1071:G1071"/>
    <mergeCell ref="B1072:G1072"/>
    <mergeCell ref="B1073:C1073"/>
    <mergeCell ref="B1075:C1075"/>
    <mergeCell ref="B1061:G1061"/>
    <mergeCell ref="B1063:C1063"/>
    <mergeCell ref="B1065:C1065"/>
    <mergeCell ref="B1066:C1066"/>
    <mergeCell ref="B1067:C1067"/>
    <mergeCell ref="B1068:C1068"/>
    <mergeCell ref="B1055:E1055"/>
    <mergeCell ref="B1056:F1056"/>
    <mergeCell ref="C1057:E1057"/>
    <mergeCell ref="C1058:E1058"/>
    <mergeCell ref="C1059:G1059"/>
    <mergeCell ref="B1060:G1060"/>
    <mergeCell ref="B1087:G1087"/>
    <mergeCell ref="B1088:G1088"/>
    <mergeCell ref="B1089:C1089"/>
    <mergeCell ref="B1090:C1090"/>
    <mergeCell ref="B1092:C1092"/>
    <mergeCell ref="B1093:C1093"/>
    <mergeCell ref="B1082:C1082"/>
    <mergeCell ref="B1083:C1083"/>
    <mergeCell ref="B1084:C1086"/>
    <mergeCell ref="D1084:E1084"/>
    <mergeCell ref="D1085:E1085"/>
    <mergeCell ref="D1086:E1086"/>
    <mergeCell ref="B1076:C1076"/>
    <mergeCell ref="B1077:C1077"/>
    <mergeCell ref="B1078:C1078"/>
    <mergeCell ref="B1079:C1079"/>
    <mergeCell ref="B1080:C1080"/>
    <mergeCell ref="B1081:C1081"/>
    <mergeCell ref="B1107:E1107"/>
    <mergeCell ref="B1108:F1108"/>
    <mergeCell ref="C1109:E1109"/>
    <mergeCell ref="C1110:E1110"/>
    <mergeCell ref="C1111:G1111"/>
    <mergeCell ref="B1112:G1112"/>
    <mergeCell ref="B1100:C1100"/>
    <mergeCell ref="B1102:C1102"/>
    <mergeCell ref="B1103:C1103"/>
    <mergeCell ref="B1104:E1104"/>
    <mergeCell ref="B1105:G1105"/>
    <mergeCell ref="B1106:F1106"/>
    <mergeCell ref="B1094:C1094"/>
    <mergeCell ref="B1095:C1095"/>
    <mergeCell ref="B1096:C1096"/>
    <mergeCell ref="B1097:E1097"/>
    <mergeCell ref="B1098:G1098"/>
    <mergeCell ref="B1099:G1099"/>
    <mergeCell ref="B1128:C1128"/>
    <mergeCell ref="B1129:C1129"/>
    <mergeCell ref="B1130:C1130"/>
    <mergeCell ref="B1131:C1131"/>
    <mergeCell ref="B1132:C1132"/>
    <mergeCell ref="B1133:C1133"/>
    <mergeCell ref="B1121:C1121"/>
    <mergeCell ref="B1122:E1122"/>
    <mergeCell ref="B1123:G1123"/>
    <mergeCell ref="B1124:G1124"/>
    <mergeCell ref="B1125:C1125"/>
    <mergeCell ref="B1127:C1127"/>
    <mergeCell ref="B1113:G1113"/>
    <mergeCell ref="B1115:C1115"/>
    <mergeCell ref="B1117:C1117"/>
    <mergeCell ref="B1118:C1118"/>
    <mergeCell ref="B1119:C1119"/>
    <mergeCell ref="B1120:C1120"/>
    <mergeCell ref="B1146:C1146"/>
    <mergeCell ref="B1147:C1147"/>
    <mergeCell ref="B1148:C1148"/>
    <mergeCell ref="B1149:E1149"/>
    <mergeCell ref="B1150:G1150"/>
    <mergeCell ref="B1151:G1151"/>
    <mergeCell ref="B1139:G1139"/>
    <mergeCell ref="B1140:G1140"/>
    <mergeCell ref="B1141:C1141"/>
    <mergeCell ref="B1142:C1142"/>
    <mergeCell ref="B1144:C1144"/>
    <mergeCell ref="B1145:C1145"/>
    <mergeCell ref="B1134:C1134"/>
    <mergeCell ref="B1135:C1135"/>
    <mergeCell ref="B1136:C1138"/>
    <mergeCell ref="D1136:E1136"/>
    <mergeCell ref="D1137:E1137"/>
    <mergeCell ref="D1138:E1138"/>
    <mergeCell ref="B1165:G1165"/>
    <mergeCell ref="B1167:C1167"/>
    <mergeCell ref="B1169:C1169"/>
    <mergeCell ref="B1170:C1170"/>
    <mergeCell ref="B1171:C1171"/>
    <mergeCell ref="B1172:C1172"/>
    <mergeCell ref="B1159:E1159"/>
    <mergeCell ref="B1160:F1160"/>
    <mergeCell ref="C1161:E1161"/>
    <mergeCell ref="C1162:E1162"/>
    <mergeCell ref="C1163:G1163"/>
    <mergeCell ref="B1164:G1164"/>
    <mergeCell ref="B1152:C1152"/>
    <mergeCell ref="B1154:C1154"/>
    <mergeCell ref="B1155:C1155"/>
    <mergeCell ref="B1156:E1156"/>
    <mergeCell ref="B1157:G1157"/>
    <mergeCell ref="B1158:F1158"/>
    <mergeCell ref="B1186:C1186"/>
    <mergeCell ref="B1187:C1187"/>
    <mergeCell ref="B1188:C1190"/>
    <mergeCell ref="D1188:E1188"/>
    <mergeCell ref="D1189:E1189"/>
    <mergeCell ref="D1190:E1190"/>
    <mergeCell ref="B1180:C1180"/>
    <mergeCell ref="B1181:C1181"/>
    <mergeCell ref="B1182:C1182"/>
    <mergeCell ref="B1183:C1183"/>
    <mergeCell ref="B1184:C1184"/>
    <mergeCell ref="B1185:C1185"/>
    <mergeCell ref="B1173:C1173"/>
    <mergeCell ref="B1174:E1174"/>
    <mergeCell ref="B1175:G1175"/>
    <mergeCell ref="B1176:G1176"/>
    <mergeCell ref="B1177:C1177"/>
    <mergeCell ref="B1179:C1179"/>
    <mergeCell ref="B1204:C1204"/>
    <mergeCell ref="B1206:C1206"/>
    <mergeCell ref="B1207:C1207"/>
    <mergeCell ref="B1208:E1208"/>
    <mergeCell ref="B1209:G1209"/>
    <mergeCell ref="B1210:F1210"/>
    <mergeCell ref="B1198:C1198"/>
    <mergeCell ref="B1199:C1199"/>
    <mergeCell ref="B1200:C1200"/>
    <mergeCell ref="B1201:E1201"/>
    <mergeCell ref="B1202:G1202"/>
    <mergeCell ref="B1203:G1203"/>
    <mergeCell ref="B1191:G1191"/>
    <mergeCell ref="B1192:G1192"/>
    <mergeCell ref="B1193:C1193"/>
    <mergeCell ref="B1194:C1194"/>
    <mergeCell ref="B1196:C1196"/>
    <mergeCell ref="B1197:C1197"/>
    <mergeCell ref="B1226:E1226"/>
    <mergeCell ref="B1227:G1227"/>
    <mergeCell ref="B1228:G1228"/>
    <mergeCell ref="B1229:C1229"/>
    <mergeCell ref="B1231:C1231"/>
    <mergeCell ref="B1232:C1232"/>
    <mergeCell ref="B1218:G1218"/>
    <mergeCell ref="B1220:C1220"/>
    <mergeCell ref="B1222:C1222"/>
    <mergeCell ref="B1223:C1223"/>
    <mergeCell ref="B1224:C1224"/>
    <mergeCell ref="B1225:C1225"/>
    <mergeCell ref="B1211:E1211"/>
    <mergeCell ref="B1212:F1212"/>
    <mergeCell ref="C1214:E1214"/>
    <mergeCell ref="C1215:E1215"/>
    <mergeCell ref="C1216:G1216"/>
    <mergeCell ref="B1217:G1217"/>
    <mergeCell ref="B1245:G1245"/>
    <mergeCell ref="B1246:G1246"/>
    <mergeCell ref="B1247:C1247"/>
    <mergeCell ref="B1248:C1248"/>
    <mergeCell ref="B1250:C1250"/>
    <mergeCell ref="B1251:C1251"/>
    <mergeCell ref="B1239:C1239"/>
    <mergeCell ref="B1240:C1240"/>
    <mergeCell ref="B1241:C1241"/>
    <mergeCell ref="B1242:C1244"/>
    <mergeCell ref="D1242:E1242"/>
    <mergeCell ref="D1243:E1243"/>
    <mergeCell ref="D1244:E1244"/>
    <mergeCell ref="B1233:C1233"/>
    <mergeCell ref="B1234:C1234"/>
    <mergeCell ref="B1235:C1235"/>
    <mergeCell ref="B1236:C1236"/>
    <mergeCell ref="B1237:C1237"/>
    <mergeCell ref="B1238:C1238"/>
    <mergeCell ref="B1265:E1265"/>
    <mergeCell ref="B1266:F1266"/>
    <mergeCell ref="C1267:E1267"/>
    <mergeCell ref="C1268:E1268"/>
    <mergeCell ref="C1269:G1269"/>
    <mergeCell ref="B1270:G1270"/>
    <mergeCell ref="B1258:C1258"/>
    <mergeCell ref="B1260:C1260"/>
    <mergeCell ref="B1261:C1261"/>
    <mergeCell ref="B1262:E1262"/>
    <mergeCell ref="B1263:G1263"/>
    <mergeCell ref="B1264:F1264"/>
    <mergeCell ref="B1252:C1252"/>
    <mergeCell ref="B1253:C1253"/>
    <mergeCell ref="B1254:C1254"/>
    <mergeCell ref="B1255:E1255"/>
    <mergeCell ref="B1256:G1256"/>
    <mergeCell ref="B1257:G1257"/>
    <mergeCell ref="B1286:C1286"/>
    <mergeCell ref="B1287:C1287"/>
    <mergeCell ref="B1288:C1288"/>
    <mergeCell ref="B1289:C1289"/>
    <mergeCell ref="B1290:C1290"/>
    <mergeCell ref="B1291:C1291"/>
    <mergeCell ref="B1279:C1279"/>
    <mergeCell ref="B1280:E1280"/>
    <mergeCell ref="B1281:G1281"/>
    <mergeCell ref="B1282:G1282"/>
    <mergeCell ref="B1283:C1283"/>
    <mergeCell ref="B1285:C1285"/>
    <mergeCell ref="B1271:G1271"/>
    <mergeCell ref="B1273:C1273"/>
    <mergeCell ref="B1275:C1275"/>
    <mergeCell ref="B1276:C1276"/>
    <mergeCell ref="B1277:C1277"/>
    <mergeCell ref="B1278:C1278"/>
    <mergeCell ref="B1304:C1304"/>
    <mergeCell ref="B1305:C1305"/>
    <mergeCell ref="B1306:C1306"/>
    <mergeCell ref="B1307:E1307"/>
    <mergeCell ref="B1308:G1308"/>
    <mergeCell ref="B1309:G1309"/>
    <mergeCell ref="B1297:G1297"/>
    <mergeCell ref="B1298:G1298"/>
    <mergeCell ref="B1299:C1299"/>
    <mergeCell ref="B1300:C1300"/>
    <mergeCell ref="B1302:C1302"/>
    <mergeCell ref="B1303:C1303"/>
    <mergeCell ref="B1292:C1292"/>
    <mergeCell ref="B1293:C1293"/>
    <mergeCell ref="B1294:C1296"/>
    <mergeCell ref="D1294:E1294"/>
    <mergeCell ref="D1295:E1295"/>
    <mergeCell ref="D1296:E1296"/>
    <mergeCell ref="B1323:G1323"/>
    <mergeCell ref="B1325:C1325"/>
    <mergeCell ref="B1327:C1327"/>
    <mergeCell ref="B1328:C1328"/>
    <mergeCell ref="B1329:C1329"/>
    <mergeCell ref="B1330:C1330"/>
    <mergeCell ref="B1317:E1317"/>
    <mergeCell ref="B1318:F1318"/>
    <mergeCell ref="C1319:E1319"/>
    <mergeCell ref="C1320:E1320"/>
    <mergeCell ref="C1321:G1321"/>
    <mergeCell ref="B1322:G1322"/>
    <mergeCell ref="B1310:C1310"/>
    <mergeCell ref="B1312:C1312"/>
    <mergeCell ref="B1313:C1313"/>
    <mergeCell ref="B1314:E1314"/>
    <mergeCell ref="B1315:G1315"/>
    <mergeCell ref="B1316:F1316"/>
    <mergeCell ref="B1344:C1344"/>
    <mergeCell ref="B1345:C1345"/>
    <mergeCell ref="B1346:C1348"/>
    <mergeCell ref="D1346:E1346"/>
    <mergeCell ref="D1347:E1347"/>
    <mergeCell ref="D1348:E1348"/>
    <mergeCell ref="B1338:C1338"/>
    <mergeCell ref="B1339:C1339"/>
    <mergeCell ref="B1340:C1340"/>
    <mergeCell ref="B1341:C1341"/>
    <mergeCell ref="B1342:C1342"/>
    <mergeCell ref="B1343:C1343"/>
    <mergeCell ref="B1331:C1331"/>
    <mergeCell ref="B1332:E1332"/>
    <mergeCell ref="B1333:G1333"/>
    <mergeCell ref="B1334:G1334"/>
    <mergeCell ref="B1335:C1335"/>
    <mergeCell ref="B1337:C1337"/>
    <mergeCell ref="B1362:C1362"/>
    <mergeCell ref="B1364:C1364"/>
    <mergeCell ref="B1365:C1365"/>
    <mergeCell ref="B1366:E1366"/>
    <mergeCell ref="B1367:G1367"/>
    <mergeCell ref="B1368:F1368"/>
    <mergeCell ref="B1356:C1356"/>
    <mergeCell ref="B1357:C1357"/>
    <mergeCell ref="B1358:C1358"/>
    <mergeCell ref="B1359:E1359"/>
    <mergeCell ref="B1360:G1360"/>
    <mergeCell ref="B1361:G1361"/>
    <mergeCell ref="B1349:G1349"/>
    <mergeCell ref="B1350:G1350"/>
    <mergeCell ref="B1351:C1351"/>
    <mergeCell ref="B1352:C1352"/>
    <mergeCell ref="B1354:C1354"/>
    <mergeCell ref="B1355:C1355"/>
    <mergeCell ref="B1383:C1383"/>
    <mergeCell ref="B1384:E1384"/>
    <mergeCell ref="B1385:G1385"/>
    <mergeCell ref="B1386:G1386"/>
    <mergeCell ref="B1387:C1387"/>
    <mergeCell ref="B1389:C1389"/>
    <mergeCell ref="B1375:G1375"/>
    <mergeCell ref="B1377:C1377"/>
    <mergeCell ref="B1379:C1379"/>
    <mergeCell ref="B1380:C1380"/>
    <mergeCell ref="B1381:C1381"/>
    <mergeCell ref="B1382:C1382"/>
    <mergeCell ref="B1369:E1369"/>
    <mergeCell ref="B1370:F1370"/>
    <mergeCell ref="C1371:E1371"/>
    <mergeCell ref="C1372:E1372"/>
    <mergeCell ref="C1373:G1373"/>
    <mergeCell ref="B1374:G1374"/>
    <mergeCell ref="B1401:G1401"/>
    <mergeCell ref="B1402:G1402"/>
    <mergeCell ref="B1403:C1403"/>
    <mergeCell ref="B1404:C1404"/>
    <mergeCell ref="B1406:C1406"/>
    <mergeCell ref="B1407:C1407"/>
    <mergeCell ref="B1396:C1396"/>
    <mergeCell ref="B1397:C1397"/>
    <mergeCell ref="B1398:C1400"/>
    <mergeCell ref="D1398:E1398"/>
    <mergeCell ref="D1399:E1399"/>
    <mergeCell ref="D1400:E1400"/>
    <mergeCell ref="B1390:C1390"/>
    <mergeCell ref="B1391:C1391"/>
    <mergeCell ref="B1392:C1392"/>
    <mergeCell ref="B1393:C1393"/>
    <mergeCell ref="B1394:C1394"/>
    <mergeCell ref="B1395:C1395"/>
    <mergeCell ref="B1421:E1421"/>
    <mergeCell ref="B1422:F1422"/>
    <mergeCell ref="C1423:E1423"/>
    <mergeCell ref="C1424:E1424"/>
    <mergeCell ref="C1425:G1425"/>
    <mergeCell ref="B1426:G1426"/>
    <mergeCell ref="B1414:C1414"/>
    <mergeCell ref="B1416:C1416"/>
    <mergeCell ref="B1417:C1417"/>
    <mergeCell ref="B1418:E1418"/>
    <mergeCell ref="B1419:G1419"/>
    <mergeCell ref="B1420:F1420"/>
    <mergeCell ref="B1408:C1408"/>
    <mergeCell ref="B1409:C1409"/>
    <mergeCell ref="B1410:C1410"/>
    <mergeCell ref="B1411:E1411"/>
    <mergeCell ref="B1412:G1412"/>
    <mergeCell ref="B1413:G1413"/>
    <mergeCell ref="B1442:C1442"/>
    <mergeCell ref="B1443:C1443"/>
    <mergeCell ref="B1444:C1444"/>
    <mergeCell ref="B1445:C1445"/>
    <mergeCell ref="B1446:C1446"/>
    <mergeCell ref="B1447:C1447"/>
    <mergeCell ref="B1435:G1435"/>
    <mergeCell ref="B1436:G1436"/>
    <mergeCell ref="B1437:C1437"/>
    <mergeCell ref="B1439:C1439"/>
    <mergeCell ref="B1440:C1440"/>
    <mergeCell ref="B1441:C1441"/>
    <mergeCell ref="B1427:G1427"/>
    <mergeCell ref="B1429:C1429"/>
    <mergeCell ref="B1431:C1431"/>
    <mergeCell ref="B1432:C1432"/>
    <mergeCell ref="B1433:C1433"/>
    <mergeCell ref="B1434:E1434"/>
    <mergeCell ref="B1460:C1460"/>
    <mergeCell ref="B1461:C1461"/>
    <mergeCell ref="B1462:C1462"/>
    <mergeCell ref="B1463:E1463"/>
    <mergeCell ref="B1464:G1464"/>
    <mergeCell ref="B1465:G1465"/>
    <mergeCell ref="B1453:G1453"/>
    <mergeCell ref="B1454:G1454"/>
    <mergeCell ref="B1455:C1455"/>
    <mergeCell ref="B1456:C1456"/>
    <mergeCell ref="B1458:C1458"/>
    <mergeCell ref="B1459:C1459"/>
    <mergeCell ref="B1448:C1448"/>
    <mergeCell ref="B1449:C1449"/>
    <mergeCell ref="B1450:C1452"/>
    <mergeCell ref="D1450:E1450"/>
    <mergeCell ref="D1451:E1451"/>
    <mergeCell ref="D1452:E1452"/>
    <mergeCell ref="B1479:G1479"/>
    <mergeCell ref="B1481:C1481"/>
    <mergeCell ref="B1483:C1483"/>
    <mergeCell ref="B1484:C1484"/>
    <mergeCell ref="B1485:C1485"/>
    <mergeCell ref="B1486:C1486"/>
    <mergeCell ref="B1473:E1473"/>
    <mergeCell ref="B1474:F1474"/>
    <mergeCell ref="C1475:E1475"/>
    <mergeCell ref="C1476:E1476"/>
    <mergeCell ref="C1477:G1477"/>
    <mergeCell ref="B1478:G1478"/>
    <mergeCell ref="B1466:C1466"/>
    <mergeCell ref="B1468:C1468"/>
    <mergeCell ref="B1469:C1469"/>
    <mergeCell ref="B1470:E1470"/>
    <mergeCell ref="B1471:G1471"/>
    <mergeCell ref="B1472:F1472"/>
    <mergeCell ref="B1500:C1500"/>
    <mergeCell ref="B1501:C1501"/>
    <mergeCell ref="B1502:C1504"/>
    <mergeCell ref="D1502:E1502"/>
    <mergeCell ref="D1503:E1503"/>
    <mergeCell ref="D1504:E1504"/>
    <mergeCell ref="B1494:C1494"/>
    <mergeCell ref="B1495:C1495"/>
    <mergeCell ref="B1496:C1496"/>
    <mergeCell ref="B1497:C1497"/>
    <mergeCell ref="B1498:C1498"/>
    <mergeCell ref="B1499:C1499"/>
    <mergeCell ref="B1487:E1487"/>
    <mergeCell ref="B1488:G1488"/>
    <mergeCell ref="B1489:G1489"/>
    <mergeCell ref="B1490:C1490"/>
    <mergeCell ref="B1492:C1492"/>
    <mergeCell ref="B1493:C1493"/>
    <mergeCell ref="B1518:C1518"/>
    <mergeCell ref="B1520:C1520"/>
    <mergeCell ref="B1521:C1521"/>
    <mergeCell ref="B1522:E1522"/>
    <mergeCell ref="B1523:G1523"/>
    <mergeCell ref="B1524:F1524"/>
    <mergeCell ref="B1512:C1512"/>
    <mergeCell ref="B1513:C1513"/>
    <mergeCell ref="B1514:C1514"/>
    <mergeCell ref="B1515:E1515"/>
    <mergeCell ref="B1516:G1516"/>
    <mergeCell ref="B1517:G1517"/>
    <mergeCell ref="B1505:G1505"/>
    <mergeCell ref="B1506:G1506"/>
    <mergeCell ref="B1507:C1507"/>
    <mergeCell ref="B1508:C1508"/>
    <mergeCell ref="B1510:C1510"/>
    <mergeCell ref="B1511:C1511"/>
    <mergeCell ref="B1539:C1539"/>
    <mergeCell ref="B1540:C1540"/>
    <mergeCell ref="B1541:E1541"/>
    <mergeCell ref="B1542:G1542"/>
    <mergeCell ref="B1543:G1543"/>
    <mergeCell ref="B1544:C1544"/>
    <mergeCell ref="B1531:G1531"/>
    <mergeCell ref="B1533:C1533"/>
    <mergeCell ref="B1535:C1535"/>
    <mergeCell ref="B1536:C1536"/>
    <mergeCell ref="B1537:C1537"/>
    <mergeCell ref="B1538:C1538"/>
    <mergeCell ref="B1525:E1525"/>
    <mergeCell ref="B1526:F1526"/>
    <mergeCell ref="C1527:E1527"/>
    <mergeCell ref="C1528:E1528"/>
    <mergeCell ref="C1529:G1529"/>
    <mergeCell ref="B1530:G1530"/>
    <mergeCell ref="B1558:G1558"/>
    <mergeCell ref="B1559:G1559"/>
    <mergeCell ref="B1560:C1560"/>
    <mergeCell ref="B1561:C1561"/>
    <mergeCell ref="B1563:C1563"/>
    <mergeCell ref="B1564:C1564"/>
    <mergeCell ref="B1552:C1552"/>
    <mergeCell ref="B1553:C1553"/>
    <mergeCell ref="B1554:C1554"/>
    <mergeCell ref="B1555:C1557"/>
    <mergeCell ref="D1555:E1555"/>
    <mergeCell ref="D1556:E1556"/>
    <mergeCell ref="D1557:E1557"/>
    <mergeCell ref="B1546:C1546"/>
    <mergeCell ref="B1547:C1547"/>
    <mergeCell ref="B1548:C1548"/>
    <mergeCell ref="B1549:C1549"/>
    <mergeCell ref="B1550:C1550"/>
    <mergeCell ref="B1551:C1551"/>
    <mergeCell ref="B1578:E1578"/>
    <mergeCell ref="B1579:F1579"/>
    <mergeCell ref="C1580:E1580"/>
    <mergeCell ref="C1581:E1581"/>
    <mergeCell ref="C1582:G1582"/>
    <mergeCell ref="B1583:G1583"/>
    <mergeCell ref="B1571:C1571"/>
    <mergeCell ref="B1573:C1573"/>
    <mergeCell ref="B1574:C1574"/>
    <mergeCell ref="B1575:E1575"/>
    <mergeCell ref="B1576:G1576"/>
    <mergeCell ref="B1577:F1577"/>
    <mergeCell ref="B1565:C1565"/>
    <mergeCell ref="B1566:C1566"/>
    <mergeCell ref="B1567:C1567"/>
    <mergeCell ref="B1568:E1568"/>
    <mergeCell ref="B1569:G1569"/>
    <mergeCell ref="B1570:G1570"/>
    <mergeCell ref="B1599:C1599"/>
    <mergeCell ref="B1600:C1600"/>
    <mergeCell ref="B1601:C1601"/>
    <mergeCell ref="B1602:C1602"/>
    <mergeCell ref="B1603:C1603"/>
    <mergeCell ref="B1604:C1604"/>
    <mergeCell ref="B1592:C1592"/>
    <mergeCell ref="B1593:C1593"/>
    <mergeCell ref="B1594:E1594"/>
    <mergeCell ref="B1595:G1595"/>
    <mergeCell ref="B1596:G1596"/>
    <mergeCell ref="B1597:C1597"/>
    <mergeCell ref="B1584:G1584"/>
    <mergeCell ref="B1586:C1586"/>
    <mergeCell ref="B1588:C1588"/>
    <mergeCell ref="B1589:C1589"/>
    <mergeCell ref="B1590:C1590"/>
    <mergeCell ref="B1591:C1591"/>
    <mergeCell ref="B1618:C1618"/>
    <mergeCell ref="B1619:C1619"/>
    <mergeCell ref="B1620:C1620"/>
    <mergeCell ref="B1621:E1621"/>
    <mergeCell ref="B1622:G1622"/>
    <mergeCell ref="B1623:G1623"/>
    <mergeCell ref="B1611:G1611"/>
    <mergeCell ref="B1612:G1612"/>
    <mergeCell ref="B1613:C1613"/>
    <mergeCell ref="B1614:C1614"/>
    <mergeCell ref="B1616:C1616"/>
    <mergeCell ref="B1617:C1617"/>
    <mergeCell ref="B1605:C1605"/>
    <mergeCell ref="B1606:C1606"/>
    <mergeCell ref="B1607:C1607"/>
    <mergeCell ref="B1608:C1610"/>
    <mergeCell ref="D1608:E1608"/>
    <mergeCell ref="D1609:E1609"/>
    <mergeCell ref="D1610:E1610"/>
    <mergeCell ref="B1637:G1637"/>
    <mergeCell ref="B1639:C1639"/>
    <mergeCell ref="B1641:C1641"/>
    <mergeCell ref="B1642:C1642"/>
    <mergeCell ref="B1643:C1643"/>
    <mergeCell ref="B1644:C1644"/>
    <mergeCell ref="B1631:E1631"/>
    <mergeCell ref="B1632:F1632"/>
    <mergeCell ref="C1633:E1633"/>
    <mergeCell ref="C1634:E1634"/>
    <mergeCell ref="C1635:G1635"/>
    <mergeCell ref="B1636:G1636"/>
    <mergeCell ref="B1624:C1624"/>
    <mergeCell ref="B1626:C1626"/>
    <mergeCell ref="B1627:C1627"/>
    <mergeCell ref="B1628:E1628"/>
    <mergeCell ref="B1629:G1629"/>
    <mergeCell ref="B1630:F1630"/>
    <mergeCell ref="B1658:C1658"/>
    <mergeCell ref="B1659:C1659"/>
    <mergeCell ref="B1660:C1662"/>
    <mergeCell ref="D1660:E1660"/>
    <mergeCell ref="D1661:E1661"/>
    <mergeCell ref="D1662:E1662"/>
    <mergeCell ref="B1652:C1652"/>
    <mergeCell ref="B1653:C1653"/>
    <mergeCell ref="B1654:C1654"/>
    <mergeCell ref="B1655:C1655"/>
    <mergeCell ref="B1656:C1656"/>
    <mergeCell ref="B1657:C1657"/>
    <mergeCell ref="B1645:E1645"/>
    <mergeCell ref="B1646:G1646"/>
    <mergeCell ref="B1647:G1647"/>
    <mergeCell ref="B1648:C1648"/>
    <mergeCell ref="B1650:C1650"/>
    <mergeCell ref="B1651:C1651"/>
    <mergeCell ref="B1676:C1676"/>
    <mergeCell ref="B1678:C1678"/>
    <mergeCell ref="B1679:C1679"/>
    <mergeCell ref="B1680:E1680"/>
    <mergeCell ref="B1681:G1681"/>
    <mergeCell ref="B1682:F1682"/>
    <mergeCell ref="B1670:C1670"/>
    <mergeCell ref="B1671:C1671"/>
    <mergeCell ref="B1672:C1672"/>
    <mergeCell ref="B1673:E1673"/>
    <mergeCell ref="B1674:G1674"/>
    <mergeCell ref="B1675:G1675"/>
    <mergeCell ref="B1663:G1663"/>
    <mergeCell ref="B1664:G1664"/>
    <mergeCell ref="B1665:C1665"/>
    <mergeCell ref="B1666:C1666"/>
    <mergeCell ref="B1668:C1668"/>
    <mergeCell ref="B1669:C1669"/>
    <mergeCell ref="B1697:C1697"/>
    <mergeCell ref="B1698:C1698"/>
    <mergeCell ref="B1699:E1699"/>
    <mergeCell ref="B1700:G1700"/>
    <mergeCell ref="B1701:G1701"/>
    <mergeCell ref="B1702:C1702"/>
    <mergeCell ref="B1689:G1689"/>
    <mergeCell ref="B1691:C1691"/>
    <mergeCell ref="B1693:C1693"/>
    <mergeCell ref="B1694:C1694"/>
    <mergeCell ref="B1695:C1695"/>
    <mergeCell ref="B1696:C1696"/>
    <mergeCell ref="B1683:E1683"/>
    <mergeCell ref="B1684:F1684"/>
    <mergeCell ref="C1685:E1685"/>
    <mergeCell ref="C1686:E1686"/>
    <mergeCell ref="C1687:G1687"/>
    <mergeCell ref="B1688:G1688"/>
    <mergeCell ref="B1716:G1716"/>
    <mergeCell ref="B1717:G1717"/>
    <mergeCell ref="B1718:C1718"/>
    <mergeCell ref="B1719:C1719"/>
    <mergeCell ref="B1721:C1721"/>
    <mergeCell ref="B1722:C1722"/>
    <mergeCell ref="B1710:C1710"/>
    <mergeCell ref="B1711:C1711"/>
    <mergeCell ref="B1712:C1712"/>
    <mergeCell ref="B1713:C1715"/>
    <mergeCell ref="D1713:E1713"/>
    <mergeCell ref="D1714:E1714"/>
    <mergeCell ref="D1715:E1715"/>
    <mergeCell ref="B1704:C1704"/>
    <mergeCell ref="B1705:C1705"/>
    <mergeCell ref="B1706:C1706"/>
    <mergeCell ref="B1707:C1707"/>
    <mergeCell ref="B1708:C1708"/>
    <mergeCell ref="B1709:C1709"/>
    <mergeCell ref="B1736:E1736"/>
    <mergeCell ref="B1737:F1737"/>
    <mergeCell ref="C1738:E1738"/>
    <mergeCell ref="C1739:E1739"/>
    <mergeCell ref="C1740:G1740"/>
    <mergeCell ref="B1741:G1741"/>
    <mergeCell ref="B1729:C1729"/>
    <mergeCell ref="B1731:C1731"/>
    <mergeCell ref="B1732:C1732"/>
    <mergeCell ref="B1733:E1733"/>
    <mergeCell ref="B1734:G1734"/>
    <mergeCell ref="B1735:F1735"/>
    <mergeCell ref="B1723:C1723"/>
    <mergeCell ref="B1724:C1724"/>
    <mergeCell ref="B1725:C1725"/>
    <mergeCell ref="B1726:E1726"/>
    <mergeCell ref="B1727:G1727"/>
    <mergeCell ref="B1728:G1728"/>
    <mergeCell ref="B1758:C1758"/>
    <mergeCell ref="B1759:C1759"/>
    <mergeCell ref="B1760:C1760"/>
    <mergeCell ref="B1761:C1761"/>
    <mergeCell ref="B1762:C1762"/>
    <mergeCell ref="B1763:C1763"/>
    <mergeCell ref="B1751:E1751"/>
    <mergeCell ref="B1752:G1752"/>
    <mergeCell ref="B1753:G1753"/>
    <mergeCell ref="B1754:C1754"/>
    <mergeCell ref="B1756:C1756"/>
    <mergeCell ref="B1757:C1757"/>
    <mergeCell ref="B1742:G1742"/>
    <mergeCell ref="B1744:C1744"/>
    <mergeCell ref="B1746:C1746"/>
    <mergeCell ref="B1748:C1748"/>
    <mergeCell ref="B1749:C1749"/>
    <mergeCell ref="B1750:C1750"/>
    <mergeCell ref="B1776:C1776"/>
    <mergeCell ref="B1777:C1777"/>
    <mergeCell ref="B1778:E1778"/>
    <mergeCell ref="B1779:G1779"/>
    <mergeCell ref="B1780:G1780"/>
    <mergeCell ref="B1781:C1781"/>
    <mergeCell ref="B1769:G1769"/>
    <mergeCell ref="B1770:C1770"/>
    <mergeCell ref="B1771:C1771"/>
    <mergeCell ref="B1773:C1773"/>
    <mergeCell ref="B1774:C1774"/>
    <mergeCell ref="B1775:C1775"/>
    <mergeCell ref="B1764:C1764"/>
    <mergeCell ref="B1765:C1767"/>
    <mergeCell ref="D1765:E1765"/>
    <mergeCell ref="D1766:E1766"/>
    <mergeCell ref="D1767:E1767"/>
    <mergeCell ref="B1768:G1768"/>
    <mergeCell ref="B1796:C1796"/>
    <mergeCell ref="B1798:C1798"/>
    <mergeCell ref="B1799:C1799"/>
    <mergeCell ref="B1800:C1800"/>
    <mergeCell ref="B1801:C1801"/>
    <mergeCell ref="B1802:C1802"/>
    <mergeCell ref="B1789:F1789"/>
    <mergeCell ref="C1790:E1790"/>
    <mergeCell ref="C1791:E1791"/>
    <mergeCell ref="C1792:G1792"/>
    <mergeCell ref="B1793:G1793"/>
    <mergeCell ref="B1794:G1794"/>
    <mergeCell ref="B1783:C1783"/>
    <mergeCell ref="B1784:C1784"/>
    <mergeCell ref="B1785:E1785"/>
    <mergeCell ref="B1786:G1786"/>
    <mergeCell ref="B1787:F1787"/>
    <mergeCell ref="B1788:E1788"/>
    <mergeCell ref="B1816:C1816"/>
    <mergeCell ref="B1817:C1819"/>
    <mergeCell ref="D1817:E1817"/>
    <mergeCell ref="D1818:E1818"/>
    <mergeCell ref="D1819:E1819"/>
    <mergeCell ref="B1820:G1820"/>
    <mergeCell ref="B1810:C1810"/>
    <mergeCell ref="B1811:C1811"/>
    <mergeCell ref="B1812:C1812"/>
    <mergeCell ref="B1813:C1813"/>
    <mergeCell ref="B1814:C1814"/>
    <mergeCell ref="B1815:C1815"/>
    <mergeCell ref="B1803:E1803"/>
    <mergeCell ref="B1804:G1804"/>
    <mergeCell ref="B1805:G1805"/>
    <mergeCell ref="B1806:C1806"/>
    <mergeCell ref="B1808:C1808"/>
    <mergeCell ref="B1809:C1809"/>
    <mergeCell ref="B1835:C1835"/>
    <mergeCell ref="B1836:C1836"/>
    <mergeCell ref="B1837:E1837"/>
    <mergeCell ref="B1838:G1838"/>
    <mergeCell ref="B1839:F1839"/>
    <mergeCell ref="B1840:E1840"/>
    <mergeCell ref="B1828:C1828"/>
    <mergeCell ref="B1829:C1829"/>
    <mergeCell ref="B1830:E1830"/>
    <mergeCell ref="B1831:G1831"/>
    <mergeCell ref="B1832:G1832"/>
    <mergeCell ref="B1833:C1833"/>
    <mergeCell ref="B1821:G1821"/>
    <mergeCell ref="B1822:C1822"/>
    <mergeCell ref="B1823:C1823"/>
    <mergeCell ref="B1825:C1825"/>
    <mergeCell ref="B1826:C1826"/>
    <mergeCell ref="B1827:C1827"/>
    <mergeCell ref="B1855:G1855"/>
    <mergeCell ref="B1856:G1856"/>
    <mergeCell ref="B1857:C1857"/>
    <mergeCell ref="B1859:C1859"/>
    <mergeCell ref="B1860:C1860"/>
    <mergeCell ref="B1861:C1861"/>
    <mergeCell ref="B1848:C1848"/>
    <mergeCell ref="B1850:C1850"/>
    <mergeCell ref="B1851:C1851"/>
    <mergeCell ref="B1852:C1852"/>
    <mergeCell ref="B1853:C1853"/>
    <mergeCell ref="B1854:E1854"/>
    <mergeCell ref="B1841:F1841"/>
    <mergeCell ref="C1842:E1842"/>
    <mergeCell ref="C1843:E1843"/>
    <mergeCell ref="C1844:G1844"/>
    <mergeCell ref="B1845:G1845"/>
    <mergeCell ref="B1846:G1846"/>
    <mergeCell ref="B1873:G1873"/>
    <mergeCell ref="B1874:C1874"/>
    <mergeCell ref="B1875:C1875"/>
    <mergeCell ref="B1877:C1877"/>
    <mergeCell ref="B1878:C1878"/>
    <mergeCell ref="B1879:C1879"/>
    <mergeCell ref="B1868:C1868"/>
    <mergeCell ref="B1869:C1871"/>
    <mergeCell ref="D1869:E1869"/>
    <mergeCell ref="D1870:E1870"/>
    <mergeCell ref="D1871:E1871"/>
    <mergeCell ref="B1872:G1872"/>
    <mergeCell ref="B1862:C1862"/>
    <mergeCell ref="B1863:C1863"/>
    <mergeCell ref="B1864:C1864"/>
    <mergeCell ref="B1865:C1865"/>
    <mergeCell ref="B1866:C1866"/>
    <mergeCell ref="B1867:C1867"/>
    <mergeCell ref="B1893:F1893"/>
    <mergeCell ref="C1894:E1894"/>
    <mergeCell ref="C1895:E1895"/>
    <mergeCell ref="C1896:G1896"/>
    <mergeCell ref="B1897:G1897"/>
    <mergeCell ref="B1898:G1898"/>
    <mergeCell ref="B1887:C1887"/>
    <mergeCell ref="B1888:C1888"/>
    <mergeCell ref="B1889:E1889"/>
    <mergeCell ref="B1890:G1890"/>
    <mergeCell ref="B1891:F1891"/>
    <mergeCell ref="B1892:E1892"/>
    <mergeCell ref="B1880:C1880"/>
    <mergeCell ref="B1881:C1881"/>
    <mergeCell ref="B1882:E1882"/>
    <mergeCell ref="B1883:G1883"/>
    <mergeCell ref="B1884:G1884"/>
    <mergeCell ref="B1885:C1885"/>
    <mergeCell ref="B1914:C1914"/>
    <mergeCell ref="B1915:C1915"/>
    <mergeCell ref="B1916:C1916"/>
    <mergeCell ref="B1917:C1917"/>
    <mergeCell ref="B1918:C1918"/>
    <mergeCell ref="B1919:C1919"/>
    <mergeCell ref="B1907:G1907"/>
    <mergeCell ref="B1908:G1908"/>
    <mergeCell ref="B1909:C1909"/>
    <mergeCell ref="B1911:C1911"/>
    <mergeCell ref="B1912:C1912"/>
    <mergeCell ref="B1913:C1913"/>
    <mergeCell ref="B1900:C1900"/>
    <mergeCell ref="B1902:C1902"/>
    <mergeCell ref="B1903:C1903"/>
    <mergeCell ref="B1904:C1904"/>
    <mergeCell ref="B1905:C1905"/>
    <mergeCell ref="B1906:E1906"/>
    <mergeCell ref="B1932:C1932"/>
    <mergeCell ref="B1933:C1933"/>
    <mergeCell ref="B1934:E1934"/>
    <mergeCell ref="B1935:G1935"/>
    <mergeCell ref="B1936:G1936"/>
    <mergeCell ref="B1937:C1937"/>
    <mergeCell ref="B1925:G1925"/>
    <mergeCell ref="B1926:C1926"/>
    <mergeCell ref="B1927:C1927"/>
    <mergeCell ref="B1929:C1929"/>
    <mergeCell ref="B1930:C1930"/>
    <mergeCell ref="B1931:C1931"/>
    <mergeCell ref="B1920:C1920"/>
    <mergeCell ref="B1921:C1923"/>
    <mergeCell ref="D1921:E1921"/>
    <mergeCell ref="D1922:E1922"/>
    <mergeCell ref="D1923:E1923"/>
    <mergeCell ref="B1924:G1924"/>
    <mergeCell ref="B1952:C1952"/>
    <mergeCell ref="B1954:C1954"/>
    <mergeCell ref="B1955:C1955"/>
    <mergeCell ref="B1956:C1956"/>
    <mergeCell ref="B1957:C1957"/>
    <mergeCell ref="B1958:E1958"/>
    <mergeCell ref="B1945:F1945"/>
    <mergeCell ref="C1946:E1946"/>
    <mergeCell ref="C1947:E1947"/>
    <mergeCell ref="C1948:G1948"/>
    <mergeCell ref="B1949:G1949"/>
    <mergeCell ref="B1950:G1950"/>
    <mergeCell ref="B1939:C1939"/>
    <mergeCell ref="B1940:C1940"/>
    <mergeCell ref="B1941:E1941"/>
    <mergeCell ref="B1942:G1942"/>
    <mergeCell ref="B1943:F1943"/>
    <mergeCell ref="B1944:E1944"/>
    <mergeCell ref="B1972:C1972"/>
    <mergeCell ref="B1973:C1975"/>
    <mergeCell ref="D1973:E1973"/>
    <mergeCell ref="D1974:E1974"/>
    <mergeCell ref="D1975:E1975"/>
    <mergeCell ref="B1976:G1976"/>
    <mergeCell ref="B1966:C1966"/>
    <mergeCell ref="B1967:C1967"/>
    <mergeCell ref="B1968:C1968"/>
    <mergeCell ref="B1969:C1969"/>
    <mergeCell ref="B1970:C1970"/>
    <mergeCell ref="B1971:C1971"/>
    <mergeCell ref="B1959:G1959"/>
    <mergeCell ref="B1960:G1960"/>
    <mergeCell ref="B1961:C1961"/>
    <mergeCell ref="B1963:C1963"/>
    <mergeCell ref="B1964:C1964"/>
    <mergeCell ref="B1965:C1965"/>
    <mergeCell ref="B1991:C1991"/>
    <mergeCell ref="B1992:C1992"/>
    <mergeCell ref="B1993:E1993"/>
    <mergeCell ref="B1994:G1994"/>
    <mergeCell ref="B1995:F1995"/>
    <mergeCell ref="B1996:E1996"/>
    <mergeCell ref="B1984:C1984"/>
    <mergeCell ref="B1985:C1985"/>
    <mergeCell ref="B1986:E1986"/>
    <mergeCell ref="B1987:G1987"/>
    <mergeCell ref="B1988:G1988"/>
    <mergeCell ref="B1989:C1989"/>
    <mergeCell ref="B1977:G1977"/>
    <mergeCell ref="B1978:C1978"/>
    <mergeCell ref="B1979:C1979"/>
    <mergeCell ref="B1981:C1981"/>
    <mergeCell ref="B1982:C1982"/>
    <mergeCell ref="B1983:C1983"/>
    <mergeCell ref="B2011:G2011"/>
    <mergeCell ref="B2012:C2012"/>
    <mergeCell ref="B2014:C2014"/>
    <mergeCell ref="B2015:C2015"/>
    <mergeCell ref="B2016:C2016"/>
    <mergeCell ref="B2017:C2017"/>
    <mergeCell ref="B2004:C2004"/>
    <mergeCell ref="B2006:C2006"/>
    <mergeCell ref="B2007:C2007"/>
    <mergeCell ref="B2008:C2008"/>
    <mergeCell ref="B2009:E2009"/>
    <mergeCell ref="B2010:G2010"/>
    <mergeCell ref="B1997:F1997"/>
    <mergeCell ref="C1998:E1998"/>
    <mergeCell ref="C1999:E1999"/>
    <mergeCell ref="C2000:G2000"/>
    <mergeCell ref="B2001:G2001"/>
    <mergeCell ref="B2002:G2002"/>
    <mergeCell ref="B2029:C2029"/>
    <mergeCell ref="B2030:C2030"/>
    <mergeCell ref="B2032:C2032"/>
    <mergeCell ref="B2033:C2033"/>
    <mergeCell ref="B2034:C2034"/>
    <mergeCell ref="B2035:C2035"/>
    <mergeCell ref="B2024:C2026"/>
    <mergeCell ref="D2024:E2024"/>
    <mergeCell ref="D2025:E2025"/>
    <mergeCell ref="D2026:E2026"/>
    <mergeCell ref="B2027:G2027"/>
    <mergeCell ref="B2028:G2028"/>
    <mergeCell ref="B2018:C2018"/>
    <mergeCell ref="B2019:C2019"/>
    <mergeCell ref="B2020:C2020"/>
    <mergeCell ref="B2021:C2021"/>
    <mergeCell ref="B2022:C2022"/>
    <mergeCell ref="B2023:C2023"/>
    <mergeCell ref="C2049:E2049"/>
    <mergeCell ref="C2050:E2050"/>
    <mergeCell ref="C2051:G2051"/>
    <mergeCell ref="B2052:G2052"/>
    <mergeCell ref="B2053:G2053"/>
    <mergeCell ref="B2055:C2055"/>
    <mergeCell ref="B2043:C2043"/>
    <mergeCell ref="B2044:E2044"/>
    <mergeCell ref="B2045:G2045"/>
    <mergeCell ref="B2046:F2046"/>
    <mergeCell ref="B2047:E2047"/>
    <mergeCell ref="B2048:F2048"/>
    <mergeCell ref="B2036:C2036"/>
    <mergeCell ref="B2037:E2037"/>
    <mergeCell ref="B2038:G2038"/>
    <mergeCell ref="B2039:G2039"/>
    <mergeCell ref="B2040:C2040"/>
    <mergeCell ref="B2042:C2042"/>
    <mergeCell ref="B2070:C2070"/>
    <mergeCell ref="B2071:C2071"/>
    <mergeCell ref="B2072:C2072"/>
    <mergeCell ref="B2073:C2073"/>
    <mergeCell ref="B2074:C2074"/>
    <mergeCell ref="B2075:C2077"/>
    <mergeCell ref="B2063:C2063"/>
    <mergeCell ref="B2065:C2065"/>
    <mergeCell ref="B2066:C2066"/>
    <mergeCell ref="B2067:C2067"/>
    <mergeCell ref="B2068:C2068"/>
    <mergeCell ref="B2069:C2069"/>
    <mergeCell ref="B2057:C2057"/>
    <mergeCell ref="B2058:C2058"/>
    <mergeCell ref="B2059:C2059"/>
    <mergeCell ref="B2060:E2060"/>
    <mergeCell ref="B2061:G2061"/>
    <mergeCell ref="B2062:G2062"/>
    <mergeCell ref="B2088:E2088"/>
    <mergeCell ref="B2089:G2089"/>
    <mergeCell ref="B2090:G2090"/>
    <mergeCell ref="B2091:C2091"/>
    <mergeCell ref="B2097:F2097"/>
    <mergeCell ref="B2098:E2098"/>
    <mergeCell ref="B2081:C2081"/>
    <mergeCell ref="B2083:C2083"/>
    <mergeCell ref="B2084:C2084"/>
    <mergeCell ref="B2085:C2085"/>
    <mergeCell ref="B2086:C2086"/>
    <mergeCell ref="B2087:C2087"/>
    <mergeCell ref="D2075:E2075"/>
    <mergeCell ref="D2076:E2076"/>
    <mergeCell ref="D2077:E2077"/>
    <mergeCell ref="B2078:G2078"/>
    <mergeCell ref="B2079:G2079"/>
    <mergeCell ref="B2080:C2080"/>
    <mergeCell ref="B2263:C2263"/>
    <mergeCell ref="B2264:C2264"/>
    <mergeCell ref="B2265:C2265"/>
    <mergeCell ref="B2266:E2266"/>
    <mergeCell ref="B2267:G2267"/>
    <mergeCell ref="B2268:G2268"/>
    <mergeCell ref="C2255:E2255"/>
    <mergeCell ref="C2256:G2256"/>
    <mergeCell ref="B2257:G2257"/>
    <mergeCell ref="B2258:G2258"/>
    <mergeCell ref="B2260:C2260"/>
    <mergeCell ref="B2262:C2262"/>
    <mergeCell ref="B2099:F2099"/>
    <mergeCell ref="B2093:C2093"/>
    <mergeCell ref="B2094:C2094"/>
    <mergeCell ref="B2095:E2095"/>
    <mergeCell ref="B2096:G2096"/>
    <mergeCell ref="C2254:E2254"/>
    <mergeCell ref="C2102:G2102"/>
    <mergeCell ref="B2103:G2103"/>
    <mergeCell ref="B2104:G2104"/>
    <mergeCell ref="B2106:C2106"/>
    <mergeCell ref="C2100:E2100"/>
    <mergeCell ref="C2101:E2101"/>
    <mergeCell ref="B2112:G2112"/>
    <mergeCell ref="B2113:G2113"/>
    <mergeCell ref="B2114:C2114"/>
    <mergeCell ref="B2116:C2116"/>
    <mergeCell ref="B2108:C2108"/>
    <mergeCell ref="B2109:C2109"/>
    <mergeCell ref="B2110:C2110"/>
    <mergeCell ref="B2111:E2111"/>
    <mergeCell ref="D2281:E2281"/>
    <mergeCell ref="D2282:E2282"/>
    <mergeCell ref="D2283:E2283"/>
    <mergeCell ref="B2284:G2284"/>
    <mergeCell ref="B2285:G2285"/>
    <mergeCell ref="B2286:C2286"/>
    <mergeCell ref="B2276:C2276"/>
    <mergeCell ref="B2277:C2277"/>
    <mergeCell ref="B2278:C2278"/>
    <mergeCell ref="B2279:C2279"/>
    <mergeCell ref="B2280:C2280"/>
    <mergeCell ref="B2281:C2283"/>
    <mergeCell ref="B2269:C2269"/>
    <mergeCell ref="B2271:C2271"/>
    <mergeCell ref="B2272:C2272"/>
    <mergeCell ref="B2273:C2273"/>
    <mergeCell ref="B2274:C2274"/>
    <mergeCell ref="B2275:C2275"/>
    <mergeCell ref="B2301:E2301"/>
    <mergeCell ref="B2302:G2302"/>
    <mergeCell ref="B2303:F2303"/>
    <mergeCell ref="B2304:E2304"/>
    <mergeCell ref="B2305:F2305"/>
    <mergeCell ref="B2294:E2294"/>
    <mergeCell ref="B2295:G2295"/>
    <mergeCell ref="B2296:G2296"/>
    <mergeCell ref="B2297:C2297"/>
    <mergeCell ref="B2299:C2299"/>
    <mergeCell ref="B2300:C2300"/>
    <mergeCell ref="B2287:C2287"/>
    <mergeCell ref="B2289:C2289"/>
    <mergeCell ref="B2290:C2290"/>
    <mergeCell ref="B2291:C2291"/>
    <mergeCell ref="B2292:C2292"/>
    <mergeCell ref="B2293:C2293"/>
  </mergeCells>
  <phoneticPr fontId="0" type="noConversion"/>
  <hyperlinks>
    <hyperlink ref="H10" location="'ITEMS RESUMEN'!INSTALACIONES_ELECTRICAS" display="volver"/>
    <hyperlink ref="H32" location="'ITEMS RESUMEN'!INSTALACIONES_ELECTRICAS" display="volver"/>
    <hyperlink ref="H58" location="'ITEMS RESUMEN'!INSTALACIONES_ELECTRICAS" display="volver"/>
    <hyperlink ref="H85" location="'ITEMS RESUMEN'!INSTALACIONES_ELECTRICAS" display="volver"/>
    <hyperlink ref="H111" location="'ITEMS RESUMEN'!INSTALACIONES_ELECTRICAS" display="volver"/>
    <hyperlink ref="H138" location="'ITEMS RESUMEN'!INSTALACIONES_ELECTRICAS" display="volver"/>
    <hyperlink ref="H164" location="'ITEMS RESUMEN'!INSTALACIONES_ELECTRICAS" display="volver"/>
    <hyperlink ref="H191" location="'ITEMS RESUMEN'!INSTALACIONES_ELECTRICAS" display="volver"/>
    <hyperlink ref="H217" location="'ITEMS RESUMEN'!INSTALACIONES_ELECTRICAS" display="volver"/>
    <hyperlink ref="H244" location="'ITEMS RESUMEN'!INSTALACIONES_ELECTRICAS" display="volver"/>
    <hyperlink ref="H270" location="'ITEMS RESUMEN'!INSTALACIONES_ELECTRICAS" display="volver"/>
    <hyperlink ref="H297" location="'ITEMS RESUMEN'!INSTALACIONES_ELECTRICAS" display="volver"/>
    <hyperlink ref="H323" location="'ITEMS RESUMEN'!INSTALACIONES_ELECTRICAS" display="volver"/>
    <hyperlink ref="H350" location="'ITEMS RESUMEN'!INSTALACIONES_ELECTRICAS" display="volver"/>
    <hyperlink ref="H376" location="'ITEMS RESUMEN'!INSTALACIONES_ELECTRICAS" display="volver"/>
    <hyperlink ref="H403" location="'ITEMS RESUMEN'!INSTALACIONES_ELECTRICAS" display="volver"/>
    <hyperlink ref="H429" location="'ITEMS RESUMEN'!INSTALACIONES_ELECTRICAS" display="volver"/>
    <hyperlink ref="H456" location="'ITEMS RESUMEN'!INSTALACIONES_ELECTRICAS" display="volver"/>
    <hyperlink ref="H482" location="'ITEMS RESUMEN'!INSTALACIONES_ELECTRICAS" display="volver"/>
    <hyperlink ref="H508" location="'ITEMS RESUMEN'!INSTALACIONES_ELECTRICAS" display="volver"/>
    <hyperlink ref="H534" location="'ITEMS RESUMEN'!INSTALACIONES_ELECTRICAS" display="volver"/>
    <hyperlink ref="H560" location="'ITEMS RESUMEN'!INSTALACIONES_ELECTRICAS" display="volver"/>
    <hyperlink ref="H586" location="'ITEMS RESUMEN'!INSTALACIONES_ELECTRICAS" display="volver"/>
    <hyperlink ref="H612" location="'ITEMS RESUMEN'!INSTALACIONES_ELECTRICAS" display="volver"/>
    <hyperlink ref="H638" location="'ITEMS RESUMEN'!INSTALACIONES_ELECTRICAS" display="volver"/>
    <hyperlink ref="H664" location="'ITEMS RESUMEN'!INSTALACIONES_ELECTRICAS" display="volver"/>
    <hyperlink ref="H690" location="'ITEMS RESUMEN'!INSTALACIONES_ELECTRICAS" display="volver"/>
    <hyperlink ref="H716" location="'ITEMS RESUMEN'!INSTALACIONES_ELECTRICAS" display="volver"/>
    <hyperlink ref="H742" location="'ITEMS RESUMEN'!INSTALACIONES_ELECTRICAS" display="volver"/>
    <hyperlink ref="H768" location="'ITEMS RESUMEN'!INSTALACIONES_ELECTRICAS" display="volver"/>
    <hyperlink ref="H794" location="'ITEMS RESUMEN'!INSTALACIONES_ELECTRICAS" display="volver"/>
    <hyperlink ref="H820" location="'ITEMS RESUMEN'!INSTALACIONES_ELECTRICAS" display="volver"/>
    <hyperlink ref="H846" location="'ITEMS RESUMEN'!INSTALACIONES_ELECTRICAS" display="volver"/>
    <hyperlink ref="H873" location="'ITEMS RESUMEN'!INSTALACIONES_ELECTRICAS" display="volver"/>
    <hyperlink ref="H899" location="'ITEMS RESUMEN'!INSTALACIONES_ELECTRICAS" display="volver"/>
    <hyperlink ref="H926" location="'ITEMS RESUMEN'!INSTALACIONES_ELECTRICAS" display="volver"/>
    <hyperlink ref="H952" location="'ITEMS RESUMEN'!INSTALACIONES_ELECTRICAS" display="volver"/>
    <hyperlink ref="H978" location="'ITEMS RESUMEN'!INSTALACIONES_ELECTRICAS" display="volver"/>
    <hyperlink ref="H1004" location="'ITEMS RESUMEN'!INSTALACIONES_ELECTRICAS" display="volver"/>
    <hyperlink ref="H1030" location="'ITEMS RESUMEN'!INSTALACIONES_ELECTRICAS" display="volver"/>
    <hyperlink ref="H1056" location="'ITEMS RESUMEN'!INSTALACIONES_ELECTRICAS" display="volver"/>
    <hyperlink ref="H1082" location="'ITEMS RESUMEN'!INSTALACIONES_ELECTRICAS" display="volver"/>
    <hyperlink ref="H1108" location="'ITEMS RESUMEN'!INSTALACIONES_ELECTRICAS" display="volver"/>
    <hyperlink ref="H1134" location="'ITEMS RESUMEN'!INSTALACIONES_ELECTRICAS" display="volver"/>
    <hyperlink ref="H1160" location="'ITEMS RESUMEN'!INSTALACIONES_ELECTRICAS" display="volver"/>
    <hyperlink ref="H1186" location="'ITEMS RESUMEN'!INSTALACIONES_ELECTRICAS1" display="volver"/>
    <hyperlink ref="H1212" location="'ITEMS RESUMEN'!INSTALACIONES_ELECTRICAS1" display="volver"/>
    <hyperlink ref="H1240" location="'ITEMS RESUMEN'!INSTALACIONES_ELECTRICAS1" display="volver"/>
    <hyperlink ref="H1266" location="'ITEMS RESUMEN'!INSTALACIONES_ELECTRICAS1" display="volver"/>
    <hyperlink ref="H1292" location="'ITEMS RESUMEN'!INSTALACIONES_ELECTRICAS1" display="volver"/>
    <hyperlink ref="H1318" location="'ITEMS RESUMEN'!INSTALACIONES_ELECTRICAS1" display="volver"/>
    <hyperlink ref="H1344" location="'ITEMS RESUMEN'!INSTALACIONES_ELECTRICAS1" display="volver"/>
    <hyperlink ref="H1370" location="'ITEMS RESUMEN'!INSTALACIONES_ELECTRICAS1" display="volver"/>
    <hyperlink ref="H1396" location="'ITEMS RESUMEN'!INSTALACIONES_ELECTRICAS1" display="volver"/>
    <hyperlink ref="H1422" location="'ITEMS RESUMEN'!INSTALACIONES_ELECTRICAS1" display="volver"/>
    <hyperlink ref="H1448" location="'ITEMS RESUMEN'!INSTALACIONES_ELECTRICAS1" display="volver"/>
    <hyperlink ref="H1474" location="'ITEMS RESUMEN'!INSTALACIONES_ELECTRICAS1" display="volver"/>
    <hyperlink ref="H1500" location="'ITEMS RESUMEN'!INSTALACIONES_ELECTRICAS1" display="volver"/>
    <hyperlink ref="H1526" location="'ITEMS RESUMEN'!INSTALACIONES_ELECTRICAS1" display="volver"/>
    <hyperlink ref="H1553" location="'ITEMS RESUMEN'!INSTALACIONES_ELECTRICAS1" display="volver"/>
    <hyperlink ref="H1579" location="'ITEMS RESUMEN'!INSTALACIONES_ELECTRICAS1" display="volver"/>
    <hyperlink ref="H1606" location="'ITEMS RESUMEN'!INSTALACIONES_ELECTRICAS1" display="volver"/>
    <hyperlink ref="H1632" location="'ITEMS RESUMEN'!INSTALACIONES_ELECTRICAS1" display="volver"/>
    <hyperlink ref="H1658" location="'ITEMS RESUMEN'!INSTALACIONES_ELECTRICAS1" display="volver"/>
    <hyperlink ref="H1684" location="'ITEMS RESUMEN'!INSTALACIONES_ELECTRICAS1" display="volver"/>
    <hyperlink ref="H1711" location="'ITEMS RESUMEN'!INSTALACIONES_ELECTRICAS1" display="volver"/>
    <hyperlink ref="H1737" location="'ITEMS RESUMEN'!INSTALACIONES_ELECTRICAS1" display="volver"/>
    <hyperlink ref="H1763" location="'ITEMS RESUMEN'!INSTALACIONES_ELECTRICAS1" display="volver"/>
    <hyperlink ref="H1789" location="'ITEMS RESUMEN'!INSTALACIONES_ELECTRICAS1" display="volver"/>
    <hyperlink ref="H1815" location="'ITEMS RESUMEN'!INSTALACIONES_ELECTRICAS1" display="volver"/>
    <hyperlink ref="H1841" location="'ITEMS RESUMEN'!INSTALACIONES_ELECTRICAS1" display="volver"/>
    <hyperlink ref="H1867" location="'ITEMS RESUMEN'!INSTALACIONES_ELECTRICAS1" display="volver"/>
    <hyperlink ref="H1893" location="'ITEMS RESUMEN'!INSTALACIONES_ELECTRICAS1" display="volver"/>
    <hyperlink ref="H1919" location="'ITEMS RESUMEN'!INSTALACIONES_ELECTRICAS1" display="volver"/>
    <hyperlink ref="H1945" location="'ITEMS RESUMEN'!INSTALACIONES_ELECTRICAS1" display="volver"/>
    <hyperlink ref="H1971" location="'ITEMS RESUMEN'!INSTALACIONES_ELECTRICAS1" display="volver"/>
    <hyperlink ref="H1997" location="'ITEMS RESUMEN'!INSTALACIONES_ELECTRICAS1" display="volver"/>
    <hyperlink ref="H2022" location="'ITEMS RESUMEN'!INSTALACIONES_ELECTRICAS1" display="volver"/>
    <hyperlink ref="H2048" location="'ITEMS RESUMEN'!INSTALACIONES_ELECTRICAS1" display="volver"/>
    <hyperlink ref="H2073" location="'ITEMS RESUMEN'!INSTALACIONES_ELECTRICAS1" display="volver"/>
    <hyperlink ref="H2099" location="'ITEMS RESUMEN'!INSTALACIONES_ELECTRICAS1" display="volver"/>
    <hyperlink ref="H2124" location="'ITEMS RESUMEN'!INSTALACIONES_ELECTRICAS1" display="volver"/>
    <hyperlink ref="H2150" location="'ITEMS RESUMEN'!INSTALACIONES_ELECTRICAS1" display="volver"/>
    <hyperlink ref="H2175" location="'ITEMS RESUMEN'!INSTALACIONES_ELECTRICAS1" display="volver"/>
    <hyperlink ref="H2201" location="'ITEMS RESUMEN'!INSTALACIONES_ELECTRICAS1" display="volver"/>
    <hyperlink ref="H2227" location="'ITEMS RESUMEN'!INSTALACIONES_ELECTRICAS1" display="volver"/>
    <hyperlink ref="H2253" location="'ITEMS RESUMEN'!INSTALACIONES_ELECTRICAS1" display="volver"/>
    <hyperlink ref="H2279" location="'ITEMS RESUMEN'!INSTALACIONES_ELECTRICAS1" display="volver"/>
    <hyperlink ref="H2305" location="'ITEMS RESUMEN'!INSTALACIONES_ELECTRICAS1" display="volver"/>
  </hyperlinks>
  <printOptions horizontalCentered="1" verticalCentered="1"/>
  <pageMargins left="0" right="0" top="0" bottom="0" header="0" footer="0"/>
  <pageSetup scale="83" orientation="portrait" r:id="rId1"/>
  <headerFooter alignWithMargins="0"/>
  <rowBreaks count="43" manualBreakCount="43">
    <brk id="58" min="1" max="6" man="1"/>
    <brk id="111" min="1" max="6" man="1"/>
    <brk id="164" min="1" max="6" man="1"/>
    <brk id="217" min="1" max="6" man="1"/>
    <brk id="270" min="1" max="6" man="1"/>
    <brk id="323" min="1" max="6" man="1"/>
    <brk id="376" min="1" max="6" man="1"/>
    <brk id="429" min="1" max="6" man="1"/>
    <brk id="482" min="1" max="6" man="1"/>
    <brk id="534" min="1" max="6" man="1"/>
    <brk id="586" min="1" max="6" man="1"/>
    <brk id="638" min="1" max="6" man="1"/>
    <brk id="690" min="1" max="6" man="1"/>
    <brk id="742" min="1" max="6" man="1"/>
    <brk id="794" min="1" max="6" man="1"/>
    <brk id="846" min="1" max="6" man="1"/>
    <brk id="899" min="1" max="6" man="1"/>
    <brk id="952" min="1" max="6" man="1"/>
    <brk id="1004" min="1" max="6" man="1"/>
    <brk id="1056" min="1" max="6" man="1"/>
    <brk id="1108" min="1" max="6" man="1"/>
    <brk id="1160" min="1" max="6" man="1"/>
    <brk id="1213" min="1" max="6" man="1"/>
    <brk id="1266" min="1" max="6" man="1"/>
    <brk id="1318" min="1" max="6" man="1"/>
    <brk id="1370" min="1" max="6" man="1"/>
    <brk id="1422" min="1" max="6" man="1"/>
    <brk id="1474" min="1" max="6" man="1"/>
    <brk id="1526" min="1" max="6" man="1"/>
    <brk id="1579" min="1" max="6" man="1"/>
    <brk id="1632" min="1" max="6" man="1"/>
    <brk id="1684" min="1" max="6" man="1"/>
    <brk id="1737" min="1" max="6" man="1"/>
    <brk id="1789" min="1" max="6" man="1"/>
    <brk id="1841" min="1" max="6" man="1"/>
    <brk id="1893" min="1" max="6" man="1"/>
    <brk id="1945" min="1" max="6" man="1"/>
    <brk id="1997" min="1" max="6" man="1"/>
    <brk id="2048" min="1" max="6" man="1"/>
    <brk id="2099" min="1" max="6" man="1"/>
    <brk id="2150" min="1" max="6" man="1"/>
    <brk id="2201" min="1" max="6" man="1"/>
    <brk id="2253" min="1" max="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5" enableFormatConditionsCalculation="0">
    <tabColor indexed="42"/>
  </sheetPr>
  <dimension ref="A1:H1224"/>
  <sheetViews>
    <sheetView topLeftCell="A672" zoomScale="85" zoomScaleNormal="85" zoomScaleSheetLayoutView="85" workbookViewId="0">
      <selection activeCell="B270" sqref="B270:G322"/>
    </sheetView>
  </sheetViews>
  <sheetFormatPr baseColWidth="10" defaultRowHeight="12.75"/>
  <cols>
    <col min="2" max="2" width="12.7109375" customWidth="1"/>
    <col min="3" max="3" width="28.140625" customWidth="1"/>
    <col min="4" max="4" width="12.7109375" customWidth="1"/>
    <col min="5" max="5" width="13.7109375" customWidth="1"/>
    <col min="6" max="6" width="14.7109375" customWidth="1"/>
    <col min="7" max="7" width="16.7109375" customWidth="1"/>
  </cols>
  <sheetData>
    <row r="1" spans="1:8" ht="19.5" thickTop="1">
      <c r="A1" s="95"/>
      <c r="B1" s="225"/>
      <c r="C1" s="848" t="s">
        <v>1054</v>
      </c>
      <c r="D1" s="848"/>
      <c r="E1" s="848"/>
      <c r="F1" s="848"/>
      <c r="G1" s="849"/>
    </row>
    <row r="2" spans="1:8" ht="18.75">
      <c r="A2" s="95"/>
      <c r="B2" s="226"/>
      <c r="C2" s="780" t="s">
        <v>1381</v>
      </c>
      <c r="D2" s="780"/>
      <c r="E2" s="780"/>
      <c r="F2" s="780"/>
      <c r="G2" s="850"/>
    </row>
    <row r="3" spans="1:8" ht="18.75">
      <c r="A3" s="95"/>
      <c r="B3" s="226"/>
      <c r="C3" s="781"/>
      <c r="D3" s="781"/>
      <c r="E3" s="781"/>
      <c r="F3" s="781"/>
      <c r="G3" s="851"/>
    </row>
    <row r="4" spans="1:8" ht="15.75">
      <c r="A4" s="95"/>
      <c r="B4" s="881" t="s">
        <v>780</v>
      </c>
      <c r="C4" s="852"/>
      <c r="D4" s="852"/>
      <c r="E4" s="852"/>
      <c r="F4" s="852"/>
      <c r="G4" s="853"/>
    </row>
    <row r="5" spans="1:8" ht="15.75" thickBot="1">
      <c r="A5" s="95"/>
      <c r="B5" s="227"/>
      <c r="C5" s="856"/>
      <c r="D5" s="856"/>
      <c r="E5" s="856"/>
      <c r="F5" s="856"/>
      <c r="G5" s="857"/>
    </row>
    <row r="6" spans="1:8" ht="13.5" thickTop="1">
      <c r="A6" s="95"/>
      <c r="B6" s="90" t="s">
        <v>303</v>
      </c>
      <c r="C6" s="843"/>
      <c r="D6" s="843"/>
      <c r="E6" s="843"/>
      <c r="F6" s="92" t="s">
        <v>781</v>
      </c>
      <c r="G6" s="93" t="s">
        <v>831</v>
      </c>
      <c r="H6" s="505" t="s">
        <v>1670</v>
      </c>
    </row>
    <row r="7" spans="1:8">
      <c r="A7" s="95"/>
      <c r="B7" s="91" t="s">
        <v>834</v>
      </c>
      <c r="C7" s="844" t="s">
        <v>380</v>
      </c>
      <c r="D7" s="844"/>
      <c r="E7" s="844"/>
      <c r="F7" s="15" t="s">
        <v>833</v>
      </c>
      <c r="G7" s="165" t="str">
        <f>'MANO DE OBRA'!D61</f>
        <v>Agosto de 2010</v>
      </c>
    </row>
    <row r="8" spans="1:8" ht="13.5" thickBot="1">
      <c r="A8" s="127"/>
      <c r="B8" s="94" t="s">
        <v>835</v>
      </c>
      <c r="C8" s="845" t="s">
        <v>1385</v>
      </c>
      <c r="D8" s="845"/>
      <c r="E8" s="845"/>
      <c r="F8" s="845"/>
      <c r="G8" s="846"/>
    </row>
    <row r="9" spans="1:8" ht="14.25" thickTop="1" thickBot="1">
      <c r="A9" s="95"/>
      <c r="B9" s="847"/>
      <c r="C9" s="847"/>
      <c r="D9" s="847"/>
      <c r="E9" s="847"/>
      <c r="F9" s="847"/>
      <c r="G9" s="847"/>
    </row>
    <row r="10" spans="1:8" ht="13.5" thickTop="1">
      <c r="A10" s="95"/>
      <c r="B10" s="811" t="s">
        <v>304</v>
      </c>
      <c r="C10" s="812"/>
      <c r="D10" s="812"/>
      <c r="E10" s="812"/>
      <c r="F10" s="812"/>
      <c r="G10" s="825"/>
    </row>
    <row r="11" spans="1:8">
      <c r="A11" s="95"/>
      <c r="B11" s="105"/>
      <c r="C11" s="97"/>
      <c r="D11" s="98" t="s">
        <v>301</v>
      </c>
      <c r="E11" s="98" t="s">
        <v>1072</v>
      </c>
      <c r="F11" s="99" t="s">
        <v>839</v>
      </c>
      <c r="G11" s="107" t="s">
        <v>840</v>
      </c>
    </row>
    <row r="12" spans="1:8">
      <c r="A12" s="95"/>
      <c r="B12" s="821" t="s">
        <v>838</v>
      </c>
      <c r="C12" s="822"/>
      <c r="D12" s="100" t="s">
        <v>308</v>
      </c>
      <c r="E12" s="100" t="s">
        <v>305</v>
      </c>
      <c r="F12" s="101" t="s">
        <v>306</v>
      </c>
      <c r="G12" s="108" t="s">
        <v>310</v>
      </c>
    </row>
    <row r="13" spans="1:8">
      <c r="A13" s="95"/>
      <c r="B13" s="115"/>
      <c r="C13" s="102"/>
      <c r="D13" s="103"/>
      <c r="E13" s="103" t="s">
        <v>309</v>
      </c>
      <c r="F13" s="104" t="s">
        <v>307</v>
      </c>
      <c r="G13" s="109"/>
    </row>
    <row r="14" spans="1:8">
      <c r="A14" s="127"/>
      <c r="B14" s="823" t="str">
        <f>'MAQUINARIA Y EQUIPOS'!C28</f>
        <v>HERRAMIENTAS MENORES</v>
      </c>
      <c r="C14" s="824"/>
      <c r="D14" s="87">
        <v>1</v>
      </c>
      <c r="E14" s="82">
        <f>ROUND(G47*0.05,0)</f>
        <v>531</v>
      </c>
      <c r="F14" s="81">
        <v>1</v>
      </c>
      <c r="G14" s="110">
        <f>ROUND(D14*E14/F14,0)</f>
        <v>531</v>
      </c>
    </row>
    <row r="15" spans="1:8">
      <c r="A15" s="95"/>
      <c r="B15" s="835"/>
      <c r="C15" s="836"/>
      <c r="D15" s="37"/>
      <c r="E15" s="82"/>
      <c r="F15" s="83"/>
      <c r="G15" s="111"/>
    </row>
    <row r="16" spans="1:8">
      <c r="A16" s="95"/>
      <c r="B16" s="835"/>
      <c r="C16" s="836"/>
      <c r="D16" s="89"/>
      <c r="E16" s="82"/>
      <c r="F16" s="83"/>
      <c r="G16" s="111"/>
    </row>
    <row r="17" spans="1:8">
      <c r="A17" s="95"/>
      <c r="B17" s="835"/>
      <c r="C17" s="836"/>
      <c r="D17" s="89"/>
      <c r="E17" s="82"/>
      <c r="F17" s="83"/>
      <c r="G17" s="111"/>
    </row>
    <row r="18" spans="1:8">
      <c r="A18" s="95"/>
      <c r="B18" s="835" t="s">
        <v>841</v>
      </c>
      <c r="C18" s="836"/>
      <c r="D18" s="37"/>
      <c r="E18" s="82"/>
      <c r="F18" s="83"/>
      <c r="G18" s="111"/>
    </row>
    <row r="19" spans="1:8" ht="13.5" thickBot="1">
      <c r="A19" s="95"/>
      <c r="B19" s="839" t="s">
        <v>841</v>
      </c>
      <c r="C19" s="840"/>
      <c r="D19" s="77"/>
      <c r="E19" s="106"/>
      <c r="F19" s="86"/>
      <c r="G19" s="112"/>
    </row>
    <row r="20" spans="1:8" ht="14.25" thickTop="1" thickBot="1">
      <c r="A20" s="95"/>
      <c r="B20" s="808"/>
      <c r="C20" s="808"/>
      <c r="D20" s="808"/>
      <c r="E20" s="809"/>
      <c r="F20" s="119" t="s">
        <v>856</v>
      </c>
      <c r="G20" s="118">
        <f>SUM(G14:G19)</f>
        <v>531</v>
      </c>
    </row>
    <row r="21" spans="1:8" ht="14.25" thickTop="1" thickBot="1">
      <c r="A21" s="95"/>
      <c r="B21" s="830"/>
      <c r="C21" s="830"/>
      <c r="D21" s="830"/>
      <c r="E21" s="830"/>
      <c r="F21" s="830"/>
      <c r="G21" s="830"/>
    </row>
    <row r="22" spans="1:8" ht="13.5" thickTop="1">
      <c r="A22" s="95"/>
      <c r="B22" s="811" t="s">
        <v>311</v>
      </c>
      <c r="C22" s="812"/>
      <c r="D22" s="812"/>
      <c r="E22" s="812"/>
      <c r="F22" s="812"/>
      <c r="G22" s="825"/>
    </row>
    <row r="23" spans="1:8">
      <c r="A23" s="95"/>
      <c r="B23" s="817" t="s">
        <v>838</v>
      </c>
      <c r="C23" s="818"/>
      <c r="D23" s="98" t="s">
        <v>842</v>
      </c>
      <c r="E23" s="98" t="s">
        <v>853</v>
      </c>
      <c r="F23" s="99" t="s">
        <v>1047</v>
      </c>
      <c r="G23" s="107" t="s">
        <v>840</v>
      </c>
    </row>
    <row r="24" spans="1:8">
      <c r="A24" s="95"/>
      <c r="B24" s="115"/>
      <c r="C24" s="102"/>
      <c r="D24" s="100"/>
      <c r="E24" s="100" t="s">
        <v>312</v>
      </c>
      <c r="F24" s="101" t="s">
        <v>313</v>
      </c>
      <c r="G24" s="108" t="s">
        <v>314</v>
      </c>
    </row>
    <row r="25" spans="1:8" ht="14.25">
      <c r="A25" s="125"/>
      <c r="B25" s="871" t="str">
        <f>MATERIALES2!C35</f>
        <v>CONCRETO 1:2:3-3000 psi(MATERIALES)</v>
      </c>
      <c r="C25" s="872"/>
      <c r="D25" s="87" t="s">
        <v>1066</v>
      </c>
      <c r="E25" s="10">
        <v>1.2E-2</v>
      </c>
      <c r="F25" s="80">
        <f>MATERIALES2!E35</f>
        <v>367600</v>
      </c>
      <c r="G25" s="110">
        <f t="shared" ref="G25:G31" si="0">ROUND(E25*F25,0)</f>
        <v>4411</v>
      </c>
    </row>
    <row r="26" spans="1:8">
      <c r="A26" s="123"/>
      <c r="B26" s="873" t="str">
        <f>MATERIALES2!C13</f>
        <v>CEMENTO GRIS</v>
      </c>
      <c r="C26" s="874"/>
      <c r="D26" s="37" t="s">
        <v>925</v>
      </c>
      <c r="E26" s="53">
        <v>0.71</v>
      </c>
      <c r="F26" s="82">
        <f>MATERIALES2!E13</f>
        <v>420</v>
      </c>
      <c r="G26" s="111">
        <f t="shared" si="0"/>
        <v>298</v>
      </c>
    </row>
    <row r="27" spans="1:8" ht="14.25">
      <c r="A27" s="95"/>
      <c r="B27" s="873" t="str">
        <f>MATERIALES2!C20</f>
        <v xml:space="preserve">ARENA </v>
      </c>
      <c r="C27" s="874"/>
      <c r="D27" s="37" t="s">
        <v>1066</v>
      </c>
      <c r="E27" s="53">
        <v>0.01</v>
      </c>
      <c r="F27" s="82">
        <f>MATERIALES2!E20</f>
        <v>35000</v>
      </c>
      <c r="G27" s="111">
        <f t="shared" si="0"/>
        <v>350</v>
      </c>
    </row>
    <row r="28" spans="1:8">
      <c r="A28" s="95"/>
      <c r="B28" s="873" t="str">
        <f>MATERIALES2!C65</f>
        <v>ALAMBRE NEGRO</v>
      </c>
      <c r="C28" s="874"/>
      <c r="D28" s="37" t="s">
        <v>925</v>
      </c>
      <c r="E28" s="53">
        <v>0.02</v>
      </c>
      <c r="F28" s="82">
        <f>MATERIALES2!E65</f>
        <v>2100</v>
      </c>
      <c r="G28" s="111">
        <f t="shared" si="0"/>
        <v>42</v>
      </c>
    </row>
    <row r="29" spans="1:8">
      <c r="A29" s="95"/>
      <c r="B29" s="873" t="str">
        <f>MATERIALES2!C83</f>
        <v>HIERRO PDR 60</v>
      </c>
      <c r="C29" s="874"/>
      <c r="D29" s="37" t="s">
        <v>925</v>
      </c>
      <c r="E29" s="53">
        <v>0.73</v>
      </c>
      <c r="F29" s="82">
        <f>MATERIALES2!E83</f>
        <v>2800</v>
      </c>
      <c r="G29" s="111">
        <f t="shared" si="0"/>
        <v>2044</v>
      </c>
    </row>
    <row r="30" spans="1:8">
      <c r="A30" s="95"/>
      <c r="B30" s="873" t="str">
        <f>MATERIALES2!C150</f>
        <v>CARACOLI DE 1X2X15</v>
      </c>
      <c r="C30" s="874"/>
      <c r="D30" s="37" t="s">
        <v>865</v>
      </c>
      <c r="E30" s="53">
        <v>0.08</v>
      </c>
      <c r="F30" s="82">
        <f>MATERIALES2!E150</f>
        <v>2500</v>
      </c>
      <c r="G30" s="111">
        <f t="shared" si="0"/>
        <v>200</v>
      </c>
    </row>
    <row r="31" spans="1:8">
      <c r="A31" s="95"/>
      <c r="B31" s="873" t="str">
        <f>MATERIALES2!C158</f>
        <v>TABLA 1X8X10</v>
      </c>
      <c r="C31" s="874"/>
      <c r="D31" s="37" t="s">
        <v>865</v>
      </c>
      <c r="E31" s="53">
        <v>0.06</v>
      </c>
      <c r="F31" s="82">
        <f>MATERIALES2!E158</f>
        <v>6700</v>
      </c>
      <c r="G31" s="111">
        <f t="shared" si="0"/>
        <v>402</v>
      </c>
    </row>
    <row r="32" spans="1:8">
      <c r="A32" s="95"/>
      <c r="B32" s="837" t="s">
        <v>841</v>
      </c>
      <c r="C32" s="838"/>
      <c r="D32" s="53" t="s">
        <v>841</v>
      </c>
      <c r="E32" s="53"/>
      <c r="F32" s="82"/>
      <c r="G32" s="111"/>
      <c r="H32" s="505" t="s">
        <v>1670</v>
      </c>
    </row>
    <row r="33" spans="1:7" ht="13.5" thickBot="1">
      <c r="A33" s="95"/>
      <c r="B33" s="839" t="s">
        <v>841</v>
      </c>
      <c r="C33" s="840"/>
      <c r="D33" s="84" t="s">
        <v>841</v>
      </c>
      <c r="E33" s="84"/>
      <c r="F33" s="85"/>
      <c r="G33" s="112"/>
    </row>
    <row r="34" spans="1:7" ht="13.5" thickTop="1">
      <c r="A34" s="95"/>
      <c r="B34" s="808"/>
      <c r="C34" s="809"/>
      <c r="D34" s="801" t="s">
        <v>856</v>
      </c>
      <c r="E34" s="802"/>
      <c r="F34" s="9"/>
      <c r="G34" s="113">
        <f>SUM(G25:G33)</f>
        <v>7747</v>
      </c>
    </row>
    <row r="35" spans="1:7">
      <c r="A35" s="95"/>
      <c r="B35" s="819"/>
      <c r="C35" s="820"/>
      <c r="D35" s="801" t="s">
        <v>857</v>
      </c>
      <c r="E35" s="802"/>
      <c r="F35" s="79">
        <f>'MANO DE OBRA'!D60</f>
        <v>0.05</v>
      </c>
      <c r="G35" s="113">
        <f>ROUND(G34*F35,0)</f>
        <v>387</v>
      </c>
    </row>
    <row r="36" spans="1:7" ht="13.5" thickBot="1">
      <c r="A36" s="95"/>
      <c r="B36" s="819"/>
      <c r="C36" s="820"/>
      <c r="D36" s="803" t="s">
        <v>320</v>
      </c>
      <c r="E36" s="804"/>
      <c r="F36" s="114"/>
      <c r="G36" s="118">
        <f>+G34+G35</f>
        <v>8134</v>
      </c>
    </row>
    <row r="37" spans="1:7" ht="14.25" thickTop="1" thickBot="1">
      <c r="A37" s="95"/>
      <c r="B37" s="830"/>
      <c r="C37" s="830"/>
      <c r="D37" s="830"/>
      <c r="E37" s="830"/>
      <c r="F37" s="830"/>
      <c r="G37" s="830"/>
    </row>
    <row r="38" spans="1:7" ht="13.5" thickTop="1">
      <c r="A38" s="95"/>
      <c r="B38" s="811" t="s">
        <v>858</v>
      </c>
      <c r="C38" s="812"/>
      <c r="D38" s="812"/>
      <c r="E38" s="812"/>
      <c r="F38" s="812"/>
      <c r="G38" s="825"/>
    </row>
    <row r="39" spans="1:7">
      <c r="A39" s="95"/>
      <c r="B39" s="817"/>
      <c r="C39" s="818"/>
      <c r="D39" s="98" t="s">
        <v>301</v>
      </c>
      <c r="E39" s="98" t="s">
        <v>859</v>
      </c>
      <c r="F39" s="99" t="s">
        <v>839</v>
      </c>
      <c r="G39" s="107" t="s">
        <v>840</v>
      </c>
    </row>
    <row r="40" spans="1:7">
      <c r="A40" s="95"/>
      <c r="B40" s="821" t="s">
        <v>838</v>
      </c>
      <c r="C40" s="822"/>
      <c r="D40" s="100" t="s">
        <v>316</v>
      </c>
      <c r="E40" s="100" t="s">
        <v>315</v>
      </c>
      <c r="F40" s="101" t="s">
        <v>306</v>
      </c>
      <c r="G40" s="108" t="s">
        <v>319</v>
      </c>
    </row>
    <row r="41" spans="1:7">
      <c r="A41" s="95"/>
      <c r="B41" s="115"/>
      <c r="C41" s="102"/>
      <c r="D41" s="103"/>
      <c r="E41" s="103" t="s">
        <v>317</v>
      </c>
      <c r="F41" s="104" t="s">
        <v>318</v>
      </c>
      <c r="G41" s="109"/>
    </row>
    <row r="42" spans="1:7">
      <c r="A42" s="95"/>
      <c r="B42" s="823" t="str">
        <f>'MANO DE OBRA'!B10</f>
        <v>AYUDANTE CUAD. TIPO AA</v>
      </c>
      <c r="C42" s="824"/>
      <c r="D42" s="87">
        <v>1</v>
      </c>
      <c r="E42" s="80">
        <f>'MANO DE OBRA'!E10</f>
        <v>34680</v>
      </c>
      <c r="F42" s="81">
        <v>10</v>
      </c>
      <c r="G42" s="110">
        <f>ROUND(D42*E42/F42,0)</f>
        <v>3468</v>
      </c>
    </row>
    <row r="43" spans="1:7">
      <c r="A43" s="95"/>
      <c r="B43" s="835" t="str">
        <f>'MANO DE OBRA'!B15</f>
        <v xml:space="preserve">OFICIAL CUAD. TIPO AA </v>
      </c>
      <c r="C43" s="836"/>
      <c r="D43" s="37">
        <v>1</v>
      </c>
      <c r="E43" s="82">
        <f>'MANO DE OBRA'!E15</f>
        <v>71474</v>
      </c>
      <c r="F43" s="83">
        <v>10</v>
      </c>
      <c r="G43" s="111">
        <f>ROUND(D43*E43/F43,0)</f>
        <v>7147</v>
      </c>
    </row>
    <row r="44" spans="1:7">
      <c r="A44" s="95"/>
      <c r="B44" s="835"/>
      <c r="C44" s="836"/>
      <c r="D44" s="89"/>
      <c r="E44" s="82"/>
      <c r="F44" s="83"/>
      <c r="G44" s="111"/>
    </row>
    <row r="45" spans="1:7">
      <c r="A45" s="95"/>
      <c r="B45" s="835" t="s">
        <v>841</v>
      </c>
      <c r="C45" s="836"/>
      <c r="D45" s="37"/>
      <c r="E45" s="82"/>
      <c r="F45" s="83"/>
      <c r="G45" s="111"/>
    </row>
    <row r="46" spans="1:7" ht="13.5" thickBot="1">
      <c r="A46" s="95"/>
      <c r="B46" s="828" t="s">
        <v>841</v>
      </c>
      <c r="C46" s="829"/>
      <c r="D46" s="77"/>
      <c r="E46" s="82"/>
      <c r="F46" s="86"/>
      <c r="G46" s="112"/>
    </row>
    <row r="47" spans="1:7" ht="14.25" thickTop="1" thickBot="1">
      <c r="A47" s="95"/>
      <c r="B47" s="808"/>
      <c r="C47" s="808"/>
      <c r="D47" s="808"/>
      <c r="E47" s="809"/>
      <c r="F47" s="120" t="s">
        <v>856</v>
      </c>
      <c r="G47" s="118">
        <f>SUM(G42:G46)</f>
        <v>10615</v>
      </c>
    </row>
    <row r="48" spans="1:7" ht="14.25" thickTop="1" thickBot="1">
      <c r="A48" s="95"/>
      <c r="B48" s="810"/>
      <c r="C48" s="810"/>
      <c r="D48" s="810"/>
      <c r="E48" s="810"/>
      <c r="F48" s="810"/>
      <c r="G48" s="810"/>
    </row>
    <row r="49" spans="1:8" ht="13.5" thickTop="1">
      <c r="A49" s="95"/>
      <c r="B49" s="811" t="s">
        <v>321</v>
      </c>
      <c r="C49" s="812"/>
      <c r="D49" s="812"/>
      <c r="E49" s="812"/>
      <c r="F49" s="812"/>
      <c r="G49" s="825"/>
    </row>
    <row r="50" spans="1:8">
      <c r="A50" s="95"/>
      <c r="B50" s="817" t="s">
        <v>838</v>
      </c>
      <c r="C50" s="818"/>
      <c r="D50" s="98" t="s">
        <v>301</v>
      </c>
      <c r="E50" s="98" t="s">
        <v>297</v>
      </c>
      <c r="F50" s="99" t="s">
        <v>839</v>
      </c>
      <c r="G50" s="107" t="s">
        <v>840</v>
      </c>
    </row>
    <row r="51" spans="1:8">
      <c r="A51" s="95"/>
      <c r="B51" s="115"/>
      <c r="C51" s="102"/>
      <c r="D51" s="103" t="s">
        <v>322</v>
      </c>
      <c r="E51" s="103" t="s">
        <v>323</v>
      </c>
      <c r="F51" s="104" t="s">
        <v>324</v>
      </c>
      <c r="G51" s="109" t="s">
        <v>325</v>
      </c>
    </row>
    <row r="52" spans="1:8">
      <c r="A52" s="95"/>
      <c r="B52" s="826"/>
      <c r="C52" s="827"/>
      <c r="D52" s="96"/>
      <c r="E52" s="96"/>
      <c r="F52" s="96"/>
      <c r="G52" s="116"/>
    </row>
    <row r="53" spans="1:8" ht="13.5" thickBot="1">
      <c r="A53" s="95"/>
      <c r="B53" s="828" t="s">
        <v>841</v>
      </c>
      <c r="C53" s="829"/>
      <c r="D53" s="77"/>
      <c r="E53" s="82"/>
      <c r="F53" s="86"/>
      <c r="G53" s="112"/>
    </row>
    <row r="54" spans="1:8" ht="14.25" thickTop="1" thickBot="1">
      <c r="A54" s="95"/>
      <c r="B54" s="808"/>
      <c r="C54" s="808"/>
      <c r="D54" s="808"/>
      <c r="E54" s="809"/>
      <c r="F54" s="120" t="s">
        <v>856</v>
      </c>
      <c r="G54" s="118">
        <f>SUM(G49:G53)</f>
        <v>0</v>
      </c>
    </row>
    <row r="55" spans="1:8" ht="14.25" thickTop="1" thickBot="1">
      <c r="A55" s="95"/>
      <c r="B55" s="810"/>
      <c r="C55" s="810"/>
      <c r="D55" s="810"/>
      <c r="E55" s="810"/>
      <c r="F55" s="810"/>
      <c r="G55" s="834"/>
    </row>
    <row r="56" spans="1:8" ht="13.5" thickTop="1">
      <c r="A56" s="95"/>
      <c r="B56" s="811" t="s">
        <v>326</v>
      </c>
      <c r="C56" s="812"/>
      <c r="D56" s="812"/>
      <c r="E56" s="812"/>
      <c r="F56" s="813"/>
      <c r="G56" s="121">
        <f>+G20+G36+G47</f>
        <v>19280</v>
      </c>
    </row>
    <row r="57" spans="1:8">
      <c r="A57" s="95"/>
      <c r="B57" s="814" t="s">
        <v>861</v>
      </c>
      <c r="C57" s="815"/>
      <c r="D57" s="815"/>
      <c r="E57" s="816"/>
      <c r="F57" s="128">
        <f>'MANO DE OBRA'!D59</f>
        <v>0</v>
      </c>
      <c r="G57" s="122">
        <f>ROUND(G56*F57,0)</f>
        <v>0</v>
      </c>
    </row>
    <row r="58" spans="1:8" ht="13.5" thickBot="1">
      <c r="A58" s="95"/>
      <c r="B58" s="805" t="s">
        <v>1049</v>
      </c>
      <c r="C58" s="806"/>
      <c r="D58" s="806"/>
      <c r="E58" s="806"/>
      <c r="F58" s="807"/>
      <c r="G58" s="118">
        <f>ROUND(G56+G57,-2)</f>
        <v>19300</v>
      </c>
      <c r="H58" s="505" t="s">
        <v>1670</v>
      </c>
    </row>
    <row r="59" spans="1:8" ht="13.5" thickTop="1">
      <c r="A59" s="95"/>
      <c r="B59" s="90" t="s">
        <v>303</v>
      </c>
      <c r="C59" s="843"/>
      <c r="D59" s="843"/>
      <c r="E59" s="843"/>
      <c r="F59" s="92" t="s">
        <v>781</v>
      </c>
      <c r="G59" s="93" t="s">
        <v>831</v>
      </c>
    </row>
    <row r="60" spans="1:8">
      <c r="A60" s="95"/>
      <c r="B60" s="91" t="s">
        <v>834</v>
      </c>
      <c r="C60" s="844" t="s">
        <v>1384</v>
      </c>
      <c r="D60" s="844"/>
      <c r="E60" s="844"/>
      <c r="F60" s="15" t="s">
        <v>833</v>
      </c>
      <c r="G60" s="165" t="str">
        <f>'MANO DE OBRA'!D61</f>
        <v>Agosto de 2010</v>
      </c>
    </row>
    <row r="61" spans="1:8" ht="13.5" thickBot="1">
      <c r="A61" s="127"/>
      <c r="B61" s="94" t="s">
        <v>835</v>
      </c>
      <c r="C61" s="845" t="s">
        <v>1386</v>
      </c>
      <c r="D61" s="845"/>
      <c r="E61" s="845"/>
      <c r="F61" s="845"/>
      <c r="G61" s="846"/>
    </row>
    <row r="62" spans="1:8" ht="14.25" thickTop="1" thickBot="1">
      <c r="A62" s="95"/>
      <c r="B62" s="847"/>
      <c r="C62" s="847"/>
      <c r="D62" s="847"/>
      <c r="E62" s="847"/>
      <c r="F62" s="847"/>
      <c r="G62" s="847"/>
    </row>
    <row r="63" spans="1:8" ht="13.5" thickTop="1">
      <c r="A63" s="95"/>
      <c r="B63" s="811" t="s">
        <v>304</v>
      </c>
      <c r="C63" s="812"/>
      <c r="D63" s="812"/>
      <c r="E63" s="812"/>
      <c r="F63" s="812"/>
      <c r="G63" s="825"/>
    </row>
    <row r="64" spans="1:8">
      <c r="A64" s="95"/>
      <c r="B64" s="105"/>
      <c r="C64" s="97"/>
      <c r="D64" s="98" t="s">
        <v>301</v>
      </c>
      <c r="E64" s="98" t="s">
        <v>1072</v>
      </c>
      <c r="F64" s="99" t="s">
        <v>839</v>
      </c>
      <c r="G64" s="107" t="s">
        <v>840</v>
      </c>
    </row>
    <row r="65" spans="1:7">
      <c r="A65" s="95"/>
      <c r="B65" s="821" t="s">
        <v>838</v>
      </c>
      <c r="C65" s="822"/>
      <c r="D65" s="100" t="s">
        <v>308</v>
      </c>
      <c r="E65" s="100" t="s">
        <v>305</v>
      </c>
      <c r="F65" s="101" t="s">
        <v>306</v>
      </c>
      <c r="G65" s="108" t="s">
        <v>310</v>
      </c>
    </row>
    <row r="66" spans="1:7">
      <c r="A66" s="95"/>
      <c r="B66" s="115"/>
      <c r="C66" s="102"/>
      <c r="D66" s="103"/>
      <c r="E66" s="103" t="s">
        <v>309</v>
      </c>
      <c r="F66" s="104" t="s">
        <v>307</v>
      </c>
      <c r="G66" s="109"/>
    </row>
    <row r="67" spans="1:7">
      <c r="A67" s="127"/>
      <c r="B67" s="823" t="str">
        <f>'MAQUINARIA Y EQUIPOS'!C28</f>
        <v>HERRAMIENTAS MENORES</v>
      </c>
      <c r="C67" s="824"/>
      <c r="D67" s="87">
        <v>1</v>
      </c>
      <c r="E67" s="82">
        <f>ROUND(G100*0.05,0)</f>
        <v>1055</v>
      </c>
      <c r="F67" s="81">
        <v>1</v>
      </c>
      <c r="G67" s="110">
        <f>ROUND(D67*E67/F67,0)</f>
        <v>1055</v>
      </c>
    </row>
    <row r="68" spans="1:7">
      <c r="A68" s="95"/>
      <c r="B68" s="835"/>
      <c r="C68" s="836"/>
      <c r="D68" s="37"/>
      <c r="E68" s="82"/>
      <c r="F68" s="83"/>
      <c r="G68" s="111"/>
    </row>
    <row r="69" spans="1:7">
      <c r="A69" s="95"/>
      <c r="B69" s="835"/>
      <c r="C69" s="836"/>
      <c r="D69" s="89"/>
      <c r="E69" s="82"/>
      <c r="F69" s="83"/>
      <c r="G69" s="111"/>
    </row>
    <row r="70" spans="1:7">
      <c r="A70" s="95"/>
      <c r="B70" s="835"/>
      <c r="C70" s="836"/>
      <c r="D70" s="89"/>
      <c r="E70" s="82"/>
      <c r="F70" s="83"/>
      <c r="G70" s="111"/>
    </row>
    <row r="71" spans="1:7">
      <c r="A71" s="95"/>
      <c r="B71" s="835" t="s">
        <v>841</v>
      </c>
      <c r="C71" s="836"/>
      <c r="D71" s="37"/>
      <c r="E71" s="82"/>
      <c r="F71" s="83"/>
      <c r="G71" s="111"/>
    </row>
    <row r="72" spans="1:7" ht="13.5" thickBot="1">
      <c r="A72" s="95"/>
      <c r="B72" s="839" t="s">
        <v>841</v>
      </c>
      <c r="C72" s="840"/>
      <c r="D72" s="77"/>
      <c r="E72" s="106"/>
      <c r="F72" s="86"/>
      <c r="G72" s="112"/>
    </row>
    <row r="73" spans="1:7" ht="14.25" thickTop="1" thickBot="1">
      <c r="A73" s="95"/>
      <c r="B73" s="808"/>
      <c r="C73" s="808"/>
      <c r="D73" s="808"/>
      <c r="E73" s="809"/>
      <c r="F73" s="119" t="s">
        <v>856</v>
      </c>
      <c r="G73" s="118">
        <f>SUM(G67:G72)</f>
        <v>1055</v>
      </c>
    </row>
    <row r="74" spans="1:7" ht="14.25" thickTop="1" thickBot="1">
      <c r="A74" s="95"/>
      <c r="B74" s="830"/>
      <c r="C74" s="830"/>
      <c r="D74" s="830"/>
      <c r="E74" s="830"/>
      <c r="F74" s="830"/>
      <c r="G74" s="830"/>
    </row>
    <row r="75" spans="1:7" ht="13.5" thickTop="1">
      <c r="A75" s="95"/>
      <c r="B75" s="811" t="s">
        <v>311</v>
      </c>
      <c r="C75" s="812"/>
      <c r="D75" s="812"/>
      <c r="E75" s="812"/>
      <c r="F75" s="812"/>
      <c r="G75" s="825"/>
    </row>
    <row r="76" spans="1:7">
      <c r="A76" s="95"/>
      <c r="B76" s="817" t="s">
        <v>838</v>
      </c>
      <c r="C76" s="818"/>
      <c r="D76" s="98" t="s">
        <v>842</v>
      </c>
      <c r="E76" s="98" t="s">
        <v>853</v>
      </c>
      <c r="F76" s="99" t="s">
        <v>1047</v>
      </c>
      <c r="G76" s="107" t="s">
        <v>840</v>
      </c>
    </row>
    <row r="77" spans="1:7">
      <c r="A77" s="95"/>
      <c r="B77" s="115"/>
      <c r="C77" s="102"/>
      <c r="D77" s="100"/>
      <c r="E77" s="100" t="s">
        <v>312</v>
      </c>
      <c r="F77" s="101" t="s">
        <v>313</v>
      </c>
      <c r="G77" s="108" t="s">
        <v>314</v>
      </c>
    </row>
    <row r="78" spans="1:7" ht="14.25">
      <c r="A78" s="125"/>
      <c r="B78" s="871" t="str">
        <f>MATERIALES2!C38</f>
        <v>CONCRETO 1:2:4-2500 psi(MATERIALES)</v>
      </c>
      <c r="C78" s="872"/>
      <c r="D78" s="87" t="s">
        <v>1066</v>
      </c>
      <c r="E78" s="10">
        <v>0.02</v>
      </c>
      <c r="F78" s="80">
        <f>MATERIALES2!E38</f>
        <v>351700</v>
      </c>
      <c r="G78" s="110">
        <f t="shared" ref="G78:G84" si="1">ROUND(E78*F78,0)</f>
        <v>7034</v>
      </c>
    </row>
    <row r="79" spans="1:7">
      <c r="A79" s="123"/>
      <c r="B79" s="873" t="str">
        <f>MATERIALES2!C13</f>
        <v>CEMENTO GRIS</v>
      </c>
      <c r="C79" s="874"/>
      <c r="D79" s="37" t="s">
        <v>925</v>
      </c>
      <c r="E79" s="53">
        <v>1.19</v>
      </c>
      <c r="F79" s="82">
        <f>MATERIALES2!E13</f>
        <v>420</v>
      </c>
      <c r="G79" s="111">
        <f t="shared" si="1"/>
        <v>500</v>
      </c>
    </row>
    <row r="80" spans="1:7" ht="14.25">
      <c r="A80" s="95"/>
      <c r="B80" s="873" t="str">
        <f>MATERIALES2!C20</f>
        <v xml:space="preserve">ARENA </v>
      </c>
      <c r="C80" s="874"/>
      <c r="D80" s="37" t="s">
        <v>1066</v>
      </c>
      <c r="E80" s="53">
        <v>0.01</v>
      </c>
      <c r="F80" s="82">
        <f>MATERIALES2!E20</f>
        <v>35000</v>
      </c>
      <c r="G80" s="111">
        <f t="shared" si="1"/>
        <v>350</v>
      </c>
    </row>
    <row r="81" spans="1:8">
      <c r="A81" s="95"/>
      <c r="B81" s="873" t="str">
        <f>MATERIALES2!C65</f>
        <v>ALAMBRE NEGRO</v>
      </c>
      <c r="C81" s="874"/>
      <c r="D81" s="37" t="s">
        <v>925</v>
      </c>
      <c r="E81" s="53">
        <v>0.03</v>
      </c>
      <c r="F81" s="82">
        <f>MATERIALES2!E65</f>
        <v>2100</v>
      </c>
      <c r="G81" s="111">
        <f t="shared" si="1"/>
        <v>63</v>
      </c>
    </row>
    <row r="82" spans="1:8">
      <c r="A82" s="95"/>
      <c r="B82" s="873" t="str">
        <f>MATERIALES2!C83</f>
        <v>HIERRO PDR 60</v>
      </c>
      <c r="C82" s="874"/>
      <c r="D82" s="37" t="s">
        <v>925</v>
      </c>
      <c r="E82" s="83">
        <v>1</v>
      </c>
      <c r="F82" s="82">
        <f>MATERIALES2!E83</f>
        <v>2800</v>
      </c>
      <c r="G82" s="111">
        <f t="shared" si="1"/>
        <v>2800</v>
      </c>
    </row>
    <row r="83" spans="1:8">
      <c r="A83" s="95"/>
      <c r="B83" s="873" t="str">
        <f>MATERIALES2!C150</f>
        <v>CARACOLI DE 1X2X15</v>
      </c>
      <c r="C83" s="874"/>
      <c r="D83" s="37" t="s">
        <v>865</v>
      </c>
      <c r="E83" s="53">
        <v>0.08</v>
      </c>
      <c r="F83" s="82">
        <f>MATERIALES2!E150</f>
        <v>2500</v>
      </c>
      <c r="G83" s="111">
        <f t="shared" si="1"/>
        <v>200</v>
      </c>
    </row>
    <row r="84" spans="1:8">
      <c r="A84" s="95"/>
      <c r="B84" s="873" t="str">
        <f>MATERIALES2!C158</f>
        <v>TABLA 1X8X10</v>
      </c>
      <c r="C84" s="874"/>
      <c r="D84" s="37" t="s">
        <v>865</v>
      </c>
      <c r="E84" s="53">
        <v>0.06</v>
      </c>
      <c r="F84" s="82">
        <f>MATERIALES2!E158</f>
        <v>6700</v>
      </c>
      <c r="G84" s="111">
        <f t="shared" si="1"/>
        <v>402</v>
      </c>
    </row>
    <row r="85" spans="1:8">
      <c r="A85" s="95"/>
      <c r="B85" s="837" t="s">
        <v>841</v>
      </c>
      <c r="C85" s="838"/>
      <c r="D85" s="53" t="s">
        <v>841</v>
      </c>
      <c r="E85" s="53"/>
      <c r="F85" s="82"/>
      <c r="G85" s="111"/>
      <c r="H85" s="505" t="s">
        <v>1670</v>
      </c>
    </row>
    <row r="86" spans="1:8" ht="13.5" thickBot="1">
      <c r="A86" s="95"/>
      <c r="B86" s="839" t="s">
        <v>841</v>
      </c>
      <c r="C86" s="840"/>
      <c r="D86" s="84" t="s">
        <v>841</v>
      </c>
      <c r="E86" s="84"/>
      <c r="F86" s="85"/>
      <c r="G86" s="112"/>
    </row>
    <row r="87" spans="1:8" ht="13.5" thickTop="1">
      <c r="A87" s="95"/>
      <c r="B87" s="808"/>
      <c r="C87" s="809"/>
      <c r="D87" s="801" t="s">
        <v>856</v>
      </c>
      <c r="E87" s="802"/>
      <c r="F87" s="9"/>
      <c r="G87" s="113">
        <f>SUM(G78:G86)</f>
        <v>11349</v>
      </c>
    </row>
    <row r="88" spans="1:8">
      <c r="A88" s="95"/>
      <c r="B88" s="819"/>
      <c r="C88" s="820"/>
      <c r="D88" s="801" t="s">
        <v>857</v>
      </c>
      <c r="E88" s="802"/>
      <c r="F88" s="79">
        <f>'MANO DE OBRA'!D60</f>
        <v>0.05</v>
      </c>
      <c r="G88" s="113">
        <f>ROUND(G87*F88,0)</f>
        <v>567</v>
      </c>
    </row>
    <row r="89" spans="1:8" ht="13.5" thickBot="1">
      <c r="A89" s="95"/>
      <c r="B89" s="819"/>
      <c r="C89" s="820"/>
      <c r="D89" s="803" t="s">
        <v>320</v>
      </c>
      <c r="E89" s="804"/>
      <c r="F89" s="114"/>
      <c r="G89" s="118">
        <f>+G87+G88</f>
        <v>11916</v>
      </c>
    </row>
    <row r="90" spans="1:8" ht="14.25" thickTop="1" thickBot="1">
      <c r="A90" s="95"/>
      <c r="B90" s="830"/>
      <c r="C90" s="830"/>
      <c r="D90" s="830"/>
      <c r="E90" s="830"/>
      <c r="F90" s="830"/>
      <c r="G90" s="830"/>
    </row>
    <row r="91" spans="1:8" ht="13.5" thickTop="1">
      <c r="A91" s="95"/>
      <c r="B91" s="811" t="s">
        <v>858</v>
      </c>
      <c r="C91" s="812"/>
      <c r="D91" s="812"/>
      <c r="E91" s="812"/>
      <c r="F91" s="812"/>
      <c r="G91" s="825"/>
    </row>
    <row r="92" spans="1:8">
      <c r="A92" s="95"/>
      <c r="B92" s="817"/>
      <c r="C92" s="818"/>
      <c r="D92" s="98" t="s">
        <v>301</v>
      </c>
      <c r="E92" s="98" t="s">
        <v>859</v>
      </c>
      <c r="F92" s="99" t="s">
        <v>839</v>
      </c>
      <c r="G92" s="107" t="s">
        <v>840</v>
      </c>
    </row>
    <row r="93" spans="1:8">
      <c r="A93" s="95"/>
      <c r="B93" s="821" t="s">
        <v>838</v>
      </c>
      <c r="C93" s="822"/>
      <c r="D93" s="100" t="s">
        <v>316</v>
      </c>
      <c r="E93" s="100" t="s">
        <v>315</v>
      </c>
      <c r="F93" s="101" t="s">
        <v>306</v>
      </c>
      <c r="G93" s="108" t="s">
        <v>319</v>
      </c>
    </row>
    <row r="94" spans="1:8">
      <c r="A94" s="95"/>
      <c r="B94" s="115"/>
      <c r="C94" s="102"/>
      <c r="D94" s="103"/>
      <c r="E94" s="103" t="s">
        <v>317</v>
      </c>
      <c r="F94" s="104" t="s">
        <v>318</v>
      </c>
      <c r="G94" s="109"/>
    </row>
    <row r="95" spans="1:8">
      <c r="A95" s="95"/>
      <c r="B95" s="823" t="str">
        <f>'MANO DE OBRA'!B10</f>
        <v>AYUDANTE CUAD. TIPO AA</v>
      </c>
      <c r="C95" s="824"/>
      <c r="D95" s="87">
        <v>1</v>
      </c>
      <c r="E95" s="80">
        <f>'MANO DE OBRA'!E10</f>
        <v>34680</v>
      </c>
      <c r="F95" s="81">
        <v>5.03</v>
      </c>
      <c r="G95" s="110">
        <f>ROUND(D95*E95/F95,0)</f>
        <v>6895</v>
      </c>
    </row>
    <row r="96" spans="1:8">
      <c r="A96" s="95"/>
      <c r="B96" s="835" t="str">
        <f>'MANO DE OBRA'!B15</f>
        <v xml:space="preserve">OFICIAL CUAD. TIPO AA </v>
      </c>
      <c r="C96" s="836"/>
      <c r="D96" s="37">
        <v>1</v>
      </c>
      <c r="E96" s="82">
        <f>'MANO DE OBRA'!E15</f>
        <v>71474</v>
      </c>
      <c r="F96" s="83">
        <v>5.03</v>
      </c>
      <c r="G96" s="111">
        <f>ROUND(D96*E96/F96,0)</f>
        <v>14210</v>
      </c>
    </row>
    <row r="97" spans="1:8">
      <c r="A97" s="95"/>
      <c r="B97" s="835"/>
      <c r="C97" s="836"/>
      <c r="D97" s="89"/>
      <c r="E97" s="82"/>
      <c r="F97" s="83"/>
      <c r="G97" s="111"/>
    </row>
    <row r="98" spans="1:8">
      <c r="A98" s="95"/>
      <c r="B98" s="835" t="s">
        <v>841</v>
      </c>
      <c r="C98" s="836"/>
      <c r="D98" s="37"/>
      <c r="E98" s="82"/>
      <c r="F98" s="83"/>
      <c r="G98" s="111"/>
    </row>
    <row r="99" spans="1:8" ht="13.5" thickBot="1">
      <c r="A99" s="95"/>
      <c r="B99" s="828" t="s">
        <v>841</v>
      </c>
      <c r="C99" s="829"/>
      <c r="D99" s="77"/>
      <c r="E99" s="82"/>
      <c r="F99" s="86"/>
      <c r="G99" s="112"/>
    </row>
    <row r="100" spans="1:8" ht="14.25" thickTop="1" thickBot="1">
      <c r="A100" s="95"/>
      <c r="B100" s="808"/>
      <c r="C100" s="808"/>
      <c r="D100" s="808"/>
      <c r="E100" s="809"/>
      <c r="F100" s="120" t="s">
        <v>856</v>
      </c>
      <c r="G100" s="118">
        <f>SUM(G95:G99)</f>
        <v>21105</v>
      </c>
    </row>
    <row r="101" spans="1:8" ht="14.25" thickTop="1" thickBot="1">
      <c r="A101" s="95"/>
      <c r="B101" s="810"/>
      <c r="C101" s="810"/>
      <c r="D101" s="810"/>
      <c r="E101" s="810"/>
      <c r="F101" s="810"/>
      <c r="G101" s="810"/>
    </row>
    <row r="102" spans="1:8" ht="13.5" thickTop="1">
      <c r="A102" s="95"/>
      <c r="B102" s="811" t="s">
        <v>321</v>
      </c>
      <c r="C102" s="812"/>
      <c r="D102" s="812"/>
      <c r="E102" s="812"/>
      <c r="F102" s="812"/>
      <c r="G102" s="825"/>
    </row>
    <row r="103" spans="1:8">
      <c r="A103" s="95"/>
      <c r="B103" s="817" t="s">
        <v>838</v>
      </c>
      <c r="C103" s="818"/>
      <c r="D103" s="98" t="s">
        <v>301</v>
      </c>
      <c r="E103" s="98" t="s">
        <v>297</v>
      </c>
      <c r="F103" s="99" t="s">
        <v>839</v>
      </c>
      <c r="G103" s="107" t="s">
        <v>840</v>
      </c>
    </row>
    <row r="104" spans="1:8">
      <c r="A104" s="95"/>
      <c r="B104" s="115"/>
      <c r="C104" s="102"/>
      <c r="D104" s="103" t="s">
        <v>322</v>
      </c>
      <c r="E104" s="103" t="s">
        <v>323</v>
      </c>
      <c r="F104" s="104" t="s">
        <v>324</v>
      </c>
      <c r="G104" s="109" t="s">
        <v>325</v>
      </c>
    </row>
    <row r="105" spans="1:8">
      <c r="A105" s="95"/>
      <c r="B105" s="826"/>
      <c r="C105" s="827"/>
      <c r="D105" s="96"/>
      <c r="E105" s="96"/>
      <c r="F105" s="96"/>
      <c r="G105" s="116"/>
    </row>
    <row r="106" spans="1:8" ht="13.5" thickBot="1">
      <c r="A106" s="95"/>
      <c r="B106" s="828" t="s">
        <v>841</v>
      </c>
      <c r="C106" s="829"/>
      <c r="D106" s="77"/>
      <c r="E106" s="82"/>
      <c r="F106" s="86"/>
      <c r="G106" s="112"/>
    </row>
    <row r="107" spans="1:8" ht="14.25" thickTop="1" thickBot="1">
      <c r="A107" s="95"/>
      <c r="B107" s="808"/>
      <c r="C107" s="808"/>
      <c r="D107" s="808"/>
      <c r="E107" s="809"/>
      <c r="F107" s="120" t="s">
        <v>856</v>
      </c>
      <c r="G107" s="118">
        <f>SUM(G102:G106)</f>
        <v>0</v>
      </c>
    </row>
    <row r="108" spans="1:8" ht="14.25" thickTop="1" thickBot="1">
      <c r="A108" s="95"/>
      <c r="B108" s="810"/>
      <c r="C108" s="810"/>
      <c r="D108" s="810"/>
      <c r="E108" s="810"/>
      <c r="F108" s="810"/>
      <c r="G108" s="834"/>
    </row>
    <row r="109" spans="1:8" ht="13.5" thickTop="1">
      <c r="A109" s="95"/>
      <c r="B109" s="811" t="s">
        <v>326</v>
      </c>
      <c r="C109" s="812"/>
      <c r="D109" s="812"/>
      <c r="E109" s="812"/>
      <c r="F109" s="813"/>
      <c r="G109" s="121">
        <f>+G73+G89+G100</f>
        <v>34076</v>
      </c>
    </row>
    <row r="110" spans="1:8">
      <c r="A110" s="95"/>
      <c r="B110" s="814" t="s">
        <v>861</v>
      </c>
      <c r="C110" s="815"/>
      <c r="D110" s="815"/>
      <c r="E110" s="816"/>
      <c r="F110" s="128">
        <f>'MANO DE OBRA'!D59</f>
        <v>0</v>
      </c>
      <c r="G110" s="122">
        <f>ROUND(G109*F110,0)</f>
        <v>0</v>
      </c>
    </row>
    <row r="111" spans="1:8" ht="13.5" thickBot="1">
      <c r="A111" s="95"/>
      <c r="B111" s="805" t="s">
        <v>1049</v>
      </c>
      <c r="C111" s="806"/>
      <c r="D111" s="806"/>
      <c r="E111" s="806"/>
      <c r="F111" s="807"/>
      <c r="G111" s="118">
        <f>ROUND(G109+G110,-2)</f>
        <v>34100</v>
      </c>
      <c r="H111" s="505" t="s">
        <v>1670</v>
      </c>
    </row>
    <row r="112" spans="1:8" ht="13.5" thickTop="1">
      <c r="A112" s="95"/>
      <c r="B112" s="90" t="s">
        <v>303</v>
      </c>
      <c r="C112" s="843"/>
      <c r="D112" s="843"/>
      <c r="E112" s="843"/>
      <c r="F112" s="92" t="s">
        <v>781</v>
      </c>
      <c r="G112" s="93" t="s">
        <v>831</v>
      </c>
    </row>
    <row r="113" spans="1:7">
      <c r="A113" s="95"/>
      <c r="B113" s="91" t="s">
        <v>834</v>
      </c>
      <c r="C113" s="844" t="s">
        <v>1384</v>
      </c>
      <c r="D113" s="844"/>
      <c r="E113" s="844"/>
      <c r="F113" s="15" t="s">
        <v>833</v>
      </c>
      <c r="G113" s="165" t="str">
        <f>'MANO DE OBRA'!D61</f>
        <v>Agosto de 2010</v>
      </c>
    </row>
    <row r="114" spans="1:7" ht="13.5" thickBot="1">
      <c r="A114" s="127"/>
      <c r="B114" s="94" t="s">
        <v>835</v>
      </c>
      <c r="C114" s="845" t="s">
        <v>1387</v>
      </c>
      <c r="D114" s="845"/>
      <c r="E114" s="845"/>
      <c r="F114" s="845"/>
      <c r="G114" s="846"/>
    </row>
    <row r="115" spans="1:7" ht="14.25" thickTop="1" thickBot="1">
      <c r="A115" s="95"/>
      <c r="B115" s="847"/>
      <c r="C115" s="847"/>
      <c r="D115" s="847"/>
      <c r="E115" s="847"/>
      <c r="F115" s="847"/>
      <c r="G115" s="847"/>
    </row>
    <row r="116" spans="1:7" ht="13.5" thickTop="1">
      <c r="A116" s="95"/>
      <c r="B116" s="811" t="s">
        <v>304</v>
      </c>
      <c r="C116" s="812"/>
      <c r="D116" s="812"/>
      <c r="E116" s="812"/>
      <c r="F116" s="812"/>
      <c r="G116" s="825"/>
    </row>
    <row r="117" spans="1:7">
      <c r="A117" s="95"/>
      <c r="B117" s="105"/>
      <c r="C117" s="97"/>
      <c r="D117" s="98" t="s">
        <v>301</v>
      </c>
      <c r="E117" s="98" t="s">
        <v>1072</v>
      </c>
      <c r="F117" s="99" t="s">
        <v>839</v>
      </c>
      <c r="G117" s="107" t="s">
        <v>840</v>
      </c>
    </row>
    <row r="118" spans="1:7">
      <c r="A118" s="95"/>
      <c r="B118" s="821" t="s">
        <v>838</v>
      </c>
      <c r="C118" s="822"/>
      <c r="D118" s="100" t="s">
        <v>308</v>
      </c>
      <c r="E118" s="100" t="s">
        <v>305</v>
      </c>
      <c r="F118" s="101" t="s">
        <v>306</v>
      </c>
      <c r="G118" s="108" t="s">
        <v>310</v>
      </c>
    </row>
    <row r="119" spans="1:7">
      <c r="A119" s="95"/>
      <c r="B119" s="115"/>
      <c r="C119" s="102"/>
      <c r="D119" s="103"/>
      <c r="E119" s="103" t="s">
        <v>309</v>
      </c>
      <c r="F119" s="104" t="s">
        <v>307</v>
      </c>
      <c r="G119" s="109"/>
    </row>
    <row r="120" spans="1:7">
      <c r="A120" s="127"/>
      <c r="B120" s="823" t="str">
        <f>'MAQUINARIA Y EQUIPOS'!C28</f>
        <v>HERRAMIENTAS MENORES</v>
      </c>
      <c r="C120" s="824"/>
      <c r="D120" s="87">
        <v>1</v>
      </c>
      <c r="E120" s="82">
        <f>ROUND(G153*0.05,0)</f>
        <v>571</v>
      </c>
      <c r="F120" s="81">
        <v>1</v>
      </c>
      <c r="G120" s="110">
        <f>ROUND(D120*E120/F120,0)</f>
        <v>571</v>
      </c>
    </row>
    <row r="121" spans="1:7">
      <c r="A121" s="95"/>
      <c r="B121" s="835"/>
      <c r="C121" s="836"/>
      <c r="D121" s="37"/>
      <c r="E121" s="82"/>
      <c r="F121" s="83"/>
      <c r="G121" s="111"/>
    </row>
    <row r="122" spans="1:7">
      <c r="A122" s="95"/>
      <c r="B122" s="835"/>
      <c r="C122" s="836"/>
      <c r="D122" s="89"/>
      <c r="E122" s="82"/>
      <c r="F122" s="83"/>
      <c r="G122" s="111"/>
    </row>
    <row r="123" spans="1:7">
      <c r="A123" s="95"/>
      <c r="B123" s="835"/>
      <c r="C123" s="836"/>
      <c r="D123" s="89"/>
      <c r="E123" s="82"/>
      <c r="F123" s="83"/>
      <c r="G123" s="111"/>
    </row>
    <row r="124" spans="1:7">
      <c r="A124" s="95"/>
      <c r="B124" s="835" t="s">
        <v>841</v>
      </c>
      <c r="C124" s="836"/>
      <c r="D124" s="37"/>
      <c r="E124" s="82"/>
      <c r="F124" s="83"/>
      <c r="G124" s="111"/>
    </row>
    <row r="125" spans="1:7" ht="13.5" thickBot="1">
      <c r="A125" s="95"/>
      <c r="B125" s="839" t="s">
        <v>841</v>
      </c>
      <c r="C125" s="840"/>
      <c r="D125" s="77"/>
      <c r="E125" s="106"/>
      <c r="F125" s="86"/>
      <c r="G125" s="112"/>
    </row>
    <row r="126" spans="1:7" ht="14.25" thickTop="1" thickBot="1">
      <c r="A126" s="95"/>
      <c r="B126" s="808"/>
      <c r="C126" s="808"/>
      <c r="D126" s="808"/>
      <c r="E126" s="809"/>
      <c r="F126" s="119" t="s">
        <v>856</v>
      </c>
      <c r="G126" s="118">
        <f>SUM(G120:G125)</f>
        <v>571</v>
      </c>
    </row>
    <row r="127" spans="1:7" ht="14.25" thickTop="1" thickBot="1">
      <c r="A127" s="95"/>
      <c r="B127" s="830"/>
      <c r="C127" s="830"/>
      <c r="D127" s="830"/>
      <c r="E127" s="830"/>
      <c r="F127" s="830"/>
      <c r="G127" s="830"/>
    </row>
    <row r="128" spans="1:7" ht="13.5" thickTop="1">
      <c r="A128" s="95"/>
      <c r="B128" s="811" t="s">
        <v>311</v>
      </c>
      <c r="C128" s="812"/>
      <c r="D128" s="812"/>
      <c r="E128" s="812"/>
      <c r="F128" s="812"/>
      <c r="G128" s="825"/>
    </row>
    <row r="129" spans="1:8">
      <c r="A129" s="95"/>
      <c r="B129" s="817" t="s">
        <v>838</v>
      </c>
      <c r="C129" s="818"/>
      <c r="D129" s="98" t="s">
        <v>842</v>
      </c>
      <c r="E129" s="98" t="s">
        <v>853</v>
      </c>
      <c r="F129" s="99" t="s">
        <v>1047</v>
      </c>
      <c r="G129" s="107" t="s">
        <v>840</v>
      </c>
    </row>
    <row r="130" spans="1:8">
      <c r="A130" s="95"/>
      <c r="B130" s="115"/>
      <c r="C130" s="102"/>
      <c r="D130" s="100"/>
      <c r="E130" s="100" t="s">
        <v>312</v>
      </c>
      <c r="F130" s="101" t="s">
        <v>313</v>
      </c>
      <c r="G130" s="108" t="s">
        <v>314</v>
      </c>
    </row>
    <row r="131" spans="1:8">
      <c r="A131" s="125"/>
      <c r="B131" s="871" t="str">
        <f>MATERIALES2!C100</f>
        <v>LADRILLO PRENSADO OSCURO</v>
      </c>
      <c r="C131" s="872"/>
      <c r="D131" s="87" t="s">
        <v>865</v>
      </c>
      <c r="E131" s="10">
        <v>12.87</v>
      </c>
      <c r="F131" s="80">
        <f>MATERIALES2!E100</f>
        <v>540</v>
      </c>
      <c r="G131" s="110">
        <f>ROUND(E131*F131,0)</f>
        <v>6950</v>
      </c>
    </row>
    <row r="132" spans="1:8">
      <c r="A132" s="123"/>
      <c r="B132" s="873" t="str">
        <f>MATERIALES2!C13</f>
        <v>CEMENTO GRIS</v>
      </c>
      <c r="C132" s="874"/>
      <c r="D132" s="37" t="s">
        <v>925</v>
      </c>
      <c r="E132" s="53">
        <v>2.27</v>
      </c>
      <c r="F132" s="82">
        <f>MATERIALES2!E13</f>
        <v>420</v>
      </c>
      <c r="G132" s="111">
        <f>ROUND(E132*F132,0)</f>
        <v>953</v>
      </c>
    </row>
    <row r="133" spans="1:8" ht="14.25">
      <c r="A133" s="95"/>
      <c r="B133" s="873" t="str">
        <f>MATERIALES2!C20</f>
        <v xml:space="preserve">ARENA </v>
      </c>
      <c r="C133" s="874"/>
      <c r="D133" s="37" t="s">
        <v>1066</v>
      </c>
      <c r="E133" s="53">
        <v>0.01</v>
      </c>
      <c r="F133" s="82">
        <f>MATERIALES2!E20</f>
        <v>35000</v>
      </c>
      <c r="G133" s="111">
        <f>ROUND(E133*F133,0)</f>
        <v>350</v>
      </c>
    </row>
    <row r="134" spans="1:8">
      <c r="A134" s="95"/>
      <c r="B134" s="873" t="str">
        <f>MATERIALES2!C28</f>
        <v>AGUA</v>
      </c>
      <c r="C134" s="874"/>
      <c r="D134" s="37" t="s">
        <v>1071</v>
      </c>
      <c r="E134" s="53">
        <v>1.42</v>
      </c>
      <c r="F134" s="82">
        <f>MATERIALES2!E28</f>
        <v>50</v>
      </c>
      <c r="G134" s="111">
        <f>ROUND(E134*F134,0)</f>
        <v>71</v>
      </c>
    </row>
    <row r="135" spans="1:8">
      <c r="A135" s="95"/>
      <c r="B135" s="873"/>
      <c r="C135" s="874"/>
      <c r="D135" s="37"/>
      <c r="E135" s="83"/>
      <c r="F135" s="82"/>
      <c r="G135" s="111"/>
    </row>
    <row r="136" spans="1:8">
      <c r="A136" s="95"/>
      <c r="B136" s="873"/>
      <c r="C136" s="874"/>
      <c r="D136" s="37"/>
      <c r="E136" s="53"/>
      <c r="F136" s="82"/>
      <c r="G136" s="111"/>
    </row>
    <row r="137" spans="1:8">
      <c r="A137" s="95"/>
      <c r="B137" s="873"/>
      <c r="C137" s="874"/>
      <c r="D137" s="37"/>
      <c r="E137" s="53"/>
      <c r="F137" s="82"/>
      <c r="G137" s="111"/>
    </row>
    <row r="138" spans="1:8">
      <c r="A138" s="95"/>
      <c r="B138" s="837" t="s">
        <v>841</v>
      </c>
      <c r="C138" s="838"/>
      <c r="D138" s="53" t="s">
        <v>841</v>
      </c>
      <c r="E138" s="53"/>
      <c r="F138" s="82"/>
      <c r="G138" s="111"/>
      <c r="H138" s="505" t="s">
        <v>1670</v>
      </c>
    </row>
    <row r="139" spans="1:8" ht="13.5" thickBot="1">
      <c r="A139" s="95"/>
      <c r="B139" s="839" t="s">
        <v>841</v>
      </c>
      <c r="C139" s="840"/>
      <c r="D139" s="84" t="s">
        <v>841</v>
      </c>
      <c r="E139" s="84"/>
      <c r="F139" s="85"/>
      <c r="G139" s="112"/>
    </row>
    <row r="140" spans="1:8" ht="13.5" thickTop="1">
      <c r="A140" s="95"/>
      <c r="B140" s="808"/>
      <c r="C140" s="809"/>
      <c r="D140" s="801" t="s">
        <v>856</v>
      </c>
      <c r="E140" s="802"/>
      <c r="F140" s="9"/>
      <c r="G140" s="113">
        <f>SUM(G131:G139)</f>
        <v>8324</v>
      </c>
    </row>
    <row r="141" spans="1:8">
      <c r="A141" s="95"/>
      <c r="B141" s="819"/>
      <c r="C141" s="820"/>
      <c r="D141" s="801" t="s">
        <v>857</v>
      </c>
      <c r="E141" s="802"/>
      <c r="F141" s="79">
        <f>'MANO DE OBRA'!D60</f>
        <v>0.05</v>
      </c>
      <c r="G141" s="113">
        <f>ROUND(G140*F141,0)</f>
        <v>416</v>
      </c>
    </row>
    <row r="142" spans="1:8" ht="13.5" thickBot="1">
      <c r="A142" s="95"/>
      <c r="B142" s="819"/>
      <c r="C142" s="820"/>
      <c r="D142" s="803" t="s">
        <v>320</v>
      </c>
      <c r="E142" s="804"/>
      <c r="F142" s="114"/>
      <c r="G142" s="118">
        <f>+G140+G141</f>
        <v>8740</v>
      </c>
    </row>
    <row r="143" spans="1:8" ht="14.25" thickTop="1" thickBot="1">
      <c r="A143" s="95"/>
      <c r="B143" s="830"/>
      <c r="C143" s="830"/>
      <c r="D143" s="830"/>
      <c r="E143" s="830"/>
      <c r="F143" s="830"/>
      <c r="G143" s="830"/>
    </row>
    <row r="144" spans="1:8" ht="13.5" thickTop="1">
      <c r="A144" s="95"/>
      <c r="B144" s="811" t="s">
        <v>858</v>
      </c>
      <c r="C144" s="812"/>
      <c r="D144" s="812"/>
      <c r="E144" s="812"/>
      <c r="F144" s="812"/>
      <c r="G144" s="825"/>
    </row>
    <row r="145" spans="1:7">
      <c r="A145" s="95"/>
      <c r="B145" s="817"/>
      <c r="C145" s="818"/>
      <c r="D145" s="98" t="s">
        <v>301</v>
      </c>
      <c r="E145" s="98" t="s">
        <v>859</v>
      </c>
      <c r="F145" s="99" t="s">
        <v>839</v>
      </c>
      <c r="G145" s="107" t="s">
        <v>840</v>
      </c>
    </row>
    <row r="146" spans="1:7">
      <c r="A146" s="95"/>
      <c r="B146" s="821" t="s">
        <v>838</v>
      </c>
      <c r="C146" s="822"/>
      <c r="D146" s="100" t="s">
        <v>316</v>
      </c>
      <c r="E146" s="100" t="s">
        <v>315</v>
      </c>
      <c r="F146" s="101" t="s">
        <v>306</v>
      </c>
      <c r="G146" s="108" t="s">
        <v>319</v>
      </c>
    </row>
    <row r="147" spans="1:7">
      <c r="A147" s="95"/>
      <c r="B147" s="115"/>
      <c r="C147" s="102"/>
      <c r="D147" s="103"/>
      <c r="E147" s="103" t="s">
        <v>317</v>
      </c>
      <c r="F147" s="104" t="s">
        <v>318</v>
      </c>
      <c r="G147" s="109"/>
    </row>
    <row r="148" spans="1:7">
      <c r="A148" s="95"/>
      <c r="B148" s="823" t="str">
        <f>'MANO DE OBRA'!B10</f>
        <v>AYUDANTE CUAD. TIPO AA</v>
      </c>
      <c r="C148" s="824"/>
      <c r="D148" s="87">
        <v>1</v>
      </c>
      <c r="E148" s="80">
        <f>'MANO DE OBRA'!E10</f>
        <v>34680</v>
      </c>
      <c r="F148" s="81">
        <v>9.3000000000000007</v>
      </c>
      <c r="G148" s="110">
        <f>ROUND(D148*E148/F148,0)</f>
        <v>3729</v>
      </c>
    </row>
    <row r="149" spans="1:7">
      <c r="A149" s="95"/>
      <c r="B149" s="835" t="str">
        <f>'MANO DE OBRA'!B15</f>
        <v xml:space="preserve">OFICIAL CUAD. TIPO AA </v>
      </c>
      <c r="C149" s="836"/>
      <c r="D149" s="37">
        <v>1</v>
      </c>
      <c r="E149" s="82">
        <f>'MANO DE OBRA'!E15</f>
        <v>71474</v>
      </c>
      <c r="F149" s="83">
        <v>9.3000000000000007</v>
      </c>
      <c r="G149" s="111">
        <f>ROUND(D149*E149/F149,0)</f>
        <v>7685</v>
      </c>
    </row>
    <row r="150" spans="1:7">
      <c r="A150" s="95"/>
      <c r="B150" s="835"/>
      <c r="C150" s="836"/>
      <c r="D150" s="89"/>
      <c r="E150" s="82"/>
      <c r="F150" s="83"/>
      <c r="G150" s="111"/>
    </row>
    <row r="151" spans="1:7">
      <c r="A151" s="95"/>
      <c r="B151" s="835" t="s">
        <v>841</v>
      </c>
      <c r="C151" s="836"/>
      <c r="D151" s="37"/>
      <c r="E151" s="82"/>
      <c r="F151" s="83"/>
      <c r="G151" s="111"/>
    </row>
    <row r="152" spans="1:7" ht="13.5" thickBot="1">
      <c r="A152" s="95"/>
      <c r="B152" s="828" t="s">
        <v>841</v>
      </c>
      <c r="C152" s="829"/>
      <c r="D152" s="77"/>
      <c r="E152" s="82"/>
      <c r="F152" s="86"/>
      <c r="G152" s="112"/>
    </row>
    <row r="153" spans="1:7" ht="14.25" thickTop="1" thickBot="1">
      <c r="A153" s="95"/>
      <c r="B153" s="808"/>
      <c r="C153" s="808"/>
      <c r="D153" s="808"/>
      <c r="E153" s="809"/>
      <c r="F153" s="120" t="s">
        <v>856</v>
      </c>
      <c r="G153" s="118">
        <f>SUM(G148:G152)</f>
        <v>11414</v>
      </c>
    </row>
    <row r="154" spans="1:7" ht="14.25" thickTop="1" thickBot="1">
      <c r="A154" s="95"/>
      <c r="B154" s="810"/>
      <c r="C154" s="810"/>
      <c r="D154" s="810"/>
      <c r="E154" s="810"/>
      <c r="F154" s="810"/>
      <c r="G154" s="810"/>
    </row>
    <row r="155" spans="1:7" ht="13.5" thickTop="1">
      <c r="A155" s="95"/>
      <c r="B155" s="811" t="s">
        <v>321</v>
      </c>
      <c r="C155" s="812"/>
      <c r="D155" s="812"/>
      <c r="E155" s="812"/>
      <c r="F155" s="812"/>
      <c r="G155" s="825"/>
    </row>
    <row r="156" spans="1:7">
      <c r="A156" s="95"/>
      <c r="B156" s="817" t="s">
        <v>838</v>
      </c>
      <c r="C156" s="818"/>
      <c r="D156" s="98" t="s">
        <v>301</v>
      </c>
      <c r="E156" s="98" t="s">
        <v>297</v>
      </c>
      <c r="F156" s="99" t="s">
        <v>839</v>
      </c>
      <c r="G156" s="107" t="s">
        <v>840</v>
      </c>
    </row>
    <row r="157" spans="1:7">
      <c r="A157" s="95"/>
      <c r="B157" s="115"/>
      <c r="C157" s="102"/>
      <c r="D157" s="103" t="s">
        <v>322</v>
      </c>
      <c r="E157" s="103" t="s">
        <v>323</v>
      </c>
      <c r="F157" s="104" t="s">
        <v>324</v>
      </c>
      <c r="G157" s="109" t="s">
        <v>325</v>
      </c>
    </row>
    <row r="158" spans="1:7">
      <c r="A158" s="95"/>
      <c r="B158" s="826"/>
      <c r="C158" s="827"/>
      <c r="D158" s="96"/>
      <c r="E158" s="96"/>
      <c r="F158" s="96"/>
      <c r="G158" s="116"/>
    </row>
    <row r="159" spans="1:7" ht="13.5" thickBot="1">
      <c r="A159" s="95"/>
      <c r="B159" s="828" t="s">
        <v>841</v>
      </c>
      <c r="C159" s="829"/>
      <c r="D159" s="77"/>
      <c r="E159" s="82"/>
      <c r="F159" s="86"/>
      <c r="G159" s="112"/>
    </row>
    <row r="160" spans="1:7" ht="14.25" thickTop="1" thickBot="1">
      <c r="A160" s="95"/>
      <c r="B160" s="808"/>
      <c r="C160" s="808"/>
      <c r="D160" s="808"/>
      <c r="E160" s="809"/>
      <c r="F160" s="120" t="s">
        <v>856</v>
      </c>
      <c r="G160" s="118">
        <f>SUM(G155:G159)</f>
        <v>0</v>
      </c>
    </row>
    <row r="161" spans="1:8" ht="14.25" thickTop="1" thickBot="1">
      <c r="A161" s="95"/>
      <c r="B161" s="810"/>
      <c r="C161" s="810"/>
      <c r="D161" s="810"/>
      <c r="E161" s="810"/>
      <c r="F161" s="810"/>
      <c r="G161" s="834"/>
    </row>
    <row r="162" spans="1:8" ht="13.5" thickTop="1">
      <c r="A162" s="95"/>
      <c r="B162" s="811" t="s">
        <v>326</v>
      </c>
      <c r="C162" s="812"/>
      <c r="D162" s="812"/>
      <c r="E162" s="812"/>
      <c r="F162" s="813"/>
      <c r="G162" s="121">
        <f>+G126+G142+G153</f>
        <v>20725</v>
      </c>
    </row>
    <row r="163" spans="1:8">
      <c r="A163" s="95"/>
      <c r="B163" s="814" t="s">
        <v>861</v>
      </c>
      <c r="C163" s="815"/>
      <c r="D163" s="815"/>
      <c r="E163" s="816"/>
      <c r="F163" s="128">
        <f>'MANO DE OBRA'!D59</f>
        <v>0</v>
      </c>
      <c r="G163" s="122">
        <f>ROUND(G162*F163,0)</f>
        <v>0</v>
      </c>
    </row>
    <row r="164" spans="1:8" ht="13.5" thickBot="1">
      <c r="A164" s="95"/>
      <c r="B164" s="805" t="s">
        <v>1049</v>
      </c>
      <c r="C164" s="806"/>
      <c r="D164" s="806"/>
      <c r="E164" s="806"/>
      <c r="F164" s="807"/>
      <c r="G164" s="118">
        <f>ROUND(G162+G163,-2)</f>
        <v>20700</v>
      </c>
      <c r="H164" s="505" t="s">
        <v>1670</v>
      </c>
    </row>
    <row r="165" spans="1:8" ht="13.5" thickTop="1">
      <c r="A165" s="95"/>
      <c r="B165" s="90" t="s">
        <v>303</v>
      </c>
      <c r="C165" s="843"/>
      <c r="D165" s="843"/>
      <c r="E165" s="843"/>
      <c r="F165" s="92" t="s">
        <v>781</v>
      </c>
      <c r="G165" s="93" t="s">
        <v>831</v>
      </c>
    </row>
    <row r="166" spans="1:8">
      <c r="A166" s="95"/>
      <c r="B166" s="91" t="s">
        <v>834</v>
      </c>
      <c r="C166" s="844" t="s">
        <v>1384</v>
      </c>
      <c r="D166" s="844"/>
      <c r="E166" s="844"/>
      <c r="F166" s="15" t="s">
        <v>833</v>
      </c>
      <c r="G166" s="165" t="str">
        <f>'MANO DE OBRA'!D61</f>
        <v>Agosto de 2010</v>
      </c>
    </row>
    <row r="167" spans="1:8" ht="13.5" thickBot="1">
      <c r="A167" s="127"/>
      <c r="B167" s="94" t="s">
        <v>835</v>
      </c>
      <c r="C167" s="845" t="s">
        <v>1388</v>
      </c>
      <c r="D167" s="845"/>
      <c r="E167" s="845"/>
      <c r="F167" s="845"/>
      <c r="G167" s="846"/>
    </row>
    <row r="168" spans="1:8" ht="14.25" thickTop="1" thickBot="1">
      <c r="A168" s="95"/>
      <c r="B168" s="847"/>
      <c r="C168" s="847"/>
      <c r="D168" s="847"/>
      <c r="E168" s="847"/>
      <c r="F168" s="847"/>
      <c r="G168" s="847"/>
    </row>
    <row r="169" spans="1:8" ht="13.5" thickTop="1">
      <c r="A169" s="95"/>
      <c r="B169" s="811" t="s">
        <v>304</v>
      </c>
      <c r="C169" s="812"/>
      <c r="D169" s="812"/>
      <c r="E169" s="812"/>
      <c r="F169" s="812"/>
      <c r="G169" s="825"/>
    </row>
    <row r="170" spans="1:8">
      <c r="A170" s="95"/>
      <c r="B170" s="105"/>
      <c r="C170" s="97"/>
      <c r="D170" s="98" t="s">
        <v>301</v>
      </c>
      <c r="E170" s="98" t="s">
        <v>1072</v>
      </c>
      <c r="F170" s="99" t="s">
        <v>839</v>
      </c>
      <c r="G170" s="107" t="s">
        <v>840</v>
      </c>
    </row>
    <row r="171" spans="1:8">
      <c r="A171" s="95"/>
      <c r="B171" s="821" t="s">
        <v>838</v>
      </c>
      <c r="C171" s="822"/>
      <c r="D171" s="100" t="s">
        <v>308</v>
      </c>
      <c r="E171" s="100" t="s">
        <v>305</v>
      </c>
      <c r="F171" s="101" t="s">
        <v>306</v>
      </c>
      <c r="G171" s="108" t="s">
        <v>310</v>
      </c>
    </row>
    <row r="172" spans="1:8">
      <c r="A172" s="95"/>
      <c r="B172" s="115"/>
      <c r="C172" s="102"/>
      <c r="D172" s="103"/>
      <c r="E172" s="103" t="s">
        <v>309</v>
      </c>
      <c r="F172" s="104" t="s">
        <v>307</v>
      </c>
      <c r="G172" s="109"/>
    </row>
    <row r="173" spans="1:8">
      <c r="A173" s="127"/>
      <c r="B173" s="823" t="str">
        <f>'MAQUINARIA Y EQUIPOS'!C28</f>
        <v>HERRAMIENTAS MENORES</v>
      </c>
      <c r="C173" s="824"/>
      <c r="D173" s="87">
        <v>1</v>
      </c>
      <c r="E173" s="82">
        <f>ROUND(G206*0.05,0)</f>
        <v>439</v>
      </c>
      <c r="F173" s="81">
        <v>1</v>
      </c>
      <c r="G173" s="110">
        <f>ROUND(D173*E173/F173,0)</f>
        <v>439</v>
      </c>
    </row>
    <row r="174" spans="1:8">
      <c r="A174" s="95"/>
      <c r="B174" s="835"/>
      <c r="C174" s="836"/>
      <c r="D174" s="37"/>
      <c r="E174" s="82"/>
      <c r="F174" s="83"/>
      <c r="G174" s="111"/>
    </row>
    <row r="175" spans="1:8">
      <c r="A175" s="95"/>
      <c r="B175" s="835"/>
      <c r="C175" s="836"/>
      <c r="D175" s="89"/>
      <c r="E175" s="82"/>
      <c r="F175" s="83"/>
      <c r="G175" s="111"/>
    </row>
    <row r="176" spans="1:8">
      <c r="A176" s="95"/>
      <c r="B176" s="835"/>
      <c r="C176" s="836"/>
      <c r="D176" s="89"/>
      <c r="E176" s="82"/>
      <c r="F176" s="83"/>
      <c r="G176" s="111"/>
    </row>
    <row r="177" spans="1:8">
      <c r="A177" s="95"/>
      <c r="B177" s="835" t="s">
        <v>841</v>
      </c>
      <c r="C177" s="836"/>
      <c r="D177" s="37"/>
      <c r="E177" s="82"/>
      <c r="F177" s="83"/>
      <c r="G177" s="111"/>
    </row>
    <row r="178" spans="1:8" ht="13.5" thickBot="1">
      <c r="A178" s="95"/>
      <c r="B178" s="839" t="s">
        <v>841</v>
      </c>
      <c r="C178" s="840"/>
      <c r="D178" s="77"/>
      <c r="E178" s="106"/>
      <c r="F178" s="86"/>
      <c r="G178" s="112"/>
    </row>
    <row r="179" spans="1:8" ht="14.25" thickTop="1" thickBot="1">
      <c r="A179" s="95"/>
      <c r="B179" s="808"/>
      <c r="C179" s="808"/>
      <c r="D179" s="808"/>
      <c r="E179" s="809"/>
      <c r="F179" s="119" t="s">
        <v>856</v>
      </c>
      <c r="G179" s="118">
        <f>SUM(G173:G178)</f>
        <v>439</v>
      </c>
    </row>
    <row r="180" spans="1:8" ht="14.25" thickTop="1" thickBot="1">
      <c r="A180" s="95"/>
      <c r="B180" s="830"/>
      <c r="C180" s="830"/>
      <c r="D180" s="830"/>
      <c r="E180" s="830"/>
      <c r="F180" s="830"/>
      <c r="G180" s="830"/>
    </row>
    <row r="181" spans="1:8" ht="13.5" thickTop="1">
      <c r="A181" s="95"/>
      <c r="B181" s="811" t="s">
        <v>311</v>
      </c>
      <c r="C181" s="812"/>
      <c r="D181" s="812"/>
      <c r="E181" s="812"/>
      <c r="F181" s="812"/>
      <c r="G181" s="825"/>
    </row>
    <row r="182" spans="1:8">
      <c r="A182" s="95"/>
      <c r="B182" s="817" t="s">
        <v>838</v>
      </c>
      <c r="C182" s="818"/>
      <c r="D182" s="98" t="s">
        <v>842</v>
      </c>
      <c r="E182" s="98" t="s">
        <v>853</v>
      </c>
      <c r="F182" s="99" t="s">
        <v>1047</v>
      </c>
      <c r="G182" s="107" t="s">
        <v>840</v>
      </c>
    </row>
    <row r="183" spans="1:8">
      <c r="A183" s="95"/>
      <c r="B183" s="115"/>
      <c r="C183" s="102"/>
      <c r="D183" s="100"/>
      <c r="E183" s="100" t="s">
        <v>312</v>
      </c>
      <c r="F183" s="101" t="s">
        <v>313</v>
      </c>
      <c r="G183" s="108" t="s">
        <v>314</v>
      </c>
    </row>
    <row r="184" spans="1:8">
      <c r="A184" s="125"/>
      <c r="B184" s="841" t="str">
        <f>MATERIALES2!C92</f>
        <v>TOLETE COMUN</v>
      </c>
      <c r="C184" s="842"/>
      <c r="D184" s="87" t="s">
        <v>865</v>
      </c>
      <c r="E184" s="81">
        <v>8</v>
      </c>
      <c r="F184" s="80">
        <f>MATERIALES2!E92</f>
        <v>380</v>
      </c>
      <c r="G184" s="110">
        <f>ROUND(E184*F184,0)</f>
        <v>3040</v>
      </c>
    </row>
    <row r="185" spans="1:8">
      <c r="A185" s="123"/>
      <c r="B185" s="854" t="str">
        <f>MATERIALES2!C13</f>
        <v>CEMENTO GRIS</v>
      </c>
      <c r="C185" s="855"/>
      <c r="D185" s="37" t="s">
        <v>925</v>
      </c>
      <c r="E185" s="53">
        <v>2.27</v>
      </c>
      <c r="F185" s="82">
        <f>MATERIALES2!E13</f>
        <v>420</v>
      </c>
      <c r="G185" s="111">
        <f>ROUND(E185*F185,0)</f>
        <v>953</v>
      </c>
    </row>
    <row r="186" spans="1:8" ht="14.25">
      <c r="A186" s="95"/>
      <c r="B186" s="854" t="str">
        <f>MATERIALES2!C20</f>
        <v xml:space="preserve">ARENA </v>
      </c>
      <c r="C186" s="855"/>
      <c r="D186" s="37" t="s">
        <v>1066</v>
      </c>
      <c r="E186" s="53">
        <v>0.01</v>
      </c>
      <c r="F186" s="82">
        <f>MATERIALES2!E20</f>
        <v>35000</v>
      </c>
      <c r="G186" s="111">
        <f>ROUND(E186*F186,0)</f>
        <v>350</v>
      </c>
    </row>
    <row r="187" spans="1:8">
      <c r="A187" s="95"/>
      <c r="B187" s="854" t="str">
        <f>MATERIALES2!C28</f>
        <v>AGUA</v>
      </c>
      <c r="C187" s="855"/>
      <c r="D187" s="37" t="s">
        <v>1071</v>
      </c>
      <c r="E187" s="53">
        <v>1.42</v>
      </c>
      <c r="F187" s="82">
        <f>MATERIALES2!E28</f>
        <v>50</v>
      </c>
      <c r="G187" s="111">
        <f>ROUND(E187*F187,0)</f>
        <v>71</v>
      </c>
    </row>
    <row r="188" spans="1:8">
      <c r="A188" s="95"/>
      <c r="B188" s="854"/>
      <c r="C188" s="855"/>
      <c r="D188" s="37"/>
      <c r="E188" s="83"/>
      <c r="F188" s="82"/>
      <c r="G188" s="111"/>
    </row>
    <row r="189" spans="1:8">
      <c r="A189" s="95"/>
      <c r="B189" s="854"/>
      <c r="C189" s="855"/>
      <c r="D189" s="37"/>
      <c r="E189" s="53"/>
      <c r="F189" s="82"/>
      <c r="G189" s="111"/>
    </row>
    <row r="190" spans="1:8">
      <c r="A190" s="95"/>
      <c r="B190" s="854"/>
      <c r="C190" s="855"/>
      <c r="D190" s="37"/>
      <c r="E190" s="53"/>
      <c r="F190" s="82"/>
      <c r="G190" s="111"/>
    </row>
    <row r="191" spans="1:8">
      <c r="A191" s="95"/>
      <c r="B191" s="938" t="s">
        <v>841</v>
      </c>
      <c r="C191" s="939"/>
      <c r="D191" s="53" t="s">
        <v>841</v>
      </c>
      <c r="E191" s="53"/>
      <c r="F191" s="82"/>
      <c r="G191" s="111"/>
      <c r="H191" s="505" t="s">
        <v>1670</v>
      </c>
    </row>
    <row r="192" spans="1:8" ht="13.5" thickBot="1">
      <c r="A192" s="95"/>
      <c r="B192" s="839" t="s">
        <v>841</v>
      </c>
      <c r="C192" s="840"/>
      <c r="D192" s="84" t="s">
        <v>841</v>
      </c>
      <c r="E192" s="84"/>
      <c r="F192" s="85"/>
      <c r="G192" s="112"/>
    </row>
    <row r="193" spans="1:7" ht="13.5" thickTop="1">
      <c r="A193" s="95"/>
      <c r="B193" s="808"/>
      <c r="C193" s="809"/>
      <c r="D193" s="801" t="s">
        <v>856</v>
      </c>
      <c r="E193" s="802"/>
      <c r="F193" s="9"/>
      <c r="G193" s="113">
        <f>SUM(G184:G192)</f>
        <v>4414</v>
      </c>
    </row>
    <row r="194" spans="1:7">
      <c r="A194" s="95"/>
      <c r="B194" s="819"/>
      <c r="C194" s="820"/>
      <c r="D194" s="801" t="s">
        <v>857</v>
      </c>
      <c r="E194" s="802"/>
      <c r="F194" s="79">
        <f>'MANO DE OBRA'!D60</f>
        <v>0.05</v>
      </c>
      <c r="G194" s="113">
        <f>ROUND(G193*F194,0)</f>
        <v>221</v>
      </c>
    </row>
    <row r="195" spans="1:7" ht="13.5" thickBot="1">
      <c r="A195" s="95"/>
      <c r="B195" s="819"/>
      <c r="C195" s="820"/>
      <c r="D195" s="803" t="s">
        <v>320</v>
      </c>
      <c r="E195" s="804"/>
      <c r="F195" s="114"/>
      <c r="G195" s="118">
        <f>+G193+G194</f>
        <v>4635</v>
      </c>
    </row>
    <row r="196" spans="1:7" ht="14.25" thickTop="1" thickBot="1">
      <c r="A196" s="95"/>
      <c r="B196" s="830"/>
      <c r="C196" s="830"/>
      <c r="D196" s="830"/>
      <c r="E196" s="830"/>
      <c r="F196" s="830"/>
      <c r="G196" s="830"/>
    </row>
    <row r="197" spans="1:7" ht="13.5" thickTop="1">
      <c r="A197" s="95"/>
      <c r="B197" s="811" t="s">
        <v>858</v>
      </c>
      <c r="C197" s="812"/>
      <c r="D197" s="812"/>
      <c r="E197" s="812"/>
      <c r="F197" s="812"/>
      <c r="G197" s="825"/>
    </row>
    <row r="198" spans="1:7">
      <c r="A198" s="95"/>
      <c r="B198" s="817"/>
      <c r="C198" s="818"/>
      <c r="D198" s="98" t="s">
        <v>301</v>
      </c>
      <c r="E198" s="98" t="s">
        <v>859</v>
      </c>
      <c r="F198" s="99" t="s">
        <v>839</v>
      </c>
      <c r="G198" s="107" t="s">
        <v>840</v>
      </c>
    </row>
    <row r="199" spans="1:7">
      <c r="A199" s="95"/>
      <c r="B199" s="821" t="s">
        <v>838</v>
      </c>
      <c r="C199" s="822"/>
      <c r="D199" s="100" t="s">
        <v>316</v>
      </c>
      <c r="E199" s="100" t="s">
        <v>315</v>
      </c>
      <c r="F199" s="101" t="s">
        <v>306</v>
      </c>
      <c r="G199" s="108" t="s">
        <v>319</v>
      </c>
    </row>
    <row r="200" spans="1:7">
      <c r="A200" s="95"/>
      <c r="B200" s="115"/>
      <c r="C200" s="102"/>
      <c r="D200" s="103"/>
      <c r="E200" s="103" t="s">
        <v>317</v>
      </c>
      <c r="F200" s="104" t="s">
        <v>318</v>
      </c>
      <c r="G200" s="109"/>
    </row>
    <row r="201" spans="1:7">
      <c r="A201" s="95"/>
      <c r="B201" s="823" t="str">
        <f>'MANO DE OBRA'!B10</f>
        <v>AYUDANTE CUAD. TIPO AA</v>
      </c>
      <c r="C201" s="824"/>
      <c r="D201" s="87">
        <v>1</v>
      </c>
      <c r="E201" s="80">
        <f>'MANO DE OBRA'!E10</f>
        <v>34680</v>
      </c>
      <c r="F201" s="81">
        <v>12.09</v>
      </c>
      <c r="G201" s="110">
        <f>ROUND(D201*E201/F201,0)</f>
        <v>2868</v>
      </c>
    </row>
    <row r="202" spans="1:7">
      <c r="A202" s="95"/>
      <c r="B202" s="835" t="str">
        <f>'MANO DE OBRA'!B15</f>
        <v xml:space="preserve">OFICIAL CUAD. TIPO AA </v>
      </c>
      <c r="C202" s="836"/>
      <c r="D202" s="37">
        <v>1</v>
      </c>
      <c r="E202" s="82">
        <f>'MANO DE OBRA'!E15</f>
        <v>71474</v>
      </c>
      <c r="F202" s="83">
        <v>12.09</v>
      </c>
      <c r="G202" s="111">
        <f>ROUND(D202*E202/F202,0)</f>
        <v>5912</v>
      </c>
    </row>
    <row r="203" spans="1:7">
      <c r="A203" s="95"/>
      <c r="B203" s="835"/>
      <c r="C203" s="836"/>
      <c r="D203" s="89"/>
      <c r="E203" s="82"/>
      <c r="F203" s="83"/>
      <c r="G203" s="111"/>
    </row>
    <row r="204" spans="1:7">
      <c r="A204" s="95"/>
      <c r="B204" s="835" t="s">
        <v>841</v>
      </c>
      <c r="C204" s="836"/>
      <c r="D204" s="37"/>
      <c r="E204" s="82"/>
      <c r="F204" s="83"/>
      <c r="G204" s="111"/>
    </row>
    <row r="205" spans="1:7" ht="13.5" thickBot="1">
      <c r="A205" s="95"/>
      <c r="B205" s="828" t="s">
        <v>841</v>
      </c>
      <c r="C205" s="829"/>
      <c r="D205" s="77"/>
      <c r="E205" s="82"/>
      <c r="F205" s="86"/>
      <c r="G205" s="112"/>
    </row>
    <row r="206" spans="1:7" ht="14.25" thickTop="1" thickBot="1">
      <c r="A206" s="95"/>
      <c r="B206" s="808"/>
      <c r="C206" s="808"/>
      <c r="D206" s="808"/>
      <c r="E206" s="809"/>
      <c r="F206" s="120" t="s">
        <v>856</v>
      </c>
      <c r="G206" s="118">
        <f>SUM(G201:G205)</f>
        <v>8780</v>
      </c>
    </row>
    <row r="207" spans="1:7" ht="14.25" thickTop="1" thickBot="1">
      <c r="A207" s="95"/>
      <c r="B207" s="810"/>
      <c r="C207" s="810"/>
      <c r="D207" s="810"/>
      <c r="E207" s="810"/>
      <c r="F207" s="810"/>
      <c r="G207" s="810"/>
    </row>
    <row r="208" spans="1:7" ht="13.5" thickTop="1">
      <c r="A208" s="95"/>
      <c r="B208" s="811" t="s">
        <v>321</v>
      </c>
      <c r="C208" s="812"/>
      <c r="D208" s="812"/>
      <c r="E208" s="812"/>
      <c r="F208" s="812"/>
      <c r="G208" s="825"/>
    </row>
    <row r="209" spans="1:8">
      <c r="A209" s="95"/>
      <c r="B209" s="817" t="s">
        <v>838</v>
      </c>
      <c r="C209" s="818"/>
      <c r="D209" s="98" t="s">
        <v>301</v>
      </c>
      <c r="E209" s="98" t="s">
        <v>297</v>
      </c>
      <c r="F209" s="99" t="s">
        <v>839</v>
      </c>
      <c r="G209" s="107" t="s">
        <v>840</v>
      </c>
    </row>
    <row r="210" spans="1:8">
      <c r="A210" s="95"/>
      <c r="B210" s="115"/>
      <c r="C210" s="102"/>
      <c r="D210" s="103" t="s">
        <v>322</v>
      </c>
      <c r="E210" s="103" t="s">
        <v>323</v>
      </c>
      <c r="F210" s="104" t="s">
        <v>324</v>
      </c>
      <c r="G210" s="109" t="s">
        <v>325</v>
      </c>
    </row>
    <row r="211" spans="1:8">
      <c r="A211" s="95"/>
      <c r="B211" s="826"/>
      <c r="C211" s="827"/>
      <c r="D211" s="96"/>
      <c r="E211" s="96"/>
      <c r="F211" s="96"/>
      <c r="G211" s="116"/>
    </row>
    <row r="212" spans="1:8" ht="13.5" thickBot="1">
      <c r="A212" s="95"/>
      <c r="B212" s="828" t="s">
        <v>841</v>
      </c>
      <c r="C212" s="829"/>
      <c r="D212" s="77"/>
      <c r="E212" s="82"/>
      <c r="F212" s="86"/>
      <c r="G212" s="112"/>
    </row>
    <row r="213" spans="1:8" ht="14.25" thickTop="1" thickBot="1">
      <c r="A213" s="95"/>
      <c r="B213" s="808"/>
      <c r="C213" s="808"/>
      <c r="D213" s="808"/>
      <c r="E213" s="809"/>
      <c r="F213" s="120" t="s">
        <v>856</v>
      </c>
      <c r="G213" s="118">
        <f>SUM(G208:G212)</f>
        <v>0</v>
      </c>
    </row>
    <row r="214" spans="1:8" ht="14.25" thickTop="1" thickBot="1">
      <c r="A214" s="95"/>
      <c r="B214" s="810"/>
      <c r="C214" s="810"/>
      <c r="D214" s="810"/>
      <c r="E214" s="810"/>
      <c r="F214" s="810"/>
      <c r="G214" s="834"/>
    </row>
    <row r="215" spans="1:8" ht="13.5" thickTop="1">
      <c r="A215" s="95"/>
      <c r="B215" s="811" t="s">
        <v>326</v>
      </c>
      <c r="C215" s="812"/>
      <c r="D215" s="812"/>
      <c r="E215" s="812"/>
      <c r="F215" s="813"/>
      <c r="G215" s="121">
        <f>+G179+G195+G206</f>
        <v>13854</v>
      </c>
    </row>
    <row r="216" spans="1:8">
      <c r="A216" s="95"/>
      <c r="B216" s="814" t="s">
        <v>861</v>
      </c>
      <c r="C216" s="815"/>
      <c r="D216" s="815"/>
      <c r="E216" s="816"/>
      <c r="F216" s="128">
        <f>'MANO DE OBRA'!D59</f>
        <v>0</v>
      </c>
      <c r="G216" s="122">
        <f>ROUND(G215*F216,0)</f>
        <v>0</v>
      </c>
    </row>
    <row r="217" spans="1:8" ht="13.5" thickBot="1">
      <c r="A217" s="95"/>
      <c r="B217" s="805" t="s">
        <v>1049</v>
      </c>
      <c r="C217" s="806"/>
      <c r="D217" s="806"/>
      <c r="E217" s="806"/>
      <c r="F217" s="807"/>
      <c r="G217" s="118">
        <f>ROUND(G215+G216,-2)</f>
        <v>13900</v>
      </c>
      <c r="H217" s="505" t="s">
        <v>1670</v>
      </c>
    </row>
    <row r="218" spans="1:8" ht="13.5" thickTop="1">
      <c r="A218" s="95"/>
      <c r="B218" s="90" t="s">
        <v>303</v>
      </c>
      <c r="C218" s="843"/>
      <c r="D218" s="843"/>
      <c r="E218" s="843"/>
      <c r="F218" s="92" t="s">
        <v>781</v>
      </c>
      <c r="G218" s="93" t="s">
        <v>831</v>
      </c>
    </row>
    <row r="219" spans="1:8">
      <c r="A219" s="95"/>
      <c r="B219" s="91" t="s">
        <v>834</v>
      </c>
      <c r="C219" s="844" t="s">
        <v>1384</v>
      </c>
      <c r="D219" s="844"/>
      <c r="E219" s="844"/>
      <c r="F219" s="15" t="s">
        <v>833</v>
      </c>
      <c r="G219" s="165" t="str">
        <f>'MANO DE OBRA'!D61</f>
        <v>Agosto de 2010</v>
      </c>
    </row>
    <row r="220" spans="1:8" ht="13.5" customHeight="1" thickBot="1">
      <c r="A220" s="236"/>
      <c r="B220" s="244" t="s">
        <v>835</v>
      </c>
      <c r="C220" s="934" t="s">
        <v>1389</v>
      </c>
      <c r="D220" s="934"/>
      <c r="E220" s="934"/>
      <c r="F220" s="934"/>
      <c r="G220" s="935"/>
    </row>
    <row r="221" spans="1:8" ht="14.25" thickTop="1" thickBot="1">
      <c r="A221" s="95"/>
      <c r="B221" s="847"/>
      <c r="C221" s="847"/>
      <c r="D221" s="847"/>
      <c r="E221" s="847"/>
      <c r="F221" s="847"/>
      <c r="G221" s="847"/>
    </row>
    <row r="222" spans="1:8" ht="13.5" thickTop="1">
      <c r="A222" s="95"/>
      <c r="B222" s="811" t="s">
        <v>304</v>
      </c>
      <c r="C222" s="812"/>
      <c r="D222" s="812"/>
      <c r="E222" s="812"/>
      <c r="F222" s="812"/>
      <c r="G222" s="825"/>
    </row>
    <row r="223" spans="1:8">
      <c r="A223" s="95"/>
      <c r="B223" s="105"/>
      <c r="C223" s="97"/>
      <c r="D223" s="98" t="s">
        <v>301</v>
      </c>
      <c r="E223" s="98" t="s">
        <v>1072</v>
      </c>
      <c r="F223" s="99" t="s">
        <v>839</v>
      </c>
      <c r="G223" s="107" t="s">
        <v>840</v>
      </c>
    </row>
    <row r="224" spans="1:8">
      <c r="A224" s="95"/>
      <c r="B224" s="821" t="s">
        <v>838</v>
      </c>
      <c r="C224" s="822"/>
      <c r="D224" s="100" t="s">
        <v>308</v>
      </c>
      <c r="E224" s="100" t="s">
        <v>305</v>
      </c>
      <c r="F224" s="101" t="s">
        <v>306</v>
      </c>
      <c r="G224" s="108" t="s">
        <v>310</v>
      </c>
    </row>
    <row r="225" spans="1:7">
      <c r="A225" s="95"/>
      <c r="B225" s="115"/>
      <c r="C225" s="102"/>
      <c r="D225" s="103"/>
      <c r="E225" s="103" t="s">
        <v>309</v>
      </c>
      <c r="F225" s="104" t="s">
        <v>307</v>
      </c>
      <c r="G225" s="109"/>
    </row>
    <row r="226" spans="1:7">
      <c r="A226" s="127"/>
      <c r="B226" s="823" t="str">
        <f>'MAQUINARIA Y EQUIPOS'!C28</f>
        <v>HERRAMIENTAS MENORES</v>
      </c>
      <c r="C226" s="824"/>
      <c r="D226" s="87">
        <v>1</v>
      </c>
      <c r="E226" s="82">
        <f>ROUND(G258*0.05,0)</f>
        <v>354</v>
      </c>
      <c r="F226" s="81">
        <v>1</v>
      </c>
      <c r="G226" s="110">
        <f>ROUND(D226*E226/F226,0)</f>
        <v>354</v>
      </c>
    </row>
    <row r="227" spans="1:7">
      <c r="A227" s="95"/>
      <c r="B227" s="835"/>
      <c r="C227" s="836"/>
      <c r="D227" s="37"/>
      <c r="E227" s="82"/>
      <c r="F227" s="83"/>
      <c r="G227" s="111"/>
    </row>
    <row r="228" spans="1:7">
      <c r="A228" s="95"/>
      <c r="B228" s="835"/>
      <c r="C228" s="836"/>
      <c r="D228" s="89"/>
      <c r="E228" s="82"/>
      <c r="F228" s="83"/>
      <c r="G228" s="111"/>
    </row>
    <row r="229" spans="1:7">
      <c r="A229" s="95"/>
      <c r="B229" s="835" t="s">
        <v>841</v>
      </c>
      <c r="C229" s="836"/>
      <c r="D229" s="37"/>
      <c r="E229" s="82"/>
      <c r="F229" s="83"/>
      <c r="G229" s="111"/>
    </row>
    <row r="230" spans="1:7" ht="13.5" thickBot="1">
      <c r="A230" s="95"/>
      <c r="B230" s="839" t="s">
        <v>841</v>
      </c>
      <c r="C230" s="840"/>
      <c r="D230" s="77"/>
      <c r="E230" s="106"/>
      <c r="F230" s="86"/>
      <c r="G230" s="112"/>
    </row>
    <row r="231" spans="1:7" ht="14.25" thickTop="1" thickBot="1">
      <c r="A231" s="95"/>
      <c r="B231" s="808"/>
      <c r="C231" s="808"/>
      <c r="D231" s="808"/>
      <c r="E231" s="809"/>
      <c r="F231" s="119" t="s">
        <v>856</v>
      </c>
      <c r="G231" s="118">
        <f>SUM(G226:G230)</f>
        <v>354</v>
      </c>
    </row>
    <row r="232" spans="1:7" ht="14.25" thickTop="1" thickBot="1">
      <c r="A232" s="95"/>
      <c r="B232" s="830"/>
      <c r="C232" s="830"/>
      <c r="D232" s="830"/>
      <c r="E232" s="830"/>
      <c r="F232" s="830"/>
      <c r="G232" s="830"/>
    </row>
    <row r="233" spans="1:7" ht="13.5" thickTop="1">
      <c r="A233" s="95"/>
      <c r="B233" s="811" t="s">
        <v>311</v>
      </c>
      <c r="C233" s="812"/>
      <c r="D233" s="812"/>
      <c r="E233" s="812"/>
      <c r="F233" s="812"/>
      <c r="G233" s="825"/>
    </row>
    <row r="234" spans="1:7">
      <c r="A234" s="95"/>
      <c r="B234" s="817" t="s">
        <v>838</v>
      </c>
      <c r="C234" s="818"/>
      <c r="D234" s="98" t="s">
        <v>842</v>
      </c>
      <c r="E234" s="98" t="s">
        <v>853</v>
      </c>
      <c r="F234" s="99" t="s">
        <v>1047</v>
      </c>
      <c r="G234" s="107" t="s">
        <v>840</v>
      </c>
    </row>
    <row r="235" spans="1:7">
      <c r="A235" s="95"/>
      <c r="B235" s="115"/>
      <c r="C235" s="102"/>
      <c r="D235" s="100"/>
      <c r="E235" s="100" t="s">
        <v>312</v>
      </c>
      <c r="F235" s="101" t="s">
        <v>313</v>
      </c>
      <c r="G235" s="108" t="s">
        <v>314</v>
      </c>
    </row>
    <row r="236" spans="1:7">
      <c r="A236" s="125"/>
      <c r="B236" s="841" t="str">
        <f>MATERIALES2!C97</f>
        <v>BLOQUE DE CEMENTO H10</v>
      </c>
      <c r="C236" s="842"/>
      <c r="D236" s="87" t="s">
        <v>865</v>
      </c>
      <c r="E236" s="81">
        <v>2.5</v>
      </c>
      <c r="F236" s="80">
        <f>MATERIALES2!E97</f>
        <v>580</v>
      </c>
      <c r="G236" s="110">
        <f>ROUND(E236*F236,0)</f>
        <v>1450</v>
      </c>
    </row>
    <row r="237" spans="1:7">
      <c r="A237" s="123"/>
      <c r="B237" s="854" t="str">
        <f>MATERIALES2!C13</f>
        <v>CEMENTO GRIS</v>
      </c>
      <c r="C237" s="855"/>
      <c r="D237" s="37" t="s">
        <v>925</v>
      </c>
      <c r="E237" s="53">
        <v>1.82</v>
      </c>
      <c r="F237" s="82">
        <f>MATERIALES2!E13</f>
        <v>420</v>
      </c>
      <c r="G237" s="111">
        <f>ROUND(E237*F237,0)</f>
        <v>764</v>
      </c>
    </row>
    <row r="238" spans="1:7" ht="14.25">
      <c r="A238" s="95"/>
      <c r="B238" s="854" t="str">
        <f>MATERIALES2!C20</f>
        <v xml:space="preserve">ARENA </v>
      </c>
      <c r="C238" s="855"/>
      <c r="D238" s="37" t="s">
        <v>1066</v>
      </c>
      <c r="E238" s="53">
        <v>0.01</v>
      </c>
      <c r="F238" s="82">
        <f>MATERIALES2!E20</f>
        <v>35000</v>
      </c>
      <c r="G238" s="111">
        <f>ROUND(E238*F238,0)</f>
        <v>350</v>
      </c>
    </row>
    <row r="239" spans="1:7">
      <c r="A239" s="95"/>
      <c r="B239" s="854" t="str">
        <f>MATERIALES2!C28</f>
        <v>AGUA</v>
      </c>
      <c r="C239" s="855"/>
      <c r="D239" s="37" t="s">
        <v>1071</v>
      </c>
      <c r="E239" s="53">
        <v>1.01</v>
      </c>
      <c r="F239" s="82">
        <f>MATERIALES2!E28</f>
        <v>50</v>
      </c>
      <c r="G239" s="111">
        <f>ROUND(E239*F239,0)</f>
        <v>51</v>
      </c>
    </row>
    <row r="240" spans="1:7">
      <c r="A240" s="95"/>
      <c r="B240" s="854"/>
      <c r="C240" s="855"/>
      <c r="D240" s="37"/>
      <c r="E240" s="83"/>
      <c r="F240" s="82"/>
      <c r="G240" s="111"/>
    </row>
    <row r="241" spans="1:8">
      <c r="A241" s="95"/>
      <c r="B241" s="854"/>
      <c r="C241" s="855"/>
      <c r="D241" s="37"/>
      <c r="E241" s="53"/>
      <c r="F241" s="82"/>
      <c r="G241" s="111"/>
    </row>
    <row r="242" spans="1:8">
      <c r="A242" s="95"/>
      <c r="B242" s="854"/>
      <c r="C242" s="855"/>
      <c r="D242" s="37"/>
      <c r="E242" s="53"/>
      <c r="F242" s="82"/>
      <c r="G242" s="111"/>
    </row>
    <row r="243" spans="1:8">
      <c r="A243" s="95"/>
      <c r="B243" s="938" t="s">
        <v>841</v>
      </c>
      <c r="C243" s="939"/>
      <c r="D243" s="53" t="s">
        <v>841</v>
      </c>
      <c r="E243" s="53"/>
      <c r="F243" s="82"/>
      <c r="G243" s="111"/>
      <c r="H243" s="505" t="s">
        <v>1670</v>
      </c>
    </row>
    <row r="244" spans="1:8" ht="13.5" thickBot="1">
      <c r="A244" s="95"/>
      <c r="B244" s="942" t="s">
        <v>841</v>
      </c>
      <c r="C244" s="943"/>
      <c r="D244" s="84" t="s">
        <v>841</v>
      </c>
      <c r="E244" s="84"/>
      <c r="F244" s="85"/>
      <c r="G244" s="112"/>
    </row>
    <row r="245" spans="1:8" ht="13.5" thickTop="1">
      <c r="A245" s="95"/>
      <c r="B245" s="808"/>
      <c r="C245" s="809"/>
      <c r="D245" s="801" t="s">
        <v>856</v>
      </c>
      <c r="E245" s="802"/>
      <c r="F245" s="9"/>
      <c r="G245" s="113">
        <f>SUM(G236:G244)</f>
        <v>2615</v>
      </c>
    </row>
    <row r="246" spans="1:8">
      <c r="A246" s="95"/>
      <c r="B246" s="819"/>
      <c r="C246" s="820"/>
      <c r="D246" s="801" t="s">
        <v>857</v>
      </c>
      <c r="E246" s="802"/>
      <c r="F246" s="79">
        <f>'MANO DE OBRA'!D60</f>
        <v>0.05</v>
      </c>
      <c r="G246" s="113">
        <f>ROUND(G245*F246,0)</f>
        <v>131</v>
      </c>
    </row>
    <row r="247" spans="1:8" ht="13.5" thickBot="1">
      <c r="A247" s="95"/>
      <c r="B247" s="819"/>
      <c r="C247" s="820"/>
      <c r="D247" s="803" t="s">
        <v>320</v>
      </c>
      <c r="E247" s="804"/>
      <c r="F247" s="114"/>
      <c r="G247" s="118">
        <f>+G245+G246</f>
        <v>2746</v>
      </c>
    </row>
    <row r="248" spans="1:8" ht="14.25" thickTop="1" thickBot="1">
      <c r="A248" s="95"/>
      <c r="B248" s="830"/>
      <c r="C248" s="830"/>
      <c r="D248" s="830"/>
      <c r="E248" s="830"/>
      <c r="F248" s="830"/>
      <c r="G248" s="830"/>
    </row>
    <row r="249" spans="1:8" ht="13.5" thickTop="1">
      <c r="A249" s="95"/>
      <c r="B249" s="811" t="s">
        <v>858</v>
      </c>
      <c r="C249" s="812"/>
      <c r="D249" s="812"/>
      <c r="E249" s="812"/>
      <c r="F249" s="812"/>
      <c r="G249" s="825"/>
    </row>
    <row r="250" spans="1:8">
      <c r="A250" s="95"/>
      <c r="B250" s="817"/>
      <c r="C250" s="818"/>
      <c r="D250" s="98" t="s">
        <v>301</v>
      </c>
      <c r="E250" s="98" t="s">
        <v>859</v>
      </c>
      <c r="F250" s="99" t="s">
        <v>839</v>
      </c>
      <c r="G250" s="107" t="s">
        <v>840</v>
      </c>
    </row>
    <row r="251" spans="1:8">
      <c r="A251" s="95"/>
      <c r="B251" s="821" t="s">
        <v>838</v>
      </c>
      <c r="C251" s="822"/>
      <c r="D251" s="100" t="s">
        <v>316</v>
      </c>
      <c r="E251" s="100" t="s">
        <v>315</v>
      </c>
      <c r="F251" s="101" t="s">
        <v>306</v>
      </c>
      <c r="G251" s="108" t="s">
        <v>319</v>
      </c>
    </row>
    <row r="252" spans="1:8">
      <c r="A252" s="95"/>
      <c r="B252" s="115"/>
      <c r="C252" s="102"/>
      <c r="D252" s="103"/>
      <c r="E252" s="103" t="s">
        <v>317</v>
      </c>
      <c r="F252" s="104" t="s">
        <v>318</v>
      </c>
      <c r="G252" s="109"/>
    </row>
    <row r="253" spans="1:8">
      <c r="A253" s="95"/>
      <c r="B253" s="823" t="str">
        <f>'MANO DE OBRA'!B10</f>
        <v>AYUDANTE CUAD. TIPO AA</v>
      </c>
      <c r="C253" s="824"/>
      <c r="D253" s="87">
        <v>1</v>
      </c>
      <c r="E253" s="80">
        <f>'MANO DE OBRA'!E10</f>
        <v>34680</v>
      </c>
      <c r="F253" s="81">
        <v>15</v>
      </c>
      <c r="G253" s="110">
        <f>ROUND(D253*E253/F253,0)</f>
        <v>2312</v>
      </c>
    </row>
    <row r="254" spans="1:8">
      <c r="A254" s="95"/>
      <c r="B254" s="835" t="str">
        <f>'MANO DE OBRA'!B15</f>
        <v xml:space="preserve">OFICIAL CUAD. TIPO AA </v>
      </c>
      <c r="C254" s="836"/>
      <c r="D254" s="37">
        <v>1</v>
      </c>
      <c r="E254" s="82">
        <f>'MANO DE OBRA'!E15</f>
        <v>71474</v>
      </c>
      <c r="F254" s="83">
        <v>15</v>
      </c>
      <c r="G254" s="111">
        <f>ROUND(D254*E254/F254,0)</f>
        <v>4765</v>
      </c>
    </row>
    <row r="255" spans="1:8">
      <c r="A255" s="95"/>
      <c r="B255" s="835"/>
      <c r="C255" s="836"/>
      <c r="D255" s="89"/>
      <c r="E255" s="82"/>
      <c r="F255" s="83"/>
      <c r="G255" s="111"/>
    </row>
    <row r="256" spans="1:8">
      <c r="A256" s="95"/>
      <c r="B256" s="835" t="s">
        <v>841</v>
      </c>
      <c r="C256" s="836"/>
      <c r="D256" s="37"/>
      <c r="E256" s="82"/>
      <c r="F256" s="83"/>
      <c r="G256" s="111"/>
    </row>
    <row r="257" spans="1:8" ht="13.5" thickBot="1">
      <c r="A257" s="95"/>
      <c r="B257" s="828" t="s">
        <v>841</v>
      </c>
      <c r="C257" s="829"/>
      <c r="D257" s="77"/>
      <c r="E257" s="82"/>
      <c r="F257" s="86"/>
      <c r="G257" s="112"/>
    </row>
    <row r="258" spans="1:8" ht="14.25" thickTop="1" thickBot="1">
      <c r="A258" s="95"/>
      <c r="B258" s="808"/>
      <c r="C258" s="808"/>
      <c r="D258" s="808"/>
      <c r="E258" s="809"/>
      <c r="F258" s="120" t="s">
        <v>856</v>
      </c>
      <c r="G258" s="118">
        <f>SUM(G253:G257)</f>
        <v>7077</v>
      </c>
    </row>
    <row r="259" spans="1:8" ht="14.25" thickTop="1" thickBot="1">
      <c r="A259" s="95"/>
      <c r="B259" s="810"/>
      <c r="C259" s="810"/>
      <c r="D259" s="810"/>
      <c r="E259" s="810"/>
      <c r="F259" s="810"/>
      <c r="G259" s="810"/>
    </row>
    <row r="260" spans="1:8" ht="13.5" thickTop="1">
      <c r="A260" s="95"/>
      <c r="B260" s="811" t="s">
        <v>321</v>
      </c>
      <c r="C260" s="812"/>
      <c r="D260" s="812"/>
      <c r="E260" s="812"/>
      <c r="F260" s="812"/>
      <c r="G260" s="825"/>
    </row>
    <row r="261" spans="1:8">
      <c r="A261" s="95"/>
      <c r="B261" s="817" t="s">
        <v>838</v>
      </c>
      <c r="C261" s="818"/>
      <c r="D261" s="98" t="s">
        <v>301</v>
      </c>
      <c r="E261" s="98" t="s">
        <v>297</v>
      </c>
      <c r="F261" s="99" t="s">
        <v>839</v>
      </c>
      <c r="G261" s="107" t="s">
        <v>840</v>
      </c>
    </row>
    <row r="262" spans="1:8">
      <c r="A262" s="95"/>
      <c r="B262" s="115"/>
      <c r="C262" s="102"/>
      <c r="D262" s="103" t="s">
        <v>322</v>
      </c>
      <c r="E262" s="103" t="s">
        <v>323</v>
      </c>
      <c r="F262" s="104" t="s">
        <v>324</v>
      </c>
      <c r="G262" s="109" t="s">
        <v>325</v>
      </c>
    </row>
    <row r="263" spans="1:8">
      <c r="A263" s="95"/>
      <c r="B263" s="826"/>
      <c r="C263" s="827"/>
      <c r="D263" s="96"/>
      <c r="E263" s="96"/>
      <c r="F263" s="96"/>
      <c r="G263" s="116"/>
    </row>
    <row r="264" spans="1:8" ht="13.5" thickBot="1">
      <c r="A264" s="95"/>
      <c r="B264" s="828" t="s">
        <v>841</v>
      </c>
      <c r="C264" s="829"/>
      <c r="D264" s="77"/>
      <c r="E264" s="82"/>
      <c r="F264" s="86"/>
      <c r="G264" s="112"/>
    </row>
    <row r="265" spans="1:8" ht="14.25" thickTop="1" thickBot="1">
      <c r="A265" s="95"/>
      <c r="B265" s="808"/>
      <c r="C265" s="808"/>
      <c r="D265" s="808"/>
      <c r="E265" s="809"/>
      <c r="F265" s="120" t="s">
        <v>856</v>
      </c>
      <c r="G265" s="118">
        <f>SUM(G260:G264)</f>
        <v>0</v>
      </c>
    </row>
    <row r="266" spans="1:8" ht="14.25" thickTop="1" thickBot="1">
      <c r="A266" s="95"/>
      <c r="B266" s="810"/>
      <c r="C266" s="810"/>
      <c r="D266" s="810"/>
      <c r="E266" s="810"/>
      <c r="F266" s="810"/>
      <c r="G266" s="834"/>
    </row>
    <row r="267" spans="1:8" ht="13.5" thickTop="1">
      <c r="A267" s="95"/>
      <c r="B267" s="811" t="s">
        <v>326</v>
      </c>
      <c r="C267" s="812"/>
      <c r="D267" s="812"/>
      <c r="E267" s="812"/>
      <c r="F267" s="813"/>
      <c r="G267" s="121">
        <f>+G231+G247+G258</f>
        <v>10177</v>
      </c>
    </row>
    <row r="268" spans="1:8">
      <c r="A268" s="95"/>
      <c r="B268" s="814" t="s">
        <v>861</v>
      </c>
      <c r="C268" s="815"/>
      <c r="D268" s="815"/>
      <c r="E268" s="816"/>
      <c r="F268" s="128">
        <f>'MANO DE OBRA'!D59</f>
        <v>0</v>
      </c>
      <c r="G268" s="122">
        <f>ROUND(G267*F268,0)</f>
        <v>0</v>
      </c>
    </row>
    <row r="269" spans="1:8" ht="13.5" thickBot="1">
      <c r="A269" s="95"/>
      <c r="B269" s="805" t="s">
        <v>1049</v>
      </c>
      <c r="C269" s="806"/>
      <c r="D269" s="806"/>
      <c r="E269" s="806"/>
      <c r="F269" s="807"/>
      <c r="G269" s="118">
        <f>ROUND(G267+G268,-2)</f>
        <v>10200</v>
      </c>
      <c r="H269" s="505" t="s">
        <v>1670</v>
      </c>
    </row>
    <row r="270" spans="1:8" ht="15" thickTop="1">
      <c r="A270" s="95"/>
      <c r="B270" s="90" t="s">
        <v>303</v>
      </c>
      <c r="C270" s="843"/>
      <c r="D270" s="843"/>
      <c r="E270" s="843"/>
      <c r="F270" s="92" t="s">
        <v>781</v>
      </c>
      <c r="G270" s="93" t="s">
        <v>1067</v>
      </c>
    </row>
    <row r="271" spans="1:8">
      <c r="A271" s="95"/>
      <c r="B271" s="91" t="s">
        <v>834</v>
      </c>
      <c r="C271" s="844" t="s">
        <v>1384</v>
      </c>
      <c r="D271" s="844"/>
      <c r="E271" s="844"/>
      <c r="F271" s="15" t="s">
        <v>833</v>
      </c>
      <c r="G271" s="165" t="str">
        <f>'MANO DE OBRA'!D61</f>
        <v>Agosto de 2010</v>
      </c>
    </row>
    <row r="272" spans="1:8" ht="13.5" thickBot="1">
      <c r="A272" s="127"/>
      <c r="B272" s="94" t="s">
        <v>835</v>
      </c>
      <c r="C272" s="845" t="s">
        <v>1390</v>
      </c>
      <c r="D272" s="845"/>
      <c r="E272" s="845"/>
      <c r="F272" s="845"/>
      <c r="G272" s="846"/>
    </row>
    <row r="273" spans="1:7" ht="14.25" thickTop="1" thickBot="1">
      <c r="A273" s="95"/>
      <c r="B273" s="847"/>
      <c r="C273" s="847"/>
      <c r="D273" s="847"/>
      <c r="E273" s="847"/>
      <c r="F273" s="847"/>
      <c r="G273" s="847"/>
    </row>
    <row r="274" spans="1:7" ht="13.5" thickTop="1">
      <c r="A274" s="95"/>
      <c r="B274" s="811" t="s">
        <v>304</v>
      </c>
      <c r="C274" s="812"/>
      <c r="D274" s="812"/>
      <c r="E274" s="812"/>
      <c r="F274" s="812"/>
      <c r="G274" s="825"/>
    </row>
    <row r="275" spans="1:7">
      <c r="A275" s="95"/>
      <c r="B275" s="105"/>
      <c r="C275" s="97"/>
      <c r="D275" s="98" t="s">
        <v>301</v>
      </c>
      <c r="E275" s="98" t="s">
        <v>1072</v>
      </c>
      <c r="F275" s="99" t="s">
        <v>839</v>
      </c>
      <c r="G275" s="107" t="s">
        <v>840</v>
      </c>
    </row>
    <row r="276" spans="1:7">
      <c r="A276" s="95"/>
      <c r="B276" s="821" t="s">
        <v>838</v>
      </c>
      <c r="C276" s="822"/>
      <c r="D276" s="100" t="s">
        <v>308</v>
      </c>
      <c r="E276" s="100" t="s">
        <v>305</v>
      </c>
      <c r="F276" s="101" t="s">
        <v>306</v>
      </c>
      <c r="G276" s="108" t="s">
        <v>310</v>
      </c>
    </row>
    <row r="277" spans="1:7">
      <c r="A277" s="95"/>
      <c r="B277" s="115"/>
      <c r="C277" s="102"/>
      <c r="D277" s="103"/>
      <c r="E277" s="103" t="s">
        <v>309</v>
      </c>
      <c r="F277" s="104" t="s">
        <v>307</v>
      </c>
      <c r="G277" s="109"/>
    </row>
    <row r="278" spans="1:7">
      <c r="A278" s="127"/>
      <c r="B278" s="823" t="str">
        <f>'MAQUINARIA Y EQUIPOS'!C28</f>
        <v>HERRAMIENTAS MENORES</v>
      </c>
      <c r="C278" s="824"/>
      <c r="D278" s="87">
        <v>1</v>
      </c>
      <c r="E278" s="82">
        <f>ROUND(G311*0.05,0)</f>
        <v>843</v>
      </c>
      <c r="F278" s="81">
        <v>1</v>
      </c>
      <c r="G278" s="110">
        <f>ROUND(D278*E278/F278,0)</f>
        <v>843</v>
      </c>
    </row>
    <row r="279" spans="1:7">
      <c r="A279" s="95"/>
      <c r="B279" s="835"/>
      <c r="C279" s="836"/>
      <c r="D279" s="37"/>
      <c r="E279" s="82"/>
      <c r="F279" s="83"/>
      <c r="G279" s="111"/>
    </row>
    <row r="280" spans="1:7">
      <c r="A280" s="95"/>
      <c r="B280" s="835"/>
      <c r="C280" s="836"/>
      <c r="D280" s="89"/>
      <c r="E280" s="82"/>
      <c r="F280" s="83"/>
      <c r="G280" s="111"/>
    </row>
    <row r="281" spans="1:7">
      <c r="A281" s="95"/>
      <c r="B281" s="835"/>
      <c r="C281" s="836"/>
      <c r="D281" s="89"/>
      <c r="E281" s="82"/>
      <c r="F281" s="83"/>
      <c r="G281" s="111"/>
    </row>
    <row r="282" spans="1:7">
      <c r="A282" s="95"/>
      <c r="B282" s="835" t="s">
        <v>841</v>
      </c>
      <c r="C282" s="836"/>
      <c r="D282" s="37"/>
      <c r="E282" s="82"/>
      <c r="F282" s="83"/>
      <c r="G282" s="111"/>
    </row>
    <row r="283" spans="1:7" ht="13.5" thickBot="1">
      <c r="A283" s="95"/>
      <c r="B283" s="839" t="s">
        <v>841</v>
      </c>
      <c r="C283" s="840"/>
      <c r="D283" s="77"/>
      <c r="E283" s="106"/>
      <c r="F283" s="86"/>
      <c r="G283" s="112"/>
    </row>
    <row r="284" spans="1:7" ht="14.25" thickTop="1" thickBot="1">
      <c r="A284" s="95"/>
      <c r="B284" s="808"/>
      <c r="C284" s="808"/>
      <c r="D284" s="808"/>
      <c r="E284" s="809"/>
      <c r="F284" s="119" t="s">
        <v>856</v>
      </c>
      <c r="G284" s="118">
        <f>SUM(G278:G283)</f>
        <v>843</v>
      </c>
    </row>
    <row r="285" spans="1:7" ht="14.25" thickTop="1" thickBot="1">
      <c r="A285" s="95"/>
      <c r="B285" s="830"/>
      <c r="C285" s="830"/>
      <c r="D285" s="830"/>
      <c r="E285" s="830"/>
      <c r="F285" s="830"/>
      <c r="G285" s="830"/>
    </row>
    <row r="286" spans="1:7" ht="13.5" thickTop="1">
      <c r="A286" s="95"/>
      <c r="B286" s="811" t="s">
        <v>311</v>
      </c>
      <c r="C286" s="812"/>
      <c r="D286" s="812"/>
      <c r="E286" s="812"/>
      <c r="F286" s="812"/>
      <c r="G286" s="825"/>
    </row>
    <row r="287" spans="1:7">
      <c r="A287" s="95"/>
      <c r="B287" s="817" t="s">
        <v>838</v>
      </c>
      <c r="C287" s="818"/>
      <c r="D287" s="98" t="s">
        <v>842</v>
      </c>
      <c r="E287" s="98" t="s">
        <v>853</v>
      </c>
      <c r="F287" s="99" t="s">
        <v>1047</v>
      </c>
      <c r="G287" s="107" t="s">
        <v>840</v>
      </c>
    </row>
    <row r="288" spans="1:7">
      <c r="A288" s="95"/>
      <c r="B288" s="115"/>
      <c r="C288" s="102"/>
      <c r="D288" s="100"/>
      <c r="E288" s="100" t="s">
        <v>312</v>
      </c>
      <c r="F288" s="101" t="s">
        <v>313</v>
      </c>
      <c r="G288" s="108" t="s">
        <v>314</v>
      </c>
    </row>
    <row r="289" spans="1:8">
      <c r="A289" s="125"/>
      <c r="B289" s="841" t="str">
        <f>MATERIALES2!C92</f>
        <v>TOLETE COMUN</v>
      </c>
      <c r="C289" s="842"/>
      <c r="D289" s="87" t="s">
        <v>865</v>
      </c>
      <c r="E289" s="81">
        <v>118</v>
      </c>
      <c r="F289" s="80">
        <f>MATERIALES2!E92</f>
        <v>380</v>
      </c>
      <c r="G289" s="110">
        <f>ROUND(E289*F289,0)</f>
        <v>44840</v>
      </c>
    </row>
    <row r="290" spans="1:8">
      <c r="A290" s="123"/>
      <c r="B290" s="854" t="str">
        <f>MATERIALES2!C13</f>
        <v>CEMENTO GRIS</v>
      </c>
      <c r="C290" s="855"/>
      <c r="D290" s="37" t="s">
        <v>925</v>
      </c>
      <c r="E290" s="53">
        <v>32.25</v>
      </c>
      <c r="F290" s="82">
        <f>MATERIALES2!E13</f>
        <v>420</v>
      </c>
      <c r="G290" s="111">
        <f>ROUND(E290*F290,0)</f>
        <v>13545</v>
      </c>
    </row>
    <row r="291" spans="1:8" ht="14.25">
      <c r="A291" s="123"/>
      <c r="B291" s="854" t="str">
        <f>MATERIALES2!C20</f>
        <v xml:space="preserve">ARENA </v>
      </c>
      <c r="C291" s="855"/>
      <c r="D291" s="37" t="s">
        <v>1066</v>
      </c>
      <c r="E291" s="53">
        <v>7.6999999999999999E-2</v>
      </c>
      <c r="F291" s="82">
        <f>MATERIALES2!E20</f>
        <v>35000</v>
      </c>
      <c r="G291" s="111">
        <f>ROUND(E291*F291,0)</f>
        <v>2695</v>
      </c>
    </row>
    <row r="292" spans="1:8">
      <c r="A292" s="123"/>
      <c r="B292" s="854" t="str">
        <f>MATERIALES2!C28</f>
        <v>AGUA</v>
      </c>
      <c r="C292" s="855"/>
      <c r="D292" s="37" t="s">
        <v>1071</v>
      </c>
      <c r="E292" s="83">
        <v>17.899999999999999</v>
      </c>
      <c r="F292" s="82">
        <f>MATERIALES2!E28</f>
        <v>50</v>
      </c>
      <c r="G292" s="111">
        <f>ROUND(E292*F292,0)</f>
        <v>895</v>
      </c>
    </row>
    <row r="293" spans="1:8">
      <c r="A293" s="123"/>
      <c r="B293" s="854"/>
      <c r="C293" s="855"/>
      <c r="D293" s="37"/>
      <c r="E293" s="53"/>
      <c r="F293" s="82"/>
      <c r="G293" s="111"/>
    </row>
    <row r="294" spans="1:8">
      <c r="A294" s="95"/>
      <c r="B294" s="854"/>
      <c r="C294" s="855"/>
      <c r="D294" s="37"/>
      <c r="E294" s="53"/>
      <c r="F294" s="82"/>
      <c r="G294" s="111"/>
    </row>
    <row r="295" spans="1:8">
      <c r="A295" s="95"/>
      <c r="B295" s="854"/>
      <c r="C295" s="855"/>
      <c r="D295" s="37"/>
      <c r="E295" s="53"/>
      <c r="F295" s="82"/>
      <c r="G295" s="111"/>
    </row>
    <row r="296" spans="1:8">
      <c r="A296" s="95"/>
      <c r="B296" s="938" t="s">
        <v>841</v>
      </c>
      <c r="C296" s="939"/>
      <c r="D296" s="53" t="s">
        <v>841</v>
      </c>
      <c r="E296" s="53"/>
      <c r="F296" s="82"/>
      <c r="G296" s="111"/>
      <c r="H296" s="505" t="s">
        <v>1670</v>
      </c>
    </row>
    <row r="297" spans="1:8" ht="13.5" thickBot="1">
      <c r="A297" s="95"/>
      <c r="B297" s="942" t="s">
        <v>841</v>
      </c>
      <c r="C297" s="943"/>
      <c r="D297" s="84" t="s">
        <v>841</v>
      </c>
      <c r="E297" s="84"/>
      <c r="F297" s="85"/>
      <c r="G297" s="112"/>
    </row>
    <row r="298" spans="1:8" ht="13.5" thickTop="1">
      <c r="A298" s="95"/>
      <c r="B298" s="808"/>
      <c r="C298" s="809"/>
      <c r="D298" s="801" t="s">
        <v>856</v>
      </c>
      <c r="E298" s="802"/>
      <c r="F298" s="9"/>
      <c r="G298" s="113">
        <f>SUM(G289:G297)</f>
        <v>61975</v>
      </c>
    </row>
    <row r="299" spans="1:8">
      <c r="A299" s="95"/>
      <c r="B299" s="819"/>
      <c r="C299" s="820"/>
      <c r="D299" s="801" t="s">
        <v>857</v>
      </c>
      <c r="E299" s="802"/>
      <c r="F299" s="79">
        <f>'MANO DE OBRA'!D60</f>
        <v>0.05</v>
      </c>
      <c r="G299" s="113">
        <f>ROUND(G298*F299,0)</f>
        <v>3099</v>
      </c>
    </row>
    <row r="300" spans="1:8" ht="13.5" thickBot="1">
      <c r="A300" s="95"/>
      <c r="B300" s="819"/>
      <c r="C300" s="820"/>
      <c r="D300" s="803" t="s">
        <v>320</v>
      </c>
      <c r="E300" s="804"/>
      <c r="F300" s="114"/>
      <c r="G300" s="118">
        <f>+G298+G299</f>
        <v>65074</v>
      </c>
    </row>
    <row r="301" spans="1:8" ht="14.25" thickTop="1" thickBot="1">
      <c r="A301" s="95"/>
      <c r="B301" s="830"/>
      <c r="C301" s="830"/>
      <c r="D301" s="830"/>
      <c r="E301" s="830"/>
      <c r="F301" s="830"/>
      <c r="G301" s="830"/>
    </row>
    <row r="302" spans="1:8" ht="13.5" thickTop="1">
      <c r="A302" s="95"/>
      <c r="B302" s="811" t="s">
        <v>858</v>
      </c>
      <c r="C302" s="812"/>
      <c r="D302" s="812"/>
      <c r="E302" s="812"/>
      <c r="F302" s="812"/>
      <c r="G302" s="825"/>
    </row>
    <row r="303" spans="1:8">
      <c r="A303" s="95"/>
      <c r="B303" s="817"/>
      <c r="C303" s="818"/>
      <c r="D303" s="98" t="s">
        <v>301</v>
      </c>
      <c r="E303" s="98" t="s">
        <v>859</v>
      </c>
      <c r="F303" s="99" t="s">
        <v>839</v>
      </c>
      <c r="G303" s="107" t="s">
        <v>840</v>
      </c>
    </row>
    <row r="304" spans="1:8">
      <c r="A304" s="95"/>
      <c r="B304" s="821" t="s">
        <v>838</v>
      </c>
      <c r="C304" s="822"/>
      <c r="D304" s="100" t="s">
        <v>316</v>
      </c>
      <c r="E304" s="100" t="s">
        <v>315</v>
      </c>
      <c r="F304" s="101" t="s">
        <v>306</v>
      </c>
      <c r="G304" s="108" t="s">
        <v>319</v>
      </c>
    </row>
    <row r="305" spans="1:7">
      <c r="A305" s="95"/>
      <c r="B305" s="115"/>
      <c r="C305" s="102"/>
      <c r="D305" s="103"/>
      <c r="E305" s="103" t="s">
        <v>317</v>
      </c>
      <c r="F305" s="104" t="s">
        <v>318</v>
      </c>
      <c r="G305" s="109"/>
    </row>
    <row r="306" spans="1:7">
      <c r="A306" s="95"/>
      <c r="B306" s="823" t="str">
        <f>'MANO DE OBRA'!B10</f>
        <v>AYUDANTE CUAD. TIPO AA</v>
      </c>
      <c r="C306" s="824"/>
      <c r="D306" s="87">
        <v>1</v>
      </c>
      <c r="E306" s="80">
        <f>'MANO DE OBRA'!E10</f>
        <v>34680</v>
      </c>
      <c r="F306" s="81">
        <v>6.3</v>
      </c>
      <c r="G306" s="110">
        <f>ROUND(D306*E306/F306,0)</f>
        <v>5505</v>
      </c>
    </row>
    <row r="307" spans="1:7">
      <c r="A307" s="95"/>
      <c r="B307" s="835" t="str">
        <f>'MANO DE OBRA'!B15</f>
        <v xml:space="preserve">OFICIAL CUAD. TIPO AA </v>
      </c>
      <c r="C307" s="836"/>
      <c r="D307" s="37">
        <v>1</v>
      </c>
      <c r="E307" s="82">
        <f>'MANO DE OBRA'!E15</f>
        <v>71474</v>
      </c>
      <c r="F307" s="83">
        <v>6.3</v>
      </c>
      <c r="G307" s="111">
        <f>ROUND(D307*E307/F307,0)</f>
        <v>11345</v>
      </c>
    </row>
    <row r="308" spans="1:7">
      <c r="A308" s="95"/>
      <c r="B308" s="835"/>
      <c r="C308" s="836"/>
      <c r="D308" s="89"/>
      <c r="E308" s="82"/>
      <c r="F308" s="83"/>
      <c r="G308" s="111"/>
    </row>
    <row r="309" spans="1:7">
      <c r="A309" s="95"/>
      <c r="B309" s="835" t="s">
        <v>841</v>
      </c>
      <c r="C309" s="836"/>
      <c r="D309" s="37"/>
      <c r="E309" s="82"/>
      <c r="F309" s="83"/>
      <c r="G309" s="111"/>
    </row>
    <row r="310" spans="1:7" ht="13.5" thickBot="1">
      <c r="A310" s="95"/>
      <c r="B310" s="828" t="s">
        <v>841</v>
      </c>
      <c r="C310" s="829"/>
      <c r="D310" s="77"/>
      <c r="E310" s="82"/>
      <c r="F310" s="86"/>
      <c r="G310" s="112"/>
    </row>
    <row r="311" spans="1:7" ht="14.25" thickTop="1" thickBot="1">
      <c r="A311" s="95"/>
      <c r="B311" s="808"/>
      <c r="C311" s="808"/>
      <c r="D311" s="808"/>
      <c r="E311" s="809"/>
      <c r="F311" s="120" t="s">
        <v>856</v>
      </c>
      <c r="G311" s="118">
        <f>SUM(G306:G310)</f>
        <v>16850</v>
      </c>
    </row>
    <row r="312" spans="1:7" ht="14.25" thickTop="1" thickBot="1">
      <c r="A312" s="95"/>
      <c r="B312" s="810"/>
      <c r="C312" s="810"/>
      <c r="D312" s="810"/>
      <c r="E312" s="810"/>
      <c r="F312" s="810"/>
      <c r="G312" s="810"/>
    </row>
    <row r="313" spans="1:7" ht="13.5" thickTop="1">
      <c r="A313" s="95"/>
      <c r="B313" s="811" t="s">
        <v>321</v>
      </c>
      <c r="C313" s="812"/>
      <c r="D313" s="812"/>
      <c r="E313" s="812"/>
      <c r="F313" s="812"/>
      <c r="G313" s="825"/>
    </row>
    <row r="314" spans="1:7">
      <c r="A314" s="95"/>
      <c r="B314" s="817" t="s">
        <v>838</v>
      </c>
      <c r="C314" s="818"/>
      <c r="D314" s="98" t="s">
        <v>301</v>
      </c>
      <c r="E314" s="98" t="s">
        <v>297</v>
      </c>
      <c r="F314" s="99" t="s">
        <v>839</v>
      </c>
      <c r="G314" s="107" t="s">
        <v>840</v>
      </c>
    </row>
    <row r="315" spans="1:7">
      <c r="A315" s="95"/>
      <c r="B315" s="115"/>
      <c r="C315" s="102"/>
      <c r="D315" s="103" t="s">
        <v>322</v>
      </c>
      <c r="E315" s="103" t="s">
        <v>323</v>
      </c>
      <c r="F315" s="104" t="s">
        <v>324</v>
      </c>
      <c r="G315" s="109" t="s">
        <v>325</v>
      </c>
    </row>
    <row r="316" spans="1:7">
      <c r="A316" s="95"/>
      <c r="B316" s="826"/>
      <c r="C316" s="827"/>
      <c r="D316" s="96"/>
      <c r="E316" s="96"/>
      <c r="F316" s="96"/>
      <c r="G316" s="116"/>
    </row>
    <row r="317" spans="1:7" ht="13.5" thickBot="1">
      <c r="A317" s="95"/>
      <c r="B317" s="828" t="s">
        <v>841</v>
      </c>
      <c r="C317" s="829"/>
      <c r="D317" s="77"/>
      <c r="E317" s="82"/>
      <c r="F317" s="86"/>
      <c r="G317" s="112"/>
    </row>
    <row r="318" spans="1:7" ht="14.25" thickTop="1" thickBot="1">
      <c r="A318" s="95"/>
      <c r="B318" s="808"/>
      <c r="C318" s="808"/>
      <c r="D318" s="808"/>
      <c r="E318" s="809"/>
      <c r="F318" s="120" t="s">
        <v>856</v>
      </c>
      <c r="G318" s="118">
        <f>SUM(G313:G317)</f>
        <v>0</v>
      </c>
    </row>
    <row r="319" spans="1:7" ht="14.25" thickTop="1" thickBot="1">
      <c r="A319" s="95"/>
      <c r="B319" s="810"/>
      <c r="C319" s="810"/>
      <c r="D319" s="810"/>
      <c r="E319" s="810"/>
      <c r="F319" s="810"/>
      <c r="G319" s="834"/>
    </row>
    <row r="320" spans="1:7" ht="13.5" thickTop="1">
      <c r="A320" s="95"/>
      <c r="B320" s="811" t="s">
        <v>326</v>
      </c>
      <c r="C320" s="812"/>
      <c r="D320" s="812"/>
      <c r="E320" s="812"/>
      <c r="F320" s="813"/>
      <c r="G320" s="121">
        <f>+G284+G300+G311</f>
        <v>82767</v>
      </c>
    </row>
    <row r="321" spans="1:8">
      <c r="A321" s="95"/>
      <c r="B321" s="814" t="s">
        <v>861</v>
      </c>
      <c r="C321" s="815"/>
      <c r="D321" s="815"/>
      <c r="E321" s="816"/>
      <c r="F321" s="128">
        <f>'MANO DE OBRA'!D59</f>
        <v>0</v>
      </c>
      <c r="G321" s="122">
        <f>ROUND(G320*F321,0)</f>
        <v>0</v>
      </c>
    </row>
    <row r="322" spans="1:8" ht="13.5" thickBot="1">
      <c r="A322" s="95"/>
      <c r="B322" s="805" t="s">
        <v>1049</v>
      </c>
      <c r="C322" s="806"/>
      <c r="D322" s="806"/>
      <c r="E322" s="806"/>
      <c r="F322" s="807"/>
      <c r="G322" s="118">
        <f>ROUND(G320+G321,-2)</f>
        <v>82800</v>
      </c>
      <c r="H322" s="505" t="s">
        <v>1670</v>
      </c>
    </row>
    <row r="323" spans="1:8" ht="15" thickTop="1">
      <c r="A323" s="95"/>
      <c r="B323" s="90" t="s">
        <v>303</v>
      </c>
      <c r="C323" s="843"/>
      <c r="D323" s="843"/>
      <c r="E323" s="843"/>
      <c r="F323" s="92" t="s">
        <v>781</v>
      </c>
      <c r="G323" s="93" t="s">
        <v>1067</v>
      </c>
    </row>
    <row r="324" spans="1:8">
      <c r="A324" s="95"/>
      <c r="B324" s="91" t="s">
        <v>834</v>
      </c>
      <c r="C324" s="844" t="s">
        <v>1384</v>
      </c>
      <c r="D324" s="844"/>
      <c r="E324" s="844"/>
      <c r="F324" s="15" t="s">
        <v>833</v>
      </c>
      <c r="G324" s="165" t="str">
        <f>'MANO DE OBRA'!D61</f>
        <v>Agosto de 2010</v>
      </c>
    </row>
    <row r="325" spans="1:8" ht="13.5" thickBot="1">
      <c r="A325" s="127"/>
      <c r="B325" s="94" t="s">
        <v>835</v>
      </c>
      <c r="C325" s="845" t="s">
        <v>1391</v>
      </c>
      <c r="D325" s="845"/>
      <c r="E325" s="845"/>
      <c r="F325" s="845"/>
      <c r="G325" s="846"/>
    </row>
    <row r="326" spans="1:8" ht="14.25" thickTop="1" thickBot="1">
      <c r="A326" s="95"/>
      <c r="B326" s="847"/>
      <c r="C326" s="847"/>
      <c r="D326" s="847"/>
      <c r="E326" s="847"/>
      <c r="F326" s="847"/>
      <c r="G326" s="847"/>
    </row>
    <row r="327" spans="1:8" ht="13.5" thickTop="1">
      <c r="A327" s="95"/>
      <c r="B327" s="811" t="s">
        <v>304</v>
      </c>
      <c r="C327" s="812"/>
      <c r="D327" s="812"/>
      <c r="E327" s="812"/>
      <c r="F327" s="812"/>
      <c r="G327" s="825"/>
    </row>
    <row r="328" spans="1:8">
      <c r="A328" s="95"/>
      <c r="B328" s="105"/>
      <c r="C328" s="97"/>
      <c r="D328" s="98" t="s">
        <v>301</v>
      </c>
      <c r="E328" s="98" t="s">
        <v>1072</v>
      </c>
      <c r="F328" s="99" t="s">
        <v>839</v>
      </c>
      <c r="G328" s="107" t="s">
        <v>840</v>
      </c>
    </row>
    <row r="329" spans="1:8">
      <c r="A329" s="95"/>
      <c r="B329" s="821" t="s">
        <v>838</v>
      </c>
      <c r="C329" s="822"/>
      <c r="D329" s="100" t="s">
        <v>308</v>
      </c>
      <c r="E329" s="100" t="s">
        <v>305</v>
      </c>
      <c r="F329" s="101" t="s">
        <v>306</v>
      </c>
      <c r="G329" s="108" t="s">
        <v>310</v>
      </c>
    </row>
    <row r="330" spans="1:8">
      <c r="A330" s="95"/>
      <c r="B330" s="115"/>
      <c r="C330" s="102"/>
      <c r="D330" s="103"/>
      <c r="E330" s="103" t="s">
        <v>309</v>
      </c>
      <c r="F330" s="104" t="s">
        <v>307</v>
      </c>
      <c r="G330" s="109"/>
    </row>
    <row r="331" spans="1:8">
      <c r="A331" s="127"/>
      <c r="B331" s="823" t="str">
        <f>'MAQUINARIA Y EQUIPOS'!C28</f>
        <v>HERRAMIENTAS MENORES</v>
      </c>
      <c r="C331" s="824"/>
      <c r="D331" s="87">
        <v>1</v>
      </c>
      <c r="E331" s="82">
        <f>ROUND(G364*0.05,0)</f>
        <v>497</v>
      </c>
      <c r="F331" s="81">
        <v>1</v>
      </c>
      <c r="G331" s="110">
        <f>ROUND(D331*E331/F331,0)</f>
        <v>497</v>
      </c>
    </row>
    <row r="332" spans="1:8">
      <c r="A332" s="95"/>
      <c r="B332" s="835"/>
      <c r="C332" s="836"/>
      <c r="D332" s="37"/>
      <c r="E332" s="82"/>
      <c r="F332" s="83"/>
      <c r="G332" s="111"/>
    </row>
    <row r="333" spans="1:8">
      <c r="A333" s="95"/>
      <c r="B333" s="835"/>
      <c r="C333" s="836"/>
      <c r="D333" s="89"/>
      <c r="E333" s="82"/>
      <c r="F333" s="83"/>
      <c r="G333" s="111"/>
    </row>
    <row r="334" spans="1:8">
      <c r="A334" s="95"/>
      <c r="B334" s="835"/>
      <c r="C334" s="836"/>
      <c r="D334" s="89"/>
      <c r="E334" s="82"/>
      <c r="F334" s="83"/>
      <c r="G334" s="111"/>
    </row>
    <row r="335" spans="1:8">
      <c r="A335" s="95"/>
      <c r="B335" s="835" t="s">
        <v>841</v>
      </c>
      <c r="C335" s="836"/>
      <c r="D335" s="37"/>
      <c r="E335" s="82"/>
      <c r="F335" s="83"/>
      <c r="G335" s="111"/>
    </row>
    <row r="336" spans="1:8" ht="13.5" thickBot="1">
      <c r="A336" s="95"/>
      <c r="B336" s="839" t="s">
        <v>841</v>
      </c>
      <c r="C336" s="840"/>
      <c r="D336" s="77"/>
      <c r="E336" s="106"/>
      <c r="F336" s="86"/>
      <c r="G336" s="112"/>
    </row>
    <row r="337" spans="1:8" ht="14.25" thickTop="1" thickBot="1">
      <c r="A337" s="95"/>
      <c r="B337" s="808"/>
      <c r="C337" s="808"/>
      <c r="D337" s="808"/>
      <c r="E337" s="809"/>
      <c r="F337" s="119" t="s">
        <v>856</v>
      </c>
      <c r="G337" s="118">
        <f>SUM(G331:G336)</f>
        <v>497</v>
      </c>
    </row>
    <row r="338" spans="1:8" ht="14.25" thickTop="1" thickBot="1">
      <c r="A338" s="95"/>
      <c r="B338" s="830"/>
      <c r="C338" s="830"/>
      <c r="D338" s="830"/>
      <c r="E338" s="830"/>
      <c r="F338" s="830"/>
      <c r="G338" s="830"/>
    </row>
    <row r="339" spans="1:8" ht="13.5" thickTop="1">
      <c r="A339" s="95"/>
      <c r="B339" s="811" t="s">
        <v>311</v>
      </c>
      <c r="C339" s="812"/>
      <c r="D339" s="812"/>
      <c r="E339" s="812"/>
      <c r="F339" s="812"/>
      <c r="G339" s="825"/>
    </row>
    <row r="340" spans="1:8">
      <c r="A340" s="95"/>
      <c r="B340" s="817" t="s">
        <v>838</v>
      </c>
      <c r="C340" s="818"/>
      <c r="D340" s="98" t="s">
        <v>842</v>
      </c>
      <c r="E340" s="98" t="s">
        <v>853</v>
      </c>
      <c r="F340" s="99" t="s">
        <v>1047</v>
      </c>
      <c r="G340" s="107" t="s">
        <v>840</v>
      </c>
    </row>
    <row r="341" spans="1:8">
      <c r="A341" s="95"/>
      <c r="B341" s="115"/>
      <c r="C341" s="102"/>
      <c r="D341" s="100"/>
      <c r="E341" s="100" t="s">
        <v>312</v>
      </c>
      <c r="F341" s="101" t="s">
        <v>313</v>
      </c>
      <c r="G341" s="108" t="s">
        <v>314</v>
      </c>
    </row>
    <row r="342" spans="1:8">
      <c r="A342" s="125"/>
      <c r="B342" s="841" t="str">
        <f>MATERIALES2!C92</f>
        <v>TOLETE COMUN</v>
      </c>
      <c r="C342" s="842"/>
      <c r="D342" s="87" t="s">
        <v>865</v>
      </c>
      <c r="E342" s="81">
        <v>52.28</v>
      </c>
      <c r="F342" s="80">
        <f>MATERIALES2!E92</f>
        <v>380</v>
      </c>
      <c r="G342" s="110">
        <f>ROUND(E342*F342,0)</f>
        <v>19866</v>
      </c>
    </row>
    <row r="343" spans="1:8">
      <c r="A343" s="123"/>
      <c r="B343" s="854" t="str">
        <f>MATERIALES2!C13</f>
        <v>CEMENTO GRIS</v>
      </c>
      <c r="C343" s="855"/>
      <c r="D343" s="37" t="s">
        <v>925</v>
      </c>
      <c r="E343" s="53">
        <v>12.34</v>
      </c>
      <c r="F343" s="82">
        <f>MATERIALES2!E13</f>
        <v>420</v>
      </c>
      <c r="G343" s="111">
        <f>ROUND(E343*F343,0)</f>
        <v>5183</v>
      </c>
    </row>
    <row r="344" spans="1:8" ht="14.25">
      <c r="A344" s="123"/>
      <c r="B344" s="854" t="str">
        <f>MATERIALES2!C20</f>
        <v xml:space="preserve">ARENA </v>
      </c>
      <c r="C344" s="855"/>
      <c r="D344" s="37" t="s">
        <v>1066</v>
      </c>
      <c r="E344" s="53">
        <v>0.03</v>
      </c>
      <c r="F344" s="82">
        <f>MATERIALES2!E20</f>
        <v>35000</v>
      </c>
      <c r="G344" s="111">
        <f>ROUND(E344*F344,0)</f>
        <v>1050</v>
      </c>
    </row>
    <row r="345" spans="1:8">
      <c r="A345" s="123"/>
      <c r="B345" s="854" t="str">
        <f>MATERIALES2!C28</f>
        <v>AGUA</v>
      </c>
      <c r="C345" s="855"/>
      <c r="D345" s="37" t="s">
        <v>1071</v>
      </c>
      <c r="E345" s="53">
        <v>6.85</v>
      </c>
      <c r="F345" s="82">
        <f>MATERIALES2!E28</f>
        <v>50</v>
      </c>
      <c r="G345" s="111">
        <f>ROUND(E345*F345,0)</f>
        <v>343</v>
      </c>
    </row>
    <row r="346" spans="1:8">
      <c r="A346" s="95"/>
      <c r="B346" s="854"/>
      <c r="C346" s="855"/>
      <c r="D346" s="37"/>
      <c r="E346" s="83"/>
      <c r="F346" s="82"/>
      <c r="G346" s="111"/>
    </row>
    <row r="347" spans="1:8">
      <c r="A347" s="95"/>
      <c r="B347" s="854"/>
      <c r="C347" s="855"/>
      <c r="D347" s="37"/>
      <c r="E347" s="53"/>
      <c r="F347" s="82"/>
      <c r="G347" s="111"/>
    </row>
    <row r="348" spans="1:8">
      <c r="A348" s="95"/>
      <c r="B348" s="854"/>
      <c r="C348" s="855"/>
      <c r="D348" s="37"/>
      <c r="E348" s="53"/>
      <c r="F348" s="82"/>
      <c r="G348" s="111"/>
    </row>
    <row r="349" spans="1:8">
      <c r="A349" s="95"/>
      <c r="B349" s="938" t="s">
        <v>841</v>
      </c>
      <c r="C349" s="939"/>
      <c r="D349" s="53" t="s">
        <v>841</v>
      </c>
      <c r="E349" s="53"/>
      <c r="F349" s="82"/>
      <c r="G349" s="111"/>
      <c r="H349" s="505" t="s">
        <v>1670</v>
      </c>
    </row>
    <row r="350" spans="1:8" ht="13.5" thickBot="1">
      <c r="A350" s="95"/>
      <c r="B350" s="839" t="s">
        <v>841</v>
      </c>
      <c r="C350" s="840"/>
      <c r="D350" s="84" t="s">
        <v>841</v>
      </c>
      <c r="E350" s="84"/>
      <c r="F350" s="85"/>
      <c r="G350" s="112"/>
    </row>
    <row r="351" spans="1:8" ht="13.5" thickTop="1">
      <c r="A351" s="95"/>
      <c r="B351" s="808"/>
      <c r="C351" s="809"/>
      <c r="D351" s="801" t="s">
        <v>856</v>
      </c>
      <c r="E351" s="802"/>
      <c r="F351" s="9"/>
      <c r="G351" s="113">
        <f>SUM(G342:G350)</f>
        <v>26442</v>
      </c>
    </row>
    <row r="352" spans="1:8">
      <c r="A352" s="95"/>
      <c r="B352" s="819"/>
      <c r="C352" s="820"/>
      <c r="D352" s="801" t="s">
        <v>857</v>
      </c>
      <c r="E352" s="802"/>
      <c r="F352" s="79">
        <f>'MANO DE OBRA'!D60</f>
        <v>0.05</v>
      </c>
      <c r="G352" s="113">
        <f>ROUND(G351*F352,0)</f>
        <v>1322</v>
      </c>
    </row>
    <row r="353" spans="1:7" ht="13.5" thickBot="1">
      <c r="A353" s="95"/>
      <c r="B353" s="819"/>
      <c r="C353" s="820"/>
      <c r="D353" s="803" t="s">
        <v>320</v>
      </c>
      <c r="E353" s="804"/>
      <c r="F353" s="114"/>
      <c r="G353" s="118">
        <f>+G351+G352</f>
        <v>27764</v>
      </c>
    </row>
    <row r="354" spans="1:7" ht="14.25" thickTop="1" thickBot="1">
      <c r="A354" s="95"/>
      <c r="B354" s="830"/>
      <c r="C354" s="830"/>
      <c r="D354" s="830"/>
      <c r="E354" s="830"/>
      <c r="F354" s="830"/>
      <c r="G354" s="830"/>
    </row>
    <row r="355" spans="1:7" ht="13.5" thickTop="1">
      <c r="A355" s="95"/>
      <c r="B355" s="811" t="s">
        <v>858</v>
      </c>
      <c r="C355" s="812"/>
      <c r="D355" s="812"/>
      <c r="E355" s="812"/>
      <c r="F355" s="812"/>
      <c r="G355" s="825"/>
    </row>
    <row r="356" spans="1:7">
      <c r="A356" s="95"/>
      <c r="B356" s="817"/>
      <c r="C356" s="818"/>
      <c r="D356" s="98" t="s">
        <v>301</v>
      </c>
      <c r="E356" s="98" t="s">
        <v>859</v>
      </c>
      <c r="F356" s="99" t="s">
        <v>839</v>
      </c>
      <c r="G356" s="107" t="s">
        <v>840</v>
      </c>
    </row>
    <row r="357" spans="1:7">
      <c r="A357" s="95"/>
      <c r="B357" s="821" t="s">
        <v>838</v>
      </c>
      <c r="C357" s="822"/>
      <c r="D357" s="100" t="s">
        <v>316</v>
      </c>
      <c r="E357" s="100" t="s">
        <v>315</v>
      </c>
      <c r="F357" s="101" t="s">
        <v>306</v>
      </c>
      <c r="G357" s="108" t="s">
        <v>319</v>
      </c>
    </row>
    <row r="358" spans="1:7">
      <c r="A358" s="95"/>
      <c r="B358" s="115"/>
      <c r="C358" s="102"/>
      <c r="D358" s="103"/>
      <c r="E358" s="103" t="s">
        <v>317</v>
      </c>
      <c r="F358" s="104" t="s">
        <v>318</v>
      </c>
      <c r="G358" s="109"/>
    </row>
    <row r="359" spans="1:7">
      <c r="A359" s="95"/>
      <c r="B359" s="823" t="str">
        <f>'MANO DE OBRA'!B10</f>
        <v>AYUDANTE CUAD. TIPO AA</v>
      </c>
      <c r="C359" s="824"/>
      <c r="D359" s="87">
        <v>1</v>
      </c>
      <c r="E359" s="80">
        <f>'MANO DE OBRA'!E10</f>
        <v>34680</v>
      </c>
      <c r="F359" s="81">
        <v>10.67</v>
      </c>
      <c r="G359" s="110">
        <f>ROUND(D359*E359/F359,0)</f>
        <v>3250</v>
      </c>
    </row>
    <row r="360" spans="1:7">
      <c r="A360" s="95"/>
      <c r="B360" s="835" t="str">
        <f>'MANO DE OBRA'!B15</f>
        <v xml:space="preserve">OFICIAL CUAD. TIPO AA </v>
      </c>
      <c r="C360" s="836"/>
      <c r="D360" s="37">
        <v>1</v>
      </c>
      <c r="E360" s="82">
        <f>'MANO DE OBRA'!E15</f>
        <v>71474</v>
      </c>
      <c r="F360" s="83">
        <v>10.67</v>
      </c>
      <c r="G360" s="111">
        <f>ROUND(D360*E360/F360,0)</f>
        <v>6699</v>
      </c>
    </row>
    <row r="361" spans="1:7">
      <c r="A361" s="95"/>
      <c r="B361" s="835"/>
      <c r="C361" s="836"/>
      <c r="D361" s="89"/>
      <c r="E361" s="82"/>
      <c r="F361" s="83"/>
      <c r="G361" s="111"/>
    </row>
    <row r="362" spans="1:7">
      <c r="A362" s="95"/>
      <c r="B362" s="835" t="s">
        <v>841</v>
      </c>
      <c r="C362" s="836"/>
      <c r="D362" s="37"/>
      <c r="E362" s="82"/>
      <c r="F362" s="83"/>
      <c r="G362" s="111"/>
    </row>
    <row r="363" spans="1:7" ht="13.5" thickBot="1">
      <c r="A363" s="95"/>
      <c r="B363" s="828" t="s">
        <v>841</v>
      </c>
      <c r="C363" s="829"/>
      <c r="D363" s="77"/>
      <c r="E363" s="82"/>
      <c r="F363" s="86"/>
      <c r="G363" s="112"/>
    </row>
    <row r="364" spans="1:7" ht="14.25" thickTop="1" thickBot="1">
      <c r="A364" s="95"/>
      <c r="B364" s="808"/>
      <c r="C364" s="808"/>
      <c r="D364" s="808"/>
      <c r="E364" s="809"/>
      <c r="F364" s="120" t="s">
        <v>856</v>
      </c>
      <c r="G364" s="118">
        <f>SUM(G359:G363)</f>
        <v>9949</v>
      </c>
    </row>
    <row r="365" spans="1:7" ht="14.25" thickTop="1" thickBot="1">
      <c r="A365" s="95"/>
      <c r="B365" s="810"/>
      <c r="C365" s="810"/>
      <c r="D365" s="810"/>
      <c r="E365" s="810"/>
      <c r="F365" s="810"/>
      <c r="G365" s="810"/>
    </row>
    <row r="366" spans="1:7" ht="13.5" thickTop="1">
      <c r="A366" s="95"/>
      <c r="B366" s="811" t="s">
        <v>321</v>
      </c>
      <c r="C366" s="812"/>
      <c r="D366" s="812"/>
      <c r="E366" s="812"/>
      <c r="F366" s="812"/>
      <c r="G366" s="825"/>
    </row>
    <row r="367" spans="1:7">
      <c r="A367" s="95"/>
      <c r="B367" s="817" t="s">
        <v>838</v>
      </c>
      <c r="C367" s="818"/>
      <c r="D367" s="98" t="s">
        <v>301</v>
      </c>
      <c r="E367" s="98" t="s">
        <v>297</v>
      </c>
      <c r="F367" s="99" t="s">
        <v>839</v>
      </c>
      <c r="G367" s="107" t="s">
        <v>840</v>
      </c>
    </row>
    <row r="368" spans="1:7">
      <c r="A368" s="95"/>
      <c r="B368" s="115"/>
      <c r="C368" s="102"/>
      <c r="D368" s="103" t="s">
        <v>322</v>
      </c>
      <c r="E368" s="103" t="s">
        <v>323</v>
      </c>
      <c r="F368" s="104" t="s">
        <v>324</v>
      </c>
      <c r="G368" s="109" t="s">
        <v>325</v>
      </c>
    </row>
    <row r="369" spans="1:8">
      <c r="A369" s="95"/>
      <c r="B369" s="826"/>
      <c r="C369" s="827"/>
      <c r="D369" s="96"/>
      <c r="E369" s="96"/>
      <c r="F369" s="96"/>
      <c r="G369" s="116"/>
    </row>
    <row r="370" spans="1:8" ht="13.5" thickBot="1">
      <c r="A370" s="95"/>
      <c r="B370" s="828" t="s">
        <v>841</v>
      </c>
      <c r="C370" s="829"/>
      <c r="D370" s="77"/>
      <c r="E370" s="82"/>
      <c r="F370" s="86"/>
      <c r="G370" s="112"/>
    </row>
    <row r="371" spans="1:8" ht="14.25" thickTop="1" thickBot="1">
      <c r="A371" s="95"/>
      <c r="B371" s="808"/>
      <c r="C371" s="808"/>
      <c r="D371" s="808"/>
      <c r="E371" s="809"/>
      <c r="F371" s="120" t="s">
        <v>856</v>
      </c>
      <c r="G371" s="118">
        <f>SUM(G366:G370)</f>
        <v>0</v>
      </c>
    </row>
    <row r="372" spans="1:8" ht="14.25" thickTop="1" thickBot="1">
      <c r="A372" s="95"/>
      <c r="B372" s="810"/>
      <c r="C372" s="810"/>
      <c r="D372" s="810"/>
      <c r="E372" s="810"/>
      <c r="F372" s="810"/>
      <c r="G372" s="834"/>
    </row>
    <row r="373" spans="1:8" ht="13.5" thickTop="1">
      <c r="A373" s="95"/>
      <c r="B373" s="811" t="s">
        <v>326</v>
      </c>
      <c r="C373" s="812"/>
      <c r="D373" s="812"/>
      <c r="E373" s="812"/>
      <c r="F373" s="813"/>
      <c r="G373" s="121">
        <f>+G337+G353+G364</f>
        <v>38210</v>
      </c>
    </row>
    <row r="374" spans="1:8">
      <c r="A374" s="95"/>
      <c r="B374" s="814" t="s">
        <v>861</v>
      </c>
      <c r="C374" s="815"/>
      <c r="D374" s="815"/>
      <c r="E374" s="816"/>
      <c r="F374" s="128">
        <f>'MANO DE OBRA'!D59</f>
        <v>0</v>
      </c>
      <c r="G374" s="122">
        <f>ROUND(G373*F374,0)</f>
        <v>0</v>
      </c>
    </row>
    <row r="375" spans="1:8" ht="13.5" thickBot="1">
      <c r="A375" s="95"/>
      <c r="B375" s="805" t="s">
        <v>1049</v>
      </c>
      <c r="C375" s="806"/>
      <c r="D375" s="806"/>
      <c r="E375" s="806"/>
      <c r="F375" s="807"/>
      <c r="G375" s="118">
        <f>ROUND(G373+G374,-2)</f>
        <v>38200</v>
      </c>
      <c r="H375" s="505" t="s">
        <v>1670</v>
      </c>
    </row>
    <row r="376" spans="1:8" ht="15" thickTop="1">
      <c r="A376" s="95"/>
      <c r="B376" s="90" t="s">
        <v>303</v>
      </c>
      <c r="C376" s="843"/>
      <c r="D376" s="843"/>
      <c r="E376" s="843"/>
      <c r="F376" s="92" t="s">
        <v>781</v>
      </c>
      <c r="G376" s="93" t="s">
        <v>1067</v>
      </c>
    </row>
    <row r="377" spans="1:8">
      <c r="A377" s="95"/>
      <c r="B377" s="91" t="s">
        <v>834</v>
      </c>
      <c r="C377" s="844" t="s">
        <v>1384</v>
      </c>
      <c r="D377" s="844"/>
      <c r="E377" s="844"/>
      <c r="F377" s="15" t="s">
        <v>833</v>
      </c>
      <c r="G377" s="165" t="str">
        <f>'MANO DE OBRA'!D61</f>
        <v>Agosto de 2010</v>
      </c>
    </row>
    <row r="378" spans="1:8" ht="13.5" thickBot="1">
      <c r="A378" s="127"/>
      <c r="B378" s="94" t="s">
        <v>835</v>
      </c>
      <c r="C378" s="845" t="s">
        <v>1392</v>
      </c>
      <c r="D378" s="845"/>
      <c r="E378" s="845"/>
      <c r="F378" s="845"/>
      <c r="G378" s="846"/>
    </row>
    <row r="379" spans="1:8" ht="14.25" thickTop="1" thickBot="1">
      <c r="A379" s="95"/>
      <c r="B379" s="847"/>
      <c r="C379" s="847"/>
      <c r="D379" s="847"/>
      <c r="E379" s="847"/>
      <c r="F379" s="847"/>
      <c r="G379" s="847"/>
    </row>
    <row r="380" spans="1:8" ht="13.5" thickTop="1">
      <c r="A380" s="95"/>
      <c r="B380" s="811" t="s">
        <v>304</v>
      </c>
      <c r="C380" s="812"/>
      <c r="D380" s="812"/>
      <c r="E380" s="812"/>
      <c r="F380" s="812"/>
      <c r="G380" s="825"/>
    </row>
    <row r="381" spans="1:8">
      <c r="A381" s="95"/>
      <c r="B381" s="105"/>
      <c r="C381" s="97"/>
      <c r="D381" s="98" t="s">
        <v>301</v>
      </c>
      <c r="E381" s="98" t="s">
        <v>1072</v>
      </c>
      <c r="F381" s="99" t="s">
        <v>839</v>
      </c>
      <c r="G381" s="107" t="s">
        <v>840</v>
      </c>
    </row>
    <row r="382" spans="1:8">
      <c r="A382" s="95"/>
      <c r="B382" s="821" t="s">
        <v>838</v>
      </c>
      <c r="C382" s="822"/>
      <c r="D382" s="100" t="s">
        <v>308</v>
      </c>
      <c r="E382" s="100" t="s">
        <v>305</v>
      </c>
      <c r="F382" s="101" t="s">
        <v>306</v>
      </c>
      <c r="G382" s="108" t="s">
        <v>310</v>
      </c>
    </row>
    <row r="383" spans="1:8">
      <c r="A383" s="95"/>
      <c r="B383" s="115"/>
      <c r="C383" s="102"/>
      <c r="D383" s="103"/>
      <c r="E383" s="103" t="s">
        <v>309</v>
      </c>
      <c r="F383" s="104" t="s">
        <v>307</v>
      </c>
      <c r="G383" s="109"/>
    </row>
    <row r="384" spans="1:8">
      <c r="A384" s="127"/>
      <c r="B384" s="823" t="str">
        <f>'MAQUINARIA Y EQUIPOS'!C28</f>
        <v>HERRAMIENTAS MENORES</v>
      </c>
      <c r="C384" s="824"/>
      <c r="D384" s="87">
        <v>1</v>
      </c>
      <c r="E384" s="82">
        <f>ROUND(G417*0.05,0)</f>
        <v>571</v>
      </c>
      <c r="F384" s="81">
        <v>1</v>
      </c>
      <c r="G384" s="110">
        <f>ROUND(D384*E384/F384,0)</f>
        <v>571</v>
      </c>
    </row>
    <row r="385" spans="1:7">
      <c r="A385" s="95"/>
      <c r="B385" s="835"/>
      <c r="C385" s="836"/>
      <c r="D385" s="37"/>
      <c r="E385" s="82"/>
      <c r="F385" s="83"/>
      <c r="G385" s="111"/>
    </row>
    <row r="386" spans="1:7">
      <c r="A386" s="95"/>
      <c r="B386" s="835"/>
      <c r="C386" s="836"/>
      <c r="D386" s="89"/>
      <c r="E386" s="82"/>
      <c r="F386" s="83"/>
      <c r="G386" s="111"/>
    </row>
    <row r="387" spans="1:7">
      <c r="A387" s="95"/>
      <c r="B387" s="835"/>
      <c r="C387" s="836"/>
      <c r="D387" s="89"/>
      <c r="E387" s="82"/>
      <c r="F387" s="83"/>
      <c r="G387" s="111"/>
    </row>
    <row r="388" spans="1:7">
      <c r="A388" s="95"/>
      <c r="B388" s="835" t="s">
        <v>841</v>
      </c>
      <c r="C388" s="836"/>
      <c r="D388" s="37"/>
      <c r="E388" s="82"/>
      <c r="F388" s="83"/>
      <c r="G388" s="111"/>
    </row>
    <row r="389" spans="1:7" ht="13.5" thickBot="1">
      <c r="A389" s="95"/>
      <c r="B389" s="839" t="s">
        <v>841</v>
      </c>
      <c r="C389" s="840"/>
      <c r="D389" s="77"/>
      <c r="E389" s="106"/>
      <c r="F389" s="86"/>
      <c r="G389" s="112"/>
    </row>
    <row r="390" spans="1:7" ht="14.25" thickTop="1" thickBot="1">
      <c r="A390" s="95"/>
      <c r="B390" s="808"/>
      <c r="C390" s="808"/>
      <c r="D390" s="808"/>
      <c r="E390" s="809"/>
      <c r="F390" s="119" t="s">
        <v>856</v>
      </c>
      <c r="G390" s="118">
        <f>SUM(G384:G389)</f>
        <v>571</v>
      </c>
    </row>
    <row r="391" spans="1:7" ht="14.25" thickTop="1" thickBot="1">
      <c r="A391" s="95"/>
      <c r="B391" s="830"/>
      <c r="C391" s="830"/>
      <c r="D391" s="830"/>
      <c r="E391" s="830"/>
      <c r="F391" s="830"/>
      <c r="G391" s="830"/>
    </row>
    <row r="392" spans="1:7" ht="13.5" thickTop="1">
      <c r="A392" s="95"/>
      <c r="B392" s="811" t="s">
        <v>311</v>
      </c>
      <c r="C392" s="812"/>
      <c r="D392" s="812"/>
      <c r="E392" s="812"/>
      <c r="F392" s="812"/>
      <c r="G392" s="825"/>
    </row>
    <row r="393" spans="1:7">
      <c r="A393" s="95"/>
      <c r="B393" s="817" t="s">
        <v>838</v>
      </c>
      <c r="C393" s="818"/>
      <c r="D393" s="98" t="s">
        <v>842</v>
      </c>
      <c r="E393" s="98" t="s">
        <v>853</v>
      </c>
      <c r="F393" s="99" t="s">
        <v>1047</v>
      </c>
      <c r="G393" s="107" t="s">
        <v>840</v>
      </c>
    </row>
    <row r="394" spans="1:7">
      <c r="A394" s="95"/>
      <c r="B394" s="115"/>
      <c r="C394" s="102"/>
      <c r="D394" s="100"/>
      <c r="E394" s="100" t="s">
        <v>312</v>
      </c>
      <c r="F394" s="101" t="s">
        <v>313</v>
      </c>
      <c r="G394" s="108" t="s">
        <v>314</v>
      </c>
    </row>
    <row r="395" spans="1:7">
      <c r="A395" s="125"/>
      <c r="B395" s="841" t="str">
        <f>MATERIALES2!C92</f>
        <v>TOLETE COMUN</v>
      </c>
      <c r="C395" s="842"/>
      <c r="D395" s="87" t="s">
        <v>865</v>
      </c>
      <c r="E395" s="81">
        <v>31.37</v>
      </c>
      <c r="F395" s="80">
        <f>MATERIALES2!E92</f>
        <v>380</v>
      </c>
      <c r="G395" s="110">
        <f>ROUND(E395*F395,0)</f>
        <v>11921</v>
      </c>
    </row>
    <row r="396" spans="1:7">
      <c r="A396" s="123"/>
      <c r="B396" s="854" t="str">
        <f>MATERIALES2!C13</f>
        <v>CEMENTO GRIS</v>
      </c>
      <c r="C396" s="855"/>
      <c r="D396" s="37" t="s">
        <v>925</v>
      </c>
      <c r="E396" s="53">
        <v>4.68</v>
      </c>
      <c r="F396" s="82">
        <f>MATERIALES2!E13</f>
        <v>420</v>
      </c>
      <c r="G396" s="111">
        <f>ROUND(E396*F396,0)</f>
        <v>1966</v>
      </c>
    </row>
    <row r="397" spans="1:7" ht="14.25">
      <c r="A397" s="123"/>
      <c r="B397" s="854" t="str">
        <f>MATERIALES2!C20</f>
        <v xml:space="preserve">ARENA </v>
      </c>
      <c r="C397" s="855"/>
      <c r="D397" s="37" t="s">
        <v>1066</v>
      </c>
      <c r="E397" s="53">
        <v>1.0999999999999999E-2</v>
      </c>
      <c r="F397" s="82">
        <f>MATERIALES2!E20</f>
        <v>35000</v>
      </c>
      <c r="G397" s="111">
        <f>ROUND(E397*F397,0)</f>
        <v>385</v>
      </c>
    </row>
    <row r="398" spans="1:7">
      <c r="A398" s="123"/>
      <c r="B398" s="854" t="str">
        <f>MATERIALES2!C28</f>
        <v>AGUA</v>
      </c>
      <c r="C398" s="855"/>
      <c r="D398" s="37" t="s">
        <v>1071</v>
      </c>
      <c r="E398" s="83">
        <v>2.6</v>
      </c>
      <c r="F398" s="82">
        <f>MATERIALES2!E28</f>
        <v>50</v>
      </c>
      <c r="G398" s="111">
        <f>ROUND(E398*F398,0)</f>
        <v>130</v>
      </c>
    </row>
    <row r="399" spans="1:7">
      <c r="A399" s="95"/>
      <c r="B399" s="854"/>
      <c r="C399" s="855"/>
      <c r="D399" s="37"/>
      <c r="E399" s="83"/>
      <c r="F399" s="82"/>
      <c r="G399" s="111"/>
    </row>
    <row r="400" spans="1:7">
      <c r="A400" s="95"/>
      <c r="B400" s="854"/>
      <c r="C400" s="855"/>
      <c r="D400" s="37"/>
      <c r="E400" s="53"/>
      <c r="F400" s="82"/>
      <c r="G400" s="111"/>
    </row>
    <row r="401" spans="1:8">
      <c r="A401" s="95"/>
      <c r="B401" s="854"/>
      <c r="C401" s="855"/>
      <c r="D401" s="37"/>
      <c r="E401" s="53"/>
      <c r="F401" s="82"/>
      <c r="G401" s="111"/>
    </row>
    <row r="402" spans="1:8">
      <c r="A402" s="95"/>
      <c r="B402" s="938" t="s">
        <v>841</v>
      </c>
      <c r="C402" s="939"/>
      <c r="D402" s="53" t="s">
        <v>841</v>
      </c>
      <c r="E402" s="53"/>
      <c r="F402" s="82"/>
      <c r="G402" s="111"/>
      <c r="H402" s="505" t="s">
        <v>1670</v>
      </c>
    </row>
    <row r="403" spans="1:8" ht="13.5" thickBot="1">
      <c r="A403" s="95"/>
      <c r="B403" s="839" t="s">
        <v>841</v>
      </c>
      <c r="C403" s="840"/>
      <c r="D403" s="84" t="s">
        <v>841</v>
      </c>
      <c r="E403" s="84"/>
      <c r="F403" s="85"/>
      <c r="G403" s="112"/>
    </row>
    <row r="404" spans="1:8" ht="13.5" thickTop="1">
      <c r="A404" s="95"/>
      <c r="B404" s="808"/>
      <c r="C404" s="809"/>
      <c r="D404" s="801" t="s">
        <v>856</v>
      </c>
      <c r="E404" s="802"/>
      <c r="F404" s="9"/>
      <c r="G404" s="113">
        <f>SUM(G395:G403)</f>
        <v>14402</v>
      </c>
    </row>
    <row r="405" spans="1:8">
      <c r="A405" s="95"/>
      <c r="B405" s="819"/>
      <c r="C405" s="820"/>
      <c r="D405" s="801" t="s">
        <v>857</v>
      </c>
      <c r="E405" s="802"/>
      <c r="F405" s="79">
        <f>'MANO DE OBRA'!D60</f>
        <v>0.05</v>
      </c>
      <c r="G405" s="113">
        <f>ROUND(G404*F405,0)</f>
        <v>720</v>
      </c>
    </row>
    <row r="406" spans="1:8" ht="13.5" thickBot="1">
      <c r="A406" s="95"/>
      <c r="B406" s="819"/>
      <c r="C406" s="820"/>
      <c r="D406" s="803" t="s">
        <v>320</v>
      </c>
      <c r="E406" s="804"/>
      <c r="F406" s="114"/>
      <c r="G406" s="118">
        <f>+G404+G405</f>
        <v>15122</v>
      </c>
    </row>
    <row r="407" spans="1:8" ht="14.25" thickTop="1" thickBot="1">
      <c r="A407" s="95"/>
      <c r="B407" s="830"/>
      <c r="C407" s="830"/>
      <c r="D407" s="830"/>
      <c r="E407" s="830"/>
      <c r="F407" s="830"/>
      <c r="G407" s="830"/>
    </row>
    <row r="408" spans="1:8" ht="13.5" thickTop="1">
      <c r="A408" s="95"/>
      <c r="B408" s="811" t="s">
        <v>858</v>
      </c>
      <c r="C408" s="812"/>
      <c r="D408" s="812"/>
      <c r="E408" s="812"/>
      <c r="F408" s="812"/>
      <c r="G408" s="825"/>
    </row>
    <row r="409" spans="1:8">
      <c r="A409" s="95"/>
      <c r="B409" s="817"/>
      <c r="C409" s="818"/>
      <c r="D409" s="98" t="s">
        <v>301</v>
      </c>
      <c r="E409" s="98" t="s">
        <v>859</v>
      </c>
      <c r="F409" s="99" t="s">
        <v>839</v>
      </c>
      <c r="G409" s="107" t="s">
        <v>840</v>
      </c>
    </row>
    <row r="410" spans="1:8">
      <c r="A410" s="95"/>
      <c r="B410" s="821" t="s">
        <v>838</v>
      </c>
      <c r="C410" s="822"/>
      <c r="D410" s="100" t="s">
        <v>316</v>
      </c>
      <c r="E410" s="100" t="s">
        <v>315</v>
      </c>
      <c r="F410" s="101" t="s">
        <v>306</v>
      </c>
      <c r="G410" s="108" t="s">
        <v>319</v>
      </c>
    </row>
    <row r="411" spans="1:8">
      <c r="A411" s="95"/>
      <c r="B411" s="115"/>
      <c r="C411" s="102"/>
      <c r="D411" s="103"/>
      <c r="E411" s="103" t="s">
        <v>317</v>
      </c>
      <c r="F411" s="104" t="s">
        <v>318</v>
      </c>
      <c r="G411" s="109"/>
    </row>
    <row r="412" spans="1:8">
      <c r="A412" s="95"/>
      <c r="B412" s="823" t="str">
        <f>'MANO DE OBRA'!B10</f>
        <v>AYUDANTE CUAD. TIPO AA</v>
      </c>
      <c r="C412" s="824"/>
      <c r="D412" s="87">
        <v>1</v>
      </c>
      <c r="E412" s="80">
        <f>'MANO DE OBRA'!E10</f>
        <v>34680</v>
      </c>
      <c r="F412" s="81">
        <v>9.3000000000000007</v>
      </c>
      <c r="G412" s="110">
        <f>ROUND(D412*E412/F412,0)</f>
        <v>3729</v>
      </c>
    </row>
    <row r="413" spans="1:8">
      <c r="A413" s="95"/>
      <c r="B413" s="835" t="str">
        <f>'MANO DE OBRA'!B15</f>
        <v xml:space="preserve">OFICIAL CUAD. TIPO AA </v>
      </c>
      <c r="C413" s="836"/>
      <c r="D413" s="37">
        <v>1</v>
      </c>
      <c r="E413" s="82">
        <f>'MANO DE OBRA'!E15</f>
        <v>71474</v>
      </c>
      <c r="F413" s="83">
        <v>9.3000000000000007</v>
      </c>
      <c r="G413" s="111">
        <f>ROUND(D413*E413/F413,0)</f>
        <v>7685</v>
      </c>
    </row>
    <row r="414" spans="1:8">
      <c r="A414" s="95"/>
      <c r="B414" s="835"/>
      <c r="C414" s="836"/>
      <c r="D414" s="89"/>
      <c r="E414" s="82"/>
      <c r="F414" s="83"/>
      <c r="G414" s="111"/>
    </row>
    <row r="415" spans="1:8">
      <c r="A415" s="95"/>
      <c r="B415" s="835" t="s">
        <v>841</v>
      </c>
      <c r="C415" s="836"/>
      <c r="D415" s="37"/>
      <c r="E415" s="82"/>
      <c r="F415" s="83"/>
      <c r="G415" s="111"/>
    </row>
    <row r="416" spans="1:8" ht="13.5" thickBot="1">
      <c r="A416" s="95"/>
      <c r="B416" s="828" t="s">
        <v>841</v>
      </c>
      <c r="C416" s="829"/>
      <c r="D416" s="77"/>
      <c r="E416" s="82"/>
      <c r="F416" s="86"/>
      <c r="G416" s="112"/>
    </row>
    <row r="417" spans="1:8" ht="14.25" thickTop="1" thickBot="1">
      <c r="A417" s="95"/>
      <c r="B417" s="808"/>
      <c r="C417" s="808"/>
      <c r="D417" s="808"/>
      <c r="E417" s="809"/>
      <c r="F417" s="120" t="s">
        <v>856</v>
      </c>
      <c r="G417" s="118">
        <f>SUM(G412:G416)</f>
        <v>11414</v>
      </c>
    </row>
    <row r="418" spans="1:8" ht="14.25" thickTop="1" thickBot="1">
      <c r="A418" s="95"/>
      <c r="B418" s="810"/>
      <c r="C418" s="810"/>
      <c r="D418" s="810"/>
      <c r="E418" s="810"/>
      <c r="F418" s="810"/>
      <c r="G418" s="810"/>
    </row>
    <row r="419" spans="1:8" ht="13.5" thickTop="1">
      <c r="A419" s="95"/>
      <c r="B419" s="811" t="s">
        <v>321</v>
      </c>
      <c r="C419" s="812"/>
      <c r="D419" s="812"/>
      <c r="E419" s="812"/>
      <c r="F419" s="812"/>
      <c r="G419" s="825"/>
    </row>
    <row r="420" spans="1:8">
      <c r="A420" s="95"/>
      <c r="B420" s="817" t="s">
        <v>838</v>
      </c>
      <c r="C420" s="818"/>
      <c r="D420" s="98" t="s">
        <v>301</v>
      </c>
      <c r="E420" s="98" t="s">
        <v>297</v>
      </c>
      <c r="F420" s="99" t="s">
        <v>839</v>
      </c>
      <c r="G420" s="107" t="s">
        <v>840</v>
      </c>
    </row>
    <row r="421" spans="1:8">
      <c r="A421" s="95"/>
      <c r="B421" s="115"/>
      <c r="C421" s="102"/>
      <c r="D421" s="103" t="s">
        <v>322</v>
      </c>
      <c r="E421" s="103" t="s">
        <v>323</v>
      </c>
      <c r="F421" s="104" t="s">
        <v>324</v>
      </c>
      <c r="G421" s="109" t="s">
        <v>325</v>
      </c>
    </row>
    <row r="422" spans="1:8">
      <c r="A422" s="95"/>
      <c r="B422" s="826"/>
      <c r="C422" s="827"/>
      <c r="D422" s="96"/>
      <c r="E422" s="96"/>
      <c r="F422" s="96"/>
      <c r="G422" s="116"/>
    </row>
    <row r="423" spans="1:8" ht="13.5" thickBot="1">
      <c r="A423" s="95"/>
      <c r="B423" s="828" t="s">
        <v>841</v>
      </c>
      <c r="C423" s="829"/>
      <c r="D423" s="77"/>
      <c r="E423" s="82"/>
      <c r="F423" s="86"/>
      <c r="G423" s="112"/>
    </row>
    <row r="424" spans="1:8" ht="14.25" thickTop="1" thickBot="1">
      <c r="A424" s="95"/>
      <c r="B424" s="808"/>
      <c r="C424" s="808"/>
      <c r="D424" s="808"/>
      <c r="E424" s="809"/>
      <c r="F424" s="120" t="s">
        <v>856</v>
      </c>
      <c r="G424" s="118">
        <f>SUM(G419:G423)</f>
        <v>0</v>
      </c>
    </row>
    <row r="425" spans="1:8" ht="14.25" thickTop="1" thickBot="1">
      <c r="A425" s="95"/>
      <c r="B425" s="810"/>
      <c r="C425" s="810"/>
      <c r="D425" s="810"/>
      <c r="E425" s="810"/>
      <c r="F425" s="810"/>
      <c r="G425" s="834"/>
    </row>
    <row r="426" spans="1:8" ht="13.5" thickTop="1">
      <c r="A426" s="95"/>
      <c r="B426" s="811" t="s">
        <v>326</v>
      </c>
      <c r="C426" s="812"/>
      <c r="D426" s="812"/>
      <c r="E426" s="812"/>
      <c r="F426" s="813"/>
      <c r="G426" s="121">
        <f>+G390+G406+G417</f>
        <v>27107</v>
      </c>
    </row>
    <row r="427" spans="1:8">
      <c r="A427" s="95"/>
      <c r="B427" s="814" t="s">
        <v>861</v>
      </c>
      <c r="C427" s="815"/>
      <c r="D427" s="815"/>
      <c r="E427" s="816"/>
      <c r="F427" s="128">
        <f>'MANO DE OBRA'!D59</f>
        <v>0</v>
      </c>
      <c r="G427" s="122">
        <f>ROUND(G426*F427,0)</f>
        <v>0</v>
      </c>
    </row>
    <row r="428" spans="1:8" ht="13.5" thickBot="1">
      <c r="A428" s="95"/>
      <c r="B428" s="805" t="s">
        <v>1049</v>
      </c>
      <c r="C428" s="806"/>
      <c r="D428" s="806"/>
      <c r="E428" s="806"/>
      <c r="F428" s="807"/>
      <c r="G428" s="118">
        <f>ROUND(G426+G427,-2)</f>
        <v>27100</v>
      </c>
      <c r="H428" s="505" t="s">
        <v>1670</v>
      </c>
    </row>
    <row r="429" spans="1:8" ht="15" thickTop="1">
      <c r="A429" s="95"/>
      <c r="B429" s="90" t="s">
        <v>303</v>
      </c>
      <c r="C429" s="843"/>
      <c r="D429" s="843"/>
      <c r="E429" s="843"/>
      <c r="F429" s="92" t="s">
        <v>781</v>
      </c>
      <c r="G429" s="93" t="s">
        <v>1067</v>
      </c>
    </row>
    <row r="430" spans="1:8">
      <c r="A430" s="95"/>
      <c r="B430" s="91" t="s">
        <v>834</v>
      </c>
      <c r="C430" s="844" t="s">
        <v>1384</v>
      </c>
      <c r="D430" s="844"/>
      <c r="E430" s="844"/>
      <c r="F430" s="15" t="s">
        <v>833</v>
      </c>
      <c r="G430" s="165" t="str">
        <f>'MANO DE OBRA'!D61</f>
        <v>Agosto de 2010</v>
      </c>
    </row>
    <row r="431" spans="1:8" ht="13.5" thickBot="1">
      <c r="A431" s="127"/>
      <c r="B431" s="94" t="s">
        <v>835</v>
      </c>
      <c r="C431" s="845" t="s">
        <v>1393</v>
      </c>
      <c r="D431" s="845"/>
      <c r="E431" s="845"/>
      <c r="F431" s="845"/>
      <c r="G431" s="846"/>
    </row>
    <row r="432" spans="1:8" ht="14.25" thickTop="1" thickBot="1">
      <c r="A432" s="95"/>
      <c r="B432" s="847"/>
      <c r="C432" s="847"/>
      <c r="D432" s="847"/>
      <c r="E432" s="847"/>
      <c r="F432" s="847"/>
      <c r="G432" s="847"/>
    </row>
    <row r="433" spans="1:7" ht="13.5" thickTop="1">
      <c r="A433" s="95"/>
      <c r="B433" s="811" t="s">
        <v>304</v>
      </c>
      <c r="C433" s="812"/>
      <c r="D433" s="812"/>
      <c r="E433" s="812"/>
      <c r="F433" s="812"/>
      <c r="G433" s="825"/>
    </row>
    <row r="434" spans="1:7">
      <c r="A434" s="95"/>
      <c r="B434" s="105"/>
      <c r="C434" s="97"/>
      <c r="D434" s="98" t="s">
        <v>301</v>
      </c>
      <c r="E434" s="98" t="s">
        <v>1072</v>
      </c>
      <c r="F434" s="99" t="s">
        <v>839</v>
      </c>
      <c r="G434" s="107" t="s">
        <v>840</v>
      </c>
    </row>
    <row r="435" spans="1:7">
      <c r="A435" s="95"/>
      <c r="B435" s="821" t="s">
        <v>838</v>
      </c>
      <c r="C435" s="822"/>
      <c r="D435" s="100" t="s">
        <v>308</v>
      </c>
      <c r="E435" s="100" t="s">
        <v>305</v>
      </c>
      <c r="F435" s="101" t="s">
        <v>306</v>
      </c>
      <c r="G435" s="108" t="s">
        <v>310</v>
      </c>
    </row>
    <row r="436" spans="1:7">
      <c r="A436" s="95"/>
      <c r="B436" s="115"/>
      <c r="C436" s="102"/>
      <c r="D436" s="103"/>
      <c r="E436" s="103" t="s">
        <v>309</v>
      </c>
      <c r="F436" s="104" t="s">
        <v>307</v>
      </c>
      <c r="G436" s="109"/>
    </row>
    <row r="437" spans="1:7">
      <c r="A437" s="127"/>
      <c r="B437" s="823" t="str">
        <f>'MAQUINARIA Y EQUIPOS'!C28</f>
        <v>HERRAMIENTAS MENORES</v>
      </c>
      <c r="C437" s="824"/>
      <c r="D437" s="87">
        <v>1</v>
      </c>
      <c r="E437" s="82">
        <f>ROUND(G470*0.05,0)</f>
        <v>1127</v>
      </c>
      <c r="F437" s="81">
        <v>1</v>
      </c>
      <c r="G437" s="110">
        <f>ROUND(D437*E437/F437,0)</f>
        <v>1127</v>
      </c>
    </row>
    <row r="438" spans="1:7">
      <c r="A438" s="95"/>
      <c r="B438" s="835"/>
      <c r="C438" s="836"/>
      <c r="D438" s="37"/>
      <c r="E438" s="82"/>
      <c r="F438" s="83"/>
      <c r="G438" s="111"/>
    </row>
    <row r="439" spans="1:7">
      <c r="A439" s="95"/>
      <c r="B439" s="835"/>
      <c r="C439" s="836"/>
      <c r="D439" s="89"/>
      <c r="E439" s="82"/>
      <c r="F439" s="83"/>
      <c r="G439" s="111"/>
    </row>
    <row r="440" spans="1:7">
      <c r="A440" s="95"/>
      <c r="B440" s="835"/>
      <c r="C440" s="836"/>
      <c r="D440" s="89"/>
      <c r="E440" s="82"/>
      <c r="F440" s="83"/>
      <c r="G440" s="111"/>
    </row>
    <row r="441" spans="1:7">
      <c r="A441" s="95"/>
      <c r="B441" s="835" t="s">
        <v>841</v>
      </c>
      <c r="C441" s="836"/>
      <c r="D441" s="37"/>
      <c r="E441" s="82"/>
      <c r="F441" s="83"/>
      <c r="G441" s="111"/>
    </row>
    <row r="442" spans="1:7" ht="13.5" thickBot="1">
      <c r="A442" s="95"/>
      <c r="B442" s="839" t="s">
        <v>841</v>
      </c>
      <c r="C442" s="840"/>
      <c r="D442" s="77"/>
      <c r="E442" s="106"/>
      <c r="F442" s="86"/>
      <c r="G442" s="112"/>
    </row>
    <row r="443" spans="1:7" ht="14.25" thickTop="1" thickBot="1">
      <c r="A443" s="95"/>
      <c r="B443" s="808"/>
      <c r="C443" s="808"/>
      <c r="D443" s="808"/>
      <c r="E443" s="809"/>
      <c r="F443" s="119" t="s">
        <v>856</v>
      </c>
      <c r="G443" s="118">
        <f>SUM(G437:G442)</f>
        <v>1127</v>
      </c>
    </row>
    <row r="444" spans="1:7" ht="14.25" thickTop="1" thickBot="1">
      <c r="A444" s="95"/>
      <c r="B444" s="830"/>
      <c r="C444" s="830"/>
      <c r="D444" s="830"/>
      <c r="E444" s="830"/>
      <c r="F444" s="830"/>
      <c r="G444" s="830"/>
    </row>
    <row r="445" spans="1:7" ht="13.5" thickTop="1">
      <c r="A445" s="95"/>
      <c r="B445" s="811" t="s">
        <v>311</v>
      </c>
      <c r="C445" s="812"/>
      <c r="D445" s="812"/>
      <c r="E445" s="812"/>
      <c r="F445" s="812"/>
      <c r="G445" s="825"/>
    </row>
    <row r="446" spans="1:7">
      <c r="A446" s="95"/>
      <c r="B446" s="817" t="s">
        <v>838</v>
      </c>
      <c r="C446" s="818"/>
      <c r="D446" s="98" t="s">
        <v>842</v>
      </c>
      <c r="E446" s="98" t="s">
        <v>853</v>
      </c>
      <c r="F446" s="99" t="s">
        <v>1047</v>
      </c>
      <c r="G446" s="107" t="s">
        <v>840</v>
      </c>
    </row>
    <row r="447" spans="1:7">
      <c r="A447" s="95"/>
      <c r="B447" s="115"/>
      <c r="C447" s="102"/>
      <c r="D447" s="100"/>
      <c r="E447" s="100" t="s">
        <v>312</v>
      </c>
      <c r="F447" s="101" t="s">
        <v>313</v>
      </c>
      <c r="G447" s="108" t="s">
        <v>314</v>
      </c>
    </row>
    <row r="448" spans="1:7">
      <c r="A448" s="125"/>
      <c r="B448" s="841" t="str">
        <f>MATERIALES2!C99</f>
        <v>LADRILLO PRENSADO CLARO</v>
      </c>
      <c r="C448" s="842"/>
      <c r="D448" s="87" t="s">
        <v>865</v>
      </c>
      <c r="E448" s="81">
        <v>65</v>
      </c>
      <c r="F448" s="80">
        <f>MATERIALES2!E99</f>
        <v>625</v>
      </c>
      <c r="G448" s="110">
        <f>ROUND(E448*F448,0)</f>
        <v>40625</v>
      </c>
    </row>
    <row r="449" spans="1:8">
      <c r="A449" s="123"/>
      <c r="B449" s="854" t="str">
        <f>MATERIALES2!C13</f>
        <v>CEMENTO GRIS</v>
      </c>
      <c r="C449" s="855"/>
      <c r="D449" s="37" t="s">
        <v>925</v>
      </c>
      <c r="E449" s="53">
        <v>27.24</v>
      </c>
      <c r="F449" s="82">
        <f>MATERIALES2!E13</f>
        <v>420</v>
      </c>
      <c r="G449" s="111">
        <f>ROUND(E449*F449,0)</f>
        <v>11441</v>
      </c>
    </row>
    <row r="450" spans="1:8" ht="14.25">
      <c r="A450" s="123"/>
      <c r="B450" s="854" t="str">
        <f>MATERIALES2!C20</f>
        <v xml:space="preserve">ARENA </v>
      </c>
      <c r="C450" s="855"/>
      <c r="D450" s="37" t="s">
        <v>1066</v>
      </c>
      <c r="E450" s="53">
        <v>6.5000000000000002E-2</v>
      </c>
      <c r="F450" s="82">
        <f>MATERIALES2!E20</f>
        <v>35000</v>
      </c>
      <c r="G450" s="111">
        <f>ROUND(E450*F450,0)</f>
        <v>2275</v>
      </c>
    </row>
    <row r="451" spans="1:8">
      <c r="A451" s="123"/>
      <c r="B451" s="854" t="str">
        <f>MATERIALES2!C28</f>
        <v>AGUA</v>
      </c>
      <c r="C451" s="855"/>
      <c r="D451" s="37" t="s">
        <v>1071</v>
      </c>
      <c r="E451" s="53">
        <v>15.12</v>
      </c>
      <c r="F451" s="82">
        <f>MATERIALES2!E28</f>
        <v>50</v>
      </c>
      <c r="G451" s="111">
        <f>ROUND(E451*F451,0)</f>
        <v>756</v>
      </c>
    </row>
    <row r="452" spans="1:8">
      <c r="A452" s="95"/>
      <c r="B452" s="854"/>
      <c r="C452" s="855"/>
      <c r="D452" s="37"/>
      <c r="E452" s="83"/>
      <c r="F452" s="82"/>
      <c r="G452" s="111"/>
    </row>
    <row r="453" spans="1:8">
      <c r="A453" s="95"/>
      <c r="B453" s="854"/>
      <c r="C453" s="855"/>
      <c r="D453" s="37"/>
      <c r="E453" s="53"/>
      <c r="F453" s="82"/>
      <c r="G453" s="111"/>
    </row>
    <row r="454" spans="1:8">
      <c r="A454" s="95"/>
      <c r="B454" s="854"/>
      <c r="C454" s="855"/>
      <c r="D454" s="37"/>
      <c r="E454" s="53"/>
      <c r="F454" s="82"/>
      <c r="G454" s="111"/>
    </row>
    <row r="455" spans="1:8">
      <c r="A455" s="95"/>
      <c r="B455" s="938" t="s">
        <v>841</v>
      </c>
      <c r="C455" s="939"/>
      <c r="D455" s="53" t="s">
        <v>841</v>
      </c>
      <c r="E455" s="53"/>
      <c r="F455" s="82"/>
      <c r="G455" s="111"/>
      <c r="H455" s="505" t="s">
        <v>1670</v>
      </c>
    </row>
    <row r="456" spans="1:8" ht="13.5" thickBot="1">
      <c r="A456" s="95"/>
      <c r="B456" s="942" t="s">
        <v>841</v>
      </c>
      <c r="C456" s="943"/>
      <c r="D456" s="84" t="s">
        <v>841</v>
      </c>
      <c r="E456" s="84"/>
      <c r="F456" s="85"/>
      <c r="G456" s="112"/>
    </row>
    <row r="457" spans="1:8" ht="13.5" thickTop="1">
      <c r="A457" s="95"/>
      <c r="B457" s="808"/>
      <c r="C457" s="809"/>
      <c r="D457" s="801" t="s">
        <v>856</v>
      </c>
      <c r="E457" s="802"/>
      <c r="F457" s="9"/>
      <c r="G457" s="113">
        <f>SUM(G448:G456)</f>
        <v>55097</v>
      </c>
    </row>
    <row r="458" spans="1:8">
      <c r="A458" s="95"/>
      <c r="B458" s="819"/>
      <c r="C458" s="820"/>
      <c r="D458" s="801" t="s">
        <v>857</v>
      </c>
      <c r="E458" s="802"/>
      <c r="F458" s="79">
        <f>'MANO DE OBRA'!D60</f>
        <v>0.05</v>
      </c>
      <c r="G458" s="113">
        <f>ROUND(G457*F458,0)</f>
        <v>2755</v>
      </c>
    </row>
    <row r="459" spans="1:8" ht="13.5" thickBot="1">
      <c r="A459" s="95"/>
      <c r="B459" s="819"/>
      <c r="C459" s="820"/>
      <c r="D459" s="803" t="s">
        <v>320</v>
      </c>
      <c r="E459" s="804"/>
      <c r="F459" s="114"/>
      <c r="G459" s="118">
        <f>+G457+G458</f>
        <v>57852</v>
      </c>
    </row>
    <row r="460" spans="1:8" ht="14.25" thickTop="1" thickBot="1">
      <c r="A460" s="95"/>
      <c r="B460" s="830"/>
      <c r="C460" s="830"/>
      <c r="D460" s="830"/>
      <c r="E460" s="830"/>
      <c r="F460" s="830"/>
      <c r="G460" s="830"/>
    </row>
    <row r="461" spans="1:8" ht="13.5" thickTop="1">
      <c r="A461" s="95"/>
      <c r="B461" s="811" t="s">
        <v>858</v>
      </c>
      <c r="C461" s="812"/>
      <c r="D461" s="812"/>
      <c r="E461" s="812"/>
      <c r="F461" s="812"/>
      <c r="G461" s="825"/>
    </row>
    <row r="462" spans="1:8">
      <c r="A462" s="95"/>
      <c r="B462" s="817"/>
      <c r="C462" s="818"/>
      <c r="D462" s="98" t="s">
        <v>301</v>
      </c>
      <c r="E462" s="98" t="s">
        <v>859</v>
      </c>
      <c r="F462" s="99" t="s">
        <v>839</v>
      </c>
      <c r="G462" s="107" t="s">
        <v>840</v>
      </c>
    </row>
    <row r="463" spans="1:8">
      <c r="A463" s="95"/>
      <c r="B463" s="821" t="s">
        <v>838</v>
      </c>
      <c r="C463" s="822"/>
      <c r="D463" s="100" t="s">
        <v>316</v>
      </c>
      <c r="E463" s="100" t="s">
        <v>315</v>
      </c>
      <c r="F463" s="101" t="s">
        <v>306</v>
      </c>
      <c r="G463" s="108" t="s">
        <v>319</v>
      </c>
    </row>
    <row r="464" spans="1:8">
      <c r="A464" s="95"/>
      <c r="B464" s="115"/>
      <c r="C464" s="102"/>
      <c r="D464" s="103"/>
      <c r="E464" s="103" t="s">
        <v>317</v>
      </c>
      <c r="F464" s="104" t="s">
        <v>318</v>
      </c>
      <c r="G464" s="109"/>
    </row>
    <row r="465" spans="1:7">
      <c r="A465" s="95"/>
      <c r="B465" s="823" t="str">
        <f>'MANO DE OBRA'!B10</f>
        <v>AYUDANTE CUAD. TIPO AA</v>
      </c>
      <c r="C465" s="824"/>
      <c r="D465" s="87">
        <v>1</v>
      </c>
      <c r="E465" s="80">
        <f>'MANO DE OBRA'!E10</f>
        <v>34680</v>
      </c>
      <c r="F465" s="81">
        <v>4.71</v>
      </c>
      <c r="G465" s="110">
        <f>ROUND(D465*E465/F465,0)</f>
        <v>7363</v>
      </c>
    </row>
    <row r="466" spans="1:7">
      <c r="A466" s="95"/>
      <c r="B466" s="835" t="str">
        <f>'MANO DE OBRA'!B15</f>
        <v xml:space="preserve">OFICIAL CUAD. TIPO AA </v>
      </c>
      <c r="C466" s="836"/>
      <c r="D466" s="37">
        <v>1</v>
      </c>
      <c r="E466" s="82">
        <f>'MANO DE OBRA'!E15</f>
        <v>71474</v>
      </c>
      <c r="F466" s="83">
        <v>4.71</v>
      </c>
      <c r="G466" s="111">
        <f>ROUND(D466*E466/F466,0)</f>
        <v>15175</v>
      </c>
    </row>
    <row r="467" spans="1:7">
      <c r="A467" s="95"/>
      <c r="B467" s="835"/>
      <c r="C467" s="836"/>
      <c r="D467" s="89"/>
      <c r="E467" s="82"/>
      <c r="F467" s="83"/>
      <c r="G467" s="111"/>
    </row>
    <row r="468" spans="1:7">
      <c r="A468" s="95"/>
      <c r="B468" s="835" t="s">
        <v>841</v>
      </c>
      <c r="C468" s="836"/>
      <c r="D468" s="37"/>
      <c r="E468" s="82"/>
      <c r="F468" s="83"/>
      <c r="G468" s="111"/>
    </row>
    <row r="469" spans="1:7" ht="13.5" thickBot="1">
      <c r="A469" s="95"/>
      <c r="B469" s="828" t="s">
        <v>841</v>
      </c>
      <c r="C469" s="829"/>
      <c r="D469" s="77"/>
      <c r="E469" s="82"/>
      <c r="F469" s="86"/>
      <c r="G469" s="112"/>
    </row>
    <row r="470" spans="1:7" ht="14.25" thickTop="1" thickBot="1">
      <c r="A470" s="95"/>
      <c r="B470" s="808"/>
      <c r="C470" s="808"/>
      <c r="D470" s="808"/>
      <c r="E470" s="809"/>
      <c r="F470" s="120" t="s">
        <v>856</v>
      </c>
      <c r="G470" s="118">
        <f>SUM(G465:G469)</f>
        <v>22538</v>
      </c>
    </row>
    <row r="471" spans="1:7" ht="14.25" thickTop="1" thickBot="1">
      <c r="A471" s="95"/>
      <c r="B471" s="810"/>
      <c r="C471" s="810"/>
      <c r="D471" s="810"/>
      <c r="E471" s="810"/>
      <c r="F471" s="810"/>
      <c r="G471" s="810"/>
    </row>
    <row r="472" spans="1:7" ht="13.5" thickTop="1">
      <c r="A472" s="95"/>
      <c r="B472" s="811" t="s">
        <v>321</v>
      </c>
      <c r="C472" s="812"/>
      <c r="D472" s="812"/>
      <c r="E472" s="812"/>
      <c r="F472" s="812"/>
      <c r="G472" s="825"/>
    </row>
    <row r="473" spans="1:7">
      <c r="A473" s="95"/>
      <c r="B473" s="817" t="s">
        <v>838</v>
      </c>
      <c r="C473" s="818"/>
      <c r="D473" s="98" t="s">
        <v>301</v>
      </c>
      <c r="E473" s="98" t="s">
        <v>297</v>
      </c>
      <c r="F473" s="99" t="s">
        <v>839</v>
      </c>
      <c r="G473" s="107" t="s">
        <v>840</v>
      </c>
    </row>
    <row r="474" spans="1:7">
      <c r="A474" s="95"/>
      <c r="B474" s="115"/>
      <c r="C474" s="102"/>
      <c r="D474" s="103" t="s">
        <v>322</v>
      </c>
      <c r="E474" s="103" t="s">
        <v>323</v>
      </c>
      <c r="F474" s="104" t="s">
        <v>324</v>
      </c>
      <c r="G474" s="109" t="s">
        <v>325</v>
      </c>
    </row>
    <row r="475" spans="1:7">
      <c r="A475" s="95"/>
      <c r="B475" s="826"/>
      <c r="C475" s="827"/>
      <c r="D475" s="96"/>
      <c r="E475" s="96"/>
      <c r="F475" s="96"/>
      <c r="G475" s="116"/>
    </row>
    <row r="476" spans="1:7" ht="13.5" thickBot="1">
      <c r="A476" s="95"/>
      <c r="B476" s="828" t="s">
        <v>841</v>
      </c>
      <c r="C476" s="829"/>
      <c r="D476" s="77"/>
      <c r="E476" s="82"/>
      <c r="F476" s="86"/>
      <c r="G476" s="112"/>
    </row>
    <row r="477" spans="1:7" ht="14.25" thickTop="1" thickBot="1">
      <c r="A477" s="95"/>
      <c r="B477" s="808"/>
      <c r="C477" s="808"/>
      <c r="D477" s="808"/>
      <c r="E477" s="809"/>
      <c r="F477" s="120" t="s">
        <v>856</v>
      </c>
      <c r="G477" s="118">
        <f>SUM(G472:G476)</f>
        <v>0</v>
      </c>
    </row>
    <row r="478" spans="1:7" ht="14.25" thickTop="1" thickBot="1">
      <c r="A478" s="95"/>
      <c r="B478" s="810"/>
      <c r="C478" s="810"/>
      <c r="D478" s="810"/>
      <c r="E478" s="810"/>
      <c r="F478" s="810"/>
      <c r="G478" s="834"/>
    </row>
    <row r="479" spans="1:7" ht="13.5" thickTop="1">
      <c r="A479" s="95"/>
      <c r="B479" s="811" t="s">
        <v>326</v>
      </c>
      <c r="C479" s="812"/>
      <c r="D479" s="812"/>
      <c r="E479" s="812"/>
      <c r="F479" s="813"/>
      <c r="G479" s="121">
        <f>+G443+G459+G470</f>
        <v>81517</v>
      </c>
    </row>
    <row r="480" spans="1:7">
      <c r="A480" s="95"/>
      <c r="B480" s="814" t="s">
        <v>861</v>
      </c>
      <c r="C480" s="815"/>
      <c r="D480" s="815"/>
      <c r="E480" s="816"/>
      <c r="F480" s="128">
        <f>'MANO DE OBRA'!D59</f>
        <v>0</v>
      </c>
      <c r="G480" s="122">
        <f>ROUND(G479*F480,0)</f>
        <v>0</v>
      </c>
    </row>
    <row r="481" spans="1:8" ht="13.5" thickBot="1">
      <c r="A481" s="95"/>
      <c r="B481" s="805" t="s">
        <v>1049</v>
      </c>
      <c r="C481" s="806"/>
      <c r="D481" s="806"/>
      <c r="E481" s="806"/>
      <c r="F481" s="807"/>
      <c r="G481" s="118">
        <f>ROUND(G479+G480,-2)</f>
        <v>81500</v>
      </c>
      <c r="H481" s="505" t="s">
        <v>1670</v>
      </c>
    </row>
    <row r="482" spans="1:8" ht="15" thickTop="1">
      <c r="A482" s="95"/>
      <c r="B482" s="90" t="s">
        <v>303</v>
      </c>
      <c r="C482" s="843"/>
      <c r="D482" s="843"/>
      <c r="E482" s="843"/>
      <c r="F482" s="92" t="s">
        <v>781</v>
      </c>
      <c r="G482" s="93" t="s">
        <v>1067</v>
      </c>
    </row>
    <row r="483" spans="1:8">
      <c r="A483" s="95"/>
      <c r="B483" s="91" t="s">
        <v>834</v>
      </c>
      <c r="C483" s="844" t="s">
        <v>1384</v>
      </c>
      <c r="D483" s="844"/>
      <c r="E483" s="844"/>
      <c r="F483" s="15" t="s">
        <v>833</v>
      </c>
      <c r="G483" s="165" t="str">
        <f>'MANO DE OBRA'!D61</f>
        <v>Agosto de 2010</v>
      </c>
    </row>
    <row r="484" spans="1:8" ht="13.5" thickBot="1">
      <c r="A484" s="127"/>
      <c r="B484" s="94" t="s">
        <v>835</v>
      </c>
      <c r="C484" s="845" t="s">
        <v>1394</v>
      </c>
      <c r="D484" s="845"/>
      <c r="E484" s="845"/>
      <c r="F484" s="845"/>
      <c r="G484" s="846"/>
    </row>
    <row r="485" spans="1:8" ht="14.25" thickTop="1" thickBot="1">
      <c r="A485" s="95"/>
      <c r="B485" s="847"/>
      <c r="C485" s="847"/>
      <c r="D485" s="847"/>
      <c r="E485" s="847"/>
      <c r="F485" s="847"/>
      <c r="G485" s="847"/>
    </row>
    <row r="486" spans="1:8" ht="13.5" thickTop="1">
      <c r="A486" s="95"/>
      <c r="B486" s="811" t="s">
        <v>304</v>
      </c>
      <c r="C486" s="812"/>
      <c r="D486" s="812"/>
      <c r="E486" s="812"/>
      <c r="F486" s="812"/>
      <c r="G486" s="825"/>
    </row>
    <row r="487" spans="1:8">
      <c r="A487" s="95"/>
      <c r="B487" s="105"/>
      <c r="C487" s="97"/>
      <c r="D487" s="98" t="s">
        <v>301</v>
      </c>
      <c r="E487" s="98" t="s">
        <v>1072</v>
      </c>
      <c r="F487" s="99" t="s">
        <v>839</v>
      </c>
      <c r="G487" s="107" t="s">
        <v>840</v>
      </c>
    </row>
    <row r="488" spans="1:8">
      <c r="A488" s="95"/>
      <c r="B488" s="821" t="s">
        <v>838</v>
      </c>
      <c r="C488" s="822"/>
      <c r="D488" s="100" t="s">
        <v>308</v>
      </c>
      <c r="E488" s="100" t="s">
        <v>305</v>
      </c>
      <c r="F488" s="101" t="s">
        <v>306</v>
      </c>
      <c r="G488" s="108" t="s">
        <v>310</v>
      </c>
    </row>
    <row r="489" spans="1:8">
      <c r="A489" s="95"/>
      <c r="B489" s="115"/>
      <c r="C489" s="102"/>
      <c r="D489" s="103"/>
      <c r="E489" s="103" t="s">
        <v>309</v>
      </c>
      <c r="F489" s="104" t="s">
        <v>307</v>
      </c>
      <c r="G489" s="109"/>
    </row>
    <row r="490" spans="1:8">
      <c r="A490" s="127"/>
      <c r="B490" s="823" t="str">
        <f>'MAQUINARIA Y EQUIPOS'!C28</f>
        <v>HERRAMIENTAS MENORES</v>
      </c>
      <c r="C490" s="824"/>
      <c r="D490" s="87">
        <v>1</v>
      </c>
      <c r="E490" s="82">
        <f>ROUND(G523*0.05,0)</f>
        <v>703</v>
      </c>
      <c r="F490" s="81">
        <v>1</v>
      </c>
      <c r="G490" s="110">
        <f>ROUND(D490*E490/F490,0)</f>
        <v>703</v>
      </c>
    </row>
    <row r="491" spans="1:8">
      <c r="A491" s="95"/>
      <c r="B491" s="835"/>
      <c r="C491" s="836"/>
      <c r="D491" s="37"/>
      <c r="E491" s="82"/>
      <c r="F491" s="83"/>
      <c r="G491" s="111"/>
    </row>
    <row r="492" spans="1:8">
      <c r="A492" s="95"/>
      <c r="B492" s="835"/>
      <c r="C492" s="836"/>
      <c r="D492" s="89"/>
      <c r="E492" s="82"/>
      <c r="F492" s="83"/>
      <c r="G492" s="111"/>
    </row>
    <row r="493" spans="1:8">
      <c r="A493" s="95"/>
      <c r="B493" s="835"/>
      <c r="C493" s="836"/>
      <c r="D493" s="89"/>
      <c r="E493" s="82"/>
      <c r="F493" s="83"/>
      <c r="G493" s="111"/>
    </row>
    <row r="494" spans="1:8">
      <c r="A494" s="95"/>
      <c r="B494" s="835" t="s">
        <v>841</v>
      </c>
      <c r="C494" s="836"/>
      <c r="D494" s="37"/>
      <c r="E494" s="82"/>
      <c r="F494" s="83"/>
      <c r="G494" s="111"/>
    </row>
    <row r="495" spans="1:8" ht="13.5" thickBot="1">
      <c r="A495" s="95"/>
      <c r="B495" s="839" t="s">
        <v>841</v>
      </c>
      <c r="C495" s="840"/>
      <c r="D495" s="77"/>
      <c r="E495" s="106"/>
      <c r="F495" s="86"/>
      <c r="G495" s="112"/>
    </row>
    <row r="496" spans="1:8" ht="14.25" thickTop="1" thickBot="1">
      <c r="A496" s="95"/>
      <c r="B496" s="808"/>
      <c r="C496" s="808"/>
      <c r="D496" s="808"/>
      <c r="E496" s="809"/>
      <c r="F496" s="119" t="s">
        <v>856</v>
      </c>
      <c r="G496" s="118">
        <f>SUM(G490:G495)</f>
        <v>703</v>
      </c>
    </row>
    <row r="497" spans="1:8" ht="14.25" thickTop="1" thickBot="1">
      <c r="A497" s="95"/>
      <c r="B497" s="830"/>
      <c r="C497" s="830"/>
      <c r="D497" s="830"/>
      <c r="E497" s="830"/>
      <c r="F497" s="830"/>
      <c r="G497" s="830"/>
    </row>
    <row r="498" spans="1:8" ht="13.5" thickTop="1">
      <c r="A498" s="95"/>
      <c r="B498" s="811" t="s">
        <v>311</v>
      </c>
      <c r="C498" s="812"/>
      <c r="D498" s="812"/>
      <c r="E498" s="812"/>
      <c r="F498" s="812"/>
      <c r="G498" s="825"/>
    </row>
    <row r="499" spans="1:8">
      <c r="A499" s="95"/>
      <c r="B499" s="817" t="s">
        <v>838</v>
      </c>
      <c r="C499" s="818"/>
      <c r="D499" s="98" t="s">
        <v>842</v>
      </c>
      <c r="E499" s="98" t="s">
        <v>853</v>
      </c>
      <c r="F499" s="99" t="s">
        <v>1047</v>
      </c>
      <c r="G499" s="107" t="s">
        <v>840</v>
      </c>
    </row>
    <row r="500" spans="1:8">
      <c r="A500" s="95"/>
      <c r="B500" s="115"/>
      <c r="C500" s="102"/>
      <c r="D500" s="100"/>
      <c r="E500" s="100" t="s">
        <v>312</v>
      </c>
      <c r="F500" s="101" t="s">
        <v>313</v>
      </c>
      <c r="G500" s="108" t="s">
        <v>314</v>
      </c>
    </row>
    <row r="501" spans="1:8">
      <c r="A501" s="125"/>
      <c r="B501" s="841" t="str">
        <f>MATERIALES2!C99</f>
        <v>LADRILLO PRENSADO CLARO</v>
      </c>
      <c r="C501" s="842"/>
      <c r="D501" s="87" t="s">
        <v>865</v>
      </c>
      <c r="E501" s="81">
        <v>57</v>
      </c>
      <c r="F501" s="80">
        <f>MATERIALES2!E99</f>
        <v>625</v>
      </c>
      <c r="G501" s="110">
        <f>ROUND(E501*F501,0)</f>
        <v>35625</v>
      </c>
    </row>
    <row r="502" spans="1:8">
      <c r="A502" s="123"/>
      <c r="B502" s="854" t="str">
        <f>MATERIALES2!C13</f>
        <v>CEMENTO GRIS</v>
      </c>
      <c r="C502" s="855"/>
      <c r="D502" s="37" t="s">
        <v>925</v>
      </c>
      <c r="E502" s="53">
        <v>13.62</v>
      </c>
      <c r="F502" s="82">
        <f>MATERIALES2!E13</f>
        <v>420</v>
      </c>
      <c r="G502" s="111">
        <f>ROUND(E502*F502,0)</f>
        <v>5720</v>
      </c>
    </row>
    <row r="503" spans="1:8" ht="14.25">
      <c r="A503" s="123"/>
      <c r="B503" s="854" t="str">
        <f>MATERIALES2!C20</f>
        <v xml:space="preserve">ARENA </v>
      </c>
      <c r="C503" s="855"/>
      <c r="D503" s="37" t="s">
        <v>1066</v>
      </c>
      <c r="E503" s="53">
        <v>3.3000000000000002E-2</v>
      </c>
      <c r="F503" s="82">
        <f>MATERIALES2!E20</f>
        <v>35000</v>
      </c>
      <c r="G503" s="111">
        <f>ROUND(E503*F503,0)</f>
        <v>1155</v>
      </c>
    </row>
    <row r="504" spans="1:8">
      <c r="A504" s="123"/>
      <c r="B504" s="854" t="str">
        <f>MATERIALES2!C28</f>
        <v>AGUA</v>
      </c>
      <c r="C504" s="855"/>
      <c r="D504" s="37" t="s">
        <v>1071</v>
      </c>
      <c r="E504" s="53">
        <v>7.56</v>
      </c>
      <c r="F504" s="82">
        <f>MATERIALES2!E28</f>
        <v>50</v>
      </c>
      <c r="G504" s="111">
        <f>ROUND(E504*F504,0)</f>
        <v>378</v>
      </c>
    </row>
    <row r="505" spans="1:8">
      <c r="A505" s="95"/>
      <c r="B505" s="854"/>
      <c r="C505" s="855"/>
      <c r="D505" s="37"/>
      <c r="E505" s="83"/>
      <c r="F505" s="82"/>
      <c r="G505" s="111"/>
    </row>
    <row r="506" spans="1:8">
      <c r="A506" s="95"/>
      <c r="B506" s="854"/>
      <c r="C506" s="855"/>
      <c r="D506" s="37"/>
      <c r="E506" s="53"/>
      <c r="F506" s="82"/>
      <c r="G506" s="111"/>
    </row>
    <row r="507" spans="1:8">
      <c r="A507" s="95"/>
      <c r="B507" s="854"/>
      <c r="C507" s="855"/>
      <c r="D507" s="37"/>
      <c r="E507" s="53"/>
      <c r="F507" s="82"/>
      <c r="G507" s="111"/>
    </row>
    <row r="508" spans="1:8">
      <c r="A508" s="95"/>
      <c r="B508" s="938" t="s">
        <v>841</v>
      </c>
      <c r="C508" s="939"/>
      <c r="D508" s="53" t="s">
        <v>841</v>
      </c>
      <c r="E508" s="53"/>
      <c r="F508" s="82"/>
      <c r="G508" s="111"/>
      <c r="H508" s="505" t="s">
        <v>1670</v>
      </c>
    </row>
    <row r="509" spans="1:8" ht="13.5" thickBot="1">
      <c r="A509" s="95"/>
      <c r="B509" s="839" t="s">
        <v>841</v>
      </c>
      <c r="C509" s="840"/>
      <c r="D509" s="84" t="s">
        <v>841</v>
      </c>
      <c r="E509" s="84"/>
      <c r="F509" s="85"/>
      <c r="G509" s="112"/>
    </row>
    <row r="510" spans="1:8" ht="13.5" thickTop="1">
      <c r="A510" s="95"/>
      <c r="B510" s="808"/>
      <c r="C510" s="809"/>
      <c r="D510" s="801" t="s">
        <v>856</v>
      </c>
      <c r="E510" s="802"/>
      <c r="F510" s="9"/>
      <c r="G510" s="113">
        <f>SUM(G501:G509)</f>
        <v>42878</v>
      </c>
    </row>
    <row r="511" spans="1:8">
      <c r="A511" s="95"/>
      <c r="B511" s="819"/>
      <c r="C511" s="820"/>
      <c r="D511" s="801" t="s">
        <v>857</v>
      </c>
      <c r="E511" s="802"/>
      <c r="F511" s="79">
        <f>'MANO DE OBRA'!D60</f>
        <v>0.05</v>
      </c>
      <c r="G511" s="113">
        <f>ROUND(G510*F511,0)</f>
        <v>2144</v>
      </c>
    </row>
    <row r="512" spans="1:8" ht="13.5" thickBot="1">
      <c r="A512" s="95"/>
      <c r="B512" s="819"/>
      <c r="C512" s="820"/>
      <c r="D512" s="803" t="s">
        <v>320</v>
      </c>
      <c r="E512" s="804"/>
      <c r="F512" s="114"/>
      <c r="G512" s="118">
        <f>+G510+G511</f>
        <v>45022</v>
      </c>
    </row>
    <row r="513" spans="1:7" ht="14.25" thickTop="1" thickBot="1">
      <c r="A513" s="95"/>
      <c r="B513" s="830"/>
      <c r="C513" s="830"/>
      <c r="D513" s="830"/>
      <c r="E513" s="830"/>
      <c r="F513" s="830"/>
      <c r="G513" s="830"/>
    </row>
    <row r="514" spans="1:7" ht="13.5" thickTop="1">
      <c r="A514" s="95"/>
      <c r="B514" s="811" t="s">
        <v>858</v>
      </c>
      <c r="C514" s="812"/>
      <c r="D514" s="812"/>
      <c r="E514" s="812"/>
      <c r="F514" s="812"/>
      <c r="G514" s="825"/>
    </row>
    <row r="515" spans="1:7">
      <c r="A515" s="95"/>
      <c r="B515" s="817"/>
      <c r="C515" s="818"/>
      <c r="D515" s="98" t="s">
        <v>301</v>
      </c>
      <c r="E515" s="98" t="s">
        <v>859</v>
      </c>
      <c r="F515" s="99" t="s">
        <v>839</v>
      </c>
      <c r="G515" s="107" t="s">
        <v>840</v>
      </c>
    </row>
    <row r="516" spans="1:7">
      <c r="A516" s="95"/>
      <c r="B516" s="821" t="s">
        <v>838</v>
      </c>
      <c r="C516" s="822"/>
      <c r="D516" s="100" t="s">
        <v>316</v>
      </c>
      <c r="E516" s="100" t="s">
        <v>315</v>
      </c>
      <c r="F516" s="101" t="s">
        <v>306</v>
      </c>
      <c r="G516" s="108" t="s">
        <v>319</v>
      </c>
    </row>
    <row r="517" spans="1:7">
      <c r="A517" s="95"/>
      <c r="B517" s="115"/>
      <c r="C517" s="102"/>
      <c r="D517" s="103"/>
      <c r="E517" s="103" t="s">
        <v>317</v>
      </c>
      <c r="F517" s="104" t="s">
        <v>318</v>
      </c>
      <c r="G517" s="109"/>
    </row>
    <row r="518" spans="1:7">
      <c r="A518" s="95"/>
      <c r="B518" s="823" t="str">
        <f>'MANO DE OBRA'!B10</f>
        <v>AYUDANTE CUAD. TIPO AA</v>
      </c>
      <c r="C518" s="824"/>
      <c r="D518" s="87">
        <v>1</v>
      </c>
      <c r="E518" s="80">
        <f>'MANO DE OBRA'!E10</f>
        <v>34680</v>
      </c>
      <c r="F518" s="81">
        <v>7.55</v>
      </c>
      <c r="G518" s="110">
        <f>ROUND(D518*E518/F518,0)</f>
        <v>4593</v>
      </c>
    </row>
    <row r="519" spans="1:7">
      <c r="A519" s="95"/>
      <c r="B519" s="835" t="str">
        <f>'MANO DE OBRA'!B15</f>
        <v xml:space="preserve">OFICIAL CUAD. TIPO AA </v>
      </c>
      <c r="C519" s="836"/>
      <c r="D519" s="37">
        <v>1</v>
      </c>
      <c r="E519" s="82">
        <f>'MANO DE OBRA'!E15</f>
        <v>71474</v>
      </c>
      <c r="F519" s="83">
        <v>7.55</v>
      </c>
      <c r="G519" s="111">
        <f>ROUND(D519*E519/F519,0)</f>
        <v>9467</v>
      </c>
    </row>
    <row r="520" spans="1:7">
      <c r="A520" s="95"/>
      <c r="B520" s="835"/>
      <c r="C520" s="836"/>
      <c r="D520" s="89"/>
      <c r="E520" s="82"/>
      <c r="F520" s="83"/>
      <c r="G520" s="111"/>
    </row>
    <row r="521" spans="1:7">
      <c r="A521" s="95"/>
      <c r="B521" s="835" t="s">
        <v>841</v>
      </c>
      <c r="C521" s="836"/>
      <c r="D521" s="37"/>
      <c r="E521" s="82"/>
      <c r="F521" s="83"/>
      <c r="G521" s="111"/>
    </row>
    <row r="522" spans="1:7" ht="13.5" thickBot="1">
      <c r="A522" s="95"/>
      <c r="B522" s="828" t="s">
        <v>841</v>
      </c>
      <c r="C522" s="829"/>
      <c r="D522" s="77"/>
      <c r="E522" s="82"/>
      <c r="F522" s="86"/>
      <c r="G522" s="112"/>
    </row>
    <row r="523" spans="1:7" ht="14.25" thickTop="1" thickBot="1">
      <c r="A523" s="95"/>
      <c r="B523" s="808"/>
      <c r="C523" s="808"/>
      <c r="D523" s="808"/>
      <c r="E523" s="809"/>
      <c r="F523" s="120" t="s">
        <v>856</v>
      </c>
      <c r="G523" s="118">
        <f>SUM(G518:G522)</f>
        <v>14060</v>
      </c>
    </row>
    <row r="524" spans="1:7" ht="14.25" thickTop="1" thickBot="1">
      <c r="A524" s="95"/>
      <c r="B524" s="810"/>
      <c r="C524" s="810"/>
      <c r="D524" s="810"/>
      <c r="E524" s="810"/>
      <c r="F524" s="810"/>
      <c r="G524" s="810"/>
    </row>
    <row r="525" spans="1:7" ht="13.5" thickTop="1">
      <c r="A525" s="95"/>
      <c r="B525" s="811" t="s">
        <v>321</v>
      </c>
      <c r="C525" s="812"/>
      <c r="D525" s="812"/>
      <c r="E525" s="812"/>
      <c r="F525" s="812"/>
      <c r="G525" s="825"/>
    </row>
    <row r="526" spans="1:7">
      <c r="A526" s="95"/>
      <c r="B526" s="817" t="s">
        <v>838</v>
      </c>
      <c r="C526" s="818"/>
      <c r="D526" s="98" t="s">
        <v>301</v>
      </c>
      <c r="E526" s="98" t="s">
        <v>297</v>
      </c>
      <c r="F526" s="99" t="s">
        <v>839</v>
      </c>
      <c r="G526" s="107" t="s">
        <v>840</v>
      </c>
    </row>
    <row r="527" spans="1:7">
      <c r="A527" s="95"/>
      <c r="B527" s="115"/>
      <c r="C527" s="102"/>
      <c r="D527" s="103" t="s">
        <v>322</v>
      </c>
      <c r="E527" s="103" t="s">
        <v>323</v>
      </c>
      <c r="F527" s="104" t="s">
        <v>324</v>
      </c>
      <c r="G527" s="109" t="s">
        <v>325</v>
      </c>
    </row>
    <row r="528" spans="1:7">
      <c r="A528" s="95"/>
      <c r="B528" s="826"/>
      <c r="C528" s="827"/>
      <c r="D528" s="96"/>
      <c r="E528" s="96"/>
      <c r="F528" s="96"/>
      <c r="G528" s="116"/>
    </row>
    <row r="529" spans="1:8" ht="13.5" thickBot="1">
      <c r="A529" s="95"/>
      <c r="B529" s="828" t="s">
        <v>841</v>
      </c>
      <c r="C529" s="829"/>
      <c r="D529" s="77"/>
      <c r="E529" s="82"/>
      <c r="F529" s="86"/>
      <c r="G529" s="112"/>
    </row>
    <row r="530" spans="1:8" ht="14.25" thickTop="1" thickBot="1">
      <c r="A530" s="95"/>
      <c r="B530" s="808"/>
      <c r="C530" s="808"/>
      <c r="D530" s="808"/>
      <c r="E530" s="809"/>
      <c r="F530" s="120" t="s">
        <v>856</v>
      </c>
      <c r="G530" s="118">
        <f>SUM(G525:G529)</f>
        <v>0</v>
      </c>
    </row>
    <row r="531" spans="1:8" ht="14.25" thickTop="1" thickBot="1">
      <c r="A531" s="95"/>
      <c r="B531" s="810"/>
      <c r="C531" s="810"/>
      <c r="D531" s="810"/>
      <c r="E531" s="810"/>
      <c r="F531" s="810"/>
      <c r="G531" s="834"/>
    </row>
    <row r="532" spans="1:8" ht="13.5" thickTop="1">
      <c r="A532" s="95"/>
      <c r="B532" s="811" t="s">
        <v>326</v>
      </c>
      <c r="C532" s="812"/>
      <c r="D532" s="812"/>
      <c r="E532" s="812"/>
      <c r="F532" s="813"/>
      <c r="G532" s="121">
        <f>+G496+G512+G523</f>
        <v>59785</v>
      </c>
    </row>
    <row r="533" spans="1:8">
      <c r="A533" s="95"/>
      <c r="B533" s="814" t="s">
        <v>861</v>
      </c>
      <c r="C533" s="815"/>
      <c r="D533" s="815"/>
      <c r="E533" s="816"/>
      <c r="F533" s="128">
        <f>'MANO DE OBRA'!D59</f>
        <v>0</v>
      </c>
      <c r="G533" s="122">
        <f>ROUND(G532*F533,0)</f>
        <v>0</v>
      </c>
    </row>
    <row r="534" spans="1:8" ht="13.5" thickBot="1">
      <c r="A534" s="95"/>
      <c r="B534" s="805" t="s">
        <v>1049</v>
      </c>
      <c r="C534" s="806"/>
      <c r="D534" s="806"/>
      <c r="E534" s="806"/>
      <c r="F534" s="807"/>
      <c r="G534" s="118">
        <f>ROUND(G532+G533,-2)</f>
        <v>59800</v>
      </c>
      <c r="H534" s="505" t="s">
        <v>1670</v>
      </c>
    </row>
    <row r="535" spans="1:8" ht="15" thickTop="1">
      <c r="A535" s="95"/>
      <c r="B535" s="90" t="s">
        <v>303</v>
      </c>
      <c r="C535" s="843"/>
      <c r="D535" s="843"/>
      <c r="E535" s="843"/>
      <c r="F535" s="92" t="s">
        <v>781</v>
      </c>
      <c r="G535" s="93" t="s">
        <v>1067</v>
      </c>
    </row>
    <row r="536" spans="1:8">
      <c r="A536" s="95"/>
      <c r="B536" s="91" t="s">
        <v>834</v>
      </c>
      <c r="C536" s="844" t="s">
        <v>1384</v>
      </c>
      <c r="D536" s="844"/>
      <c r="E536" s="844"/>
      <c r="F536" s="15" t="s">
        <v>833</v>
      </c>
      <c r="G536" s="165" t="str">
        <f>'MANO DE OBRA'!D61</f>
        <v>Agosto de 2010</v>
      </c>
    </row>
    <row r="537" spans="1:8" ht="13.5" thickBot="1">
      <c r="A537" s="127"/>
      <c r="B537" s="94" t="s">
        <v>835</v>
      </c>
      <c r="C537" s="845" t="s">
        <v>1395</v>
      </c>
      <c r="D537" s="845"/>
      <c r="E537" s="845"/>
      <c r="F537" s="845"/>
      <c r="G537" s="846"/>
    </row>
    <row r="538" spans="1:8" ht="14.25" thickTop="1" thickBot="1">
      <c r="A538" s="95"/>
      <c r="B538" s="847"/>
      <c r="C538" s="847"/>
      <c r="D538" s="847"/>
      <c r="E538" s="847"/>
      <c r="F538" s="847"/>
      <c r="G538" s="847"/>
    </row>
    <row r="539" spans="1:8" ht="13.5" thickTop="1">
      <c r="A539" s="95"/>
      <c r="B539" s="811" t="s">
        <v>304</v>
      </c>
      <c r="C539" s="812"/>
      <c r="D539" s="812"/>
      <c r="E539" s="812"/>
      <c r="F539" s="812"/>
      <c r="G539" s="825"/>
    </row>
    <row r="540" spans="1:8">
      <c r="A540" s="95"/>
      <c r="B540" s="105"/>
      <c r="C540" s="97"/>
      <c r="D540" s="98" t="s">
        <v>301</v>
      </c>
      <c r="E540" s="98" t="s">
        <v>1072</v>
      </c>
      <c r="F540" s="99" t="s">
        <v>839</v>
      </c>
      <c r="G540" s="107" t="s">
        <v>840</v>
      </c>
    </row>
    <row r="541" spans="1:8">
      <c r="A541" s="95"/>
      <c r="B541" s="821" t="s">
        <v>838</v>
      </c>
      <c r="C541" s="822"/>
      <c r="D541" s="100" t="s">
        <v>308</v>
      </c>
      <c r="E541" s="100" t="s">
        <v>305</v>
      </c>
      <c r="F541" s="101" t="s">
        <v>306</v>
      </c>
      <c r="G541" s="108" t="s">
        <v>310</v>
      </c>
    </row>
    <row r="542" spans="1:8">
      <c r="A542" s="95"/>
      <c r="B542" s="115"/>
      <c r="C542" s="102"/>
      <c r="D542" s="103"/>
      <c r="E542" s="103" t="s">
        <v>309</v>
      </c>
      <c r="F542" s="104" t="s">
        <v>307</v>
      </c>
      <c r="G542" s="109"/>
    </row>
    <row r="543" spans="1:8">
      <c r="A543" s="127"/>
      <c r="B543" s="823" t="str">
        <f>'MAQUINARIA Y EQUIPOS'!C28</f>
        <v>HERRAMIENTAS MENORES</v>
      </c>
      <c r="C543" s="824"/>
      <c r="D543" s="87">
        <v>1</v>
      </c>
      <c r="E543" s="82">
        <f>ROUND(G576*0.05,0)</f>
        <v>571</v>
      </c>
      <c r="F543" s="81">
        <v>1</v>
      </c>
      <c r="G543" s="110">
        <f>ROUND(D543*E543/F543,0)</f>
        <v>571</v>
      </c>
    </row>
    <row r="544" spans="1:8">
      <c r="A544" s="95"/>
      <c r="B544" s="835"/>
      <c r="C544" s="836"/>
      <c r="D544" s="37"/>
      <c r="E544" s="82"/>
      <c r="F544" s="83"/>
      <c r="G544" s="111"/>
    </row>
    <row r="545" spans="1:7">
      <c r="A545" s="95"/>
      <c r="B545" s="835"/>
      <c r="C545" s="836"/>
      <c r="D545" s="89"/>
      <c r="E545" s="82"/>
      <c r="F545" s="83"/>
      <c r="G545" s="111"/>
    </row>
    <row r="546" spans="1:7">
      <c r="A546" s="95"/>
      <c r="B546" s="835"/>
      <c r="C546" s="836"/>
      <c r="D546" s="89"/>
      <c r="E546" s="82"/>
      <c r="F546" s="83"/>
      <c r="G546" s="111"/>
    </row>
    <row r="547" spans="1:7">
      <c r="A547" s="95"/>
      <c r="B547" s="835" t="s">
        <v>841</v>
      </c>
      <c r="C547" s="836"/>
      <c r="D547" s="37"/>
      <c r="E547" s="82"/>
      <c r="F547" s="83"/>
      <c r="G547" s="111"/>
    </row>
    <row r="548" spans="1:7" ht="13.5" thickBot="1">
      <c r="A548" s="95"/>
      <c r="B548" s="839" t="s">
        <v>841</v>
      </c>
      <c r="C548" s="840"/>
      <c r="D548" s="77"/>
      <c r="E548" s="106"/>
      <c r="F548" s="86"/>
      <c r="G548" s="112"/>
    </row>
    <row r="549" spans="1:7" ht="14.25" thickTop="1" thickBot="1">
      <c r="A549" s="95"/>
      <c r="B549" s="808"/>
      <c r="C549" s="808"/>
      <c r="D549" s="808"/>
      <c r="E549" s="809"/>
      <c r="F549" s="119" t="s">
        <v>856</v>
      </c>
      <c r="G549" s="118">
        <f>SUM(G543:G548)</f>
        <v>571</v>
      </c>
    </row>
    <row r="550" spans="1:7" ht="14.25" thickTop="1" thickBot="1">
      <c r="A550" s="95"/>
      <c r="B550" s="830"/>
      <c r="C550" s="830"/>
      <c r="D550" s="830"/>
      <c r="E550" s="830"/>
      <c r="F550" s="830"/>
      <c r="G550" s="830"/>
    </row>
    <row r="551" spans="1:7" ht="13.5" thickTop="1">
      <c r="A551" s="95"/>
      <c r="B551" s="811" t="s">
        <v>311</v>
      </c>
      <c r="C551" s="812"/>
      <c r="D551" s="812"/>
      <c r="E551" s="812"/>
      <c r="F551" s="812"/>
      <c r="G551" s="825"/>
    </row>
    <row r="552" spans="1:7">
      <c r="A552" s="95"/>
      <c r="B552" s="817" t="s">
        <v>838</v>
      </c>
      <c r="C552" s="818"/>
      <c r="D552" s="98" t="s">
        <v>842</v>
      </c>
      <c r="E552" s="98" t="s">
        <v>853</v>
      </c>
      <c r="F552" s="99" t="s">
        <v>1047</v>
      </c>
      <c r="G552" s="107" t="s">
        <v>840</v>
      </c>
    </row>
    <row r="553" spans="1:7">
      <c r="A553" s="95"/>
      <c r="B553" s="115"/>
      <c r="C553" s="102"/>
      <c r="D553" s="100"/>
      <c r="E553" s="100" t="s">
        <v>312</v>
      </c>
      <c r="F553" s="101" t="s">
        <v>313</v>
      </c>
      <c r="G553" s="108" t="s">
        <v>314</v>
      </c>
    </row>
    <row r="554" spans="1:7">
      <c r="A554" s="125"/>
      <c r="B554" s="841" t="str">
        <f>MATERIALES2!C99</f>
        <v>LADRILLO PRENSADO CLARO</v>
      </c>
      <c r="C554" s="842"/>
      <c r="D554" s="87" t="s">
        <v>865</v>
      </c>
      <c r="E554" s="81">
        <v>30</v>
      </c>
      <c r="F554" s="80">
        <f>MATERIALES2!E99</f>
        <v>625</v>
      </c>
      <c r="G554" s="110">
        <f>ROUND(E554*F554,0)</f>
        <v>18750</v>
      </c>
    </row>
    <row r="555" spans="1:7">
      <c r="A555" s="123"/>
      <c r="B555" s="854" t="str">
        <f>MATERIALES2!C13</f>
        <v>CEMENTO GRIS</v>
      </c>
      <c r="C555" s="855"/>
      <c r="D555" s="37" t="s">
        <v>925</v>
      </c>
      <c r="E555" s="53">
        <v>3.92</v>
      </c>
      <c r="F555" s="82">
        <f>MATERIALES2!E13</f>
        <v>420</v>
      </c>
      <c r="G555" s="111">
        <f>ROUND(E555*F555,0)</f>
        <v>1646</v>
      </c>
    </row>
    <row r="556" spans="1:7" ht="14.25">
      <c r="A556" s="123"/>
      <c r="B556" s="854" t="str">
        <f>MATERIALES2!C20</f>
        <v xml:space="preserve">ARENA </v>
      </c>
      <c r="C556" s="855"/>
      <c r="D556" s="37" t="s">
        <v>1066</v>
      </c>
      <c r="E556" s="53">
        <v>8.9999999999999993E-3</v>
      </c>
      <c r="F556" s="82">
        <f>MATERIALES2!E20</f>
        <v>35000</v>
      </c>
      <c r="G556" s="111">
        <f>ROUND(E556*F556,0)</f>
        <v>315</v>
      </c>
    </row>
    <row r="557" spans="1:7">
      <c r="A557" s="123"/>
      <c r="B557" s="854" t="str">
        <f>MATERIALES2!C28</f>
        <v>AGUA</v>
      </c>
      <c r="C557" s="855"/>
      <c r="D557" s="37" t="s">
        <v>1071</v>
      </c>
      <c r="E557" s="53">
        <v>2.1800000000000002</v>
      </c>
      <c r="F557" s="82">
        <f>MATERIALES2!E28</f>
        <v>50</v>
      </c>
      <c r="G557" s="111">
        <f>ROUND(E557*F557,0)</f>
        <v>109</v>
      </c>
    </row>
    <row r="558" spans="1:7">
      <c r="A558" s="95"/>
      <c r="B558" s="854"/>
      <c r="C558" s="855"/>
      <c r="D558" s="37"/>
      <c r="E558" s="83"/>
      <c r="F558" s="82"/>
      <c r="G558" s="111"/>
    </row>
    <row r="559" spans="1:7">
      <c r="A559" s="95"/>
      <c r="B559" s="854"/>
      <c r="C559" s="855"/>
      <c r="D559" s="37"/>
      <c r="E559" s="53"/>
      <c r="F559" s="82"/>
      <c r="G559" s="111"/>
    </row>
    <row r="560" spans="1:7">
      <c r="A560" s="95"/>
      <c r="B560" s="854"/>
      <c r="C560" s="855"/>
      <c r="D560" s="37"/>
      <c r="E560" s="53"/>
      <c r="F560" s="82"/>
      <c r="G560" s="111"/>
    </row>
    <row r="561" spans="1:8">
      <c r="A561" s="95"/>
      <c r="B561" s="938" t="s">
        <v>841</v>
      </c>
      <c r="C561" s="939"/>
      <c r="D561" s="53" t="s">
        <v>841</v>
      </c>
      <c r="E561" s="53"/>
      <c r="F561" s="82"/>
      <c r="G561" s="111"/>
      <c r="H561" s="505" t="s">
        <v>1670</v>
      </c>
    </row>
    <row r="562" spans="1:8" ht="13.5" thickBot="1">
      <c r="A562" s="95"/>
      <c r="B562" s="942" t="s">
        <v>841</v>
      </c>
      <c r="C562" s="943"/>
      <c r="D562" s="84" t="s">
        <v>841</v>
      </c>
      <c r="E562" s="84"/>
      <c r="F562" s="85"/>
      <c r="G562" s="112"/>
    </row>
    <row r="563" spans="1:8" ht="13.5" thickTop="1">
      <c r="A563" s="95"/>
      <c r="B563" s="808"/>
      <c r="C563" s="809"/>
      <c r="D563" s="801" t="s">
        <v>856</v>
      </c>
      <c r="E563" s="802"/>
      <c r="F563" s="9"/>
      <c r="G563" s="113">
        <f>SUM(G554:G562)</f>
        <v>20820</v>
      </c>
    </row>
    <row r="564" spans="1:8">
      <c r="A564" s="95"/>
      <c r="B564" s="819"/>
      <c r="C564" s="820"/>
      <c r="D564" s="801" t="s">
        <v>857</v>
      </c>
      <c r="E564" s="802"/>
      <c r="F564" s="79">
        <f>'MANO DE OBRA'!D60</f>
        <v>0.05</v>
      </c>
      <c r="G564" s="113">
        <f>ROUND(G563*F564,0)</f>
        <v>1041</v>
      </c>
    </row>
    <row r="565" spans="1:8" ht="13.5" thickBot="1">
      <c r="A565" s="95"/>
      <c r="B565" s="819"/>
      <c r="C565" s="820"/>
      <c r="D565" s="803" t="s">
        <v>320</v>
      </c>
      <c r="E565" s="804"/>
      <c r="F565" s="114"/>
      <c r="G565" s="118">
        <f>+G563+G564</f>
        <v>21861</v>
      </c>
    </row>
    <row r="566" spans="1:8" ht="14.25" thickTop="1" thickBot="1">
      <c r="A566" s="95"/>
      <c r="B566" s="830"/>
      <c r="C566" s="830"/>
      <c r="D566" s="830"/>
      <c r="E566" s="830"/>
      <c r="F566" s="830"/>
      <c r="G566" s="830"/>
    </row>
    <row r="567" spans="1:8" ht="13.5" thickTop="1">
      <c r="A567" s="95"/>
      <c r="B567" s="811" t="s">
        <v>858</v>
      </c>
      <c r="C567" s="812"/>
      <c r="D567" s="812"/>
      <c r="E567" s="812"/>
      <c r="F567" s="812"/>
      <c r="G567" s="825"/>
    </row>
    <row r="568" spans="1:8">
      <c r="A568" s="95"/>
      <c r="B568" s="817"/>
      <c r="C568" s="818"/>
      <c r="D568" s="98" t="s">
        <v>301</v>
      </c>
      <c r="E568" s="98" t="s">
        <v>859</v>
      </c>
      <c r="F568" s="99" t="s">
        <v>839</v>
      </c>
      <c r="G568" s="107" t="s">
        <v>840</v>
      </c>
    </row>
    <row r="569" spans="1:8">
      <c r="A569" s="95"/>
      <c r="B569" s="821" t="s">
        <v>838</v>
      </c>
      <c r="C569" s="822"/>
      <c r="D569" s="100" t="s">
        <v>316</v>
      </c>
      <c r="E569" s="100" t="s">
        <v>315</v>
      </c>
      <c r="F569" s="101" t="s">
        <v>306</v>
      </c>
      <c r="G569" s="108" t="s">
        <v>319</v>
      </c>
    </row>
    <row r="570" spans="1:8">
      <c r="A570" s="95"/>
      <c r="B570" s="115"/>
      <c r="C570" s="102"/>
      <c r="D570" s="103"/>
      <c r="E570" s="103" t="s">
        <v>317</v>
      </c>
      <c r="F570" s="104" t="s">
        <v>318</v>
      </c>
      <c r="G570" s="109"/>
    </row>
    <row r="571" spans="1:8">
      <c r="A571" s="95"/>
      <c r="B571" s="823" t="str">
        <f>'MANO DE OBRA'!B10</f>
        <v>AYUDANTE CUAD. TIPO AA</v>
      </c>
      <c r="C571" s="824"/>
      <c r="D571" s="87">
        <v>1</v>
      </c>
      <c r="E571" s="80">
        <f>'MANO DE OBRA'!E10</f>
        <v>34680</v>
      </c>
      <c r="F571" s="81">
        <v>9.3000000000000007</v>
      </c>
      <c r="G571" s="110">
        <f>ROUND(D571*E571/F571,0)</f>
        <v>3729</v>
      </c>
    </row>
    <row r="572" spans="1:8">
      <c r="A572" s="95"/>
      <c r="B572" s="835" t="str">
        <f>'MANO DE OBRA'!B15</f>
        <v xml:space="preserve">OFICIAL CUAD. TIPO AA </v>
      </c>
      <c r="C572" s="836"/>
      <c r="D572" s="37">
        <v>1</v>
      </c>
      <c r="E572" s="82">
        <f>'MANO DE OBRA'!E15</f>
        <v>71474</v>
      </c>
      <c r="F572" s="83">
        <v>9.3000000000000007</v>
      </c>
      <c r="G572" s="111">
        <f>ROUND(D572*E572/F572,0)</f>
        <v>7685</v>
      </c>
    </row>
    <row r="573" spans="1:8">
      <c r="A573" s="95"/>
      <c r="B573" s="835"/>
      <c r="C573" s="836"/>
      <c r="D573" s="89"/>
      <c r="E573" s="82"/>
      <c r="F573" s="83"/>
      <c r="G573" s="111"/>
    </row>
    <row r="574" spans="1:8">
      <c r="A574" s="95"/>
      <c r="B574" s="835" t="s">
        <v>841</v>
      </c>
      <c r="C574" s="836"/>
      <c r="D574" s="37"/>
      <c r="E574" s="82"/>
      <c r="F574" s="83"/>
      <c r="G574" s="111"/>
    </row>
    <row r="575" spans="1:8" ht="13.5" thickBot="1">
      <c r="A575" s="95"/>
      <c r="B575" s="828" t="s">
        <v>841</v>
      </c>
      <c r="C575" s="829"/>
      <c r="D575" s="77"/>
      <c r="E575" s="82"/>
      <c r="F575" s="86"/>
      <c r="G575" s="112"/>
    </row>
    <row r="576" spans="1:8" ht="14.25" thickTop="1" thickBot="1">
      <c r="A576" s="95"/>
      <c r="B576" s="808"/>
      <c r="C576" s="808"/>
      <c r="D576" s="808"/>
      <c r="E576" s="809"/>
      <c r="F576" s="120" t="s">
        <v>856</v>
      </c>
      <c r="G576" s="118">
        <f>SUM(G571:G575)</f>
        <v>11414</v>
      </c>
    </row>
    <row r="577" spans="1:8" ht="14.25" thickTop="1" thickBot="1">
      <c r="A577" s="95"/>
      <c r="B577" s="810"/>
      <c r="C577" s="810"/>
      <c r="D577" s="810"/>
      <c r="E577" s="810"/>
      <c r="F577" s="810"/>
      <c r="G577" s="810"/>
    </row>
    <row r="578" spans="1:8" ht="13.5" thickTop="1">
      <c r="A578" s="95"/>
      <c r="B578" s="811" t="s">
        <v>321</v>
      </c>
      <c r="C578" s="812"/>
      <c r="D578" s="812"/>
      <c r="E578" s="812"/>
      <c r="F578" s="812"/>
      <c r="G578" s="825"/>
    </row>
    <row r="579" spans="1:8">
      <c r="A579" s="95"/>
      <c r="B579" s="817" t="s">
        <v>838</v>
      </c>
      <c r="C579" s="818"/>
      <c r="D579" s="98" t="s">
        <v>301</v>
      </c>
      <c r="E579" s="98" t="s">
        <v>297</v>
      </c>
      <c r="F579" s="99" t="s">
        <v>839</v>
      </c>
      <c r="G579" s="107" t="s">
        <v>840</v>
      </c>
    </row>
    <row r="580" spans="1:8">
      <c r="A580" s="95"/>
      <c r="B580" s="115"/>
      <c r="C580" s="102"/>
      <c r="D580" s="103" t="s">
        <v>322</v>
      </c>
      <c r="E580" s="103" t="s">
        <v>323</v>
      </c>
      <c r="F580" s="104" t="s">
        <v>324</v>
      </c>
      <c r="G580" s="109" t="s">
        <v>325</v>
      </c>
    </row>
    <row r="581" spans="1:8">
      <c r="A581" s="95"/>
      <c r="B581" s="826"/>
      <c r="C581" s="827"/>
      <c r="D581" s="96"/>
      <c r="E581" s="96"/>
      <c r="F581" s="96"/>
      <c r="G581" s="116"/>
    </row>
    <row r="582" spans="1:8" ht="13.5" thickBot="1">
      <c r="A582" s="95"/>
      <c r="B582" s="828" t="s">
        <v>841</v>
      </c>
      <c r="C582" s="829"/>
      <c r="D582" s="77"/>
      <c r="E582" s="82"/>
      <c r="F582" s="86"/>
      <c r="G582" s="112"/>
    </row>
    <row r="583" spans="1:8" ht="14.25" thickTop="1" thickBot="1">
      <c r="A583" s="95"/>
      <c r="B583" s="808"/>
      <c r="C583" s="808"/>
      <c r="D583" s="808"/>
      <c r="E583" s="809"/>
      <c r="F583" s="120" t="s">
        <v>856</v>
      </c>
      <c r="G583" s="118">
        <f>SUM(G578:G582)</f>
        <v>0</v>
      </c>
    </row>
    <row r="584" spans="1:8" ht="14.25" thickTop="1" thickBot="1">
      <c r="A584" s="95"/>
      <c r="B584" s="810"/>
      <c r="C584" s="810"/>
      <c r="D584" s="810"/>
      <c r="E584" s="810"/>
      <c r="F584" s="810"/>
      <c r="G584" s="834"/>
    </row>
    <row r="585" spans="1:8" ht="13.5" thickTop="1">
      <c r="A585" s="95"/>
      <c r="B585" s="811" t="s">
        <v>326</v>
      </c>
      <c r="C585" s="812"/>
      <c r="D585" s="812"/>
      <c r="E585" s="812"/>
      <c r="F585" s="813"/>
      <c r="G585" s="121">
        <f>+G549+G565+G576</f>
        <v>33846</v>
      </c>
    </row>
    <row r="586" spans="1:8">
      <c r="A586" s="95"/>
      <c r="B586" s="814" t="s">
        <v>861</v>
      </c>
      <c r="C586" s="815"/>
      <c r="D586" s="815"/>
      <c r="E586" s="816"/>
      <c r="F586" s="128">
        <f>'MANO DE OBRA'!D59</f>
        <v>0</v>
      </c>
      <c r="G586" s="122">
        <f>ROUND(G585*F586,0)</f>
        <v>0</v>
      </c>
    </row>
    <row r="587" spans="1:8" ht="13.5" thickBot="1">
      <c r="A587" s="95"/>
      <c r="B587" s="805" t="s">
        <v>1049</v>
      </c>
      <c r="C587" s="806"/>
      <c r="D587" s="806"/>
      <c r="E587" s="806"/>
      <c r="F587" s="807"/>
      <c r="G587" s="118">
        <f>ROUND(G585+G586,-2)</f>
        <v>33800</v>
      </c>
      <c r="H587" s="505" t="s">
        <v>1670</v>
      </c>
    </row>
    <row r="588" spans="1:8" ht="15" thickTop="1">
      <c r="A588" s="95"/>
      <c r="B588" s="90" t="s">
        <v>303</v>
      </c>
      <c r="C588" s="843"/>
      <c r="D588" s="843"/>
      <c r="E588" s="843"/>
      <c r="F588" s="92" t="s">
        <v>781</v>
      </c>
      <c r="G588" s="93" t="s">
        <v>1067</v>
      </c>
    </row>
    <row r="589" spans="1:8">
      <c r="A589" s="95"/>
      <c r="B589" s="91" t="s">
        <v>834</v>
      </c>
      <c r="C589" s="844" t="s">
        <v>1384</v>
      </c>
      <c r="D589" s="844"/>
      <c r="E589" s="844"/>
      <c r="F589" s="15" t="s">
        <v>833</v>
      </c>
      <c r="G589" s="165" t="str">
        <f>'MANO DE OBRA'!D61</f>
        <v>Agosto de 2010</v>
      </c>
    </row>
    <row r="590" spans="1:8" ht="13.5" thickBot="1">
      <c r="A590" s="127"/>
      <c r="B590" s="94" t="s">
        <v>835</v>
      </c>
      <c r="C590" s="845" t="s">
        <v>1396</v>
      </c>
      <c r="D590" s="845"/>
      <c r="E590" s="845"/>
      <c r="F590" s="845"/>
      <c r="G590" s="846"/>
    </row>
    <row r="591" spans="1:8" ht="14.25" thickTop="1" thickBot="1">
      <c r="A591" s="95"/>
      <c r="B591" s="847"/>
      <c r="C591" s="847"/>
      <c r="D591" s="847"/>
      <c r="E591" s="847"/>
      <c r="F591" s="847"/>
      <c r="G591" s="847"/>
    </row>
    <row r="592" spans="1:8" ht="13.5" thickTop="1">
      <c r="A592" s="95"/>
      <c r="B592" s="811" t="s">
        <v>304</v>
      </c>
      <c r="C592" s="812"/>
      <c r="D592" s="812"/>
      <c r="E592" s="812"/>
      <c r="F592" s="812"/>
      <c r="G592" s="825"/>
    </row>
    <row r="593" spans="1:7">
      <c r="A593" s="95"/>
      <c r="B593" s="105"/>
      <c r="C593" s="97"/>
      <c r="D593" s="98" t="s">
        <v>301</v>
      </c>
      <c r="E593" s="98" t="s">
        <v>1072</v>
      </c>
      <c r="F593" s="99" t="s">
        <v>839</v>
      </c>
      <c r="G593" s="107" t="s">
        <v>840</v>
      </c>
    </row>
    <row r="594" spans="1:7">
      <c r="A594" s="95"/>
      <c r="B594" s="821" t="s">
        <v>838</v>
      </c>
      <c r="C594" s="822"/>
      <c r="D594" s="100" t="s">
        <v>308</v>
      </c>
      <c r="E594" s="100" t="s">
        <v>305</v>
      </c>
      <c r="F594" s="101" t="s">
        <v>306</v>
      </c>
      <c r="G594" s="108" t="s">
        <v>310</v>
      </c>
    </row>
    <row r="595" spans="1:7">
      <c r="A595" s="95"/>
      <c r="B595" s="115"/>
      <c r="C595" s="102"/>
      <c r="D595" s="103"/>
      <c r="E595" s="103" t="s">
        <v>309</v>
      </c>
      <c r="F595" s="104" t="s">
        <v>307</v>
      </c>
      <c r="G595" s="109"/>
    </row>
    <row r="596" spans="1:7">
      <c r="A596" s="127"/>
      <c r="B596" s="823" t="str">
        <f>'MAQUINARIA Y EQUIPOS'!C28</f>
        <v>HERRAMIENTAS MENORES</v>
      </c>
      <c r="C596" s="824"/>
      <c r="D596" s="87">
        <v>1</v>
      </c>
      <c r="E596" s="82">
        <f>ROUND(G629*0.05,0)</f>
        <v>817</v>
      </c>
      <c r="F596" s="81">
        <v>1</v>
      </c>
      <c r="G596" s="110">
        <f>ROUND(D596*E596/F596,0)</f>
        <v>817</v>
      </c>
    </row>
    <row r="597" spans="1:7">
      <c r="A597" s="95"/>
      <c r="B597" s="835"/>
      <c r="C597" s="836"/>
      <c r="D597" s="37"/>
      <c r="E597" s="82"/>
      <c r="F597" s="83"/>
      <c r="G597" s="111"/>
    </row>
    <row r="598" spans="1:7">
      <c r="A598" s="95"/>
      <c r="B598" s="835"/>
      <c r="C598" s="836"/>
      <c r="D598" s="89"/>
      <c r="E598" s="82"/>
      <c r="F598" s="83"/>
      <c r="G598" s="111"/>
    </row>
    <row r="599" spans="1:7">
      <c r="A599" s="95"/>
      <c r="B599" s="835"/>
      <c r="C599" s="836"/>
      <c r="D599" s="89"/>
      <c r="E599" s="82"/>
      <c r="F599" s="83"/>
      <c r="G599" s="111"/>
    </row>
    <row r="600" spans="1:7">
      <c r="A600" s="95"/>
      <c r="B600" s="835" t="s">
        <v>841</v>
      </c>
      <c r="C600" s="836"/>
      <c r="D600" s="37"/>
      <c r="E600" s="82"/>
      <c r="F600" s="83"/>
      <c r="G600" s="111"/>
    </row>
    <row r="601" spans="1:7" ht="13.5" thickBot="1">
      <c r="A601" s="95"/>
      <c r="B601" s="839" t="s">
        <v>841</v>
      </c>
      <c r="C601" s="840"/>
      <c r="D601" s="77"/>
      <c r="E601" s="106"/>
      <c r="F601" s="86"/>
      <c r="G601" s="112"/>
    </row>
    <row r="602" spans="1:7" ht="14.25" thickTop="1" thickBot="1">
      <c r="A602" s="95"/>
      <c r="B602" s="808"/>
      <c r="C602" s="808"/>
      <c r="D602" s="808"/>
      <c r="E602" s="809"/>
      <c r="F602" s="119" t="s">
        <v>856</v>
      </c>
      <c r="G602" s="118">
        <f>SUM(G596:G601)</f>
        <v>817</v>
      </c>
    </row>
    <row r="603" spans="1:7" ht="14.25" thickTop="1" thickBot="1">
      <c r="A603" s="95"/>
      <c r="B603" s="830"/>
      <c r="C603" s="830"/>
      <c r="D603" s="830"/>
      <c r="E603" s="830"/>
      <c r="F603" s="830"/>
      <c r="G603" s="830"/>
    </row>
    <row r="604" spans="1:7" ht="13.5" thickTop="1">
      <c r="A604" s="95"/>
      <c r="B604" s="811" t="s">
        <v>311</v>
      </c>
      <c r="C604" s="812"/>
      <c r="D604" s="812"/>
      <c r="E604" s="812"/>
      <c r="F604" s="812"/>
      <c r="G604" s="825"/>
    </row>
    <row r="605" spans="1:7">
      <c r="A605" s="95"/>
      <c r="B605" s="817" t="s">
        <v>838</v>
      </c>
      <c r="C605" s="818"/>
      <c r="D605" s="98" t="s">
        <v>842</v>
      </c>
      <c r="E605" s="98" t="s">
        <v>853</v>
      </c>
      <c r="F605" s="99" t="s">
        <v>1047</v>
      </c>
      <c r="G605" s="107" t="s">
        <v>840</v>
      </c>
    </row>
    <row r="606" spans="1:7">
      <c r="A606" s="95"/>
      <c r="B606" s="115"/>
      <c r="C606" s="102"/>
      <c r="D606" s="100"/>
      <c r="E606" s="100" t="s">
        <v>312</v>
      </c>
      <c r="F606" s="101" t="s">
        <v>313</v>
      </c>
      <c r="G606" s="108" t="s">
        <v>314</v>
      </c>
    </row>
    <row r="607" spans="1:7">
      <c r="A607" s="125"/>
      <c r="B607" s="841" t="str">
        <f>MATERIALES2!C93</f>
        <v>ARROBERO</v>
      </c>
      <c r="C607" s="842"/>
      <c r="D607" s="87" t="s">
        <v>865</v>
      </c>
      <c r="E607" s="81">
        <v>63.8</v>
      </c>
      <c r="F607" s="80">
        <f>MATERIALES2!E93</f>
        <v>400</v>
      </c>
      <c r="G607" s="110">
        <f>ROUND(E607*F607,0)</f>
        <v>25520</v>
      </c>
    </row>
    <row r="608" spans="1:7">
      <c r="A608" s="123"/>
      <c r="B608" s="854" t="str">
        <f>MATERIALES2!C13</f>
        <v>CEMENTO GRIS</v>
      </c>
      <c r="C608" s="855"/>
      <c r="D608" s="37" t="s">
        <v>925</v>
      </c>
      <c r="E608" s="53">
        <v>35.119999999999997</v>
      </c>
      <c r="F608" s="82">
        <f>MATERIALES2!E13</f>
        <v>420</v>
      </c>
      <c r="G608" s="111">
        <f>ROUND(E608*F608,0)</f>
        <v>14750</v>
      </c>
    </row>
    <row r="609" spans="1:8" ht="14.25">
      <c r="A609" s="123"/>
      <c r="B609" s="854" t="str">
        <f>MATERIALES2!C20</f>
        <v xml:space="preserve">ARENA </v>
      </c>
      <c r="C609" s="855"/>
      <c r="D609" s="37" t="s">
        <v>1066</v>
      </c>
      <c r="E609" s="53">
        <v>8.4000000000000005E-2</v>
      </c>
      <c r="F609" s="82">
        <f>MATERIALES2!E20</f>
        <v>35000</v>
      </c>
      <c r="G609" s="111">
        <f>ROUND(E609*F609,0)</f>
        <v>2940</v>
      </c>
    </row>
    <row r="610" spans="1:8">
      <c r="A610" s="123"/>
      <c r="B610" s="854" t="str">
        <f>MATERIALES2!C28</f>
        <v>AGUA</v>
      </c>
      <c r="C610" s="855"/>
      <c r="D610" s="37" t="s">
        <v>1071</v>
      </c>
      <c r="E610" s="53">
        <v>19.489999999999998</v>
      </c>
      <c r="F610" s="82">
        <f>MATERIALES2!E28</f>
        <v>50</v>
      </c>
      <c r="G610" s="111">
        <f>ROUND(E610*F610,0)</f>
        <v>975</v>
      </c>
    </row>
    <row r="611" spans="1:8">
      <c r="A611" s="95"/>
      <c r="B611" s="854"/>
      <c r="C611" s="855"/>
      <c r="D611" s="37"/>
      <c r="E611" s="83"/>
      <c r="F611" s="82"/>
      <c r="G611" s="111"/>
    </row>
    <row r="612" spans="1:8">
      <c r="A612" s="95"/>
      <c r="B612" s="854"/>
      <c r="C612" s="855"/>
      <c r="D612" s="37"/>
      <c r="E612" s="53"/>
      <c r="F612" s="82"/>
      <c r="G612" s="111"/>
    </row>
    <row r="613" spans="1:8">
      <c r="A613" s="95"/>
      <c r="B613" s="854"/>
      <c r="C613" s="855"/>
      <c r="D613" s="37"/>
      <c r="E613" s="53"/>
      <c r="F613" s="82"/>
      <c r="G613" s="111"/>
    </row>
    <row r="614" spans="1:8">
      <c r="A614" s="95"/>
      <c r="B614" s="837" t="s">
        <v>841</v>
      </c>
      <c r="C614" s="838"/>
      <c r="D614" s="53" t="s">
        <v>841</v>
      </c>
      <c r="E614" s="53"/>
      <c r="F614" s="82"/>
      <c r="G614" s="111"/>
      <c r="H614" s="505" t="s">
        <v>1670</v>
      </c>
    </row>
    <row r="615" spans="1:8" ht="13.5" thickBot="1">
      <c r="A615" s="95"/>
      <c r="B615" s="839" t="s">
        <v>841</v>
      </c>
      <c r="C615" s="840"/>
      <c r="D615" s="84" t="s">
        <v>841</v>
      </c>
      <c r="E615" s="84"/>
      <c r="F615" s="85"/>
      <c r="G615" s="112"/>
    </row>
    <row r="616" spans="1:8" ht="13.5" thickTop="1">
      <c r="A616" s="95"/>
      <c r="B616" s="808"/>
      <c r="C616" s="809"/>
      <c r="D616" s="801" t="s">
        <v>856</v>
      </c>
      <c r="E616" s="802"/>
      <c r="F616" s="9"/>
      <c r="G616" s="113">
        <f>SUM(G607:G615)</f>
        <v>44185</v>
      </c>
    </row>
    <row r="617" spans="1:8">
      <c r="A617" s="95"/>
      <c r="B617" s="819"/>
      <c r="C617" s="820"/>
      <c r="D617" s="801" t="s">
        <v>857</v>
      </c>
      <c r="E617" s="802"/>
      <c r="F617" s="79">
        <f>'MANO DE OBRA'!D60</f>
        <v>0.05</v>
      </c>
      <c r="G617" s="113">
        <f>ROUND(G616*F617,0)</f>
        <v>2209</v>
      </c>
    </row>
    <row r="618" spans="1:8" ht="13.5" thickBot="1">
      <c r="A618" s="95"/>
      <c r="B618" s="819"/>
      <c r="C618" s="820"/>
      <c r="D618" s="803" t="s">
        <v>320</v>
      </c>
      <c r="E618" s="804"/>
      <c r="F618" s="114"/>
      <c r="G618" s="118">
        <f>+G616+G617</f>
        <v>46394</v>
      </c>
    </row>
    <row r="619" spans="1:8" ht="14.25" thickTop="1" thickBot="1">
      <c r="A619" s="95"/>
      <c r="B619" s="830"/>
      <c r="C619" s="830"/>
      <c r="D619" s="830"/>
      <c r="E619" s="830"/>
      <c r="F619" s="830"/>
      <c r="G619" s="830"/>
    </row>
    <row r="620" spans="1:8" ht="13.5" thickTop="1">
      <c r="A620" s="95"/>
      <c r="B620" s="811" t="s">
        <v>858</v>
      </c>
      <c r="C620" s="812"/>
      <c r="D620" s="812"/>
      <c r="E620" s="812"/>
      <c r="F620" s="812"/>
      <c r="G620" s="825"/>
    </row>
    <row r="621" spans="1:8">
      <c r="A621" s="95"/>
      <c r="B621" s="817"/>
      <c r="C621" s="818"/>
      <c r="D621" s="98" t="s">
        <v>301</v>
      </c>
      <c r="E621" s="98" t="s">
        <v>859</v>
      </c>
      <c r="F621" s="99" t="s">
        <v>839</v>
      </c>
      <c r="G621" s="107" t="s">
        <v>840</v>
      </c>
    </row>
    <row r="622" spans="1:8">
      <c r="A622" s="95"/>
      <c r="B622" s="821" t="s">
        <v>838</v>
      </c>
      <c r="C622" s="822"/>
      <c r="D622" s="100" t="s">
        <v>316</v>
      </c>
      <c r="E622" s="100" t="s">
        <v>315</v>
      </c>
      <c r="F622" s="101" t="s">
        <v>306</v>
      </c>
      <c r="G622" s="108" t="s">
        <v>319</v>
      </c>
    </row>
    <row r="623" spans="1:8">
      <c r="A623" s="95"/>
      <c r="B623" s="115"/>
      <c r="C623" s="102"/>
      <c r="D623" s="103"/>
      <c r="E623" s="103" t="s">
        <v>317</v>
      </c>
      <c r="F623" s="104" t="s">
        <v>318</v>
      </c>
      <c r="G623" s="109"/>
    </row>
    <row r="624" spans="1:8">
      <c r="A624" s="95"/>
      <c r="B624" s="823" t="str">
        <f>'MANO DE OBRA'!B10</f>
        <v>AYUDANTE CUAD. TIPO AA</v>
      </c>
      <c r="C624" s="824"/>
      <c r="D624" s="87">
        <v>1</v>
      </c>
      <c r="E624" s="80">
        <f>'MANO DE OBRA'!E10</f>
        <v>34680</v>
      </c>
      <c r="F624" s="81">
        <v>6.5</v>
      </c>
      <c r="G624" s="110">
        <f>ROUND(D624*E624/F624,0)</f>
        <v>5335</v>
      </c>
    </row>
    <row r="625" spans="1:8">
      <c r="A625" s="95"/>
      <c r="B625" s="835" t="str">
        <f>'MANO DE OBRA'!B15</f>
        <v xml:space="preserve">OFICIAL CUAD. TIPO AA </v>
      </c>
      <c r="C625" s="836"/>
      <c r="D625" s="37">
        <v>1</v>
      </c>
      <c r="E625" s="82">
        <f>'MANO DE OBRA'!E15</f>
        <v>71474</v>
      </c>
      <c r="F625" s="83">
        <v>6.5</v>
      </c>
      <c r="G625" s="111">
        <f>ROUND(D625*E625/F625,0)</f>
        <v>10996</v>
      </c>
    </row>
    <row r="626" spans="1:8">
      <c r="A626" s="95"/>
      <c r="B626" s="835"/>
      <c r="C626" s="836"/>
      <c r="D626" s="89"/>
      <c r="E626" s="82"/>
      <c r="F626" s="83"/>
      <c r="G626" s="111"/>
    </row>
    <row r="627" spans="1:8">
      <c r="A627" s="95"/>
      <c r="B627" s="835" t="s">
        <v>841</v>
      </c>
      <c r="C627" s="836"/>
      <c r="D627" s="37"/>
      <c r="E627" s="82"/>
      <c r="F627" s="83"/>
      <c r="G627" s="111"/>
    </row>
    <row r="628" spans="1:8" ht="13.5" thickBot="1">
      <c r="A628" s="95"/>
      <c r="B628" s="828" t="s">
        <v>841</v>
      </c>
      <c r="C628" s="829"/>
      <c r="D628" s="77"/>
      <c r="E628" s="82"/>
      <c r="F628" s="86"/>
      <c r="G628" s="112"/>
    </row>
    <row r="629" spans="1:8" ht="14.25" thickTop="1" thickBot="1">
      <c r="A629" s="95"/>
      <c r="B629" s="808"/>
      <c r="C629" s="808"/>
      <c r="D629" s="808"/>
      <c r="E629" s="809"/>
      <c r="F629" s="120" t="s">
        <v>856</v>
      </c>
      <c r="G629" s="118">
        <f>SUM(G624:G628)</f>
        <v>16331</v>
      </c>
    </row>
    <row r="630" spans="1:8" ht="14.25" thickTop="1" thickBot="1">
      <c r="A630" s="95"/>
      <c r="B630" s="810"/>
      <c r="C630" s="810"/>
      <c r="D630" s="810"/>
      <c r="E630" s="810"/>
      <c r="F630" s="810"/>
      <c r="G630" s="810"/>
    </row>
    <row r="631" spans="1:8" ht="13.5" thickTop="1">
      <c r="A631" s="95"/>
      <c r="B631" s="811" t="s">
        <v>321</v>
      </c>
      <c r="C631" s="812"/>
      <c r="D631" s="812"/>
      <c r="E631" s="812"/>
      <c r="F631" s="812"/>
      <c r="G631" s="825"/>
    </row>
    <row r="632" spans="1:8">
      <c r="A632" s="95"/>
      <c r="B632" s="817" t="s">
        <v>838</v>
      </c>
      <c r="C632" s="818"/>
      <c r="D632" s="98" t="s">
        <v>301</v>
      </c>
      <c r="E632" s="98" t="s">
        <v>297</v>
      </c>
      <c r="F632" s="99" t="s">
        <v>839</v>
      </c>
      <c r="G632" s="107" t="s">
        <v>840</v>
      </c>
    </row>
    <row r="633" spans="1:8">
      <c r="A633" s="95"/>
      <c r="B633" s="115"/>
      <c r="C633" s="102"/>
      <c r="D633" s="103" t="s">
        <v>322</v>
      </c>
      <c r="E633" s="103" t="s">
        <v>323</v>
      </c>
      <c r="F633" s="104" t="s">
        <v>324</v>
      </c>
      <c r="G633" s="109" t="s">
        <v>325</v>
      </c>
    </row>
    <row r="634" spans="1:8">
      <c r="A634" s="95"/>
      <c r="B634" s="826"/>
      <c r="C634" s="827"/>
      <c r="D634" s="96"/>
      <c r="E634" s="96"/>
      <c r="F634" s="96"/>
      <c r="G634" s="116"/>
    </row>
    <row r="635" spans="1:8" ht="13.5" thickBot="1">
      <c r="A635" s="95"/>
      <c r="B635" s="828" t="s">
        <v>841</v>
      </c>
      <c r="C635" s="829"/>
      <c r="D635" s="77"/>
      <c r="E635" s="82"/>
      <c r="F635" s="86"/>
      <c r="G635" s="112"/>
    </row>
    <row r="636" spans="1:8" ht="14.25" thickTop="1" thickBot="1">
      <c r="A636" s="95"/>
      <c r="B636" s="808"/>
      <c r="C636" s="808"/>
      <c r="D636" s="808"/>
      <c r="E636" s="809"/>
      <c r="F636" s="120" t="s">
        <v>856</v>
      </c>
      <c r="G636" s="118">
        <f>SUM(G631:G635)</f>
        <v>0</v>
      </c>
    </row>
    <row r="637" spans="1:8" ht="14.25" thickTop="1" thickBot="1">
      <c r="A637" s="95"/>
      <c r="B637" s="810"/>
      <c r="C637" s="810"/>
      <c r="D637" s="810"/>
      <c r="E637" s="810"/>
      <c r="F637" s="810"/>
      <c r="G637" s="834"/>
    </row>
    <row r="638" spans="1:8" ht="13.5" thickTop="1">
      <c r="A638" s="95"/>
      <c r="B638" s="811" t="s">
        <v>326</v>
      </c>
      <c r="C638" s="812"/>
      <c r="D638" s="812"/>
      <c r="E638" s="812"/>
      <c r="F638" s="813"/>
      <c r="G638" s="121">
        <f>+G602+G618+G629</f>
        <v>63542</v>
      </c>
    </row>
    <row r="639" spans="1:8">
      <c r="A639" s="95"/>
      <c r="B639" s="814" t="s">
        <v>861</v>
      </c>
      <c r="C639" s="815"/>
      <c r="D639" s="815"/>
      <c r="E639" s="816"/>
      <c r="F639" s="128">
        <f>'MANO DE OBRA'!D59</f>
        <v>0</v>
      </c>
      <c r="G639" s="122">
        <f>ROUND(G638*F639,0)</f>
        <v>0</v>
      </c>
    </row>
    <row r="640" spans="1:8" ht="13.5" thickBot="1">
      <c r="A640" s="95"/>
      <c r="B640" s="805" t="s">
        <v>1049</v>
      </c>
      <c r="C640" s="806"/>
      <c r="D640" s="806"/>
      <c r="E640" s="806"/>
      <c r="F640" s="807"/>
      <c r="G640" s="118">
        <f>ROUND(G638+G639,-2)</f>
        <v>63500</v>
      </c>
      <c r="H640" s="505" t="s">
        <v>1670</v>
      </c>
    </row>
    <row r="641" spans="1:7" ht="15" thickTop="1">
      <c r="A641" s="95"/>
      <c r="B641" s="90" t="s">
        <v>303</v>
      </c>
      <c r="C641" s="843"/>
      <c r="D641" s="843"/>
      <c r="E641" s="843"/>
      <c r="F641" s="92" t="s">
        <v>781</v>
      </c>
      <c r="G641" s="93" t="s">
        <v>1067</v>
      </c>
    </row>
    <row r="642" spans="1:7">
      <c r="A642" s="95"/>
      <c r="B642" s="91" t="s">
        <v>834</v>
      </c>
      <c r="C642" s="844" t="s">
        <v>1384</v>
      </c>
      <c r="D642" s="844"/>
      <c r="E642" s="844"/>
      <c r="F642" s="15" t="s">
        <v>833</v>
      </c>
      <c r="G642" s="165" t="str">
        <f>'MANO DE OBRA'!D61</f>
        <v>Agosto de 2010</v>
      </c>
    </row>
    <row r="643" spans="1:7" ht="13.5" thickBot="1">
      <c r="A643" s="127"/>
      <c r="B643" s="94" t="s">
        <v>835</v>
      </c>
      <c r="C643" s="845" t="s">
        <v>1397</v>
      </c>
      <c r="D643" s="845"/>
      <c r="E643" s="845"/>
      <c r="F643" s="845"/>
      <c r="G643" s="846"/>
    </row>
    <row r="644" spans="1:7" ht="14.25" thickTop="1" thickBot="1">
      <c r="A644" s="95"/>
      <c r="B644" s="847"/>
      <c r="C644" s="847"/>
      <c r="D644" s="847"/>
      <c r="E644" s="847"/>
      <c r="F644" s="847"/>
      <c r="G644" s="847"/>
    </row>
    <row r="645" spans="1:7" ht="13.5" thickTop="1">
      <c r="A645" s="95"/>
      <c r="B645" s="811" t="s">
        <v>304</v>
      </c>
      <c r="C645" s="812"/>
      <c r="D645" s="812"/>
      <c r="E645" s="812"/>
      <c r="F645" s="812"/>
      <c r="G645" s="825"/>
    </row>
    <row r="646" spans="1:7">
      <c r="A646" s="95"/>
      <c r="B646" s="105"/>
      <c r="C646" s="97"/>
      <c r="D646" s="98" t="s">
        <v>301</v>
      </c>
      <c r="E646" s="98" t="s">
        <v>1072</v>
      </c>
      <c r="F646" s="99" t="s">
        <v>839</v>
      </c>
      <c r="G646" s="107" t="s">
        <v>840</v>
      </c>
    </row>
    <row r="647" spans="1:7">
      <c r="A647" s="95"/>
      <c r="B647" s="821" t="s">
        <v>838</v>
      </c>
      <c r="C647" s="822"/>
      <c r="D647" s="100" t="s">
        <v>308</v>
      </c>
      <c r="E647" s="100" t="s">
        <v>305</v>
      </c>
      <c r="F647" s="101" t="s">
        <v>306</v>
      </c>
      <c r="G647" s="108" t="s">
        <v>310</v>
      </c>
    </row>
    <row r="648" spans="1:7">
      <c r="A648" s="95"/>
      <c r="B648" s="115"/>
      <c r="C648" s="102"/>
      <c r="D648" s="103"/>
      <c r="E648" s="103" t="s">
        <v>309</v>
      </c>
      <c r="F648" s="104" t="s">
        <v>307</v>
      </c>
      <c r="G648" s="109"/>
    </row>
    <row r="649" spans="1:7">
      <c r="A649" s="127"/>
      <c r="B649" s="823" t="str">
        <f>'MAQUINARIA Y EQUIPOS'!C28</f>
        <v>HERRAMIENTAS MENORES</v>
      </c>
      <c r="C649" s="824"/>
      <c r="D649" s="87">
        <v>1</v>
      </c>
      <c r="E649" s="82">
        <f>ROUND(G682*0.05,0)</f>
        <v>398</v>
      </c>
      <c r="F649" s="81">
        <v>1</v>
      </c>
      <c r="G649" s="110">
        <f>ROUND(D649*E649/F649,0)</f>
        <v>398</v>
      </c>
    </row>
    <row r="650" spans="1:7">
      <c r="A650" s="95"/>
      <c r="B650" s="835"/>
      <c r="C650" s="836"/>
      <c r="D650" s="37"/>
      <c r="E650" s="82"/>
      <c r="F650" s="83"/>
      <c r="G650" s="111"/>
    </row>
    <row r="651" spans="1:7">
      <c r="A651" s="95"/>
      <c r="B651" s="835"/>
      <c r="C651" s="836"/>
      <c r="D651" s="89"/>
      <c r="E651" s="82"/>
      <c r="F651" s="83"/>
      <c r="G651" s="111"/>
    </row>
    <row r="652" spans="1:7">
      <c r="A652" s="95"/>
      <c r="B652" s="835"/>
      <c r="C652" s="836"/>
      <c r="D652" s="89"/>
      <c r="E652" s="82"/>
      <c r="F652" s="83"/>
      <c r="G652" s="111"/>
    </row>
    <row r="653" spans="1:7">
      <c r="A653" s="95"/>
      <c r="B653" s="835" t="s">
        <v>841</v>
      </c>
      <c r="C653" s="836"/>
      <c r="D653" s="37"/>
      <c r="E653" s="82"/>
      <c r="F653" s="83"/>
      <c r="G653" s="111"/>
    </row>
    <row r="654" spans="1:7" ht="13.5" thickBot="1">
      <c r="A654" s="95"/>
      <c r="B654" s="839" t="s">
        <v>841</v>
      </c>
      <c r="C654" s="840"/>
      <c r="D654" s="77"/>
      <c r="E654" s="106"/>
      <c r="F654" s="86"/>
      <c r="G654" s="112"/>
    </row>
    <row r="655" spans="1:7" ht="14.25" thickTop="1" thickBot="1">
      <c r="A655" s="95"/>
      <c r="B655" s="808"/>
      <c r="C655" s="808"/>
      <c r="D655" s="808"/>
      <c r="E655" s="809"/>
      <c r="F655" s="119" t="s">
        <v>856</v>
      </c>
      <c r="G655" s="118">
        <f>SUM(G649:G654)</f>
        <v>398</v>
      </c>
    </row>
    <row r="656" spans="1:7" ht="14.25" thickTop="1" thickBot="1">
      <c r="A656" s="95"/>
      <c r="B656" s="830"/>
      <c r="C656" s="830"/>
      <c r="D656" s="830"/>
      <c r="E656" s="830"/>
      <c r="F656" s="830"/>
      <c r="G656" s="830"/>
    </row>
    <row r="657" spans="1:8" ht="13.5" thickTop="1">
      <c r="A657" s="95"/>
      <c r="B657" s="811" t="s">
        <v>311</v>
      </c>
      <c r="C657" s="812"/>
      <c r="D657" s="812"/>
      <c r="E657" s="812"/>
      <c r="F657" s="812"/>
      <c r="G657" s="825"/>
    </row>
    <row r="658" spans="1:8">
      <c r="A658" s="95"/>
      <c r="B658" s="817" t="s">
        <v>838</v>
      </c>
      <c r="C658" s="818"/>
      <c r="D658" s="98" t="s">
        <v>842</v>
      </c>
      <c r="E658" s="98" t="s">
        <v>853</v>
      </c>
      <c r="F658" s="99" t="s">
        <v>1047</v>
      </c>
      <c r="G658" s="107" t="s">
        <v>840</v>
      </c>
    </row>
    <row r="659" spans="1:8">
      <c r="A659" s="95"/>
      <c r="B659" s="115"/>
      <c r="C659" s="102"/>
      <c r="D659" s="100"/>
      <c r="E659" s="100" t="s">
        <v>312</v>
      </c>
      <c r="F659" s="101" t="s">
        <v>313</v>
      </c>
      <c r="G659" s="108" t="s">
        <v>314</v>
      </c>
    </row>
    <row r="660" spans="1:8">
      <c r="A660" s="125"/>
      <c r="B660" s="841" t="str">
        <f>MATERIALES2!C93</f>
        <v>ARROBERO</v>
      </c>
      <c r="C660" s="842"/>
      <c r="D660" s="87" t="s">
        <v>865</v>
      </c>
      <c r="E660" s="81">
        <v>30.51</v>
      </c>
      <c r="F660" s="80">
        <f>MATERIALES2!E93</f>
        <v>400</v>
      </c>
      <c r="G660" s="110">
        <f>ROUND(E660*F660,0)</f>
        <v>12204</v>
      </c>
    </row>
    <row r="661" spans="1:8">
      <c r="A661" s="123"/>
      <c r="B661" s="854" t="str">
        <f>MATERIALES2!C13</f>
        <v>CEMENTO GRIS</v>
      </c>
      <c r="C661" s="855"/>
      <c r="D661" s="37" t="s">
        <v>925</v>
      </c>
      <c r="E661" s="53">
        <v>13.25</v>
      </c>
      <c r="F661" s="82">
        <f>MATERIALES2!E13</f>
        <v>420</v>
      </c>
      <c r="G661" s="111">
        <f>ROUND(E661*F661,0)</f>
        <v>5565</v>
      </c>
    </row>
    <row r="662" spans="1:8" ht="14.25">
      <c r="A662" s="123"/>
      <c r="B662" s="854" t="str">
        <f>MATERIALES2!C20</f>
        <v xml:space="preserve">ARENA </v>
      </c>
      <c r="C662" s="855"/>
      <c r="D662" s="37" t="s">
        <v>1066</v>
      </c>
      <c r="E662" s="53">
        <v>3.2000000000000001E-2</v>
      </c>
      <c r="F662" s="82">
        <f>MATERIALES2!E20</f>
        <v>35000</v>
      </c>
      <c r="G662" s="111">
        <f>ROUND(E662*F662,0)</f>
        <v>1120</v>
      </c>
    </row>
    <row r="663" spans="1:8">
      <c r="A663" s="123"/>
      <c r="B663" s="854" t="str">
        <f>MATERIALES2!C28</f>
        <v>AGUA</v>
      </c>
      <c r="C663" s="855"/>
      <c r="D663" s="37" t="s">
        <v>1071</v>
      </c>
      <c r="E663" s="53">
        <v>7.35</v>
      </c>
      <c r="F663" s="82">
        <f>MATERIALES2!E28</f>
        <v>50</v>
      </c>
      <c r="G663" s="111">
        <f>ROUND(E663*F663,0)</f>
        <v>368</v>
      </c>
    </row>
    <row r="664" spans="1:8">
      <c r="A664" s="95"/>
      <c r="B664" s="854"/>
      <c r="C664" s="855"/>
      <c r="D664" s="37"/>
      <c r="E664" s="83"/>
      <c r="F664" s="82"/>
      <c r="G664" s="111"/>
    </row>
    <row r="665" spans="1:8">
      <c r="A665" s="95"/>
      <c r="B665" s="854"/>
      <c r="C665" s="855"/>
      <c r="D665" s="37"/>
      <c r="E665" s="53"/>
      <c r="F665" s="82"/>
      <c r="G665" s="111"/>
    </row>
    <row r="666" spans="1:8">
      <c r="A666" s="95"/>
      <c r="B666" s="854"/>
      <c r="C666" s="855"/>
      <c r="D666" s="37"/>
      <c r="E666" s="53"/>
      <c r="F666" s="82"/>
      <c r="G666" s="111"/>
    </row>
    <row r="667" spans="1:8">
      <c r="A667" s="95"/>
      <c r="B667" s="938" t="s">
        <v>841</v>
      </c>
      <c r="C667" s="939"/>
      <c r="D667" s="53" t="s">
        <v>841</v>
      </c>
      <c r="E667" s="53"/>
      <c r="F667" s="82"/>
      <c r="G667" s="111"/>
      <c r="H667" s="505" t="s">
        <v>1670</v>
      </c>
    </row>
    <row r="668" spans="1:8" ht="13.5" thickBot="1">
      <c r="A668" s="95"/>
      <c r="B668" s="942" t="s">
        <v>841</v>
      </c>
      <c r="C668" s="943"/>
      <c r="D668" s="84" t="s">
        <v>841</v>
      </c>
      <c r="E668" s="84"/>
      <c r="F668" s="85"/>
      <c r="G668" s="112"/>
    </row>
    <row r="669" spans="1:8" ht="13.5" thickTop="1">
      <c r="A669" s="95"/>
      <c r="B669" s="808"/>
      <c r="C669" s="809"/>
      <c r="D669" s="801" t="s">
        <v>856</v>
      </c>
      <c r="E669" s="802"/>
      <c r="F669" s="9"/>
      <c r="G669" s="113">
        <f>SUM(G660:G668)</f>
        <v>19257</v>
      </c>
    </row>
    <row r="670" spans="1:8">
      <c r="A670" s="95"/>
      <c r="B670" s="819"/>
      <c r="C670" s="820"/>
      <c r="D670" s="801" t="s">
        <v>857</v>
      </c>
      <c r="E670" s="802"/>
      <c r="F670" s="79">
        <f>'MANO DE OBRA'!D60</f>
        <v>0.05</v>
      </c>
      <c r="G670" s="113">
        <f>ROUND(G669*F670,0)</f>
        <v>963</v>
      </c>
    </row>
    <row r="671" spans="1:8" ht="13.5" thickBot="1">
      <c r="A671" s="95"/>
      <c r="B671" s="819"/>
      <c r="C671" s="820"/>
      <c r="D671" s="803" t="s">
        <v>320</v>
      </c>
      <c r="E671" s="804"/>
      <c r="F671" s="114"/>
      <c r="G671" s="118">
        <f>+G669+G670</f>
        <v>20220</v>
      </c>
    </row>
    <row r="672" spans="1:8" ht="14.25" thickTop="1" thickBot="1">
      <c r="A672" s="95"/>
      <c r="B672" s="830"/>
      <c r="C672" s="830"/>
      <c r="D672" s="830"/>
      <c r="E672" s="830"/>
      <c r="F672" s="830"/>
      <c r="G672" s="830"/>
    </row>
    <row r="673" spans="1:7" ht="13.5" thickTop="1">
      <c r="A673" s="95"/>
      <c r="B673" s="811" t="s">
        <v>858</v>
      </c>
      <c r="C673" s="812"/>
      <c r="D673" s="812"/>
      <c r="E673" s="812"/>
      <c r="F673" s="812"/>
      <c r="G673" s="825"/>
    </row>
    <row r="674" spans="1:7">
      <c r="A674" s="95"/>
      <c r="B674" s="817"/>
      <c r="C674" s="818"/>
      <c r="D674" s="98" t="s">
        <v>301</v>
      </c>
      <c r="E674" s="98" t="s">
        <v>859</v>
      </c>
      <c r="F674" s="99" t="s">
        <v>839</v>
      </c>
      <c r="G674" s="107" t="s">
        <v>840</v>
      </c>
    </row>
    <row r="675" spans="1:7">
      <c r="A675" s="95"/>
      <c r="B675" s="821" t="s">
        <v>838</v>
      </c>
      <c r="C675" s="822"/>
      <c r="D675" s="100" t="s">
        <v>316</v>
      </c>
      <c r="E675" s="100" t="s">
        <v>315</v>
      </c>
      <c r="F675" s="101" t="s">
        <v>306</v>
      </c>
      <c r="G675" s="108" t="s">
        <v>319</v>
      </c>
    </row>
    <row r="676" spans="1:7">
      <c r="A676" s="95"/>
      <c r="B676" s="115"/>
      <c r="C676" s="102"/>
      <c r="D676" s="103"/>
      <c r="E676" s="103" t="s">
        <v>317</v>
      </c>
      <c r="F676" s="104" t="s">
        <v>318</v>
      </c>
      <c r="G676" s="109"/>
    </row>
    <row r="677" spans="1:7">
      <c r="A677" s="95"/>
      <c r="B677" s="823" t="str">
        <f>'MANO DE OBRA'!B10</f>
        <v>AYUDANTE CUAD. TIPO AA</v>
      </c>
      <c r="C677" s="824"/>
      <c r="D677" s="87">
        <v>1</v>
      </c>
      <c r="E677" s="80">
        <f>'MANO DE OBRA'!E10</f>
        <v>34680</v>
      </c>
      <c r="F677" s="81">
        <v>13.33</v>
      </c>
      <c r="G677" s="110">
        <f>ROUND(D677*E677/F677,0)</f>
        <v>2602</v>
      </c>
    </row>
    <row r="678" spans="1:7">
      <c r="A678" s="95"/>
      <c r="B678" s="835" t="str">
        <f>'MANO DE OBRA'!B15</f>
        <v xml:space="preserve">OFICIAL CUAD. TIPO AA </v>
      </c>
      <c r="C678" s="836"/>
      <c r="D678" s="37">
        <v>1</v>
      </c>
      <c r="E678" s="82">
        <f>'MANO DE OBRA'!E15</f>
        <v>71474</v>
      </c>
      <c r="F678" s="83">
        <v>13.33</v>
      </c>
      <c r="G678" s="111">
        <f>ROUND(D678*E678/F678,0)</f>
        <v>5362</v>
      </c>
    </row>
    <row r="679" spans="1:7">
      <c r="A679" s="95"/>
      <c r="B679" s="835"/>
      <c r="C679" s="836"/>
      <c r="D679" s="89"/>
      <c r="E679" s="82"/>
      <c r="F679" s="83"/>
      <c r="G679" s="111"/>
    </row>
    <row r="680" spans="1:7">
      <c r="A680" s="95"/>
      <c r="B680" s="835" t="s">
        <v>841</v>
      </c>
      <c r="C680" s="836"/>
      <c r="D680" s="37"/>
      <c r="E680" s="82"/>
      <c r="F680" s="83"/>
      <c r="G680" s="111"/>
    </row>
    <row r="681" spans="1:7" ht="13.5" thickBot="1">
      <c r="A681" s="95"/>
      <c r="B681" s="828" t="s">
        <v>841</v>
      </c>
      <c r="C681" s="829"/>
      <c r="D681" s="77"/>
      <c r="E681" s="82"/>
      <c r="F681" s="86"/>
      <c r="G681" s="112"/>
    </row>
    <row r="682" spans="1:7" ht="14.25" thickTop="1" thickBot="1">
      <c r="A682" s="95"/>
      <c r="B682" s="808"/>
      <c r="C682" s="808"/>
      <c r="D682" s="808"/>
      <c r="E682" s="809"/>
      <c r="F682" s="120" t="s">
        <v>856</v>
      </c>
      <c r="G682" s="118">
        <f>SUM(G677:G681)</f>
        <v>7964</v>
      </c>
    </row>
    <row r="683" spans="1:7" ht="14.25" thickTop="1" thickBot="1">
      <c r="A683" s="95"/>
      <c r="B683" s="810"/>
      <c r="C683" s="810"/>
      <c r="D683" s="810"/>
      <c r="E683" s="810"/>
      <c r="F683" s="810"/>
      <c r="G683" s="810"/>
    </row>
    <row r="684" spans="1:7" ht="13.5" thickTop="1">
      <c r="A684" s="95"/>
      <c r="B684" s="811" t="s">
        <v>321</v>
      </c>
      <c r="C684" s="812"/>
      <c r="D684" s="812"/>
      <c r="E684" s="812"/>
      <c r="F684" s="812"/>
      <c r="G684" s="825"/>
    </row>
    <row r="685" spans="1:7">
      <c r="A685" s="95"/>
      <c r="B685" s="817" t="s">
        <v>838</v>
      </c>
      <c r="C685" s="818"/>
      <c r="D685" s="98" t="s">
        <v>301</v>
      </c>
      <c r="E685" s="98" t="s">
        <v>297</v>
      </c>
      <c r="F685" s="99" t="s">
        <v>839</v>
      </c>
      <c r="G685" s="107" t="s">
        <v>840</v>
      </c>
    </row>
    <row r="686" spans="1:7">
      <c r="A686" s="95"/>
      <c r="B686" s="115"/>
      <c r="C686" s="102"/>
      <c r="D686" s="103" t="s">
        <v>322</v>
      </c>
      <c r="E686" s="103" t="s">
        <v>323</v>
      </c>
      <c r="F686" s="104" t="s">
        <v>324</v>
      </c>
      <c r="G686" s="109" t="s">
        <v>325</v>
      </c>
    </row>
    <row r="687" spans="1:7">
      <c r="A687" s="95"/>
      <c r="B687" s="826"/>
      <c r="C687" s="827"/>
      <c r="D687" s="96"/>
      <c r="E687" s="96"/>
      <c r="F687" s="96"/>
      <c r="G687" s="116"/>
    </row>
    <row r="688" spans="1:7" ht="13.5" thickBot="1">
      <c r="A688" s="95"/>
      <c r="B688" s="828" t="s">
        <v>841</v>
      </c>
      <c r="C688" s="829"/>
      <c r="D688" s="77"/>
      <c r="E688" s="82"/>
      <c r="F688" s="86"/>
      <c r="G688" s="112"/>
    </row>
    <row r="689" spans="1:8" ht="14.25" thickTop="1" thickBot="1">
      <c r="A689" s="95"/>
      <c r="B689" s="808"/>
      <c r="C689" s="808"/>
      <c r="D689" s="808"/>
      <c r="E689" s="809"/>
      <c r="F689" s="120" t="s">
        <v>856</v>
      </c>
      <c r="G689" s="118">
        <f>SUM(G684:G688)</f>
        <v>0</v>
      </c>
    </row>
    <row r="690" spans="1:8" ht="14.25" thickTop="1" thickBot="1">
      <c r="A690" s="95"/>
      <c r="B690" s="810"/>
      <c r="C690" s="810"/>
      <c r="D690" s="810"/>
      <c r="E690" s="810"/>
      <c r="F690" s="810"/>
      <c r="G690" s="834"/>
    </row>
    <row r="691" spans="1:8" ht="13.5" thickTop="1">
      <c r="A691" s="95"/>
      <c r="B691" s="811" t="s">
        <v>326</v>
      </c>
      <c r="C691" s="812"/>
      <c r="D691" s="812"/>
      <c r="E691" s="812"/>
      <c r="F691" s="813"/>
      <c r="G691" s="121">
        <f>+G655+G671+G682</f>
        <v>28582</v>
      </c>
    </row>
    <row r="692" spans="1:8">
      <c r="A692" s="95"/>
      <c r="B692" s="814" t="s">
        <v>861</v>
      </c>
      <c r="C692" s="815"/>
      <c r="D692" s="815"/>
      <c r="E692" s="816"/>
      <c r="F692" s="128">
        <f>'MANO DE OBRA'!D59</f>
        <v>0</v>
      </c>
      <c r="G692" s="122">
        <f>ROUND(G691*F692,0)</f>
        <v>0</v>
      </c>
    </row>
    <row r="693" spans="1:8" ht="13.5" thickBot="1">
      <c r="A693" s="95"/>
      <c r="B693" s="805" t="s">
        <v>1049</v>
      </c>
      <c r="C693" s="806"/>
      <c r="D693" s="806"/>
      <c r="E693" s="806"/>
      <c r="F693" s="807"/>
      <c r="G693" s="118">
        <f>ROUND(G691+G692,-2)</f>
        <v>28600</v>
      </c>
      <c r="H693" s="505" t="s">
        <v>1670</v>
      </c>
    </row>
    <row r="694" spans="1:8" ht="15" thickTop="1">
      <c r="A694" s="95"/>
      <c r="B694" s="90" t="s">
        <v>303</v>
      </c>
      <c r="C694" s="843"/>
      <c r="D694" s="843"/>
      <c r="E694" s="843"/>
      <c r="F694" s="92" t="s">
        <v>781</v>
      </c>
      <c r="G694" s="93" t="s">
        <v>1067</v>
      </c>
    </row>
    <row r="695" spans="1:8">
      <c r="A695" s="95"/>
      <c r="B695" s="91" t="s">
        <v>834</v>
      </c>
      <c r="C695" s="844" t="s">
        <v>397</v>
      </c>
      <c r="D695" s="844"/>
      <c r="E695" s="844"/>
      <c r="F695" s="15" t="s">
        <v>833</v>
      </c>
      <c r="G695" s="165" t="str">
        <f>'MANO DE OBRA'!D61</f>
        <v>Agosto de 2010</v>
      </c>
    </row>
    <row r="696" spans="1:8" ht="13.5" thickBot="1">
      <c r="A696" s="127"/>
      <c r="B696" s="94" t="s">
        <v>835</v>
      </c>
      <c r="C696" s="845" t="s">
        <v>1398</v>
      </c>
      <c r="D696" s="845"/>
      <c r="E696" s="845"/>
      <c r="F696" s="845"/>
      <c r="G696" s="846"/>
    </row>
    <row r="697" spans="1:8" ht="14.25" thickTop="1" thickBot="1">
      <c r="A697" s="95"/>
      <c r="B697" s="847"/>
      <c r="C697" s="847"/>
      <c r="D697" s="847"/>
      <c r="E697" s="847"/>
      <c r="F697" s="847"/>
      <c r="G697" s="847"/>
    </row>
    <row r="698" spans="1:8" ht="13.5" thickTop="1">
      <c r="A698" s="95"/>
      <c r="B698" s="811" t="s">
        <v>304</v>
      </c>
      <c r="C698" s="812"/>
      <c r="D698" s="812"/>
      <c r="E698" s="812"/>
      <c r="F698" s="812"/>
      <c r="G698" s="825"/>
    </row>
    <row r="699" spans="1:8">
      <c r="A699" s="95"/>
      <c r="B699" s="105"/>
      <c r="C699" s="97"/>
      <c r="D699" s="98" t="s">
        <v>301</v>
      </c>
      <c r="E699" s="98" t="s">
        <v>1072</v>
      </c>
      <c r="F699" s="99" t="s">
        <v>839</v>
      </c>
      <c r="G699" s="107" t="s">
        <v>840</v>
      </c>
    </row>
    <row r="700" spans="1:8">
      <c r="A700" s="95"/>
      <c r="B700" s="821" t="s">
        <v>838</v>
      </c>
      <c r="C700" s="822"/>
      <c r="D700" s="100" t="s">
        <v>308</v>
      </c>
      <c r="E700" s="100" t="s">
        <v>305</v>
      </c>
      <c r="F700" s="101" t="s">
        <v>306</v>
      </c>
      <c r="G700" s="108" t="s">
        <v>310</v>
      </c>
    </row>
    <row r="701" spans="1:8">
      <c r="A701" s="95"/>
      <c r="B701" s="115"/>
      <c r="C701" s="102"/>
      <c r="D701" s="103"/>
      <c r="E701" s="103" t="s">
        <v>309</v>
      </c>
      <c r="F701" s="104" t="s">
        <v>307</v>
      </c>
      <c r="G701" s="109"/>
    </row>
    <row r="702" spans="1:8">
      <c r="A702" s="127"/>
      <c r="B702" s="823" t="str">
        <f>'MAQUINARIA Y EQUIPOS'!C28</f>
        <v>HERRAMIENTAS MENORES</v>
      </c>
      <c r="C702" s="824"/>
      <c r="D702" s="87">
        <v>1</v>
      </c>
      <c r="E702" s="82">
        <f>ROUND(G735*0.05,0)</f>
        <v>598</v>
      </c>
      <c r="F702" s="81">
        <v>1</v>
      </c>
      <c r="G702" s="110">
        <f>ROUND(D702*E702/F702,0)</f>
        <v>598</v>
      </c>
    </row>
    <row r="703" spans="1:8">
      <c r="A703" s="95"/>
      <c r="B703" s="835"/>
      <c r="C703" s="836"/>
      <c r="D703" s="37"/>
      <c r="E703" s="82"/>
      <c r="F703" s="83"/>
      <c r="G703" s="111"/>
    </row>
    <row r="704" spans="1:8">
      <c r="A704" s="95"/>
      <c r="B704" s="835"/>
      <c r="C704" s="836"/>
      <c r="D704" s="89"/>
      <c r="E704" s="82"/>
      <c r="F704" s="83"/>
      <c r="G704" s="111"/>
    </row>
    <row r="705" spans="1:8">
      <c r="A705" s="95"/>
      <c r="B705" s="835"/>
      <c r="C705" s="836"/>
      <c r="D705" s="89"/>
      <c r="E705" s="82"/>
      <c r="F705" s="83"/>
      <c r="G705" s="111"/>
    </row>
    <row r="706" spans="1:8">
      <c r="A706" s="95"/>
      <c r="B706" s="835" t="s">
        <v>841</v>
      </c>
      <c r="C706" s="836"/>
      <c r="D706" s="37"/>
      <c r="E706" s="82"/>
      <c r="F706" s="83"/>
      <c r="G706" s="111"/>
    </row>
    <row r="707" spans="1:8" ht="13.5" thickBot="1">
      <c r="A707" s="95"/>
      <c r="B707" s="839" t="s">
        <v>841</v>
      </c>
      <c r="C707" s="840"/>
      <c r="D707" s="77"/>
      <c r="E707" s="106"/>
      <c r="F707" s="86"/>
      <c r="G707" s="112"/>
    </row>
    <row r="708" spans="1:8" ht="14.25" thickTop="1" thickBot="1">
      <c r="A708" s="95"/>
      <c r="B708" s="808"/>
      <c r="C708" s="808"/>
      <c r="D708" s="808"/>
      <c r="E708" s="809"/>
      <c r="F708" s="119" t="s">
        <v>856</v>
      </c>
      <c r="G708" s="118">
        <f>SUM(G702:G707)</f>
        <v>598</v>
      </c>
    </row>
    <row r="709" spans="1:8" ht="14.25" thickTop="1" thickBot="1">
      <c r="A709" s="95"/>
      <c r="B709" s="830"/>
      <c r="C709" s="830"/>
      <c r="D709" s="830"/>
      <c r="E709" s="830"/>
      <c r="F709" s="830"/>
      <c r="G709" s="830"/>
    </row>
    <row r="710" spans="1:8" ht="13.5" thickTop="1">
      <c r="A710" s="95"/>
      <c r="B710" s="811" t="s">
        <v>311</v>
      </c>
      <c r="C710" s="812"/>
      <c r="D710" s="812"/>
      <c r="E710" s="812"/>
      <c r="F710" s="812"/>
      <c r="G710" s="825"/>
    </row>
    <row r="711" spans="1:8">
      <c r="A711" s="95"/>
      <c r="B711" s="817" t="s">
        <v>838</v>
      </c>
      <c r="C711" s="818"/>
      <c r="D711" s="98" t="s">
        <v>842</v>
      </c>
      <c r="E711" s="98" t="s">
        <v>853</v>
      </c>
      <c r="F711" s="99" t="s">
        <v>1047</v>
      </c>
      <c r="G711" s="107" t="s">
        <v>840</v>
      </c>
    </row>
    <row r="712" spans="1:8">
      <c r="A712" s="95"/>
      <c r="B712" s="115"/>
      <c r="C712" s="102"/>
      <c r="D712" s="100"/>
      <c r="E712" s="100" t="s">
        <v>312</v>
      </c>
      <c r="F712" s="101" t="s">
        <v>313</v>
      </c>
      <c r="G712" s="108" t="s">
        <v>314</v>
      </c>
    </row>
    <row r="713" spans="1:8">
      <c r="A713" s="125"/>
      <c r="B713" s="841" t="str">
        <f>MATERIALES2!C93</f>
        <v>ARROBERO</v>
      </c>
      <c r="C713" s="842"/>
      <c r="D713" s="87" t="s">
        <v>865</v>
      </c>
      <c r="E713" s="81">
        <v>17.57</v>
      </c>
      <c r="F713" s="80">
        <f>MATERIALES2!E93</f>
        <v>400</v>
      </c>
      <c r="G713" s="110">
        <f>ROUND(E713*F713,0)</f>
        <v>7028</v>
      </c>
    </row>
    <row r="714" spans="1:8">
      <c r="A714" s="123"/>
      <c r="B714" s="854" t="str">
        <f>MATERIALES2!C13</f>
        <v>CEMENTO GRIS</v>
      </c>
      <c r="C714" s="855"/>
      <c r="D714" s="37" t="s">
        <v>925</v>
      </c>
      <c r="E714" s="83">
        <v>4.7300000000000004</v>
      </c>
      <c r="F714" s="82">
        <f>MATERIALES2!E13</f>
        <v>420</v>
      </c>
      <c r="G714" s="111">
        <f>ROUND(E714*F714,0)</f>
        <v>1987</v>
      </c>
    </row>
    <row r="715" spans="1:8" ht="14.25">
      <c r="A715" s="123"/>
      <c r="B715" s="854" t="str">
        <f>MATERIALES2!C20</f>
        <v xml:space="preserve">ARENA </v>
      </c>
      <c r="C715" s="855"/>
      <c r="D715" s="37" t="s">
        <v>1066</v>
      </c>
      <c r="E715" s="53">
        <v>1.0999999999999999E-2</v>
      </c>
      <c r="F715" s="82">
        <f>MATERIALES2!E20</f>
        <v>35000</v>
      </c>
      <c r="G715" s="111">
        <f>ROUND(E715*F715,0)</f>
        <v>385</v>
      </c>
    </row>
    <row r="716" spans="1:8">
      <c r="A716" s="123"/>
      <c r="B716" s="854" t="str">
        <f>MATERIALES2!C28</f>
        <v>AGUA</v>
      </c>
      <c r="C716" s="855"/>
      <c r="D716" s="37" t="s">
        <v>1071</v>
      </c>
      <c r="E716" s="53">
        <v>2.63</v>
      </c>
      <c r="F716" s="82">
        <f>MATERIALES2!E28</f>
        <v>50</v>
      </c>
      <c r="G716" s="111">
        <f>ROUND(E716*F716,0)</f>
        <v>132</v>
      </c>
    </row>
    <row r="717" spans="1:8">
      <c r="A717" s="95"/>
      <c r="B717" s="854"/>
      <c r="C717" s="855"/>
      <c r="D717" s="37"/>
      <c r="E717" s="83"/>
      <c r="F717" s="82"/>
      <c r="G717" s="111"/>
    </row>
    <row r="718" spans="1:8">
      <c r="A718" s="95"/>
      <c r="B718" s="854"/>
      <c r="C718" s="855"/>
      <c r="D718" s="37"/>
      <c r="E718" s="53"/>
      <c r="F718" s="82"/>
      <c r="G718" s="111"/>
    </row>
    <row r="719" spans="1:8">
      <c r="A719" s="95"/>
      <c r="B719" s="854"/>
      <c r="C719" s="855"/>
      <c r="D719" s="37"/>
      <c r="E719" s="53"/>
      <c r="F719" s="82"/>
      <c r="G719" s="111"/>
    </row>
    <row r="720" spans="1:8">
      <c r="A720" s="95"/>
      <c r="B720" s="938" t="s">
        <v>841</v>
      </c>
      <c r="C720" s="939"/>
      <c r="D720" s="53" t="s">
        <v>841</v>
      </c>
      <c r="E720" s="53"/>
      <c r="F720" s="82"/>
      <c r="G720" s="111"/>
      <c r="H720" s="505" t="s">
        <v>1670</v>
      </c>
    </row>
    <row r="721" spans="1:7" ht="13.5" thickBot="1">
      <c r="A721" s="95"/>
      <c r="B721" s="942" t="s">
        <v>841</v>
      </c>
      <c r="C721" s="943"/>
      <c r="D721" s="84" t="s">
        <v>841</v>
      </c>
      <c r="E721" s="84"/>
      <c r="F721" s="85"/>
      <c r="G721" s="112"/>
    </row>
    <row r="722" spans="1:7" ht="13.5" thickTop="1">
      <c r="A722" s="95"/>
      <c r="B722" s="808"/>
      <c r="C722" s="809"/>
      <c r="D722" s="801" t="s">
        <v>856</v>
      </c>
      <c r="E722" s="802"/>
      <c r="F722" s="9"/>
      <c r="G722" s="113">
        <f>SUM(G713:G721)</f>
        <v>9532</v>
      </c>
    </row>
    <row r="723" spans="1:7">
      <c r="A723" s="95"/>
      <c r="B723" s="819"/>
      <c r="C723" s="820"/>
      <c r="D723" s="801" t="s">
        <v>857</v>
      </c>
      <c r="E723" s="802"/>
      <c r="F723" s="79">
        <f>'MANO DE OBRA'!D60</f>
        <v>0.05</v>
      </c>
      <c r="G723" s="113">
        <f>ROUND(G722*F723,0)</f>
        <v>477</v>
      </c>
    </row>
    <row r="724" spans="1:7" ht="13.5" thickBot="1">
      <c r="A724" s="95"/>
      <c r="B724" s="819"/>
      <c r="C724" s="820"/>
      <c r="D724" s="803" t="s">
        <v>320</v>
      </c>
      <c r="E724" s="804"/>
      <c r="F724" s="114"/>
      <c r="G724" s="118">
        <f>+G722+G723</f>
        <v>10009</v>
      </c>
    </row>
    <row r="725" spans="1:7" ht="14.25" thickTop="1" thickBot="1">
      <c r="A725" s="95"/>
      <c r="B725" s="830"/>
      <c r="C725" s="830"/>
      <c r="D725" s="830"/>
      <c r="E725" s="830"/>
      <c r="F725" s="830"/>
      <c r="G725" s="830"/>
    </row>
    <row r="726" spans="1:7" ht="13.5" thickTop="1">
      <c r="A726" s="95"/>
      <c r="B726" s="811" t="s">
        <v>858</v>
      </c>
      <c r="C726" s="812"/>
      <c r="D726" s="812"/>
      <c r="E726" s="812"/>
      <c r="F726" s="812"/>
      <c r="G726" s="825"/>
    </row>
    <row r="727" spans="1:7">
      <c r="A727" s="95"/>
      <c r="B727" s="817"/>
      <c r="C727" s="818"/>
      <c r="D727" s="98" t="s">
        <v>301</v>
      </c>
      <c r="E727" s="98" t="s">
        <v>859</v>
      </c>
      <c r="F727" s="99" t="s">
        <v>839</v>
      </c>
      <c r="G727" s="107" t="s">
        <v>840</v>
      </c>
    </row>
    <row r="728" spans="1:7">
      <c r="A728" s="95"/>
      <c r="B728" s="821" t="s">
        <v>838</v>
      </c>
      <c r="C728" s="822"/>
      <c r="D728" s="100" t="s">
        <v>316</v>
      </c>
      <c r="E728" s="100" t="s">
        <v>315</v>
      </c>
      <c r="F728" s="101" t="s">
        <v>306</v>
      </c>
      <c r="G728" s="108" t="s">
        <v>319</v>
      </c>
    </row>
    <row r="729" spans="1:7">
      <c r="A729" s="95"/>
      <c r="B729" s="115"/>
      <c r="C729" s="102"/>
      <c r="D729" s="103"/>
      <c r="E729" s="103" t="s">
        <v>317</v>
      </c>
      <c r="F729" s="104" t="s">
        <v>318</v>
      </c>
      <c r="G729" s="109"/>
    </row>
    <row r="730" spans="1:7">
      <c r="A730" s="95"/>
      <c r="B730" s="823" t="str">
        <f>'MANO DE OBRA'!B10</f>
        <v>AYUDANTE CUAD. TIPO AA</v>
      </c>
      <c r="C730" s="824"/>
      <c r="D730" s="87">
        <v>1</v>
      </c>
      <c r="E730" s="80">
        <f>'MANO DE OBRA'!E10</f>
        <v>34680</v>
      </c>
      <c r="F730" s="81">
        <v>8.8800000000000008</v>
      </c>
      <c r="G730" s="110">
        <f>ROUND(D730*E730/F730,0)</f>
        <v>3905</v>
      </c>
    </row>
    <row r="731" spans="1:7">
      <c r="A731" s="95"/>
      <c r="B731" s="835" t="str">
        <f>'MANO DE OBRA'!B15</f>
        <v xml:space="preserve">OFICIAL CUAD. TIPO AA </v>
      </c>
      <c r="C731" s="836"/>
      <c r="D731" s="37">
        <v>1</v>
      </c>
      <c r="E731" s="82">
        <f>'MANO DE OBRA'!E15</f>
        <v>71474</v>
      </c>
      <c r="F731" s="83">
        <v>8.8800000000000008</v>
      </c>
      <c r="G731" s="111">
        <f>ROUND(D731*E731/F731,0)</f>
        <v>8049</v>
      </c>
    </row>
    <row r="732" spans="1:7">
      <c r="A732" s="95"/>
      <c r="B732" s="835"/>
      <c r="C732" s="836"/>
      <c r="D732" s="89"/>
      <c r="E732" s="82"/>
      <c r="F732" s="83"/>
      <c r="G732" s="111"/>
    </row>
    <row r="733" spans="1:7">
      <c r="A733" s="95"/>
      <c r="B733" s="835" t="s">
        <v>841</v>
      </c>
      <c r="C733" s="836"/>
      <c r="D733" s="37"/>
      <c r="E733" s="82"/>
      <c r="F733" s="83"/>
      <c r="G733" s="111"/>
    </row>
    <row r="734" spans="1:7" ht="13.5" thickBot="1">
      <c r="A734" s="95"/>
      <c r="B734" s="828" t="s">
        <v>841</v>
      </c>
      <c r="C734" s="829"/>
      <c r="D734" s="77"/>
      <c r="E734" s="82"/>
      <c r="F734" s="86"/>
      <c r="G734" s="112"/>
    </row>
    <row r="735" spans="1:7" ht="14.25" thickTop="1" thickBot="1">
      <c r="A735" s="95"/>
      <c r="B735" s="808"/>
      <c r="C735" s="808"/>
      <c r="D735" s="808"/>
      <c r="E735" s="809"/>
      <c r="F735" s="120" t="s">
        <v>856</v>
      </c>
      <c r="G735" s="118">
        <f>SUM(G730:G734)</f>
        <v>11954</v>
      </c>
    </row>
    <row r="736" spans="1:7" ht="14.25" thickTop="1" thickBot="1">
      <c r="A736" s="95"/>
      <c r="B736" s="810"/>
      <c r="C736" s="810"/>
      <c r="D736" s="810"/>
      <c r="E736" s="810"/>
      <c r="F736" s="810"/>
      <c r="G736" s="810"/>
    </row>
    <row r="737" spans="1:8" ht="13.5" thickTop="1">
      <c r="A737" s="95"/>
      <c r="B737" s="811" t="s">
        <v>321</v>
      </c>
      <c r="C737" s="812"/>
      <c r="D737" s="812"/>
      <c r="E737" s="812"/>
      <c r="F737" s="812"/>
      <c r="G737" s="825"/>
    </row>
    <row r="738" spans="1:8">
      <c r="A738" s="95"/>
      <c r="B738" s="817" t="s">
        <v>838</v>
      </c>
      <c r="C738" s="818"/>
      <c r="D738" s="98" t="s">
        <v>301</v>
      </c>
      <c r="E738" s="98" t="s">
        <v>297</v>
      </c>
      <c r="F738" s="99" t="s">
        <v>839</v>
      </c>
      <c r="G738" s="107" t="s">
        <v>840</v>
      </c>
    </row>
    <row r="739" spans="1:8">
      <c r="A739" s="95"/>
      <c r="B739" s="115"/>
      <c r="C739" s="102"/>
      <c r="D739" s="103" t="s">
        <v>322</v>
      </c>
      <c r="E739" s="103" t="s">
        <v>323</v>
      </c>
      <c r="F739" s="104" t="s">
        <v>324</v>
      </c>
      <c r="G739" s="109" t="s">
        <v>325</v>
      </c>
    </row>
    <row r="740" spans="1:8">
      <c r="A740" s="95"/>
      <c r="B740" s="826"/>
      <c r="C740" s="827"/>
      <c r="D740" s="96"/>
      <c r="E740" s="96"/>
      <c r="F740" s="96"/>
      <c r="G740" s="116"/>
    </row>
    <row r="741" spans="1:8" ht="13.5" thickBot="1">
      <c r="A741" s="95"/>
      <c r="B741" s="828" t="s">
        <v>841</v>
      </c>
      <c r="C741" s="829"/>
      <c r="D741" s="77"/>
      <c r="E741" s="82"/>
      <c r="F741" s="86"/>
      <c r="G741" s="112"/>
    </row>
    <row r="742" spans="1:8" ht="14.25" thickTop="1" thickBot="1">
      <c r="A742" s="95"/>
      <c r="B742" s="808"/>
      <c r="C742" s="808"/>
      <c r="D742" s="808"/>
      <c r="E742" s="809"/>
      <c r="F742" s="120" t="s">
        <v>856</v>
      </c>
      <c r="G742" s="118">
        <f>SUM(G737:G741)</f>
        <v>0</v>
      </c>
    </row>
    <row r="743" spans="1:8" ht="14.25" thickTop="1" thickBot="1">
      <c r="A743" s="95"/>
      <c r="B743" s="810"/>
      <c r="C743" s="810"/>
      <c r="D743" s="810"/>
      <c r="E743" s="810"/>
      <c r="F743" s="810"/>
      <c r="G743" s="834"/>
    </row>
    <row r="744" spans="1:8" ht="13.5" thickTop="1">
      <c r="A744" s="95"/>
      <c r="B744" s="811" t="s">
        <v>326</v>
      </c>
      <c r="C744" s="812"/>
      <c r="D744" s="812"/>
      <c r="E744" s="812"/>
      <c r="F744" s="813"/>
      <c r="G744" s="121">
        <f>+G708+G724+G735</f>
        <v>22561</v>
      </c>
    </row>
    <row r="745" spans="1:8">
      <c r="A745" s="95"/>
      <c r="B745" s="814" t="s">
        <v>861</v>
      </c>
      <c r="C745" s="815"/>
      <c r="D745" s="815"/>
      <c r="E745" s="816"/>
      <c r="F745" s="128">
        <f>'MANO DE OBRA'!D59</f>
        <v>0</v>
      </c>
      <c r="G745" s="122">
        <f>ROUND(G744*F745,0)</f>
        <v>0</v>
      </c>
    </row>
    <row r="746" spans="1:8" ht="13.5" thickBot="1">
      <c r="A746" s="95"/>
      <c r="B746" s="805" t="s">
        <v>1049</v>
      </c>
      <c r="C746" s="806"/>
      <c r="D746" s="806"/>
      <c r="E746" s="806"/>
      <c r="F746" s="807"/>
      <c r="G746" s="118">
        <f>ROUND(G744+G745,-2)</f>
        <v>22600</v>
      </c>
      <c r="H746" s="505" t="s">
        <v>1670</v>
      </c>
    </row>
    <row r="747" spans="1:8" ht="15" thickTop="1">
      <c r="A747" s="95"/>
      <c r="B747" s="90" t="s">
        <v>303</v>
      </c>
      <c r="C747" s="843"/>
      <c r="D747" s="843"/>
      <c r="E747" s="843"/>
      <c r="F747" s="92" t="s">
        <v>781</v>
      </c>
      <c r="G747" s="93" t="s">
        <v>1067</v>
      </c>
    </row>
    <row r="748" spans="1:8">
      <c r="A748" s="95"/>
      <c r="B748" s="91" t="s">
        <v>834</v>
      </c>
      <c r="C748" s="844" t="s">
        <v>1384</v>
      </c>
      <c r="D748" s="844"/>
      <c r="E748" s="844"/>
      <c r="F748" s="15" t="s">
        <v>833</v>
      </c>
      <c r="G748" s="165" t="str">
        <f>'MANO DE OBRA'!D61</f>
        <v>Agosto de 2010</v>
      </c>
    </row>
    <row r="749" spans="1:8" ht="13.5" thickBot="1">
      <c r="A749" s="127"/>
      <c r="B749" s="94" t="s">
        <v>835</v>
      </c>
      <c r="C749" s="845" t="s">
        <v>1399</v>
      </c>
      <c r="D749" s="845"/>
      <c r="E749" s="845"/>
      <c r="F749" s="845"/>
      <c r="G749" s="846"/>
    </row>
    <row r="750" spans="1:8" ht="14.25" thickTop="1" thickBot="1">
      <c r="A750" s="95"/>
      <c r="B750" s="847"/>
      <c r="C750" s="847"/>
      <c r="D750" s="847"/>
      <c r="E750" s="847"/>
      <c r="F750" s="847"/>
      <c r="G750" s="847"/>
    </row>
    <row r="751" spans="1:8" ht="13.5" thickTop="1">
      <c r="A751" s="95"/>
      <c r="B751" s="811" t="s">
        <v>304</v>
      </c>
      <c r="C751" s="812"/>
      <c r="D751" s="812"/>
      <c r="E751" s="812"/>
      <c r="F751" s="812"/>
      <c r="G751" s="825"/>
    </row>
    <row r="752" spans="1:8">
      <c r="A752" s="95"/>
      <c r="B752" s="105"/>
      <c r="C752" s="97"/>
      <c r="D752" s="98" t="s">
        <v>301</v>
      </c>
      <c r="E752" s="98" t="s">
        <v>1072</v>
      </c>
      <c r="F752" s="99" t="s">
        <v>839</v>
      </c>
      <c r="G752" s="107" t="s">
        <v>840</v>
      </c>
    </row>
    <row r="753" spans="1:7">
      <c r="A753" s="95"/>
      <c r="B753" s="821" t="s">
        <v>838</v>
      </c>
      <c r="C753" s="822"/>
      <c r="D753" s="100" t="s">
        <v>308</v>
      </c>
      <c r="E753" s="100" t="s">
        <v>305</v>
      </c>
      <c r="F753" s="101" t="s">
        <v>306</v>
      </c>
      <c r="G753" s="108" t="s">
        <v>310</v>
      </c>
    </row>
    <row r="754" spans="1:7">
      <c r="A754" s="95"/>
      <c r="B754" s="115"/>
      <c r="C754" s="102"/>
      <c r="D754" s="103"/>
      <c r="E754" s="103" t="s">
        <v>309</v>
      </c>
      <c r="F754" s="104" t="s">
        <v>307</v>
      </c>
      <c r="G754" s="109"/>
    </row>
    <row r="755" spans="1:7">
      <c r="A755" s="127"/>
      <c r="B755" s="823" t="str">
        <f>'MAQUINARIA Y EQUIPOS'!C28</f>
        <v>HERRAMIENTAS MENORES</v>
      </c>
      <c r="C755" s="824"/>
      <c r="D755" s="87">
        <v>1</v>
      </c>
      <c r="E755" s="82">
        <f>ROUND(G788*0.05,0)</f>
        <v>478</v>
      </c>
      <c r="F755" s="81">
        <v>1</v>
      </c>
      <c r="G755" s="110">
        <f>ROUND(D755*E755/F755,0)</f>
        <v>478</v>
      </c>
    </row>
    <row r="756" spans="1:7">
      <c r="A756" s="95"/>
      <c r="B756" s="835"/>
      <c r="C756" s="836"/>
      <c r="D756" s="37"/>
      <c r="E756" s="82"/>
      <c r="F756" s="83"/>
      <c r="G756" s="111"/>
    </row>
    <row r="757" spans="1:7">
      <c r="A757" s="95"/>
      <c r="B757" s="835"/>
      <c r="C757" s="836"/>
      <c r="D757" s="89"/>
      <c r="E757" s="82"/>
      <c r="F757" s="83"/>
      <c r="G757" s="111"/>
    </row>
    <row r="758" spans="1:7">
      <c r="A758" s="95"/>
      <c r="B758" s="835"/>
      <c r="C758" s="836"/>
      <c r="D758" s="89"/>
      <c r="E758" s="82"/>
      <c r="F758" s="83"/>
      <c r="G758" s="111"/>
    </row>
    <row r="759" spans="1:7">
      <c r="A759" s="95"/>
      <c r="B759" s="835" t="s">
        <v>841</v>
      </c>
      <c r="C759" s="836"/>
      <c r="D759" s="37"/>
      <c r="E759" s="82"/>
      <c r="F759" s="83"/>
      <c r="G759" s="111"/>
    </row>
    <row r="760" spans="1:7" ht="13.5" thickBot="1">
      <c r="A760" s="95"/>
      <c r="B760" s="839" t="s">
        <v>841</v>
      </c>
      <c r="C760" s="840"/>
      <c r="D760" s="77"/>
      <c r="E760" s="106"/>
      <c r="F760" s="86"/>
      <c r="G760" s="112"/>
    </row>
    <row r="761" spans="1:7" ht="14.25" thickTop="1" thickBot="1">
      <c r="A761" s="95"/>
      <c r="B761" s="808"/>
      <c r="C761" s="808"/>
      <c r="D761" s="808"/>
      <c r="E761" s="809"/>
      <c r="F761" s="119" t="s">
        <v>856</v>
      </c>
      <c r="G761" s="118">
        <f>SUM(G755:G760)</f>
        <v>478</v>
      </c>
    </row>
    <row r="762" spans="1:7" ht="14.25" thickTop="1" thickBot="1">
      <c r="A762" s="95"/>
      <c r="B762" s="830"/>
      <c r="C762" s="830"/>
      <c r="D762" s="830"/>
      <c r="E762" s="830"/>
      <c r="F762" s="830"/>
      <c r="G762" s="830"/>
    </row>
    <row r="763" spans="1:7" ht="13.5" thickTop="1">
      <c r="A763" s="95"/>
      <c r="B763" s="811" t="s">
        <v>311</v>
      </c>
      <c r="C763" s="812"/>
      <c r="D763" s="812"/>
      <c r="E763" s="812"/>
      <c r="F763" s="812"/>
      <c r="G763" s="825"/>
    </row>
    <row r="764" spans="1:7">
      <c r="A764" s="95"/>
      <c r="B764" s="817" t="s">
        <v>838</v>
      </c>
      <c r="C764" s="818"/>
      <c r="D764" s="98" t="s">
        <v>842</v>
      </c>
      <c r="E764" s="98" t="s">
        <v>853</v>
      </c>
      <c r="F764" s="99" t="s">
        <v>1047</v>
      </c>
      <c r="G764" s="107" t="s">
        <v>840</v>
      </c>
    </row>
    <row r="765" spans="1:7">
      <c r="A765" s="95"/>
      <c r="B765" s="115"/>
      <c r="C765" s="102"/>
      <c r="D765" s="100"/>
      <c r="E765" s="100" t="s">
        <v>312</v>
      </c>
      <c r="F765" s="101" t="s">
        <v>313</v>
      </c>
      <c r="G765" s="108" t="s">
        <v>314</v>
      </c>
    </row>
    <row r="766" spans="1:7">
      <c r="A766" s="125"/>
      <c r="B766" s="841" t="str">
        <f>MATERIALES2!C98</f>
        <v>BLOQUE CEMENTO H15</v>
      </c>
      <c r="C766" s="842"/>
      <c r="D766" s="87" t="s">
        <v>865</v>
      </c>
      <c r="E766" s="81">
        <v>11.61</v>
      </c>
      <c r="F766" s="80">
        <f>MATERIALES2!E98</f>
        <v>700</v>
      </c>
      <c r="G766" s="110">
        <f>ROUND(E766*F766,0)</f>
        <v>8127</v>
      </c>
    </row>
    <row r="767" spans="1:7">
      <c r="A767" s="123"/>
      <c r="B767" s="854" t="str">
        <f>MATERIALES2!C13</f>
        <v>CEMENTO GRIS</v>
      </c>
      <c r="C767" s="855"/>
      <c r="D767" s="37" t="s">
        <v>925</v>
      </c>
      <c r="E767" s="83">
        <v>5.33</v>
      </c>
      <c r="F767" s="82">
        <f>MATERIALES2!E13</f>
        <v>420</v>
      </c>
      <c r="G767" s="111">
        <f>ROUND(E767*F767,0)</f>
        <v>2239</v>
      </c>
    </row>
    <row r="768" spans="1:7" ht="14.25">
      <c r="A768" s="123"/>
      <c r="B768" s="854" t="str">
        <f>MATERIALES2!C20</f>
        <v xml:space="preserve">ARENA </v>
      </c>
      <c r="C768" s="855"/>
      <c r="D768" s="37" t="s">
        <v>1066</v>
      </c>
      <c r="E768" s="53">
        <v>1.2999999999999999E-2</v>
      </c>
      <c r="F768" s="82">
        <f>MATERIALES2!E20</f>
        <v>35000</v>
      </c>
      <c r="G768" s="111">
        <f>ROUND(E768*F768,0)</f>
        <v>455</v>
      </c>
    </row>
    <row r="769" spans="1:8">
      <c r="A769" s="123"/>
      <c r="B769" s="854" t="str">
        <f>MATERIALES2!C28</f>
        <v>AGUA</v>
      </c>
      <c r="C769" s="855"/>
      <c r="D769" s="37" t="s">
        <v>1071</v>
      </c>
      <c r="E769" s="53">
        <v>2.96</v>
      </c>
      <c r="F769" s="82">
        <f>MATERIALES2!E28</f>
        <v>50</v>
      </c>
      <c r="G769" s="111">
        <f>ROUND(E769*F769,0)</f>
        <v>148</v>
      </c>
    </row>
    <row r="770" spans="1:8">
      <c r="A770" s="95"/>
      <c r="B770" s="854"/>
      <c r="C770" s="855"/>
      <c r="D770" s="37"/>
      <c r="E770" s="83"/>
      <c r="F770" s="82"/>
      <c r="G770" s="111"/>
    </row>
    <row r="771" spans="1:8">
      <c r="A771" s="95"/>
      <c r="B771" s="854"/>
      <c r="C771" s="855"/>
      <c r="D771" s="37"/>
      <c r="E771" s="53"/>
      <c r="F771" s="82"/>
      <c r="G771" s="111"/>
    </row>
    <row r="772" spans="1:8">
      <c r="A772" s="95"/>
      <c r="B772" s="854"/>
      <c r="C772" s="855"/>
      <c r="D772" s="37"/>
      <c r="E772" s="53"/>
      <c r="F772" s="82"/>
      <c r="G772" s="111"/>
    </row>
    <row r="773" spans="1:8">
      <c r="A773" s="95"/>
      <c r="B773" s="938" t="s">
        <v>841</v>
      </c>
      <c r="C773" s="939"/>
      <c r="D773" s="53" t="s">
        <v>841</v>
      </c>
      <c r="E773" s="53"/>
      <c r="F773" s="82"/>
      <c r="G773" s="111"/>
      <c r="H773" s="505" t="s">
        <v>1670</v>
      </c>
    </row>
    <row r="774" spans="1:8" ht="13.5" thickBot="1">
      <c r="A774" s="95"/>
      <c r="B774" s="942" t="s">
        <v>841</v>
      </c>
      <c r="C774" s="943"/>
      <c r="D774" s="84" t="s">
        <v>841</v>
      </c>
      <c r="E774" s="84"/>
      <c r="F774" s="85"/>
      <c r="G774" s="112"/>
    </row>
    <row r="775" spans="1:8" ht="13.5" thickTop="1">
      <c r="A775" s="95"/>
      <c r="B775" s="808"/>
      <c r="C775" s="809"/>
      <c r="D775" s="801" t="s">
        <v>856</v>
      </c>
      <c r="E775" s="802"/>
      <c r="F775" s="9"/>
      <c r="G775" s="113">
        <f>SUM(G766:G774)</f>
        <v>10969</v>
      </c>
    </row>
    <row r="776" spans="1:8">
      <c r="A776" s="95"/>
      <c r="B776" s="819"/>
      <c r="C776" s="820"/>
      <c r="D776" s="801" t="s">
        <v>857</v>
      </c>
      <c r="E776" s="802"/>
      <c r="F776" s="79">
        <f>'MANO DE OBRA'!D60</f>
        <v>0.05</v>
      </c>
      <c r="G776" s="113">
        <f>ROUND(G775*F776,0)</f>
        <v>548</v>
      </c>
    </row>
    <row r="777" spans="1:8" ht="13.5" thickBot="1">
      <c r="A777" s="95"/>
      <c r="B777" s="819"/>
      <c r="C777" s="820"/>
      <c r="D777" s="803" t="s">
        <v>320</v>
      </c>
      <c r="E777" s="804"/>
      <c r="F777" s="114"/>
      <c r="G777" s="118">
        <f>+G775+G776</f>
        <v>11517</v>
      </c>
    </row>
    <row r="778" spans="1:8" ht="14.25" thickTop="1" thickBot="1">
      <c r="A778" s="95"/>
      <c r="B778" s="830"/>
      <c r="C778" s="830"/>
      <c r="D778" s="830"/>
      <c r="E778" s="830"/>
      <c r="F778" s="830"/>
      <c r="G778" s="830"/>
    </row>
    <row r="779" spans="1:8" ht="13.5" thickTop="1">
      <c r="A779" s="95"/>
      <c r="B779" s="811" t="s">
        <v>858</v>
      </c>
      <c r="C779" s="812"/>
      <c r="D779" s="812"/>
      <c r="E779" s="812"/>
      <c r="F779" s="812"/>
      <c r="G779" s="825"/>
    </row>
    <row r="780" spans="1:8">
      <c r="A780" s="95"/>
      <c r="B780" s="817"/>
      <c r="C780" s="818"/>
      <c r="D780" s="98" t="s">
        <v>301</v>
      </c>
      <c r="E780" s="98" t="s">
        <v>859</v>
      </c>
      <c r="F780" s="99" t="s">
        <v>839</v>
      </c>
      <c r="G780" s="107" t="s">
        <v>840</v>
      </c>
    </row>
    <row r="781" spans="1:8">
      <c r="A781" s="95"/>
      <c r="B781" s="821" t="s">
        <v>838</v>
      </c>
      <c r="C781" s="822"/>
      <c r="D781" s="100" t="s">
        <v>316</v>
      </c>
      <c r="E781" s="100" t="s">
        <v>315</v>
      </c>
      <c r="F781" s="101" t="s">
        <v>306</v>
      </c>
      <c r="G781" s="108" t="s">
        <v>319</v>
      </c>
    </row>
    <row r="782" spans="1:8">
      <c r="A782" s="95"/>
      <c r="B782" s="115"/>
      <c r="C782" s="102"/>
      <c r="D782" s="103"/>
      <c r="E782" s="103" t="s">
        <v>317</v>
      </c>
      <c r="F782" s="104" t="s">
        <v>318</v>
      </c>
      <c r="G782" s="109"/>
    </row>
    <row r="783" spans="1:8">
      <c r="A783" s="95"/>
      <c r="B783" s="823" t="str">
        <f>'MANO DE OBRA'!B10</f>
        <v>AYUDANTE CUAD. TIPO AA</v>
      </c>
      <c r="C783" s="824"/>
      <c r="D783" s="87">
        <v>1</v>
      </c>
      <c r="E783" s="80">
        <f>'MANO DE OBRA'!E10</f>
        <v>34680</v>
      </c>
      <c r="F783" s="81">
        <v>11.11</v>
      </c>
      <c r="G783" s="110">
        <f>ROUND(D783*E783/F783,0)</f>
        <v>3122</v>
      </c>
    </row>
    <row r="784" spans="1:8">
      <c r="A784" s="95"/>
      <c r="B784" s="835" t="str">
        <f>'MANO DE OBRA'!B15</f>
        <v xml:space="preserve">OFICIAL CUAD. TIPO AA </v>
      </c>
      <c r="C784" s="836"/>
      <c r="D784" s="37">
        <v>1</v>
      </c>
      <c r="E784" s="82">
        <f>'MANO DE OBRA'!E15</f>
        <v>71474</v>
      </c>
      <c r="F784" s="83">
        <v>11.11</v>
      </c>
      <c r="G784" s="111">
        <f>ROUND(D784*E784/F784,0)</f>
        <v>6433</v>
      </c>
    </row>
    <row r="785" spans="1:8">
      <c r="A785" s="95"/>
      <c r="B785" s="835"/>
      <c r="C785" s="836"/>
      <c r="D785" s="89"/>
      <c r="E785" s="82"/>
      <c r="F785" s="83"/>
      <c r="G785" s="111"/>
    </row>
    <row r="786" spans="1:8">
      <c r="A786" s="95"/>
      <c r="B786" s="835" t="s">
        <v>841</v>
      </c>
      <c r="C786" s="836"/>
      <c r="D786" s="37"/>
      <c r="E786" s="82"/>
      <c r="F786" s="83"/>
      <c r="G786" s="111"/>
    </row>
    <row r="787" spans="1:8" ht="13.5" thickBot="1">
      <c r="A787" s="95"/>
      <c r="B787" s="828" t="s">
        <v>841</v>
      </c>
      <c r="C787" s="829"/>
      <c r="D787" s="77"/>
      <c r="E787" s="82"/>
      <c r="F787" s="86"/>
      <c r="G787" s="112"/>
    </row>
    <row r="788" spans="1:8" ht="14.25" thickTop="1" thickBot="1">
      <c r="A788" s="95"/>
      <c r="B788" s="808"/>
      <c r="C788" s="808"/>
      <c r="D788" s="808"/>
      <c r="E788" s="809"/>
      <c r="F788" s="120" t="s">
        <v>856</v>
      </c>
      <c r="G788" s="118">
        <f>SUM(G783:G787)</f>
        <v>9555</v>
      </c>
    </row>
    <row r="789" spans="1:8" ht="14.25" thickTop="1" thickBot="1">
      <c r="A789" s="95"/>
      <c r="B789" s="810"/>
      <c r="C789" s="810"/>
      <c r="D789" s="810"/>
      <c r="E789" s="810"/>
      <c r="F789" s="810"/>
      <c r="G789" s="810"/>
    </row>
    <row r="790" spans="1:8" ht="13.5" thickTop="1">
      <c r="A790" s="95"/>
      <c r="B790" s="811" t="s">
        <v>321</v>
      </c>
      <c r="C790" s="812"/>
      <c r="D790" s="812"/>
      <c r="E790" s="812"/>
      <c r="F790" s="812"/>
      <c r="G790" s="825"/>
    </row>
    <row r="791" spans="1:8">
      <c r="A791" s="95"/>
      <c r="B791" s="817" t="s">
        <v>838</v>
      </c>
      <c r="C791" s="818"/>
      <c r="D791" s="98" t="s">
        <v>301</v>
      </c>
      <c r="E791" s="98" t="s">
        <v>297</v>
      </c>
      <c r="F791" s="99" t="s">
        <v>839</v>
      </c>
      <c r="G791" s="107" t="s">
        <v>840</v>
      </c>
    </row>
    <row r="792" spans="1:8">
      <c r="A792" s="95"/>
      <c r="B792" s="115"/>
      <c r="C792" s="102"/>
      <c r="D792" s="103" t="s">
        <v>322</v>
      </c>
      <c r="E792" s="103" t="s">
        <v>323</v>
      </c>
      <c r="F792" s="104" t="s">
        <v>324</v>
      </c>
      <c r="G792" s="109" t="s">
        <v>325</v>
      </c>
    </row>
    <row r="793" spans="1:8">
      <c r="A793" s="95"/>
      <c r="B793" s="826"/>
      <c r="C793" s="827"/>
      <c r="D793" s="96"/>
      <c r="E793" s="96"/>
      <c r="F793" s="96"/>
      <c r="G793" s="116"/>
    </row>
    <row r="794" spans="1:8" ht="13.5" thickBot="1">
      <c r="A794" s="95"/>
      <c r="B794" s="828" t="s">
        <v>841</v>
      </c>
      <c r="C794" s="829"/>
      <c r="D794" s="77"/>
      <c r="E794" s="82"/>
      <c r="F794" s="86"/>
      <c r="G794" s="112"/>
    </row>
    <row r="795" spans="1:8" ht="14.25" thickTop="1" thickBot="1">
      <c r="A795" s="95"/>
      <c r="B795" s="808"/>
      <c r="C795" s="808"/>
      <c r="D795" s="808"/>
      <c r="E795" s="809"/>
      <c r="F795" s="120" t="s">
        <v>856</v>
      </c>
      <c r="G795" s="118">
        <f>SUM(G790:G794)</f>
        <v>0</v>
      </c>
    </row>
    <row r="796" spans="1:8" ht="14.25" thickTop="1" thickBot="1">
      <c r="A796" s="95"/>
      <c r="B796" s="810"/>
      <c r="C796" s="810"/>
      <c r="D796" s="810"/>
      <c r="E796" s="810"/>
      <c r="F796" s="810"/>
      <c r="G796" s="834"/>
    </row>
    <row r="797" spans="1:8" ht="13.5" thickTop="1">
      <c r="A797" s="95"/>
      <c r="B797" s="811" t="s">
        <v>326</v>
      </c>
      <c r="C797" s="812"/>
      <c r="D797" s="812"/>
      <c r="E797" s="812"/>
      <c r="F797" s="813"/>
      <c r="G797" s="121">
        <f>+G761+G777+G788</f>
        <v>21550</v>
      </c>
    </row>
    <row r="798" spans="1:8">
      <c r="A798" s="95"/>
      <c r="B798" s="814" t="s">
        <v>861</v>
      </c>
      <c r="C798" s="815"/>
      <c r="D798" s="815"/>
      <c r="E798" s="816"/>
      <c r="F798" s="128">
        <f>'MANO DE OBRA'!D59</f>
        <v>0</v>
      </c>
      <c r="G798" s="122">
        <f>ROUND(G797*F798,0)</f>
        <v>0</v>
      </c>
    </row>
    <row r="799" spans="1:8" ht="13.5" thickBot="1">
      <c r="A799" s="95"/>
      <c r="B799" s="805" t="s">
        <v>1049</v>
      </c>
      <c r="C799" s="806"/>
      <c r="D799" s="806"/>
      <c r="E799" s="806"/>
      <c r="F799" s="807"/>
      <c r="G799" s="118">
        <f>ROUND(G797+G798,-2)</f>
        <v>21600</v>
      </c>
      <c r="H799" s="505" t="s">
        <v>1670</v>
      </c>
    </row>
    <row r="800" spans="1:8" ht="15" thickTop="1">
      <c r="A800" s="95"/>
      <c r="B800" s="90" t="s">
        <v>303</v>
      </c>
      <c r="C800" s="843"/>
      <c r="D800" s="843"/>
      <c r="E800" s="843"/>
      <c r="F800" s="92" t="s">
        <v>781</v>
      </c>
      <c r="G800" s="93" t="s">
        <v>1067</v>
      </c>
    </row>
    <row r="801" spans="1:7">
      <c r="A801" s="95"/>
      <c r="B801" s="91" t="s">
        <v>834</v>
      </c>
      <c r="C801" s="844" t="s">
        <v>1384</v>
      </c>
      <c r="D801" s="844"/>
      <c r="E801" s="844"/>
      <c r="F801" s="15" t="s">
        <v>833</v>
      </c>
      <c r="G801" s="165" t="str">
        <f>'MANO DE OBRA'!D61</f>
        <v>Agosto de 2010</v>
      </c>
    </row>
    <row r="802" spans="1:7" ht="13.5" thickBot="1">
      <c r="A802" s="127"/>
      <c r="B802" s="94" t="s">
        <v>835</v>
      </c>
      <c r="C802" s="845" t="s">
        <v>1400</v>
      </c>
      <c r="D802" s="845"/>
      <c r="E802" s="845"/>
      <c r="F802" s="845"/>
      <c r="G802" s="846"/>
    </row>
    <row r="803" spans="1:7" ht="14.25" thickTop="1" thickBot="1">
      <c r="A803" s="95"/>
      <c r="B803" s="847"/>
      <c r="C803" s="847"/>
      <c r="D803" s="847"/>
      <c r="E803" s="847"/>
      <c r="F803" s="847"/>
      <c r="G803" s="847"/>
    </row>
    <row r="804" spans="1:7" ht="13.5" thickTop="1">
      <c r="A804" s="95"/>
      <c r="B804" s="811" t="s">
        <v>304</v>
      </c>
      <c r="C804" s="812"/>
      <c r="D804" s="812"/>
      <c r="E804" s="812"/>
      <c r="F804" s="812"/>
      <c r="G804" s="825"/>
    </row>
    <row r="805" spans="1:7">
      <c r="A805" s="95"/>
      <c r="B805" s="105"/>
      <c r="C805" s="97"/>
      <c r="D805" s="98" t="s">
        <v>301</v>
      </c>
      <c r="E805" s="98" t="s">
        <v>1072</v>
      </c>
      <c r="F805" s="99" t="s">
        <v>839</v>
      </c>
      <c r="G805" s="107" t="s">
        <v>840</v>
      </c>
    </row>
    <row r="806" spans="1:7">
      <c r="A806" s="95"/>
      <c r="B806" s="821" t="s">
        <v>838</v>
      </c>
      <c r="C806" s="822"/>
      <c r="D806" s="100" t="s">
        <v>308</v>
      </c>
      <c r="E806" s="100" t="s">
        <v>305</v>
      </c>
      <c r="F806" s="101" t="s">
        <v>306</v>
      </c>
      <c r="G806" s="108" t="s">
        <v>310</v>
      </c>
    </row>
    <row r="807" spans="1:7">
      <c r="A807" s="95"/>
      <c r="B807" s="115"/>
      <c r="C807" s="102"/>
      <c r="D807" s="103"/>
      <c r="E807" s="103" t="s">
        <v>309</v>
      </c>
      <c r="F807" s="104" t="s">
        <v>307</v>
      </c>
      <c r="G807" s="109"/>
    </row>
    <row r="808" spans="1:7">
      <c r="A808" s="127"/>
      <c r="B808" s="823" t="str">
        <f>'MAQUINARIA Y EQUIPOS'!C28</f>
        <v>HERRAMIENTAS MENORES</v>
      </c>
      <c r="C808" s="824"/>
      <c r="D808" s="87">
        <v>1</v>
      </c>
      <c r="E808" s="82">
        <f>ROUND(G841*0.05,0)</f>
        <v>478</v>
      </c>
      <c r="F808" s="81">
        <v>1</v>
      </c>
      <c r="G808" s="110">
        <f>ROUND(D808*E808/F808,0)</f>
        <v>478</v>
      </c>
    </row>
    <row r="809" spans="1:7">
      <c r="A809" s="95"/>
      <c r="B809" s="835"/>
      <c r="C809" s="836"/>
      <c r="D809" s="37"/>
      <c r="E809" s="82"/>
      <c r="F809" s="83"/>
      <c r="G809" s="111"/>
    </row>
    <row r="810" spans="1:7">
      <c r="A810" s="95"/>
      <c r="B810" s="835"/>
      <c r="C810" s="836"/>
      <c r="D810" s="89"/>
      <c r="E810" s="82"/>
      <c r="F810" s="83"/>
      <c r="G810" s="111"/>
    </row>
    <row r="811" spans="1:7">
      <c r="A811" s="95"/>
      <c r="B811" s="835"/>
      <c r="C811" s="836"/>
      <c r="D811" s="89"/>
      <c r="E811" s="82"/>
      <c r="F811" s="83"/>
      <c r="G811" s="111"/>
    </row>
    <row r="812" spans="1:7">
      <c r="A812" s="95"/>
      <c r="B812" s="835" t="s">
        <v>841</v>
      </c>
      <c r="C812" s="836"/>
      <c r="D812" s="37"/>
      <c r="E812" s="82"/>
      <c r="F812" s="83"/>
      <c r="G812" s="111"/>
    </row>
    <row r="813" spans="1:7" ht="13.5" thickBot="1">
      <c r="A813" s="95"/>
      <c r="B813" s="839" t="s">
        <v>841</v>
      </c>
      <c r="C813" s="840"/>
      <c r="D813" s="77"/>
      <c r="E813" s="106"/>
      <c r="F813" s="86"/>
      <c r="G813" s="112"/>
    </row>
    <row r="814" spans="1:7" ht="14.25" thickTop="1" thickBot="1">
      <c r="A814" s="95"/>
      <c r="B814" s="808"/>
      <c r="C814" s="808"/>
      <c r="D814" s="808"/>
      <c r="E814" s="809"/>
      <c r="F814" s="119" t="s">
        <v>856</v>
      </c>
      <c r="G814" s="118">
        <f>SUM(G808:G813)</f>
        <v>478</v>
      </c>
    </row>
    <row r="815" spans="1:7" ht="14.25" thickTop="1" thickBot="1">
      <c r="A815" s="95"/>
      <c r="B815" s="830"/>
      <c r="C815" s="830"/>
      <c r="D815" s="830"/>
      <c r="E815" s="830"/>
      <c r="F815" s="830"/>
      <c r="G815" s="830"/>
    </row>
    <row r="816" spans="1:7" ht="13.5" thickTop="1">
      <c r="A816" s="95"/>
      <c r="B816" s="811" t="s">
        <v>311</v>
      </c>
      <c r="C816" s="812"/>
      <c r="D816" s="812"/>
      <c r="E816" s="812"/>
      <c r="F816" s="812"/>
      <c r="G816" s="825"/>
    </row>
    <row r="817" spans="1:8">
      <c r="A817" s="95"/>
      <c r="B817" s="817" t="s">
        <v>838</v>
      </c>
      <c r="C817" s="818"/>
      <c r="D817" s="98" t="s">
        <v>842</v>
      </c>
      <c r="E817" s="98" t="s">
        <v>853</v>
      </c>
      <c r="F817" s="99" t="s">
        <v>1047</v>
      </c>
      <c r="G817" s="107" t="s">
        <v>840</v>
      </c>
    </row>
    <row r="818" spans="1:8">
      <c r="A818" s="95"/>
      <c r="B818" s="115"/>
      <c r="C818" s="102"/>
      <c r="D818" s="100"/>
      <c r="E818" s="100" t="s">
        <v>312</v>
      </c>
      <c r="F818" s="101" t="s">
        <v>313</v>
      </c>
      <c r="G818" s="108" t="s">
        <v>314</v>
      </c>
    </row>
    <row r="819" spans="1:8">
      <c r="A819" s="125"/>
      <c r="B819" s="841" t="str">
        <f>MATERIALES2!C97</f>
        <v>BLOQUE DE CEMENTO H10</v>
      </c>
      <c r="C819" s="842"/>
      <c r="D819" s="87" t="s">
        <v>865</v>
      </c>
      <c r="E819" s="81">
        <v>13.27</v>
      </c>
      <c r="F819" s="80">
        <f>MATERIALES2!E97</f>
        <v>580</v>
      </c>
      <c r="G819" s="110">
        <f>ROUND(E819*F819,0)</f>
        <v>7697</v>
      </c>
    </row>
    <row r="820" spans="1:8">
      <c r="A820" s="123"/>
      <c r="B820" s="854" t="str">
        <f>MATERIALES2!C13</f>
        <v>CEMENTO GRIS</v>
      </c>
      <c r="C820" s="855"/>
      <c r="D820" s="37" t="s">
        <v>925</v>
      </c>
      <c r="E820" s="83">
        <v>4.2</v>
      </c>
      <c r="F820" s="82">
        <f>MATERIALES2!E13</f>
        <v>420</v>
      </c>
      <c r="G820" s="111">
        <f>ROUND(E820*F820,0)</f>
        <v>1764</v>
      </c>
    </row>
    <row r="821" spans="1:8" ht="14.25">
      <c r="A821" s="123"/>
      <c r="B821" s="854" t="str">
        <f>MATERIALES2!C20</f>
        <v xml:space="preserve">ARENA </v>
      </c>
      <c r="C821" s="855"/>
      <c r="D821" s="37" t="s">
        <v>1066</v>
      </c>
      <c r="E821" s="53">
        <v>0.01</v>
      </c>
      <c r="F821" s="82">
        <f>MATERIALES2!E20</f>
        <v>35000</v>
      </c>
      <c r="G821" s="111">
        <f>ROUND(E821*F821,0)</f>
        <v>350</v>
      </c>
    </row>
    <row r="822" spans="1:8">
      <c r="A822" s="123"/>
      <c r="B822" s="854" t="str">
        <f>MATERIALES2!C28</f>
        <v>AGUA</v>
      </c>
      <c r="C822" s="855"/>
      <c r="D822" s="37" t="s">
        <v>1071</v>
      </c>
      <c r="E822" s="53">
        <v>2.33</v>
      </c>
      <c r="F822" s="82">
        <f>MATERIALES2!E28</f>
        <v>50</v>
      </c>
      <c r="G822" s="111">
        <f>ROUND(E822*F822,0)</f>
        <v>117</v>
      </c>
    </row>
    <row r="823" spans="1:8">
      <c r="A823" s="95"/>
      <c r="B823" s="854"/>
      <c r="C823" s="855"/>
      <c r="D823" s="37"/>
      <c r="E823" s="83"/>
      <c r="F823" s="82"/>
      <c r="G823" s="111"/>
    </row>
    <row r="824" spans="1:8">
      <c r="A824" s="95"/>
      <c r="B824" s="854"/>
      <c r="C824" s="855"/>
      <c r="D824" s="37"/>
      <c r="E824" s="53"/>
      <c r="F824" s="82"/>
      <c r="G824" s="111"/>
    </row>
    <row r="825" spans="1:8">
      <c r="A825" s="95"/>
      <c r="B825" s="854"/>
      <c r="C825" s="855"/>
      <c r="D825" s="37"/>
      <c r="E825" s="53"/>
      <c r="F825" s="82"/>
      <c r="G825" s="111"/>
    </row>
    <row r="826" spans="1:8">
      <c r="A826" s="95"/>
      <c r="B826" s="938" t="s">
        <v>841</v>
      </c>
      <c r="C826" s="939"/>
      <c r="D826" s="53" t="s">
        <v>841</v>
      </c>
      <c r="E826" s="53"/>
      <c r="F826" s="82"/>
      <c r="G826" s="111"/>
      <c r="H826" s="505" t="s">
        <v>1670</v>
      </c>
    </row>
    <row r="827" spans="1:8" ht="13.5" thickBot="1">
      <c r="A827" s="95"/>
      <c r="B827" s="942" t="s">
        <v>841</v>
      </c>
      <c r="C827" s="943"/>
      <c r="D827" s="84" t="s">
        <v>841</v>
      </c>
      <c r="E827" s="84"/>
      <c r="F827" s="85"/>
      <c r="G827" s="112"/>
    </row>
    <row r="828" spans="1:8" ht="13.5" thickTop="1">
      <c r="A828" s="95"/>
      <c r="B828" s="808"/>
      <c r="C828" s="809"/>
      <c r="D828" s="801" t="s">
        <v>856</v>
      </c>
      <c r="E828" s="802"/>
      <c r="F828" s="9"/>
      <c r="G828" s="113">
        <f>SUM(G819:G827)</f>
        <v>9928</v>
      </c>
    </row>
    <row r="829" spans="1:8">
      <c r="A829" s="95"/>
      <c r="B829" s="819"/>
      <c r="C829" s="820"/>
      <c r="D829" s="801" t="s">
        <v>857</v>
      </c>
      <c r="E829" s="802"/>
      <c r="F829" s="79">
        <f>'MANO DE OBRA'!D60</f>
        <v>0.05</v>
      </c>
      <c r="G829" s="113">
        <f>ROUND(G828*F829,0)</f>
        <v>496</v>
      </c>
    </row>
    <row r="830" spans="1:8" ht="13.5" thickBot="1">
      <c r="A830" s="95"/>
      <c r="B830" s="819"/>
      <c r="C830" s="820"/>
      <c r="D830" s="803" t="s">
        <v>320</v>
      </c>
      <c r="E830" s="804"/>
      <c r="F830" s="114"/>
      <c r="G830" s="118">
        <f>+G828+G829</f>
        <v>10424</v>
      </c>
    </row>
    <row r="831" spans="1:8" ht="14.25" thickTop="1" thickBot="1">
      <c r="A831" s="95"/>
      <c r="B831" s="830"/>
      <c r="C831" s="830"/>
      <c r="D831" s="830"/>
      <c r="E831" s="830"/>
      <c r="F831" s="830"/>
      <c r="G831" s="830"/>
    </row>
    <row r="832" spans="1:8" ht="13.5" thickTop="1">
      <c r="A832" s="95"/>
      <c r="B832" s="811" t="s">
        <v>858</v>
      </c>
      <c r="C832" s="812"/>
      <c r="D832" s="812"/>
      <c r="E832" s="812"/>
      <c r="F832" s="812"/>
      <c r="G832" s="825"/>
    </row>
    <row r="833" spans="1:7">
      <c r="A833" s="95"/>
      <c r="B833" s="817"/>
      <c r="C833" s="818"/>
      <c r="D833" s="98" t="s">
        <v>301</v>
      </c>
      <c r="E833" s="98" t="s">
        <v>859</v>
      </c>
      <c r="F833" s="99" t="s">
        <v>839</v>
      </c>
      <c r="G833" s="107" t="s">
        <v>840</v>
      </c>
    </row>
    <row r="834" spans="1:7">
      <c r="A834" s="95"/>
      <c r="B834" s="821" t="s">
        <v>838</v>
      </c>
      <c r="C834" s="822"/>
      <c r="D834" s="100" t="s">
        <v>316</v>
      </c>
      <c r="E834" s="100" t="s">
        <v>315</v>
      </c>
      <c r="F834" s="101" t="s">
        <v>306</v>
      </c>
      <c r="G834" s="108" t="s">
        <v>319</v>
      </c>
    </row>
    <row r="835" spans="1:7">
      <c r="A835" s="95"/>
      <c r="B835" s="115"/>
      <c r="C835" s="102"/>
      <c r="D835" s="103"/>
      <c r="E835" s="103" t="s">
        <v>317</v>
      </c>
      <c r="F835" s="104" t="s">
        <v>318</v>
      </c>
      <c r="G835" s="109"/>
    </row>
    <row r="836" spans="1:7">
      <c r="A836" s="95"/>
      <c r="B836" s="823" t="str">
        <f>'MANO DE OBRA'!B10</f>
        <v>AYUDANTE CUAD. TIPO AA</v>
      </c>
      <c r="C836" s="824"/>
      <c r="D836" s="87">
        <v>1</v>
      </c>
      <c r="E836" s="80">
        <f>'MANO DE OBRA'!E10</f>
        <v>34680</v>
      </c>
      <c r="F836" s="81">
        <v>11.11</v>
      </c>
      <c r="G836" s="110">
        <f>ROUND(D836*E836/F836,0)</f>
        <v>3122</v>
      </c>
    </row>
    <row r="837" spans="1:7">
      <c r="A837" s="95"/>
      <c r="B837" s="835" t="str">
        <f>'MANO DE OBRA'!B15</f>
        <v xml:space="preserve">OFICIAL CUAD. TIPO AA </v>
      </c>
      <c r="C837" s="836"/>
      <c r="D837" s="37">
        <v>1</v>
      </c>
      <c r="E837" s="82">
        <f>'MANO DE OBRA'!E15</f>
        <v>71474</v>
      </c>
      <c r="F837" s="83">
        <v>11.11</v>
      </c>
      <c r="G837" s="111">
        <f>ROUND(D837*E837/F837,0)</f>
        <v>6433</v>
      </c>
    </row>
    <row r="838" spans="1:7">
      <c r="A838" s="95"/>
      <c r="B838" s="835"/>
      <c r="C838" s="836"/>
      <c r="D838" s="89"/>
      <c r="E838" s="82"/>
      <c r="F838" s="83"/>
      <c r="G838" s="111"/>
    </row>
    <row r="839" spans="1:7">
      <c r="A839" s="95"/>
      <c r="B839" s="835" t="s">
        <v>841</v>
      </c>
      <c r="C839" s="836"/>
      <c r="D839" s="37"/>
      <c r="E839" s="82"/>
      <c r="F839" s="83"/>
      <c r="G839" s="111"/>
    </row>
    <row r="840" spans="1:7" ht="13.5" thickBot="1">
      <c r="A840" s="95"/>
      <c r="B840" s="828" t="s">
        <v>841</v>
      </c>
      <c r="C840" s="829"/>
      <c r="D840" s="77"/>
      <c r="E840" s="82"/>
      <c r="F840" s="86"/>
      <c r="G840" s="112"/>
    </row>
    <row r="841" spans="1:7" ht="14.25" thickTop="1" thickBot="1">
      <c r="A841" s="95"/>
      <c r="B841" s="808"/>
      <c r="C841" s="808"/>
      <c r="D841" s="808"/>
      <c r="E841" s="809"/>
      <c r="F841" s="120" t="s">
        <v>856</v>
      </c>
      <c r="G841" s="118">
        <f>SUM(G836:G840)</f>
        <v>9555</v>
      </c>
    </row>
    <row r="842" spans="1:7" ht="14.25" thickTop="1" thickBot="1">
      <c r="A842" s="95"/>
      <c r="B842" s="810"/>
      <c r="C842" s="810"/>
      <c r="D842" s="810"/>
      <c r="E842" s="810"/>
      <c r="F842" s="810"/>
      <c r="G842" s="810"/>
    </row>
    <row r="843" spans="1:7" ht="13.5" thickTop="1">
      <c r="A843" s="95"/>
      <c r="B843" s="811" t="s">
        <v>321</v>
      </c>
      <c r="C843" s="812"/>
      <c r="D843" s="812"/>
      <c r="E843" s="812"/>
      <c r="F843" s="812"/>
      <c r="G843" s="825"/>
    </row>
    <row r="844" spans="1:7">
      <c r="A844" s="95"/>
      <c r="B844" s="817" t="s">
        <v>838</v>
      </c>
      <c r="C844" s="818"/>
      <c r="D844" s="98" t="s">
        <v>301</v>
      </c>
      <c r="E844" s="98" t="s">
        <v>297</v>
      </c>
      <c r="F844" s="99" t="s">
        <v>839</v>
      </c>
      <c r="G844" s="107" t="s">
        <v>840</v>
      </c>
    </row>
    <row r="845" spans="1:7">
      <c r="A845" s="95"/>
      <c r="B845" s="115"/>
      <c r="C845" s="102"/>
      <c r="D845" s="103" t="s">
        <v>322</v>
      </c>
      <c r="E845" s="103" t="s">
        <v>323</v>
      </c>
      <c r="F845" s="104" t="s">
        <v>324</v>
      </c>
      <c r="G845" s="109" t="s">
        <v>325</v>
      </c>
    </row>
    <row r="846" spans="1:7">
      <c r="A846" s="95"/>
      <c r="B846" s="826"/>
      <c r="C846" s="827"/>
      <c r="D846" s="96"/>
      <c r="E846" s="96"/>
      <c r="F846" s="96"/>
      <c r="G846" s="116"/>
    </row>
    <row r="847" spans="1:7" ht="13.5" thickBot="1">
      <c r="A847" s="95"/>
      <c r="B847" s="828" t="s">
        <v>841</v>
      </c>
      <c r="C847" s="829"/>
      <c r="D847" s="77"/>
      <c r="E847" s="82"/>
      <c r="F847" s="86"/>
      <c r="G847" s="112"/>
    </row>
    <row r="848" spans="1:7" ht="14.25" thickTop="1" thickBot="1">
      <c r="A848" s="95"/>
      <c r="B848" s="808"/>
      <c r="C848" s="808"/>
      <c r="D848" s="808"/>
      <c r="E848" s="809"/>
      <c r="F848" s="120" t="s">
        <v>856</v>
      </c>
      <c r="G848" s="118">
        <f>SUM(G843:G847)</f>
        <v>0</v>
      </c>
    </row>
    <row r="849" spans="1:8" ht="14.25" thickTop="1" thickBot="1">
      <c r="A849" s="95"/>
      <c r="B849" s="810"/>
      <c r="C849" s="810"/>
      <c r="D849" s="810"/>
      <c r="E849" s="810"/>
      <c r="F849" s="810"/>
      <c r="G849" s="834"/>
    </row>
    <row r="850" spans="1:8" ht="13.5" thickTop="1">
      <c r="A850" s="95"/>
      <c r="B850" s="811" t="s">
        <v>326</v>
      </c>
      <c r="C850" s="812"/>
      <c r="D850" s="812"/>
      <c r="E850" s="812"/>
      <c r="F850" s="813"/>
      <c r="G850" s="121">
        <f>+G814+G830+G841</f>
        <v>20457</v>
      </c>
    </row>
    <row r="851" spans="1:8">
      <c r="A851" s="95"/>
      <c r="B851" s="814" t="s">
        <v>861</v>
      </c>
      <c r="C851" s="815"/>
      <c r="D851" s="815"/>
      <c r="E851" s="816"/>
      <c r="F851" s="128">
        <f>'MANO DE OBRA'!D59</f>
        <v>0</v>
      </c>
      <c r="G851" s="122">
        <f>ROUND(G850*F851,0)</f>
        <v>0</v>
      </c>
    </row>
    <row r="852" spans="1:8" ht="13.5" thickBot="1">
      <c r="A852" s="95"/>
      <c r="B852" s="805" t="s">
        <v>1049</v>
      </c>
      <c r="C852" s="806"/>
      <c r="D852" s="806"/>
      <c r="E852" s="806"/>
      <c r="F852" s="807"/>
      <c r="G852" s="118">
        <f>ROUND(G850+G851,-2)</f>
        <v>20500</v>
      </c>
      <c r="H852" s="505" t="s">
        <v>1670</v>
      </c>
    </row>
    <row r="853" spans="1:8" ht="15" thickTop="1">
      <c r="A853" s="95"/>
      <c r="B853" s="90" t="s">
        <v>303</v>
      </c>
      <c r="C853" s="843"/>
      <c r="D853" s="843"/>
      <c r="E853" s="843"/>
      <c r="F853" s="92" t="s">
        <v>781</v>
      </c>
      <c r="G853" s="93" t="s">
        <v>1067</v>
      </c>
    </row>
    <row r="854" spans="1:8">
      <c r="A854" s="95"/>
      <c r="B854" s="91" t="s">
        <v>834</v>
      </c>
      <c r="C854" s="844" t="s">
        <v>1384</v>
      </c>
      <c r="D854" s="844"/>
      <c r="E854" s="844"/>
      <c r="F854" s="15" t="s">
        <v>833</v>
      </c>
      <c r="G854" s="165" t="str">
        <f>'MANO DE OBRA'!D61</f>
        <v>Agosto de 2010</v>
      </c>
    </row>
    <row r="855" spans="1:8" ht="13.5" thickBot="1">
      <c r="A855" s="127"/>
      <c r="B855" s="94" t="s">
        <v>835</v>
      </c>
      <c r="C855" s="845" t="s">
        <v>1401</v>
      </c>
      <c r="D855" s="845"/>
      <c r="E855" s="845"/>
      <c r="F855" s="845"/>
      <c r="G855" s="846"/>
    </row>
    <row r="856" spans="1:8" ht="14.25" thickTop="1" thickBot="1">
      <c r="A856" s="95"/>
      <c r="B856" s="847"/>
      <c r="C856" s="847"/>
      <c r="D856" s="847"/>
      <c r="E856" s="847"/>
      <c r="F856" s="847"/>
      <c r="G856" s="847"/>
    </row>
    <row r="857" spans="1:8" ht="13.5" thickTop="1">
      <c r="A857" s="95"/>
      <c r="B857" s="811" t="s">
        <v>304</v>
      </c>
      <c r="C857" s="812"/>
      <c r="D857" s="812"/>
      <c r="E857" s="812"/>
      <c r="F857" s="812"/>
      <c r="G857" s="825"/>
    </row>
    <row r="858" spans="1:8">
      <c r="A858" s="95"/>
      <c r="B858" s="105"/>
      <c r="C858" s="97"/>
      <c r="D858" s="98" t="s">
        <v>301</v>
      </c>
      <c r="E858" s="98" t="s">
        <v>1072</v>
      </c>
      <c r="F858" s="99" t="s">
        <v>839</v>
      </c>
      <c r="G858" s="107" t="s">
        <v>840</v>
      </c>
    </row>
    <row r="859" spans="1:8">
      <c r="A859" s="95"/>
      <c r="B859" s="821" t="s">
        <v>838</v>
      </c>
      <c r="C859" s="822"/>
      <c r="D859" s="100" t="s">
        <v>308</v>
      </c>
      <c r="E859" s="100" t="s">
        <v>305</v>
      </c>
      <c r="F859" s="101" t="s">
        <v>306</v>
      </c>
      <c r="G859" s="108" t="s">
        <v>310</v>
      </c>
    </row>
    <row r="860" spans="1:8">
      <c r="A860" s="95"/>
      <c r="B860" s="115"/>
      <c r="C860" s="102"/>
      <c r="D860" s="103"/>
      <c r="E860" s="103" t="s">
        <v>309</v>
      </c>
      <c r="F860" s="104" t="s">
        <v>307</v>
      </c>
      <c r="G860" s="109"/>
    </row>
    <row r="861" spans="1:8">
      <c r="A861" s="127"/>
      <c r="B861" s="823" t="str">
        <f>'MAQUINARIA Y EQUIPOS'!C28</f>
        <v>HERRAMIENTAS MENORES</v>
      </c>
      <c r="C861" s="824"/>
      <c r="D861" s="87">
        <v>1</v>
      </c>
      <c r="E861" s="82">
        <f>ROUND(G894*0.05,0)</f>
        <v>624</v>
      </c>
      <c r="F861" s="81">
        <v>1</v>
      </c>
      <c r="G861" s="110">
        <f>ROUND(D861*E861/F861,0)</f>
        <v>624</v>
      </c>
    </row>
    <row r="862" spans="1:8">
      <c r="A862" s="95"/>
      <c r="B862" s="835"/>
      <c r="C862" s="836"/>
      <c r="D862" s="37"/>
      <c r="E862" s="82"/>
      <c r="F862" s="83"/>
      <c r="G862" s="111"/>
    </row>
    <row r="863" spans="1:8">
      <c r="A863" s="95"/>
      <c r="B863" s="835"/>
      <c r="C863" s="836"/>
      <c r="D863" s="89"/>
      <c r="E863" s="82"/>
      <c r="F863" s="83"/>
      <c r="G863" s="111"/>
    </row>
    <row r="864" spans="1:8">
      <c r="A864" s="95"/>
      <c r="B864" s="835"/>
      <c r="C864" s="836"/>
      <c r="D864" s="89"/>
      <c r="E864" s="82"/>
      <c r="F864" s="83"/>
      <c r="G864" s="111"/>
    </row>
    <row r="865" spans="1:8">
      <c r="A865" s="95"/>
      <c r="B865" s="835" t="s">
        <v>841</v>
      </c>
      <c r="C865" s="836"/>
      <c r="D865" s="37"/>
      <c r="E865" s="82"/>
      <c r="F865" s="83"/>
      <c r="G865" s="111"/>
    </row>
    <row r="866" spans="1:8" ht="13.5" thickBot="1">
      <c r="A866" s="95"/>
      <c r="B866" s="839" t="s">
        <v>841</v>
      </c>
      <c r="C866" s="840"/>
      <c r="D866" s="77"/>
      <c r="E866" s="106"/>
      <c r="F866" s="86"/>
      <c r="G866" s="112"/>
    </row>
    <row r="867" spans="1:8" ht="14.25" thickTop="1" thickBot="1">
      <c r="A867" s="95"/>
      <c r="B867" s="808"/>
      <c r="C867" s="808"/>
      <c r="D867" s="808"/>
      <c r="E867" s="809"/>
      <c r="F867" s="119" t="s">
        <v>856</v>
      </c>
      <c r="G867" s="118">
        <f>SUM(G861:G866)</f>
        <v>624</v>
      </c>
    </row>
    <row r="868" spans="1:8" ht="14.25" thickTop="1" thickBot="1">
      <c r="A868" s="95"/>
      <c r="B868" s="830"/>
      <c r="C868" s="830"/>
      <c r="D868" s="830"/>
      <c r="E868" s="830"/>
      <c r="F868" s="830"/>
      <c r="G868" s="830"/>
    </row>
    <row r="869" spans="1:8" ht="13.5" thickTop="1">
      <c r="A869" s="95"/>
      <c r="B869" s="811" t="s">
        <v>311</v>
      </c>
      <c r="C869" s="812"/>
      <c r="D869" s="812"/>
      <c r="E869" s="812"/>
      <c r="F869" s="812"/>
      <c r="G869" s="825"/>
    </row>
    <row r="870" spans="1:8">
      <c r="A870" s="95"/>
      <c r="B870" s="817" t="s">
        <v>838</v>
      </c>
      <c r="C870" s="818"/>
      <c r="D870" s="98" t="s">
        <v>842</v>
      </c>
      <c r="E870" s="98" t="s">
        <v>853</v>
      </c>
      <c r="F870" s="99" t="s">
        <v>1047</v>
      </c>
      <c r="G870" s="107" t="s">
        <v>840</v>
      </c>
    </row>
    <row r="871" spans="1:8">
      <c r="A871" s="95"/>
      <c r="B871" s="115"/>
      <c r="C871" s="102"/>
      <c r="D871" s="100"/>
      <c r="E871" s="100" t="s">
        <v>312</v>
      </c>
      <c r="F871" s="101" t="s">
        <v>313</v>
      </c>
      <c r="G871" s="108" t="s">
        <v>314</v>
      </c>
    </row>
    <row r="872" spans="1:8">
      <c r="A872" s="125"/>
      <c r="B872" s="841" t="str">
        <f>MATERIALES2!C97</f>
        <v>BLOQUE DE CEMENTO H10</v>
      </c>
      <c r="C872" s="842"/>
      <c r="D872" s="87" t="s">
        <v>865</v>
      </c>
      <c r="E872" s="81">
        <v>21.43</v>
      </c>
      <c r="F872" s="80">
        <f>MATERIALES2!E97</f>
        <v>580</v>
      </c>
      <c r="G872" s="110">
        <f>ROUND(E872*F872,0)</f>
        <v>12429</v>
      </c>
    </row>
    <row r="873" spans="1:8">
      <c r="A873" s="123"/>
      <c r="B873" s="854" t="str">
        <f>MATERIALES2!C13</f>
        <v>CEMENTO GRIS</v>
      </c>
      <c r="C873" s="855"/>
      <c r="D873" s="37" t="s">
        <v>925</v>
      </c>
      <c r="E873" s="83">
        <v>12.97</v>
      </c>
      <c r="F873" s="82">
        <f>MATERIALES2!E13</f>
        <v>420</v>
      </c>
      <c r="G873" s="111">
        <f>ROUND(E873*F873,0)</f>
        <v>5447</v>
      </c>
    </row>
    <row r="874" spans="1:8" ht="14.25">
      <c r="A874" s="123"/>
      <c r="B874" s="854" t="str">
        <f>MATERIALES2!C20</f>
        <v xml:space="preserve">ARENA </v>
      </c>
      <c r="C874" s="855"/>
      <c r="D874" s="37" t="s">
        <v>1066</v>
      </c>
      <c r="E874" s="53">
        <v>3.1E-2</v>
      </c>
      <c r="F874" s="82">
        <f>MATERIALES2!E20</f>
        <v>35000</v>
      </c>
      <c r="G874" s="111">
        <f>ROUND(E874*F874,0)</f>
        <v>1085</v>
      </c>
    </row>
    <row r="875" spans="1:8">
      <c r="A875" s="123"/>
      <c r="B875" s="854" t="str">
        <f>MATERIALES2!C28</f>
        <v>AGUA</v>
      </c>
      <c r="C875" s="855"/>
      <c r="D875" s="37" t="s">
        <v>1071</v>
      </c>
      <c r="E875" s="83">
        <v>7.2</v>
      </c>
      <c r="F875" s="82">
        <f>MATERIALES2!E28</f>
        <v>50</v>
      </c>
      <c r="G875" s="111">
        <f>ROUND(E875*F875,0)</f>
        <v>360</v>
      </c>
    </row>
    <row r="876" spans="1:8">
      <c r="A876" s="95"/>
      <c r="B876" s="854"/>
      <c r="C876" s="855"/>
      <c r="D876" s="37"/>
      <c r="E876" s="83"/>
      <c r="F876" s="82"/>
      <c r="G876" s="111"/>
    </row>
    <row r="877" spans="1:8">
      <c r="A877" s="95"/>
      <c r="B877" s="854"/>
      <c r="C877" s="855"/>
      <c r="D877" s="37"/>
      <c r="E877" s="53"/>
      <c r="F877" s="82"/>
      <c r="G877" s="111"/>
    </row>
    <row r="878" spans="1:8">
      <c r="A878" s="95"/>
      <c r="B878" s="854"/>
      <c r="C878" s="855"/>
      <c r="D878" s="37"/>
      <c r="E878" s="53"/>
      <c r="F878" s="82"/>
      <c r="G878" s="111"/>
    </row>
    <row r="879" spans="1:8">
      <c r="A879" s="95"/>
      <c r="B879" s="938" t="s">
        <v>841</v>
      </c>
      <c r="C879" s="939"/>
      <c r="D879" s="53" t="s">
        <v>841</v>
      </c>
      <c r="E879" s="53"/>
      <c r="F879" s="82"/>
      <c r="G879" s="111"/>
      <c r="H879" s="505" t="s">
        <v>1670</v>
      </c>
    </row>
    <row r="880" spans="1:8" ht="13.5" thickBot="1">
      <c r="A880" s="95"/>
      <c r="B880" s="942" t="s">
        <v>841</v>
      </c>
      <c r="C880" s="943"/>
      <c r="D880" s="84" t="s">
        <v>841</v>
      </c>
      <c r="E880" s="84"/>
      <c r="F880" s="85"/>
      <c r="G880" s="112"/>
    </row>
    <row r="881" spans="1:7" ht="13.5" thickTop="1">
      <c r="A881" s="95"/>
      <c r="B881" s="808"/>
      <c r="C881" s="809"/>
      <c r="D881" s="801" t="s">
        <v>856</v>
      </c>
      <c r="E881" s="802"/>
      <c r="F881" s="9"/>
      <c r="G881" s="113">
        <f>SUM(G872:G880)</f>
        <v>19321</v>
      </c>
    </row>
    <row r="882" spans="1:7">
      <c r="A882" s="95"/>
      <c r="B882" s="819"/>
      <c r="C882" s="820"/>
      <c r="D882" s="801" t="s">
        <v>857</v>
      </c>
      <c r="E882" s="802"/>
      <c r="F882" s="79">
        <f>'MANO DE OBRA'!D60</f>
        <v>0.05</v>
      </c>
      <c r="G882" s="113">
        <f>ROUND(G881*F882,0)</f>
        <v>966</v>
      </c>
    </row>
    <row r="883" spans="1:7" ht="13.5" thickBot="1">
      <c r="A883" s="95"/>
      <c r="B883" s="819"/>
      <c r="C883" s="820"/>
      <c r="D883" s="803" t="s">
        <v>320</v>
      </c>
      <c r="E883" s="804"/>
      <c r="F883" s="114"/>
      <c r="G883" s="118">
        <f>+G881+G882</f>
        <v>20287</v>
      </c>
    </row>
    <row r="884" spans="1:7" ht="14.25" thickTop="1" thickBot="1">
      <c r="A884" s="95"/>
      <c r="B884" s="830"/>
      <c r="C884" s="830"/>
      <c r="D884" s="830"/>
      <c r="E884" s="830"/>
      <c r="F884" s="830"/>
      <c r="G884" s="830"/>
    </row>
    <row r="885" spans="1:7" ht="13.5" thickTop="1">
      <c r="A885" s="95"/>
      <c r="B885" s="811" t="s">
        <v>858</v>
      </c>
      <c r="C885" s="812"/>
      <c r="D885" s="812"/>
      <c r="E885" s="812"/>
      <c r="F885" s="812"/>
      <c r="G885" s="825"/>
    </row>
    <row r="886" spans="1:7">
      <c r="A886" s="95"/>
      <c r="B886" s="817"/>
      <c r="C886" s="818"/>
      <c r="D886" s="98" t="s">
        <v>301</v>
      </c>
      <c r="E886" s="98" t="s">
        <v>859</v>
      </c>
      <c r="F886" s="99" t="s">
        <v>839</v>
      </c>
      <c r="G886" s="107" t="s">
        <v>840</v>
      </c>
    </row>
    <row r="887" spans="1:7">
      <c r="A887" s="95"/>
      <c r="B887" s="821" t="s">
        <v>838</v>
      </c>
      <c r="C887" s="822"/>
      <c r="D887" s="100" t="s">
        <v>316</v>
      </c>
      <c r="E887" s="100" t="s">
        <v>315</v>
      </c>
      <c r="F887" s="101" t="s">
        <v>306</v>
      </c>
      <c r="G887" s="108" t="s">
        <v>319</v>
      </c>
    </row>
    <row r="888" spans="1:7">
      <c r="A888" s="95"/>
      <c r="B888" s="115"/>
      <c r="C888" s="102"/>
      <c r="D888" s="103"/>
      <c r="E888" s="103" t="s">
        <v>317</v>
      </c>
      <c r="F888" s="104" t="s">
        <v>318</v>
      </c>
      <c r="G888" s="109"/>
    </row>
    <row r="889" spans="1:7">
      <c r="A889" s="95"/>
      <c r="B889" s="823" t="str">
        <f>'MANO DE OBRA'!B10</f>
        <v>AYUDANTE CUAD. TIPO AA</v>
      </c>
      <c r="C889" s="824"/>
      <c r="D889" s="87">
        <v>1</v>
      </c>
      <c r="E889" s="80">
        <f>'MANO DE OBRA'!E10</f>
        <v>34680</v>
      </c>
      <c r="F889" s="81">
        <v>8.51</v>
      </c>
      <c r="G889" s="110">
        <f>ROUND(D889*E889/F889,0)</f>
        <v>4075</v>
      </c>
    </row>
    <row r="890" spans="1:7">
      <c r="A890" s="95"/>
      <c r="B890" s="835" t="str">
        <f>'MANO DE OBRA'!B15</f>
        <v xml:space="preserve">OFICIAL CUAD. TIPO AA </v>
      </c>
      <c r="C890" s="836"/>
      <c r="D890" s="37">
        <v>1</v>
      </c>
      <c r="E890" s="82">
        <f>'MANO DE OBRA'!E15</f>
        <v>71474</v>
      </c>
      <c r="F890" s="83">
        <v>8.51</v>
      </c>
      <c r="G890" s="111">
        <f>ROUND(D890*E890/F890,0)</f>
        <v>8399</v>
      </c>
    </row>
    <row r="891" spans="1:7">
      <c r="A891" s="95"/>
      <c r="B891" s="835"/>
      <c r="C891" s="836"/>
      <c r="D891" s="89"/>
      <c r="E891" s="82"/>
      <c r="F891" s="83"/>
      <c r="G891" s="111"/>
    </row>
    <row r="892" spans="1:7">
      <c r="A892" s="95"/>
      <c r="B892" s="835" t="s">
        <v>841</v>
      </c>
      <c r="C892" s="836"/>
      <c r="D892" s="37"/>
      <c r="E892" s="82"/>
      <c r="F892" s="83"/>
      <c r="G892" s="111"/>
    </row>
    <row r="893" spans="1:7" ht="13.5" thickBot="1">
      <c r="A893" s="95"/>
      <c r="B893" s="828" t="s">
        <v>841</v>
      </c>
      <c r="C893" s="829"/>
      <c r="D893" s="77"/>
      <c r="E893" s="82"/>
      <c r="F893" s="86"/>
      <c r="G893" s="112"/>
    </row>
    <row r="894" spans="1:7" ht="14.25" thickTop="1" thickBot="1">
      <c r="A894" s="95"/>
      <c r="B894" s="808"/>
      <c r="C894" s="808"/>
      <c r="D894" s="808"/>
      <c r="E894" s="809"/>
      <c r="F894" s="120" t="s">
        <v>856</v>
      </c>
      <c r="G894" s="118">
        <f>SUM(G889:G893)</f>
        <v>12474</v>
      </c>
    </row>
    <row r="895" spans="1:7" ht="14.25" thickTop="1" thickBot="1">
      <c r="A895" s="95"/>
      <c r="B895" s="810"/>
      <c r="C895" s="810"/>
      <c r="D895" s="810"/>
      <c r="E895" s="810"/>
      <c r="F895" s="810"/>
      <c r="G895" s="810"/>
    </row>
    <row r="896" spans="1:7" ht="13.5" thickTop="1">
      <c r="A896" s="95"/>
      <c r="B896" s="811" t="s">
        <v>321</v>
      </c>
      <c r="C896" s="812"/>
      <c r="D896" s="812"/>
      <c r="E896" s="812"/>
      <c r="F896" s="812"/>
      <c r="G896" s="825"/>
    </row>
    <row r="897" spans="1:8">
      <c r="A897" s="95"/>
      <c r="B897" s="817" t="s">
        <v>838</v>
      </c>
      <c r="C897" s="818"/>
      <c r="D897" s="98" t="s">
        <v>301</v>
      </c>
      <c r="E897" s="98" t="s">
        <v>297</v>
      </c>
      <c r="F897" s="99" t="s">
        <v>839</v>
      </c>
      <c r="G897" s="107" t="s">
        <v>840</v>
      </c>
    </row>
    <row r="898" spans="1:8">
      <c r="A898" s="95"/>
      <c r="B898" s="115"/>
      <c r="C898" s="102"/>
      <c r="D898" s="103" t="s">
        <v>322</v>
      </c>
      <c r="E898" s="103" t="s">
        <v>323</v>
      </c>
      <c r="F898" s="104" t="s">
        <v>324</v>
      </c>
      <c r="G898" s="109" t="s">
        <v>325</v>
      </c>
    </row>
    <row r="899" spans="1:8">
      <c r="A899" s="95"/>
      <c r="B899" s="826"/>
      <c r="C899" s="827"/>
      <c r="D899" s="96"/>
      <c r="E899" s="96"/>
      <c r="F899" s="96"/>
      <c r="G899" s="116"/>
    </row>
    <row r="900" spans="1:8" ht="13.5" thickBot="1">
      <c r="A900" s="95"/>
      <c r="B900" s="828" t="s">
        <v>841</v>
      </c>
      <c r="C900" s="829"/>
      <c r="D900" s="77"/>
      <c r="E900" s="82"/>
      <c r="F900" s="86"/>
      <c r="G900" s="112"/>
    </row>
    <row r="901" spans="1:8" ht="14.25" thickTop="1" thickBot="1">
      <c r="A901" s="95"/>
      <c r="B901" s="808"/>
      <c r="C901" s="808"/>
      <c r="D901" s="808"/>
      <c r="E901" s="809"/>
      <c r="F901" s="120" t="s">
        <v>856</v>
      </c>
      <c r="G901" s="118">
        <f>SUM(G896:G900)</f>
        <v>0</v>
      </c>
    </row>
    <row r="902" spans="1:8" ht="14.25" thickTop="1" thickBot="1">
      <c r="A902" s="95"/>
      <c r="B902" s="810"/>
      <c r="C902" s="810"/>
      <c r="D902" s="810"/>
      <c r="E902" s="810"/>
      <c r="F902" s="810"/>
      <c r="G902" s="834"/>
    </row>
    <row r="903" spans="1:8" ht="13.5" thickTop="1">
      <c r="A903" s="95"/>
      <c r="B903" s="811" t="s">
        <v>326</v>
      </c>
      <c r="C903" s="812"/>
      <c r="D903" s="812"/>
      <c r="E903" s="812"/>
      <c r="F903" s="813"/>
      <c r="G903" s="121">
        <f>+G867+G883+G894</f>
        <v>33385</v>
      </c>
    </row>
    <row r="904" spans="1:8">
      <c r="A904" s="95"/>
      <c r="B904" s="814" t="s">
        <v>861</v>
      </c>
      <c r="C904" s="815"/>
      <c r="D904" s="815"/>
      <c r="E904" s="816"/>
      <c r="F904" s="128">
        <f>'MANO DE OBRA'!D59</f>
        <v>0</v>
      </c>
      <c r="G904" s="122">
        <f>ROUND(G903*F904,0)</f>
        <v>0</v>
      </c>
    </row>
    <row r="905" spans="1:8" ht="13.5" thickBot="1">
      <c r="A905" s="95"/>
      <c r="B905" s="805" t="s">
        <v>1049</v>
      </c>
      <c r="C905" s="806"/>
      <c r="D905" s="806"/>
      <c r="E905" s="806"/>
      <c r="F905" s="807"/>
      <c r="G905" s="118">
        <f>ROUND(G903+G904,-2)</f>
        <v>33400</v>
      </c>
      <c r="H905" s="505" t="s">
        <v>1670</v>
      </c>
    </row>
    <row r="906" spans="1:8" ht="15" thickTop="1">
      <c r="A906" s="95"/>
      <c r="B906" s="90" t="s">
        <v>303</v>
      </c>
      <c r="C906" s="843"/>
      <c r="D906" s="843"/>
      <c r="E906" s="843"/>
      <c r="F906" s="92" t="s">
        <v>781</v>
      </c>
      <c r="G906" s="93" t="s">
        <v>1067</v>
      </c>
    </row>
    <row r="907" spans="1:8">
      <c r="A907" s="95"/>
      <c r="B907" s="91" t="s">
        <v>834</v>
      </c>
      <c r="C907" s="844" t="s">
        <v>1384</v>
      </c>
      <c r="D907" s="844"/>
      <c r="E907" s="844"/>
      <c r="F907" s="15" t="s">
        <v>833</v>
      </c>
      <c r="G907" s="165" t="str">
        <f>'MANO DE OBRA'!D61</f>
        <v>Agosto de 2010</v>
      </c>
    </row>
    <row r="908" spans="1:8" ht="13.5" thickBot="1">
      <c r="A908" s="127"/>
      <c r="B908" s="94" t="s">
        <v>835</v>
      </c>
      <c r="C908" s="845" t="s">
        <v>1402</v>
      </c>
      <c r="D908" s="845"/>
      <c r="E908" s="845"/>
      <c r="F908" s="845"/>
      <c r="G908" s="846"/>
    </row>
    <row r="909" spans="1:8" ht="14.25" thickTop="1" thickBot="1">
      <c r="A909" s="95"/>
      <c r="B909" s="847"/>
      <c r="C909" s="847"/>
      <c r="D909" s="847"/>
      <c r="E909" s="847"/>
      <c r="F909" s="847"/>
      <c r="G909" s="847"/>
    </row>
    <row r="910" spans="1:8" ht="13.5" thickTop="1">
      <c r="A910" s="95"/>
      <c r="B910" s="811" t="s">
        <v>304</v>
      </c>
      <c r="C910" s="812"/>
      <c r="D910" s="812"/>
      <c r="E910" s="812"/>
      <c r="F910" s="812"/>
      <c r="G910" s="825"/>
    </row>
    <row r="911" spans="1:8">
      <c r="A911" s="95"/>
      <c r="B911" s="105"/>
      <c r="C911" s="97"/>
      <c r="D911" s="98" t="s">
        <v>301</v>
      </c>
      <c r="E911" s="98" t="s">
        <v>1072</v>
      </c>
      <c r="F911" s="99" t="s">
        <v>839</v>
      </c>
      <c r="G911" s="107" t="s">
        <v>840</v>
      </c>
    </row>
    <row r="912" spans="1:8">
      <c r="A912" s="95"/>
      <c r="B912" s="821" t="s">
        <v>838</v>
      </c>
      <c r="C912" s="822"/>
      <c r="D912" s="100" t="s">
        <v>308</v>
      </c>
      <c r="E912" s="100" t="s">
        <v>305</v>
      </c>
      <c r="F912" s="101" t="s">
        <v>306</v>
      </c>
      <c r="G912" s="108" t="s">
        <v>310</v>
      </c>
    </row>
    <row r="913" spans="1:7">
      <c r="A913" s="95"/>
      <c r="B913" s="115"/>
      <c r="C913" s="102"/>
      <c r="D913" s="103"/>
      <c r="E913" s="103" t="s">
        <v>309</v>
      </c>
      <c r="F913" s="104" t="s">
        <v>307</v>
      </c>
      <c r="G913" s="109"/>
    </row>
    <row r="914" spans="1:7">
      <c r="A914" s="127"/>
      <c r="B914" s="823" t="str">
        <f>'MAQUINARIA Y EQUIPOS'!C28</f>
        <v>HERRAMIENTAS MENORES</v>
      </c>
      <c r="C914" s="824"/>
      <c r="D914" s="87">
        <v>1</v>
      </c>
      <c r="E914" s="82">
        <f>ROUND(G947*0.05,0)</f>
        <v>279</v>
      </c>
      <c r="F914" s="81">
        <v>1</v>
      </c>
      <c r="G914" s="110">
        <f>ROUND(D914*E914/F914,0)</f>
        <v>279</v>
      </c>
    </row>
    <row r="915" spans="1:7">
      <c r="A915" s="95"/>
      <c r="B915" s="835"/>
      <c r="C915" s="836"/>
      <c r="D915" s="37"/>
      <c r="E915" s="82"/>
      <c r="F915" s="83"/>
      <c r="G915" s="111"/>
    </row>
    <row r="916" spans="1:7">
      <c r="A916" s="95"/>
      <c r="B916" s="835"/>
      <c r="C916" s="836"/>
      <c r="D916" s="89"/>
      <c r="E916" s="82"/>
      <c r="F916" s="83"/>
      <c r="G916" s="111"/>
    </row>
    <row r="917" spans="1:7">
      <c r="A917" s="95"/>
      <c r="B917" s="835"/>
      <c r="C917" s="836"/>
      <c r="D917" s="89"/>
      <c r="E917" s="82"/>
      <c r="F917" s="83"/>
      <c r="G917" s="111"/>
    </row>
    <row r="918" spans="1:7">
      <c r="A918" s="95"/>
      <c r="B918" s="835" t="s">
        <v>841</v>
      </c>
      <c r="C918" s="836"/>
      <c r="D918" s="37"/>
      <c r="E918" s="82"/>
      <c r="F918" s="83"/>
      <c r="G918" s="111"/>
    </row>
    <row r="919" spans="1:7" ht="13.5" thickBot="1">
      <c r="A919" s="95"/>
      <c r="B919" s="839" t="s">
        <v>841</v>
      </c>
      <c r="C919" s="840"/>
      <c r="D919" s="77"/>
      <c r="E919" s="106"/>
      <c r="F919" s="86"/>
      <c r="G919" s="112"/>
    </row>
    <row r="920" spans="1:7" ht="14.25" thickTop="1" thickBot="1">
      <c r="A920" s="95"/>
      <c r="B920" s="808"/>
      <c r="C920" s="808"/>
      <c r="D920" s="808"/>
      <c r="E920" s="809"/>
      <c r="F920" s="119" t="s">
        <v>856</v>
      </c>
      <c r="G920" s="118">
        <f>SUM(G914:G919)</f>
        <v>279</v>
      </c>
    </row>
    <row r="921" spans="1:7" ht="14.25" thickTop="1" thickBot="1">
      <c r="A921" s="95"/>
      <c r="B921" s="830"/>
      <c r="C921" s="830"/>
      <c r="D921" s="830"/>
      <c r="E921" s="830"/>
      <c r="F921" s="830"/>
      <c r="G921" s="830"/>
    </row>
    <row r="922" spans="1:7" ht="13.5" thickTop="1">
      <c r="A922" s="95"/>
      <c r="B922" s="811" t="s">
        <v>311</v>
      </c>
      <c r="C922" s="812"/>
      <c r="D922" s="812"/>
      <c r="E922" s="812"/>
      <c r="F922" s="812"/>
      <c r="G922" s="825"/>
    </row>
    <row r="923" spans="1:7">
      <c r="A923" s="95"/>
      <c r="B923" s="817" t="s">
        <v>838</v>
      </c>
      <c r="C923" s="818"/>
      <c r="D923" s="98" t="s">
        <v>842</v>
      </c>
      <c r="E923" s="98" t="s">
        <v>853</v>
      </c>
      <c r="F923" s="99" t="s">
        <v>1047</v>
      </c>
      <c r="G923" s="107" t="s">
        <v>840</v>
      </c>
    </row>
    <row r="924" spans="1:7">
      <c r="A924" s="95"/>
      <c r="B924" s="115"/>
      <c r="C924" s="102"/>
      <c r="D924" s="100"/>
      <c r="E924" s="100" t="s">
        <v>312</v>
      </c>
      <c r="F924" s="101" t="s">
        <v>313</v>
      </c>
      <c r="G924" s="108" t="s">
        <v>314</v>
      </c>
    </row>
    <row r="925" spans="1:7">
      <c r="A925" s="125"/>
      <c r="B925" s="841" t="str">
        <f>MATERIALES2!C94</f>
        <v>BLOQUE ARCILLA H7</v>
      </c>
      <c r="C925" s="842"/>
      <c r="D925" s="87" t="s">
        <v>865</v>
      </c>
      <c r="E925" s="81">
        <v>12</v>
      </c>
      <c r="F925" s="80">
        <f>MATERIALES2!E94</f>
        <v>520</v>
      </c>
      <c r="G925" s="110">
        <f>ROUND(E925*F925,0)</f>
        <v>6240</v>
      </c>
    </row>
    <row r="926" spans="1:7">
      <c r="A926" s="123"/>
      <c r="B926" s="854" t="str">
        <f>MATERIALES2!C13</f>
        <v>CEMENTO GRIS</v>
      </c>
      <c r="C926" s="855"/>
      <c r="D926" s="37" t="s">
        <v>925</v>
      </c>
      <c r="E926" s="83">
        <v>3.12</v>
      </c>
      <c r="F926" s="82">
        <f>MATERIALES2!E13</f>
        <v>420</v>
      </c>
      <c r="G926" s="111">
        <f>ROUND(E926*F926,0)</f>
        <v>1310</v>
      </c>
    </row>
    <row r="927" spans="1:7" ht="14.25">
      <c r="A927" s="123"/>
      <c r="B927" s="854" t="str">
        <f>MATERIALES2!C20</f>
        <v xml:space="preserve">ARENA </v>
      </c>
      <c r="C927" s="855"/>
      <c r="D927" s="37" t="s">
        <v>1066</v>
      </c>
      <c r="E927" s="53">
        <v>7.0000000000000001E-3</v>
      </c>
      <c r="F927" s="82">
        <f>MATERIALES2!E20</f>
        <v>35000</v>
      </c>
      <c r="G927" s="111">
        <f>ROUND(E927*F927,0)</f>
        <v>245</v>
      </c>
    </row>
    <row r="928" spans="1:7">
      <c r="A928" s="123"/>
      <c r="B928" s="854" t="str">
        <f>MATERIALES2!C28</f>
        <v>AGUA</v>
      </c>
      <c r="C928" s="855"/>
      <c r="D928" s="37" t="s">
        <v>1071</v>
      </c>
      <c r="E928" s="83">
        <v>1.73</v>
      </c>
      <c r="F928" s="82">
        <f>MATERIALES2!E28</f>
        <v>50</v>
      </c>
      <c r="G928" s="111">
        <f>ROUND(E928*F928,0)</f>
        <v>87</v>
      </c>
    </row>
    <row r="929" spans="1:8">
      <c r="A929" s="95"/>
      <c r="B929" s="854"/>
      <c r="C929" s="855"/>
      <c r="D929" s="37"/>
      <c r="E929" s="83"/>
      <c r="F929" s="82"/>
      <c r="G929" s="111"/>
    </row>
    <row r="930" spans="1:8">
      <c r="A930" s="95"/>
      <c r="B930" s="854"/>
      <c r="C930" s="855"/>
      <c r="D930" s="37"/>
      <c r="E930" s="53"/>
      <c r="F930" s="82"/>
      <c r="G930" s="111"/>
    </row>
    <row r="931" spans="1:8">
      <c r="A931" s="95"/>
      <c r="B931" s="854"/>
      <c r="C931" s="855"/>
      <c r="D931" s="37"/>
      <c r="E931" s="53"/>
      <c r="F931" s="82"/>
      <c r="G931" s="111"/>
    </row>
    <row r="932" spans="1:8">
      <c r="A932" s="95"/>
      <c r="B932" s="938" t="s">
        <v>841</v>
      </c>
      <c r="C932" s="939"/>
      <c r="D932" s="53" t="s">
        <v>841</v>
      </c>
      <c r="E932" s="53"/>
      <c r="F932" s="82"/>
      <c r="G932" s="111"/>
      <c r="H932" s="505" t="s">
        <v>1670</v>
      </c>
    </row>
    <row r="933" spans="1:8" ht="13.5" thickBot="1">
      <c r="A933" s="95"/>
      <c r="B933" s="942" t="s">
        <v>841</v>
      </c>
      <c r="C933" s="943"/>
      <c r="D933" s="84" t="s">
        <v>841</v>
      </c>
      <c r="E933" s="84"/>
      <c r="F933" s="85"/>
      <c r="G933" s="112"/>
    </row>
    <row r="934" spans="1:8" ht="13.5" thickTop="1">
      <c r="A934" s="95"/>
      <c r="B934" s="808"/>
      <c r="C934" s="809"/>
      <c r="D934" s="801" t="s">
        <v>856</v>
      </c>
      <c r="E934" s="802"/>
      <c r="F934" s="9"/>
      <c r="G934" s="113">
        <f>SUM(G925:G933)</f>
        <v>7882</v>
      </c>
    </row>
    <row r="935" spans="1:8">
      <c r="A935" s="95"/>
      <c r="B935" s="819"/>
      <c r="C935" s="820"/>
      <c r="D935" s="801" t="s">
        <v>857</v>
      </c>
      <c r="E935" s="802"/>
      <c r="F935" s="79">
        <f>'MANO DE OBRA'!D60</f>
        <v>0.05</v>
      </c>
      <c r="G935" s="113">
        <f>ROUND(G934*F935,0)</f>
        <v>394</v>
      </c>
    </row>
    <row r="936" spans="1:8" ht="13.5" thickBot="1">
      <c r="A936" s="95"/>
      <c r="B936" s="819"/>
      <c r="C936" s="820"/>
      <c r="D936" s="803" t="s">
        <v>320</v>
      </c>
      <c r="E936" s="804"/>
      <c r="F936" s="114"/>
      <c r="G936" s="118">
        <f>+G934+G935</f>
        <v>8276</v>
      </c>
    </row>
    <row r="937" spans="1:8" ht="14.25" thickTop="1" thickBot="1">
      <c r="A937" s="95"/>
      <c r="B937" s="830"/>
      <c r="C937" s="830"/>
      <c r="D937" s="830"/>
      <c r="E937" s="830"/>
      <c r="F937" s="830"/>
      <c r="G937" s="830"/>
    </row>
    <row r="938" spans="1:8" ht="13.5" thickTop="1">
      <c r="A938" s="95"/>
      <c r="B938" s="811" t="s">
        <v>858</v>
      </c>
      <c r="C938" s="812"/>
      <c r="D938" s="812"/>
      <c r="E938" s="812"/>
      <c r="F938" s="812"/>
      <c r="G938" s="825"/>
    </row>
    <row r="939" spans="1:8">
      <c r="A939" s="95"/>
      <c r="B939" s="817"/>
      <c r="C939" s="818"/>
      <c r="D939" s="98" t="s">
        <v>301</v>
      </c>
      <c r="E939" s="98" t="s">
        <v>859</v>
      </c>
      <c r="F939" s="99" t="s">
        <v>839</v>
      </c>
      <c r="G939" s="107" t="s">
        <v>840</v>
      </c>
    </row>
    <row r="940" spans="1:8">
      <c r="A940" s="95"/>
      <c r="B940" s="821" t="s">
        <v>838</v>
      </c>
      <c r="C940" s="822"/>
      <c r="D940" s="100" t="s">
        <v>316</v>
      </c>
      <c r="E940" s="100" t="s">
        <v>315</v>
      </c>
      <c r="F940" s="101" t="s">
        <v>306</v>
      </c>
      <c r="G940" s="108" t="s">
        <v>319</v>
      </c>
    </row>
    <row r="941" spans="1:8">
      <c r="A941" s="95"/>
      <c r="B941" s="115"/>
      <c r="C941" s="102"/>
      <c r="D941" s="103"/>
      <c r="E941" s="103" t="s">
        <v>317</v>
      </c>
      <c r="F941" s="104" t="s">
        <v>318</v>
      </c>
      <c r="G941" s="109"/>
    </row>
    <row r="942" spans="1:8">
      <c r="A942" s="95"/>
      <c r="B942" s="823" t="str">
        <f>'MANO DE OBRA'!B10</f>
        <v>AYUDANTE CUAD. TIPO AA</v>
      </c>
      <c r="C942" s="824"/>
      <c r="D942" s="87">
        <v>1</v>
      </c>
      <c r="E942" s="80">
        <f>'MANO DE OBRA'!E10</f>
        <v>34680</v>
      </c>
      <c r="F942" s="81">
        <v>19.04</v>
      </c>
      <c r="G942" s="110">
        <f>ROUND(D942*E942/F942,0)</f>
        <v>1821</v>
      </c>
    </row>
    <row r="943" spans="1:8">
      <c r="A943" s="95"/>
      <c r="B943" s="835" t="str">
        <f>'MANO DE OBRA'!B15</f>
        <v xml:space="preserve">OFICIAL CUAD. TIPO AA </v>
      </c>
      <c r="C943" s="836"/>
      <c r="D943" s="37">
        <v>1</v>
      </c>
      <c r="E943" s="82">
        <f>'MANO DE OBRA'!E15</f>
        <v>71474</v>
      </c>
      <c r="F943" s="83">
        <v>19.04</v>
      </c>
      <c r="G943" s="111">
        <f>ROUND(D943*E943/F943,0)</f>
        <v>3754</v>
      </c>
    </row>
    <row r="944" spans="1:8">
      <c r="A944" s="95"/>
      <c r="B944" s="835"/>
      <c r="C944" s="836"/>
      <c r="D944" s="89"/>
      <c r="E944" s="82"/>
      <c r="F944" s="83"/>
      <c r="G944" s="111"/>
    </row>
    <row r="945" spans="1:8">
      <c r="A945" s="95"/>
      <c r="B945" s="835" t="s">
        <v>841</v>
      </c>
      <c r="C945" s="836"/>
      <c r="D945" s="37"/>
      <c r="E945" s="82"/>
      <c r="F945" s="83"/>
      <c r="G945" s="111"/>
    </row>
    <row r="946" spans="1:8" ht="13.5" thickBot="1">
      <c r="A946" s="95"/>
      <c r="B946" s="828" t="s">
        <v>841</v>
      </c>
      <c r="C946" s="829"/>
      <c r="D946" s="77"/>
      <c r="E946" s="82"/>
      <c r="F946" s="86"/>
      <c r="G946" s="112"/>
    </row>
    <row r="947" spans="1:8" ht="14.25" thickTop="1" thickBot="1">
      <c r="A947" s="95"/>
      <c r="B947" s="808"/>
      <c r="C947" s="808"/>
      <c r="D947" s="808"/>
      <c r="E947" s="809"/>
      <c r="F947" s="120" t="s">
        <v>856</v>
      </c>
      <c r="G947" s="118">
        <f>SUM(G942:G946)</f>
        <v>5575</v>
      </c>
    </row>
    <row r="948" spans="1:8" ht="14.25" thickTop="1" thickBot="1">
      <c r="A948" s="95"/>
      <c r="B948" s="810"/>
      <c r="C948" s="810"/>
      <c r="D948" s="810"/>
      <c r="E948" s="810"/>
      <c r="F948" s="810"/>
      <c r="G948" s="810"/>
    </row>
    <row r="949" spans="1:8" ht="13.5" thickTop="1">
      <c r="A949" s="95"/>
      <c r="B949" s="811" t="s">
        <v>321</v>
      </c>
      <c r="C949" s="812"/>
      <c r="D949" s="812"/>
      <c r="E949" s="812"/>
      <c r="F949" s="812"/>
      <c r="G949" s="825"/>
    </row>
    <row r="950" spans="1:8">
      <c r="A950" s="95"/>
      <c r="B950" s="817" t="s">
        <v>838</v>
      </c>
      <c r="C950" s="818"/>
      <c r="D950" s="98" t="s">
        <v>301</v>
      </c>
      <c r="E950" s="98" t="s">
        <v>297</v>
      </c>
      <c r="F950" s="99" t="s">
        <v>839</v>
      </c>
      <c r="G950" s="107" t="s">
        <v>840</v>
      </c>
    </row>
    <row r="951" spans="1:8">
      <c r="A951" s="95"/>
      <c r="B951" s="115"/>
      <c r="C951" s="102"/>
      <c r="D951" s="103" t="s">
        <v>322</v>
      </c>
      <c r="E951" s="103" t="s">
        <v>323</v>
      </c>
      <c r="F951" s="104" t="s">
        <v>324</v>
      </c>
      <c r="G951" s="109" t="s">
        <v>325</v>
      </c>
    </row>
    <row r="952" spans="1:8">
      <c r="A952" s="95"/>
      <c r="B952" s="826"/>
      <c r="C952" s="827"/>
      <c r="D952" s="96"/>
      <c r="E952" s="96"/>
      <c r="F952" s="96"/>
      <c r="G952" s="116"/>
    </row>
    <row r="953" spans="1:8" ht="13.5" thickBot="1">
      <c r="A953" s="95"/>
      <c r="B953" s="828" t="s">
        <v>841</v>
      </c>
      <c r="C953" s="829"/>
      <c r="D953" s="77"/>
      <c r="E953" s="82"/>
      <c r="F953" s="86"/>
      <c r="G953" s="112"/>
    </row>
    <row r="954" spans="1:8" ht="14.25" thickTop="1" thickBot="1">
      <c r="A954" s="95"/>
      <c r="B954" s="808"/>
      <c r="C954" s="808"/>
      <c r="D954" s="808"/>
      <c r="E954" s="809"/>
      <c r="F954" s="120" t="s">
        <v>856</v>
      </c>
      <c r="G954" s="118">
        <f>SUM(G949:G953)</f>
        <v>0</v>
      </c>
    </row>
    <row r="955" spans="1:8" ht="14.25" thickTop="1" thickBot="1">
      <c r="A955" s="95"/>
      <c r="B955" s="810"/>
      <c r="C955" s="810"/>
      <c r="D955" s="810"/>
      <c r="E955" s="810"/>
      <c r="F955" s="810"/>
      <c r="G955" s="834"/>
    </row>
    <row r="956" spans="1:8" ht="13.5" thickTop="1">
      <c r="A956" s="95"/>
      <c r="B956" s="811" t="s">
        <v>326</v>
      </c>
      <c r="C956" s="812"/>
      <c r="D956" s="812"/>
      <c r="E956" s="812"/>
      <c r="F956" s="813"/>
      <c r="G956" s="121">
        <f>+G920+G936+G947</f>
        <v>14130</v>
      </c>
    </row>
    <row r="957" spans="1:8">
      <c r="A957" s="95"/>
      <c r="B957" s="814" t="s">
        <v>861</v>
      </c>
      <c r="C957" s="815"/>
      <c r="D957" s="815"/>
      <c r="E957" s="816"/>
      <c r="F957" s="128">
        <f>'MANO DE OBRA'!D59</f>
        <v>0</v>
      </c>
      <c r="G957" s="122">
        <f>ROUND(G956*F957,0)</f>
        <v>0</v>
      </c>
    </row>
    <row r="958" spans="1:8" ht="13.5" thickBot="1">
      <c r="A958" s="95"/>
      <c r="B958" s="805" t="s">
        <v>1049</v>
      </c>
      <c r="C958" s="806"/>
      <c r="D958" s="806"/>
      <c r="E958" s="806"/>
      <c r="F958" s="807"/>
      <c r="G958" s="118">
        <f>ROUND(G956+G957,-2)</f>
        <v>14100</v>
      </c>
      <c r="H958" s="505" t="s">
        <v>1670</v>
      </c>
    </row>
    <row r="959" spans="1:8" ht="15" thickTop="1">
      <c r="A959" s="95"/>
      <c r="B959" s="90" t="s">
        <v>303</v>
      </c>
      <c r="C959" s="843"/>
      <c r="D959" s="843"/>
      <c r="E959" s="843"/>
      <c r="F959" s="92" t="s">
        <v>781</v>
      </c>
      <c r="G959" s="93" t="s">
        <v>1067</v>
      </c>
    </row>
    <row r="960" spans="1:8">
      <c r="A960" s="95"/>
      <c r="B960" s="91" t="s">
        <v>834</v>
      </c>
      <c r="C960" s="844" t="s">
        <v>1384</v>
      </c>
      <c r="D960" s="844"/>
      <c r="E960" s="844"/>
      <c r="F960" s="15" t="s">
        <v>833</v>
      </c>
      <c r="G960" s="165" t="str">
        <f>'MANO DE OBRA'!D61</f>
        <v>Agosto de 2010</v>
      </c>
    </row>
    <row r="961" spans="1:7" ht="13.5" thickBot="1">
      <c r="A961" s="127"/>
      <c r="B961" s="94" t="s">
        <v>835</v>
      </c>
      <c r="C961" s="845" t="s">
        <v>1403</v>
      </c>
      <c r="D961" s="845"/>
      <c r="E961" s="845"/>
      <c r="F961" s="845"/>
      <c r="G961" s="846"/>
    </row>
    <row r="962" spans="1:7" ht="14.25" thickTop="1" thickBot="1">
      <c r="A962" s="95"/>
      <c r="B962" s="847"/>
      <c r="C962" s="847"/>
      <c r="D962" s="847"/>
      <c r="E962" s="847"/>
      <c r="F962" s="847"/>
      <c r="G962" s="847"/>
    </row>
    <row r="963" spans="1:7" ht="13.5" thickTop="1">
      <c r="A963" s="95"/>
      <c r="B963" s="811" t="s">
        <v>304</v>
      </c>
      <c r="C963" s="812"/>
      <c r="D963" s="812"/>
      <c r="E963" s="812"/>
      <c r="F963" s="812"/>
      <c r="G963" s="825"/>
    </row>
    <row r="964" spans="1:7">
      <c r="A964" s="95"/>
      <c r="B964" s="105"/>
      <c r="C964" s="97"/>
      <c r="D964" s="98" t="s">
        <v>301</v>
      </c>
      <c r="E964" s="98" t="s">
        <v>1072</v>
      </c>
      <c r="F964" s="99" t="s">
        <v>839</v>
      </c>
      <c r="G964" s="107" t="s">
        <v>840</v>
      </c>
    </row>
    <row r="965" spans="1:7">
      <c r="A965" s="95"/>
      <c r="B965" s="821" t="s">
        <v>838</v>
      </c>
      <c r="C965" s="822"/>
      <c r="D965" s="100" t="s">
        <v>308</v>
      </c>
      <c r="E965" s="100" t="s">
        <v>305</v>
      </c>
      <c r="F965" s="101" t="s">
        <v>306</v>
      </c>
      <c r="G965" s="108" t="s">
        <v>310</v>
      </c>
    </row>
    <row r="966" spans="1:7">
      <c r="A966" s="95"/>
      <c r="B966" s="115"/>
      <c r="C966" s="102"/>
      <c r="D966" s="103"/>
      <c r="E966" s="103" t="s">
        <v>309</v>
      </c>
      <c r="F966" s="104" t="s">
        <v>307</v>
      </c>
      <c r="G966" s="109"/>
    </row>
    <row r="967" spans="1:7">
      <c r="A967" s="127"/>
      <c r="B967" s="823" t="str">
        <f>'MAQUINARIA Y EQUIPOS'!C28</f>
        <v>HERRAMIENTAS MENORES</v>
      </c>
      <c r="C967" s="824"/>
      <c r="D967" s="87">
        <v>1</v>
      </c>
      <c r="E967" s="82">
        <f>ROUND(G1000*0.05,0)</f>
        <v>763</v>
      </c>
      <c r="F967" s="81">
        <v>1</v>
      </c>
      <c r="G967" s="110">
        <f>ROUND(D967*E967/F967,0)</f>
        <v>763</v>
      </c>
    </row>
    <row r="968" spans="1:7">
      <c r="A968" s="95"/>
      <c r="B968" s="835"/>
      <c r="C968" s="836"/>
      <c r="D968" s="37"/>
      <c r="E968" s="82"/>
      <c r="F968" s="83"/>
      <c r="G968" s="111"/>
    </row>
    <row r="969" spans="1:7">
      <c r="A969" s="95"/>
      <c r="B969" s="835"/>
      <c r="C969" s="836"/>
      <c r="D969" s="89"/>
      <c r="E969" s="82"/>
      <c r="F969" s="83"/>
      <c r="G969" s="111"/>
    </row>
    <row r="970" spans="1:7">
      <c r="A970" s="95"/>
      <c r="B970" s="835"/>
      <c r="C970" s="836"/>
      <c r="D970" s="89"/>
      <c r="E970" s="82"/>
      <c r="F970" s="83"/>
      <c r="G970" s="111"/>
    </row>
    <row r="971" spans="1:7">
      <c r="A971" s="95"/>
      <c r="B971" s="835" t="s">
        <v>841</v>
      </c>
      <c r="C971" s="836"/>
      <c r="D971" s="37"/>
      <c r="E971" s="82"/>
      <c r="F971" s="83"/>
      <c r="G971" s="111"/>
    </row>
    <row r="972" spans="1:7" ht="13.5" thickBot="1">
      <c r="A972" s="95"/>
      <c r="B972" s="839" t="s">
        <v>841</v>
      </c>
      <c r="C972" s="840"/>
      <c r="D972" s="77"/>
      <c r="E972" s="106"/>
      <c r="F972" s="86"/>
      <c r="G972" s="112"/>
    </row>
    <row r="973" spans="1:7" ht="14.25" thickTop="1" thickBot="1">
      <c r="A973" s="95"/>
      <c r="B973" s="808"/>
      <c r="C973" s="808"/>
      <c r="D973" s="808"/>
      <c r="E973" s="809"/>
      <c r="F973" s="119" t="s">
        <v>856</v>
      </c>
      <c r="G973" s="118">
        <f>SUM(G967:G972)</f>
        <v>763</v>
      </c>
    </row>
    <row r="974" spans="1:7" ht="14.25" thickTop="1" thickBot="1">
      <c r="A974" s="95"/>
      <c r="B974" s="830"/>
      <c r="C974" s="830"/>
      <c r="D974" s="830"/>
      <c r="E974" s="830"/>
      <c r="F974" s="830"/>
      <c r="G974" s="830"/>
    </row>
    <row r="975" spans="1:7" ht="13.5" thickTop="1">
      <c r="A975" s="95"/>
      <c r="B975" s="811" t="s">
        <v>311</v>
      </c>
      <c r="C975" s="812"/>
      <c r="D975" s="812"/>
      <c r="E975" s="812"/>
      <c r="F975" s="812"/>
      <c r="G975" s="825"/>
    </row>
    <row r="976" spans="1:7">
      <c r="A976" s="95"/>
      <c r="B976" s="817" t="s">
        <v>838</v>
      </c>
      <c r="C976" s="818"/>
      <c r="D976" s="98" t="s">
        <v>842</v>
      </c>
      <c r="E976" s="98" t="s">
        <v>853</v>
      </c>
      <c r="F976" s="99" t="s">
        <v>1047</v>
      </c>
      <c r="G976" s="107" t="s">
        <v>840</v>
      </c>
    </row>
    <row r="977" spans="1:8">
      <c r="A977" s="95"/>
      <c r="B977" s="115"/>
      <c r="C977" s="102"/>
      <c r="D977" s="100"/>
      <c r="E977" s="100" t="s">
        <v>312</v>
      </c>
      <c r="F977" s="101" t="s">
        <v>313</v>
      </c>
      <c r="G977" s="108" t="s">
        <v>314</v>
      </c>
    </row>
    <row r="978" spans="1:8">
      <c r="A978" s="125"/>
      <c r="B978" s="841" t="str">
        <f>MATERIALES2!C94</f>
        <v>BLOQUE ARCILLA H7</v>
      </c>
      <c r="C978" s="842"/>
      <c r="D978" s="87" t="s">
        <v>865</v>
      </c>
      <c r="E978" s="81">
        <v>35.130000000000003</v>
      </c>
      <c r="F978" s="80">
        <f>MATERIALES2!E94</f>
        <v>520</v>
      </c>
      <c r="G978" s="110">
        <f>ROUND(E978*F978,0)</f>
        <v>18268</v>
      </c>
    </row>
    <row r="979" spans="1:8">
      <c r="A979" s="123"/>
      <c r="B979" s="854" t="str">
        <f>MATERIALES2!C13</f>
        <v>CEMENTO GRIS</v>
      </c>
      <c r="C979" s="855"/>
      <c r="D979" s="37" t="s">
        <v>925</v>
      </c>
      <c r="E979" s="83">
        <v>20.68</v>
      </c>
      <c r="F979" s="82">
        <f>MATERIALES2!E13</f>
        <v>420</v>
      </c>
      <c r="G979" s="111">
        <f>ROUND(E979*F979,0)</f>
        <v>8686</v>
      </c>
    </row>
    <row r="980" spans="1:8" ht="14.25">
      <c r="A980" s="123"/>
      <c r="B980" s="854" t="str">
        <f>MATERIALES2!C20</f>
        <v xml:space="preserve">ARENA </v>
      </c>
      <c r="C980" s="855"/>
      <c r="D980" s="37" t="s">
        <v>1066</v>
      </c>
      <c r="E980" s="53">
        <v>0.05</v>
      </c>
      <c r="F980" s="82">
        <f>MATERIALES2!E20</f>
        <v>35000</v>
      </c>
      <c r="G980" s="111">
        <f>ROUND(E980*F980,0)</f>
        <v>1750</v>
      </c>
    </row>
    <row r="981" spans="1:8">
      <c r="A981" s="123"/>
      <c r="B981" s="854" t="str">
        <f>MATERIALES2!C28</f>
        <v>AGUA</v>
      </c>
      <c r="C981" s="855"/>
      <c r="D981" s="37" t="s">
        <v>1071</v>
      </c>
      <c r="E981" s="83">
        <v>11.48</v>
      </c>
      <c r="F981" s="82">
        <f>MATERIALES2!E28</f>
        <v>50</v>
      </c>
      <c r="G981" s="111">
        <f>ROUND(E981*F981,0)</f>
        <v>574</v>
      </c>
    </row>
    <row r="982" spans="1:8">
      <c r="A982" s="95"/>
      <c r="B982" s="854"/>
      <c r="C982" s="855"/>
      <c r="D982" s="37"/>
      <c r="E982" s="83"/>
      <c r="F982" s="82"/>
      <c r="G982" s="111"/>
    </row>
    <row r="983" spans="1:8">
      <c r="A983" s="95"/>
      <c r="B983" s="854"/>
      <c r="C983" s="855"/>
      <c r="D983" s="37"/>
      <c r="E983" s="53"/>
      <c r="F983" s="82"/>
      <c r="G983" s="111"/>
    </row>
    <row r="984" spans="1:8">
      <c r="A984" s="95"/>
      <c r="B984" s="854"/>
      <c r="C984" s="855"/>
      <c r="D984" s="37"/>
      <c r="E984" s="53"/>
      <c r="F984" s="82"/>
      <c r="G984" s="111"/>
    </row>
    <row r="985" spans="1:8">
      <c r="A985" s="95"/>
      <c r="B985" s="938" t="s">
        <v>841</v>
      </c>
      <c r="C985" s="939"/>
      <c r="D985" s="53" t="s">
        <v>841</v>
      </c>
      <c r="E985" s="53"/>
      <c r="F985" s="82"/>
      <c r="G985" s="111"/>
      <c r="H985" s="505" t="s">
        <v>1670</v>
      </c>
    </row>
    <row r="986" spans="1:8" ht="13.5" thickBot="1">
      <c r="A986" s="95"/>
      <c r="B986" s="942" t="s">
        <v>841</v>
      </c>
      <c r="C986" s="943"/>
      <c r="D986" s="84" t="s">
        <v>841</v>
      </c>
      <c r="E986" s="84"/>
      <c r="F986" s="85"/>
      <c r="G986" s="112"/>
    </row>
    <row r="987" spans="1:8" ht="13.5" thickTop="1">
      <c r="A987" s="95"/>
      <c r="B987" s="808"/>
      <c r="C987" s="809"/>
      <c r="D987" s="801" t="s">
        <v>856</v>
      </c>
      <c r="E987" s="802"/>
      <c r="F987" s="9"/>
      <c r="G987" s="113">
        <f>SUM(G978:G986)</f>
        <v>29278</v>
      </c>
    </row>
    <row r="988" spans="1:8">
      <c r="A988" s="95"/>
      <c r="B988" s="819"/>
      <c r="C988" s="820"/>
      <c r="D988" s="801" t="s">
        <v>857</v>
      </c>
      <c r="E988" s="802"/>
      <c r="F988" s="79">
        <f>'MANO DE OBRA'!D60</f>
        <v>0.05</v>
      </c>
      <c r="G988" s="113">
        <f>ROUND(G987*F988,0)</f>
        <v>1464</v>
      </c>
    </row>
    <row r="989" spans="1:8" ht="13.5" thickBot="1">
      <c r="A989" s="95"/>
      <c r="B989" s="819"/>
      <c r="C989" s="820"/>
      <c r="D989" s="803" t="s">
        <v>320</v>
      </c>
      <c r="E989" s="804"/>
      <c r="F989" s="114"/>
      <c r="G989" s="118">
        <f>+G987+G988</f>
        <v>30742</v>
      </c>
    </row>
    <row r="990" spans="1:8" ht="14.25" thickTop="1" thickBot="1">
      <c r="A990" s="95"/>
      <c r="B990" s="830"/>
      <c r="C990" s="830"/>
      <c r="D990" s="830"/>
      <c r="E990" s="830"/>
      <c r="F990" s="830"/>
      <c r="G990" s="830"/>
    </row>
    <row r="991" spans="1:8" ht="13.5" thickTop="1">
      <c r="A991" s="95"/>
      <c r="B991" s="811" t="s">
        <v>858</v>
      </c>
      <c r="C991" s="812"/>
      <c r="D991" s="812"/>
      <c r="E991" s="812"/>
      <c r="F991" s="812"/>
      <c r="G991" s="825"/>
    </row>
    <row r="992" spans="1:8">
      <c r="A992" s="95"/>
      <c r="B992" s="817"/>
      <c r="C992" s="818"/>
      <c r="D992" s="98" t="s">
        <v>301</v>
      </c>
      <c r="E992" s="98" t="s">
        <v>859</v>
      </c>
      <c r="F992" s="99" t="s">
        <v>839</v>
      </c>
      <c r="G992" s="107" t="s">
        <v>840</v>
      </c>
    </row>
    <row r="993" spans="1:7">
      <c r="A993" s="95"/>
      <c r="B993" s="821" t="s">
        <v>838</v>
      </c>
      <c r="C993" s="822"/>
      <c r="D993" s="100" t="s">
        <v>316</v>
      </c>
      <c r="E993" s="100" t="s">
        <v>315</v>
      </c>
      <c r="F993" s="101" t="s">
        <v>306</v>
      </c>
      <c r="G993" s="108" t="s">
        <v>319</v>
      </c>
    </row>
    <row r="994" spans="1:7">
      <c r="A994" s="95"/>
      <c r="B994" s="115"/>
      <c r="C994" s="102"/>
      <c r="D994" s="103"/>
      <c r="E994" s="103" t="s">
        <v>317</v>
      </c>
      <c r="F994" s="104" t="s">
        <v>318</v>
      </c>
      <c r="G994" s="109"/>
    </row>
    <row r="995" spans="1:7">
      <c r="A995" s="95"/>
      <c r="B995" s="823" t="str">
        <f>'MANO DE OBRA'!B10</f>
        <v>AYUDANTE CUAD. TIPO AA</v>
      </c>
      <c r="C995" s="824"/>
      <c r="D995" s="87">
        <v>1</v>
      </c>
      <c r="E995" s="80">
        <f>'MANO DE OBRA'!E10</f>
        <v>34680</v>
      </c>
      <c r="F995" s="81">
        <v>6.96</v>
      </c>
      <c r="G995" s="110">
        <f>ROUND(D995*E995/F995,0)</f>
        <v>4983</v>
      </c>
    </row>
    <row r="996" spans="1:7">
      <c r="A996" s="95"/>
      <c r="B996" s="835" t="str">
        <f>'MANO DE OBRA'!B15</f>
        <v xml:space="preserve">OFICIAL CUAD. TIPO AA </v>
      </c>
      <c r="C996" s="836"/>
      <c r="D996" s="37">
        <v>1</v>
      </c>
      <c r="E996" s="82">
        <f>'MANO DE OBRA'!E15</f>
        <v>71474</v>
      </c>
      <c r="F996" s="83">
        <v>6.96</v>
      </c>
      <c r="G996" s="111">
        <f>ROUND(D996*E996/F996,0)</f>
        <v>10269</v>
      </c>
    </row>
    <row r="997" spans="1:7">
      <c r="A997" s="95"/>
      <c r="B997" s="835"/>
      <c r="C997" s="836"/>
      <c r="D997" s="89"/>
      <c r="E997" s="82"/>
      <c r="F997" s="83"/>
      <c r="G997" s="111"/>
    </row>
    <row r="998" spans="1:7">
      <c r="A998" s="95"/>
      <c r="B998" s="835" t="s">
        <v>841</v>
      </c>
      <c r="C998" s="836"/>
      <c r="D998" s="37"/>
      <c r="E998" s="82"/>
      <c r="F998" s="83"/>
      <c r="G998" s="111"/>
    </row>
    <row r="999" spans="1:7" ht="13.5" thickBot="1">
      <c r="A999" s="95"/>
      <c r="B999" s="828" t="s">
        <v>841</v>
      </c>
      <c r="C999" s="829"/>
      <c r="D999" s="77"/>
      <c r="E999" s="82"/>
      <c r="F999" s="86"/>
      <c r="G999" s="112"/>
    </row>
    <row r="1000" spans="1:7" ht="14.25" thickTop="1" thickBot="1">
      <c r="A1000" s="95"/>
      <c r="B1000" s="808"/>
      <c r="C1000" s="808"/>
      <c r="D1000" s="808"/>
      <c r="E1000" s="809"/>
      <c r="F1000" s="120" t="s">
        <v>856</v>
      </c>
      <c r="G1000" s="118">
        <f>SUM(G995:G999)</f>
        <v>15252</v>
      </c>
    </row>
    <row r="1001" spans="1:7" ht="14.25" thickTop="1" thickBot="1">
      <c r="A1001" s="95"/>
      <c r="B1001" s="810"/>
      <c r="C1001" s="810"/>
      <c r="D1001" s="810"/>
      <c r="E1001" s="810"/>
      <c r="F1001" s="810"/>
      <c r="G1001" s="810"/>
    </row>
    <row r="1002" spans="1:7" ht="13.5" thickTop="1">
      <c r="A1002" s="95"/>
      <c r="B1002" s="811" t="s">
        <v>321</v>
      </c>
      <c r="C1002" s="812"/>
      <c r="D1002" s="812"/>
      <c r="E1002" s="812"/>
      <c r="F1002" s="812"/>
      <c r="G1002" s="825"/>
    </row>
    <row r="1003" spans="1:7">
      <c r="A1003" s="95"/>
      <c r="B1003" s="817" t="s">
        <v>838</v>
      </c>
      <c r="C1003" s="818"/>
      <c r="D1003" s="98" t="s">
        <v>301</v>
      </c>
      <c r="E1003" s="98" t="s">
        <v>297</v>
      </c>
      <c r="F1003" s="99" t="s">
        <v>839</v>
      </c>
      <c r="G1003" s="107" t="s">
        <v>840</v>
      </c>
    </row>
    <row r="1004" spans="1:7">
      <c r="A1004" s="95"/>
      <c r="B1004" s="115"/>
      <c r="C1004" s="102"/>
      <c r="D1004" s="103" t="s">
        <v>322</v>
      </c>
      <c r="E1004" s="103" t="s">
        <v>323</v>
      </c>
      <c r="F1004" s="104" t="s">
        <v>324</v>
      </c>
      <c r="G1004" s="109" t="s">
        <v>325</v>
      </c>
    </row>
    <row r="1005" spans="1:7">
      <c r="A1005" s="95"/>
      <c r="B1005" s="826"/>
      <c r="C1005" s="827"/>
      <c r="D1005" s="96"/>
      <c r="E1005" s="96"/>
      <c r="F1005" s="96"/>
      <c r="G1005" s="116"/>
    </row>
    <row r="1006" spans="1:7" ht="13.5" thickBot="1">
      <c r="A1006" s="95"/>
      <c r="B1006" s="828" t="s">
        <v>841</v>
      </c>
      <c r="C1006" s="829"/>
      <c r="D1006" s="77"/>
      <c r="E1006" s="82"/>
      <c r="F1006" s="86"/>
      <c r="G1006" s="112"/>
    </row>
    <row r="1007" spans="1:7" ht="14.25" thickTop="1" thickBot="1">
      <c r="A1007" s="95"/>
      <c r="B1007" s="808"/>
      <c r="C1007" s="808"/>
      <c r="D1007" s="808"/>
      <c r="E1007" s="809"/>
      <c r="F1007" s="120" t="s">
        <v>856</v>
      </c>
      <c r="G1007" s="118">
        <f>SUM(G1002:G1006)</f>
        <v>0</v>
      </c>
    </row>
    <row r="1008" spans="1:7" ht="14.25" thickTop="1" thickBot="1">
      <c r="A1008" s="95"/>
      <c r="B1008" s="810"/>
      <c r="C1008" s="810"/>
      <c r="D1008" s="810"/>
      <c r="E1008" s="810"/>
      <c r="F1008" s="810"/>
      <c r="G1008" s="834"/>
    </row>
    <row r="1009" spans="1:8" ht="13.5" thickTop="1">
      <c r="A1009" s="95"/>
      <c r="B1009" s="811" t="s">
        <v>326</v>
      </c>
      <c r="C1009" s="812"/>
      <c r="D1009" s="812"/>
      <c r="E1009" s="812"/>
      <c r="F1009" s="813"/>
      <c r="G1009" s="121">
        <f>+G973+G989+G1000</f>
        <v>46757</v>
      </c>
    </row>
    <row r="1010" spans="1:8">
      <c r="A1010" s="95"/>
      <c r="B1010" s="814" t="s">
        <v>861</v>
      </c>
      <c r="C1010" s="815"/>
      <c r="D1010" s="815"/>
      <c r="E1010" s="816"/>
      <c r="F1010" s="128">
        <f>'MANO DE OBRA'!D59</f>
        <v>0</v>
      </c>
      <c r="G1010" s="122">
        <f>ROUND(G1009*F1010,0)</f>
        <v>0</v>
      </c>
    </row>
    <row r="1011" spans="1:8" ht="13.5" thickBot="1">
      <c r="A1011" s="95"/>
      <c r="B1011" s="805" t="s">
        <v>1049</v>
      </c>
      <c r="C1011" s="806"/>
      <c r="D1011" s="806"/>
      <c r="E1011" s="806"/>
      <c r="F1011" s="807"/>
      <c r="G1011" s="118">
        <f>ROUND(G1009+G1010,-2)</f>
        <v>46800</v>
      </c>
      <c r="H1011" s="505" t="s">
        <v>1670</v>
      </c>
    </row>
    <row r="1012" spans="1:8" ht="15" thickTop="1">
      <c r="A1012" s="95"/>
      <c r="B1012" s="90" t="s">
        <v>303</v>
      </c>
      <c r="C1012" s="843"/>
      <c r="D1012" s="843"/>
      <c r="E1012" s="843"/>
      <c r="F1012" s="92" t="s">
        <v>781</v>
      </c>
      <c r="G1012" s="93" t="s">
        <v>1067</v>
      </c>
    </row>
    <row r="1013" spans="1:8">
      <c r="A1013" s="95"/>
      <c r="B1013" s="91" t="s">
        <v>834</v>
      </c>
      <c r="C1013" s="844" t="s">
        <v>1384</v>
      </c>
      <c r="D1013" s="844"/>
      <c r="E1013" s="844"/>
      <c r="F1013" s="15" t="s">
        <v>833</v>
      </c>
      <c r="G1013" s="165" t="str">
        <f>'MANO DE OBRA'!D61</f>
        <v>Agosto de 2010</v>
      </c>
    </row>
    <row r="1014" spans="1:8" ht="13.5" thickBot="1">
      <c r="A1014" s="127"/>
      <c r="B1014" s="94" t="s">
        <v>835</v>
      </c>
      <c r="C1014" s="845" t="s">
        <v>1404</v>
      </c>
      <c r="D1014" s="845"/>
      <c r="E1014" s="845"/>
      <c r="F1014" s="845"/>
      <c r="G1014" s="846"/>
    </row>
    <row r="1015" spans="1:8" ht="14.25" thickTop="1" thickBot="1">
      <c r="A1015" s="95"/>
      <c r="B1015" s="847"/>
      <c r="C1015" s="847"/>
      <c r="D1015" s="847"/>
      <c r="E1015" s="847"/>
      <c r="F1015" s="847"/>
      <c r="G1015" s="847"/>
    </row>
    <row r="1016" spans="1:8" ht="13.5" thickTop="1">
      <c r="A1016" s="95"/>
      <c r="B1016" s="811" t="s">
        <v>304</v>
      </c>
      <c r="C1016" s="812"/>
      <c r="D1016" s="812"/>
      <c r="E1016" s="812"/>
      <c r="F1016" s="812"/>
      <c r="G1016" s="825"/>
    </row>
    <row r="1017" spans="1:8">
      <c r="A1017" s="95"/>
      <c r="B1017" s="105"/>
      <c r="C1017" s="97"/>
      <c r="D1017" s="98" t="s">
        <v>301</v>
      </c>
      <c r="E1017" s="98" t="s">
        <v>1072</v>
      </c>
      <c r="F1017" s="99" t="s">
        <v>839</v>
      </c>
      <c r="G1017" s="107" t="s">
        <v>840</v>
      </c>
    </row>
    <row r="1018" spans="1:8">
      <c r="A1018" s="95"/>
      <c r="B1018" s="821" t="s">
        <v>838</v>
      </c>
      <c r="C1018" s="822"/>
      <c r="D1018" s="100" t="s">
        <v>308</v>
      </c>
      <c r="E1018" s="100" t="s">
        <v>305</v>
      </c>
      <c r="F1018" s="101" t="s">
        <v>306</v>
      </c>
      <c r="G1018" s="108" t="s">
        <v>310</v>
      </c>
    </row>
    <row r="1019" spans="1:8">
      <c r="A1019" s="95"/>
      <c r="B1019" s="115"/>
      <c r="C1019" s="102"/>
      <c r="D1019" s="103"/>
      <c r="E1019" s="103" t="s">
        <v>309</v>
      </c>
      <c r="F1019" s="104" t="s">
        <v>307</v>
      </c>
      <c r="G1019" s="109"/>
    </row>
    <row r="1020" spans="1:8">
      <c r="A1020" s="127"/>
      <c r="B1020" s="823" t="str">
        <f>'MAQUINARIA Y EQUIPOS'!C28</f>
        <v>HERRAMIENTAS MENORES</v>
      </c>
      <c r="C1020" s="824"/>
      <c r="D1020" s="87">
        <v>1</v>
      </c>
      <c r="E1020" s="82">
        <f>ROUND(G1053*0.05,0)</f>
        <v>531</v>
      </c>
      <c r="F1020" s="81">
        <v>1</v>
      </c>
      <c r="G1020" s="110">
        <f>ROUND(D1020*E1020/F1020,0)</f>
        <v>531</v>
      </c>
    </row>
    <row r="1021" spans="1:8">
      <c r="A1021" s="95"/>
      <c r="B1021" s="835"/>
      <c r="C1021" s="836"/>
      <c r="D1021" s="37"/>
      <c r="E1021" s="82"/>
      <c r="F1021" s="83"/>
      <c r="G1021" s="111"/>
    </row>
    <row r="1022" spans="1:8">
      <c r="A1022" s="95"/>
      <c r="B1022" s="835"/>
      <c r="C1022" s="836"/>
      <c r="D1022" s="89"/>
      <c r="E1022" s="82"/>
      <c r="F1022" s="83"/>
      <c r="G1022" s="111"/>
    </row>
    <row r="1023" spans="1:8">
      <c r="A1023" s="95"/>
      <c r="B1023" s="835"/>
      <c r="C1023" s="836"/>
      <c r="D1023" s="89"/>
      <c r="E1023" s="82"/>
      <c r="F1023" s="83"/>
      <c r="G1023" s="111"/>
    </row>
    <row r="1024" spans="1:8">
      <c r="A1024" s="95"/>
      <c r="B1024" s="835" t="s">
        <v>841</v>
      </c>
      <c r="C1024" s="836"/>
      <c r="D1024" s="37"/>
      <c r="E1024" s="82"/>
      <c r="F1024" s="83"/>
      <c r="G1024" s="111"/>
    </row>
    <row r="1025" spans="1:8" ht="13.5" thickBot="1">
      <c r="A1025" s="95"/>
      <c r="B1025" s="839" t="s">
        <v>841</v>
      </c>
      <c r="C1025" s="840"/>
      <c r="D1025" s="77"/>
      <c r="E1025" s="106"/>
      <c r="F1025" s="86"/>
      <c r="G1025" s="112"/>
    </row>
    <row r="1026" spans="1:8" ht="14.25" thickTop="1" thickBot="1">
      <c r="A1026" s="95"/>
      <c r="B1026" s="808"/>
      <c r="C1026" s="808"/>
      <c r="D1026" s="808"/>
      <c r="E1026" s="809"/>
      <c r="F1026" s="119" t="s">
        <v>856</v>
      </c>
      <c r="G1026" s="118">
        <f>SUM(G1020:G1025)</f>
        <v>531</v>
      </c>
    </row>
    <row r="1027" spans="1:8" ht="14.25" thickTop="1" thickBot="1">
      <c r="A1027" s="95"/>
      <c r="B1027" s="830"/>
      <c r="C1027" s="830"/>
      <c r="D1027" s="830"/>
      <c r="E1027" s="830"/>
      <c r="F1027" s="830"/>
      <c r="G1027" s="830"/>
    </row>
    <row r="1028" spans="1:8" ht="13.5" thickTop="1">
      <c r="A1028" s="95"/>
      <c r="B1028" s="811" t="s">
        <v>311</v>
      </c>
      <c r="C1028" s="812"/>
      <c r="D1028" s="812"/>
      <c r="E1028" s="812"/>
      <c r="F1028" s="812"/>
      <c r="G1028" s="825"/>
    </row>
    <row r="1029" spans="1:8">
      <c r="A1029" s="95"/>
      <c r="B1029" s="817" t="s">
        <v>838</v>
      </c>
      <c r="C1029" s="818"/>
      <c r="D1029" s="98" t="s">
        <v>842</v>
      </c>
      <c r="E1029" s="98" t="s">
        <v>853</v>
      </c>
      <c r="F1029" s="99" t="s">
        <v>1047</v>
      </c>
      <c r="G1029" s="107" t="s">
        <v>840</v>
      </c>
    </row>
    <row r="1030" spans="1:8">
      <c r="A1030" s="95"/>
      <c r="B1030" s="115"/>
      <c r="C1030" s="102"/>
      <c r="D1030" s="100"/>
      <c r="E1030" s="100" t="s">
        <v>312</v>
      </c>
      <c r="F1030" s="101" t="s">
        <v>313</v>
      </c>
      <c r="G1030" s="108" t="s">
        <v>314</v>
      </c>
    </row>
    <row r="1031" spans="1:8">
      <c r="A1031" s="125"/>
      <c r="B1031" s="841" t="str">
        <f>MATERIALES2!C95</f>
        <v>BLOQUE ARCILLA H10X23X33</v>
      </c>
      <c r="C1031" s="842"/>
      <c r="D1031" s="87" t="s">
        <v>865</v>
      </c>
      <c r="E1031" s="81">
        <v>13.17</v>
      </c>
      <c r="F1031" s="80">
        <f>MATERIALES2!E95</f>
        <v>580</v>
      </c>
      <c r="G1031" s="110">
        <f>ROUND(E1031*F1031,0)</f>
        <v>7639</v>
      </c>
    </row>
    <row r="1032" spans="1:8">
      <c r="A1032" s="123"/>
      <c r="B1032" s="854" t="str">
        <f>MATERIALES2!C13</f>
        <v>CEMENTO GRIS</v>
      </c>
      <c r="C1032" s="855"/>
      <c r="D1032" s="37" t="s">
        <v>925</v>
      </c>
      <c r="E1032" s="83">
        <v>3.83</v>
      </c>
      <c r="F1032" s="82">
        <f>MATERIALES2!E13</f>
        <v>420</v>
      </c>
      <c r="G1032" s="111">
        <f>ROUND(E1032*F1032,0)</f>
        <v>1609</v>
      </c>
    </row>
    <row r="1033" spans="1:8" ht="14.25">
      <c r="A1033" s="123"/>
      <c r="B1033" s="854" t="str">
        <f>MATERIALES2!C20</f>
        <v xml:space="preserve">ARENA </v>
      </c>
      <c r="C1033" s="855"/>
      <c r="D1033" s="37" t="s">
        <v>1066</v>
      </c>
      <c r="E1033" s="53">
        <v>8.9999999999999993E-3</v>
      </c>
      <c r="F1033" s="82">
        <f>MATERIALES2!E20</f>
        <v>35000</v>
      </c>
      <c r="G1033" s="111">
        <f>ROUND(E1033*F1033,0)</f>
        <v>315</v>
      </c>
    </row>
    <row r="1034" spans="1:8">
      <c r="A1034" s="123"/>
      <c r="B1034" s="854" t="str">
        <f>MATERIALES2!C28</f>
        <v>AGUA</v>
      </c>
      <c r="C1034" s="855"/>
      <c r="D1034" s="37" t="s">
        <v>1071</v>
      </c>
      <c r="E1034" s="83">
        <v>2.13</v>
      </c>
      <c r="F1034" s="82">
        <f>MATERIALES2!E28</f>
        <v>50</v>
      </c>
      <c r="G1034" s="111">
        <f>ROUND(E1034*F1034,0)</f>
        <v>107</v>
      </c>
    </row>
    <row r="1035" spans="1:8">
      <c r="A1035" s="95"/>
      <c r="B1035" s="854"/>
      <c r="C1035" s="855"/>
      <c r="D1035" s="37"/>
      <c r="E1035" s="83"/>
      <c r="F1035" s="82"/>
      <c r="G1035" s="111"/>
    </row>
    <row r="1036" spans="1:8">
      <c r="A1036" s="95"/>
      <c r="B1036" s="854"/>
      <c r="C1036" s="855"/>
      <c r="D1036" s="37"/>
      <c r="E1036" s="53"/>
      <c r="F1036" s="82"/>
      <c r="G1036" s="111"/>
    </row>
    <row r="1037" spans="1:8">
      <c r="A1037" s="95"/>
      <c r="B1037" s="854"/>
      <c r="C1037" s="855"/>
      <c r="D1037" s="37"/>
      <c r="E1037" s="53"/>
      <c r="F1037" s="82"/>
      <c r="G1037" s="111"/>
    </row>
    <row r="1038" spans="1:8">
      <c r="A1038" s="95"/>
      <c r="B1038" s="938" t="s">
        <v>841</v>
      </c>
      <c r="C1038" s="939"/>
      <c r="D1038" s="53" t="s">
        <v>841</v>
      </c>
      <c r="E1038" s="53"/>
      <c r="F1038" s="82"/>
      <c r="G1038" s="111"/>
      <c r="H1038" s="505" t="s">
        <v>1670</v>
      </c>
    </row>
    <row r="1039" spans="1:8" ht="13.5" thickBot="1">
      <c r="A1039" s="95"/>
      <c r="B1039" s="942" t="s">
        <v>841</v>
      </c>
      <c r="C1039" s="943"/>
      <c r="D1039" s="84" t="s">
        <v>841</v>
      </c>
      <c r="E1039" s="84"/>
      <c r="F1039" s="85"/>
      <c r="G1039" s="112"/>
    </row>
    <row r="1040" spans="1:8" ht="13.5" thickTop="1">
      <c r="A1040" s="95"/>
      <c r="B1040" s="808"/>
      <c r="C1040" s="809"/>
      <c r="D1040" s="801" t="s">
        <v>856</v>
      </c>
      <c r="E1040" s="802"/>
      <c r="F1040" s="9"/>
      <c r="G1040" s="113">
        <f>SUM(G1031:G1039)</f>
        <v>9670</v>
      </c>
    </row>
    <row r="1041" spans="1:7">
      <c r="A1041" s="95"/>
      <c r="B1041" s="819"/>
      <c r="C1041" s="820"/>
      <c r="D1041" s="801" t="s">
        <v>857</v>
      </c>
      <c r="E1041" s="802"/>
      <c r="F1041" s="79">
        <f>'MANO DE OBRA'!D60</f>
        <v>0.05</v>
      </c>
      <c r="G1041" s="113">
        <f>ROUND(G1040*F1041,0)</f>
        <v>484</v>
      </c>
    </row>
    <row r="1042" spans="1:7" ht="13.5" thickBot="1">
      <c r="A1042" s="95"/>
      <c r="B1042" s="819"/>
      <c r="C1042" s="820"/>
      <c r="D1042" s="803" t="s">
        <v>320</v>
      </c>
      <c r="E1042" s="804"/>
      <c r="F1042" s="114"/>
      <c r="G1042" s="118">
        <f>+G1040+G1041</f>
        <v>10154</v>
      </c>
    </row>
    <row r="1043" spans="1:7" ht="14.25" thickTop="1" thickBot="1">
      <c r="A1043" s="95"/>
      <c r="B1043" s="830"/>
      <c r="C1043" s="830"/>
      <c r="D1043" s="830"/>
      <c r="E1043" s="830"/>
      <c r="F1043" s="830"/>
      <c r="G1043" s="830"/>
    </row>
    <row r="1044" spans="1:7" ht="13.5" thickTop="1">
      <c r="A1044" s="95"/>
      <c r="B1044" s="811" t="s">
        <v>858</v>
      </c>
      <c r="C1044" s="812"/>
      <c r="D1044" s="812"/>
      <c r="E1044" s="812"/>
      <c r="F1044" s="812"/>
      <c r="G1044" s="825"/>
    </row>
    <row r="1045" spans="1:7">
      <c r="A1045" s="95"/>
      <c r="B1045" s="817"/>
      <c r="C1045" s="818"/>
      <c r="D1045" s="98" t="s">
        <v>301</v>
      </c>
      <c r="E1045" s="98" t="s">
        <v>859</v>
      </c>
      <c r="F1045" s="99" t="s">
        <v>839</v>
      </c>
      <c r="G1045" s="107" t="s">
        <v>840</v>
      </c>
    </row>
    <row r="1046" spans="1:7">
      <c r="A1046" s="95"/>
      <c r="B1046" s="821" t="s">
        <v>838</v>
      </c>
      <c r="C1046" s="822"/>
      <c r="D1046" s="100" t="s">
        <v>316</v>
      </c>
      <c r="E1046" s="100" t="s">
        <v>315</v>
      </c>
      <c r="F1046" s="101" t="s">
        <v>306</v>
      </c>
      <c r="G1046" s="108" t="s">
        <v>319</v>
      </c>
    </row>
    <row r="1047" spans="1:7">
      <c r="A1047" s="95"/>
      <c r="B1047" s="115"/>
      <c r="C1047" s="102"/>
      <c r="D1047" s="103"/>
      <c r="E1047" s="103" t="s">
        <v>317</v>
      </c>
      <c r="F1047" s="104" t="s">
        <v>318</v>
      </c>
      <c r="G1047" s="109"/>
    </row>
    <row r="1048" spans="1:7">
      <c r="A1048" s="95"/>
      <c r="B1048" s="823" t="str">
        <f>'MANO DE OBRA'!B10</f>
        <v>AYUDANTE CUAD. TIPO AA</v>
      </c>
      <c r="C1048" s="824"/>
      <c r="D1048" s="87">
        <v>1</v>
      </c>
      <c r="E1048" s="80">
        <f>'MANO DE OBRA'!E10</f>
        <v>34680</v>
      </c>
      <c r="F1048" s="81">
        <v>10</v>
      </c>
      <c r="G1048" s="110">
        <f>ROUND(D1048*E1048/F1048,0)</f>
        <v>3468</v>
      </c>
    </row>
    <row r="1049" spans="1:7">
      <c r="A1049" s="95"/>
      <c r="B1049" s="835" t="str">
        <f>'MANO DE OBRA'!B15</f>
        <v xml:space="preserve">OFICIAL CUAD. TIPO AA </v>
      </c>
      <c r="C1049" s="836"/>
      <c r="D1049" s="37">
        <v>1</v>
      </c>
      <c r="E1049" s="82">
        <f>'MANO DE OBRA'!E15</f>
        <v>71474</v>
      </c>
      <c r="F1049" s="83">
        <v>10</v>
      </c>
      <c r="G1049" s="111">
        <f>ROUND(D1049*E1049/F1049,0)</f>
        <v>7147</v>
      </c>
    </row>
    <row r="1050" spans="1:7">
      <c r="A1050" s="95"/>
      <c r="B1050" s="835"/>
      <c r="C1050" s="836"/>
      <c r="D1050" s="89"/>
      <c r="E1050" s="82"/>
      <c r="F1050" s="83"/>
      <c r="G1050" s="111"/>
    </row>
    <row r="1051" spans="1:7">
      <c r="A1051" s="95"/>
      <c r="B1051" s="835" t="s">
        <v>841</v>
      </c>
      <c r="C1051" s="836"/>
      <c r="D1051" s="37"/>
      <c r="E1051" s="82"/>
      <c r="F1051" s="83"/>
      <c r="G1051" s="111"/>
    </row>
    <row r="1052" spans="1:7" ht="13.5" thickBot="1">
      <c r="A1052" s="95"/>
      <c r="B1052" s="828" t="s">
        <v>841</v>
      </c>
      <c r="C1052" s="829"/>
      <c r="D1052" s="77"/>
      <c r="E1052" s="82"/>
      <c r="F1052" s="86"/>
      <c r="G1052" s="112"/>
    </row>
    <row r="1053" spans="1:7" ht="14.25" thickTop="1" thickBot="1">
      <c r="A1053" s="95"/>
      <c r="B1053" s="808"/>
      <c r="C1053" s="808"/>
      <c r="D1053" s="808"/>
      <c r="E1053" s="809"/>
      <c r="F1053" s="120" t="s">
        <v>856</v>
      </c>
      <c r="G1053" s="118">
        <f>SUM(G1048:G1052)</f>
        <v>10615</v>
      </c>
    </row>
    <row r="1054" spans="1:7" ht="14.25" thickTop="1" thickBot="1">
      <c r="A1054" s="95"/>
      <c r="B1054" s="810"/>
      <c r="C1054" s="810"/>
      <c r="D1054" s="810"/>
      <c r="E1054" s="810"/>
      <c r="F1054" s="810"/>
      <c r="G1054" s="810"/>
    </row>
    <row r="1055" spans="1:7" ht="13.5" thickTop="1">
      <c r="A1055" s="95"/>
      <c r="B1055" s="811" t="s">
        <v>321</v>
      </c>
      <c r="C1055" s="812"/>
      <c r="D1055" s="812"/>
      <c r="E1055" s="812"/>
      <c r="F1055" s="812"/>
      <c r="G1055" s="825"/>
    </row>
    <row r="1056" spans="1:7">
      <c r="A1056" s="95"/>
      <c r="B1056" s="817" t="s">
        <v>838</v>
      </c>
      <c r="C1056" s="818"/>
      <c r="D1056" s="98" t="s">
        <v>301</v>
      </c>
      <c r="E1056" s="98" t="s">
        <v>297</v>
      </c>
      <c r="F1056" s="99" t="s">
        <v>839</v>
      </c>
      <c r="G1056" s="107" t="s">
        <v>840</v>
      </c>
    </row>
    <row r="1057" spans="1:8">
      <c r="A1057" s="95"/>
      <c r="B1057" s="115"/>
      <c r="C1057" s="102"/>
      <c r="D1057" s="103" t="s">
        <v>322</v>
      </c>
      <c r="E1057" s="103" t="s">
        <v>323</v>
      </c>
      <c r="F1057" s="104" t="s">
        <v>324</v>
      </c>
      <c r="G1057" s="109" t="s">
        <v>325</v>
      </c>
    </row>
    <row r="1058" spans="1:8">
      <c r="A1058" s="95"/>
      <c r="B1058" s="826"/>
      <c r="C1058" s="827"/>
      <c r="D1058" s="96"/>
      <c r="E1058" s="96"/>
      <c r="F1058" s="96"/>
      <c r="G1058" s="116"/>
    </row>
    <row r="1059" spans="1:8" ht="13.5" thickBot="1">
      <c r="A1059" s="95"/>
      <c r="B1059" s="828" t="s">
        <v>841</v>
      </c>
      <c r="C1059" s="829"/>
      <c r="D1059" s="77"/>
      <c r="E1059" s="82"/>
      <c r="F1059" s="86"/>
      <c r="G1059" s="112"/>
    </row>
    <row r="1060" spans="1:8" ht="14.25" thickTop="1" thickBot="1">
      <c r="A1060" s="95"/>
      <c r="B1060" s="808"/>
      <c r="C1060" s="808"/>
      <c r="D1060" s="808"/>
      <c r="E1060" s="809"/>
      <c r="F1060" s="120" t="s">
        <v>856</v>
      </c>
      <c r="G1060" s="118">
        <f>SUM(G1055:G1059)</f>
        <v>0</v>
      </c>
    </row>
    <row r="1061" spans="1:8" ht="14.25" thickTop="1" thickBot="1">
      <c r="A1061" s="95"/>
      <c r="B1061" s="810"/>
      <c r="C1061" s="810"/>
      <c r="D1061" s="810"/>
      <c r="E1061" s="810"/>
      <c r="F1061" s="810"/>
      <c r="G1061" s="834"/>
    </row>
    <row r="1062" spans="1:8" ht="13.5" thickTop="1">
      <c r="A1062" s="95"/>
      <c r="B1062" s="811" t="s">
        <v>326</v>
      </c>
      <c r="C1062" s="812"/>
      <c r="D1062" s="812"/>
      <c r="E1062" s="812"/>
      <c r="F1062" s="813"/>
      <c r="G1062" s="121">
        <f>+G1026+G1042+G1053</f>
        <v>21300</v>
      </c>
    </row>
    <row r="1063" spans="1:8">
      <c r="A1063" s="95"/>
      <c r="B1063" s="814" t="s">
        <v>861</v>
      </c>
      <c r="C1063" s="815"/>
      <c r="D1063" s="815"/>
      <c r="E1063" s="816"/>
      <c r="F1063" s="128">
        <f>'MANO DE OBRA'!D59</f>
        <v>0</v>
      </c>
      <c r="G1063" s="122">
        <f>ROUND(G1062*F1063,0)</f>
        <v>0</v>
      </c>
    </row>
    <row r="1064" spans="1:8" ht="13.5" thickBot="1">
      <c r="A1064" s="95"/>
      <c r="B1064" s="805" t="s">
        <v>1049</v>
      </c>
      <c r="C1064" s="806"/>
      <c r="D1064" s="806"/>
      <c r="E1064" s="806"/>
      <c r="F1064" s="807"/>
      <c r="G1064" s="118">
        <f>ROUND(G1062+G1063,-2)</f>
        <v>21300</v>
      </c>
      <c r="H1064" s="505" t="s">
        <v>1670</v>
      </c>
    </row>
    <row r="1065" spans="1:8" ht="15" thickTop="1">
      <c r="A1065" s="95"/>
      <c r="B1065" s="90" t="s">
        <v>303</v>
      </c>
      <c r="C1065" s="843"/>
      <c r="D1065" s="843"/>
      <c r="E1065" s="843"/>
      <c r="F1065" s="92" t="s">
        <v>781</v>
      </c>
      <c r="G1065" s="93" t="s">
        <v>1067</v>
      </c>
    </row>
    <row r="1066" spans="1:8">
      <c r="A1066" s="95"/>
      <c r="B1066" s="91" t="s">
        <v>834</v>
      </c>
      <c r="C1066" s="844" t="s">
        <v>1384</v>
      </c>
      <c r="D1066" s="844"/>
      <c r="E1066" s="844"/>
      <c r="F1066" s="15" t="s">
        <v>833</v>
      </c>
      <c r="G1066" s="165" t="str">
        <f>'MANO DE OBRA'!D61</f>
        <v>Agosto de 2010</v>
      </c>
    </row>
    <row r="1067" spans="1:8" ht="13.5" thickBot="1">
      <c r="A1067" s="127"/>
      <c r="B1067" s="94" t="s">
        <v>835</v>
      </c>
      <c r="C1067" s="845" t="s">
        <v>1405</v>
      </c>
      <c r="D1067" s="845"/>
      <c r="E1067" s="845"/>
      <c r="F1067" s="845"/>
      <c r="G1067" s="846"/>
    </row>
    <row r="1068" spans="1:8" ht="14.25" thickTop="1" thickBot="1">
      <c r="A1068" s="95"/>
      <c r="B1068" s="847"/>
      <c r="C1068" s="847"/>
      <c r="D1068" s="847"/>
      <c r="E1068" s="847"/>
      <c r="F1068" s="847"/>
      <c r="G1068" s="847"/>
    </row>
    <row r="1069" spans="1:8" ht="13.5" thickTop="1">
      <c r="A1069" s="95"/>
      <c r="B1069" s="811" t="s">
        <v>304</v>
      </c>
      <c r="C1069" s="812"/>
      <c r="D1069" s="812"/>
      <c r="E1069" s="812"/>
      <c r="F1069" s="812"/>
      <c r="G1069" s="825"/>
    </row>
    <row r="1070" spans="1:8">
      <c r="A1070" s="95"/>
      <c r="B1070" s="105"/>
      <c r="C1070" s="97"/>
      <c r="D1070" s="98" t="s">
        <v>301</v>
      </c>
      <c r="E1070" s="98" t="s">
        <v>1072</v>
      </c>
      <c r="F1070" s="99" t="s">
        <v>839</v>
      </c>
      <c r="G1070" s="107" t="s">
        <v>840</v>
      </c>
    </row>
    <row r="1071" spans="1:8">
      <c r="A1071" s="95"/>
      <c r="B1071" s="821" t="s">
        <v>838</v>
      </c>
      <c r="C1071" s="822"/>
      <c r="D1071" s="100" t="s">
        <v>308</v>
      </c>
      <c r="E1071" s="100" t="s">
        <v>305</v>
      </c>
      <c r="F1071" s="101" t="s">
        <v>306</v>
      </c>
      <c r="G1071" s="108" t="s">
        <v>310</v>
      </c>
    </row>
    <row r="1072" spans="1:8">
      <c r="A1072" s="95"/>
      <c r="B1072" s="115"/>
      <c r="C1072" s="102"/>
      <c r="D1072" s="103"/>
      <c r="E1072" s="103" t="s">
        <v>309</v>
      </c>
      <c r="F1072" s="104" t="s">
        <v>307</v>
      </c>
      <c r="G1072" s="109"/>
    </row>
    <row r="1073" spans="1:7">
      <c r="A1073" s="127"/>
      <c r="B1073" s="823" t="str">
        <f>'MAQUINARIA Y EQUIPOS'!C28</f>
        <v>HERRAMIENTAS MENORES</v>
      </c>
      <c r="C1073" s="824"/>
      <c r="D1073" s="87">
        <v>1</v>
      </c>
      <c r="E1073" s="82">
        <f>ROUND(G1106*0.05,0)</f>
        <v>763</v>
      </c>
      <c r="F1073" s="81">
        <v>1</v>
      </c>
      <c r="G1073" s="110">
        <f>ROUND(D1073*E1073/F1073,0)</f>
        <v>763</v>
      </c>
    </row>
    <row r="1074" spans="1:7">
      <c r="A1074" s="95"/>
      <c r="B1074" s="835"/>
      <c r="C1074" s="836"/>
      <c r="D1074" s="37"/>
      <c r="E1074" s="82"/>
      <c r="F1074" s="83"/>
      <c r="G1074" s="111"/>
    </row>
    <row r="1075" spans="1:7">
      <c r="A1075" s="95"/>
      <c r="B1075" s="835"/>
      <c r="C1075" s="836"/>
      <c r="D1075" s="89"/>
      <c r="E1075" s="82"/>
      <c r="F1075" s="83"/>
      <c r="G1075" s="111"/>
    </row>
    <row r="1076" spans="1:7">
      <c r="A1076" s="95"/>
      <c r="B1076" s="835"/>
      <c r="C1076" s="836"/>
      <c r="D1076" s="89"/>
      <c r="E1076" s="82"/>
      <c r="F1076" s="83"/>
      <c r="G1076" s="111"/>
    </row>
    <row r="1077" spans="1:7">
      <c r="A1077" s="95"/>
      <c r="B1077" s="835" t="s">
        <v>841</v>
      </c>
      <c r="C1077" s="836"/>
      <c r="D1077" s="37"/>
      <c r="E1077" s="82"/>
      <c r="F1077" s="83"/>
      <c r="G1077" s="111"/>
    </row>
    <row r="1078" spans="1:7" ht="13.5" thickBot="1">
      <c r="A1078" s="95"/>
      <c r="B1078" s="839" t="s">
        <v>841</v>
      </c>
      <c r="C1078" s="840"/>
      <c r="D1078" s="77"/>
      <c r="E1078" s="106"/>
      <c r="F1078" s="86"/>
      <c r="G1078" s="112"/>
    </row>
    <row r="1079" spans="1:7" ht="14.25" thickTop="1" thickBot="1">
      <c r="A1079" s="95"/>
      <c r="B1079" s="808"/>
      <c r="C1079" s="808"/>
      <c r="D1079" s="808"/>
      <c r="E1079" s="809"/>
      <c r="F1079" s="119" t="s">
        <v>856</v>
      </c>
      <c r="G1079" s="118">
        <f>SUM(G1073:G1078)</f>
        <v>763</v>
      </c>
    </row>
    <row r="1080" spans="1:7" ht="14.25" thickTop="1" thickBot="1">
      <c r="A1080" s="95"/>
      <c r="B1080" s="830"/>
      <c r="C1080" s="830"/>
      <c r="D1080" s="830"/>
      <c r="E1080" s="830"/>
      <c r="F1080" s="830"/>
      <c r="G1080" s="830"/>
    </row>
    <row r="1081" spans="1:7" ht="13.5" thickTop="1">
      <c r="A1081" s="95"/>
      <c r="B1081" s="811" t="s">
        <v>311</v>
      </c>
      <c r="C1081" s="812"/>
      <c r="D1081" s="812"/>
      <c r="E1081" s="812"/>
      <c r="F1081" s="812"/>
      <c r="G1081" s="825"/>
    </row>
    <row r="1082" spans="1:7">
      <c r="A1082" s="95"/>
      <c r="B1082" s="817" t="s">
        <v>838</v>
      </c>
      <c r="C1082" s="818"/>
      <c r="D1082" s="98" t="s">
        <v>842</v>
      </c>
      <c r="E1082" s="98" t="s">
        <v>853</v>
      </c>
      <c r="F1082" s="99" t="s">
        <v>1047</v>
      </c>
      <c r="G1082" s="107" t="s">
        <v>840</v>
      </c>
    </row>
    <row r="1083" spans="1:7">
      <c r="A1083" s="95"/>
      <c r="B1083" s="115"/>
      <c r="C1083" s="102"/>
      <c r="D1083" s="100"/>
      <c r="E1083" s="100" t="s">
        <v>312</v>
      </c>
      <c r="F1083" s="101" t="s">
        <v>313</v>
      </c>
      <c r="G1083" s="108" t="s">
        <v>314</v>
      </c>
    </row>
    <row r="1084" spans="1:7">
      <c r="A1084" s="125"/>
      <c r="B1084" s="841" t="str">
        <f>MATERIALES2!C95</f>
        <v>BLOQUE ARCILLA H10X23X33</v>
      </c>
      <c r="C1084" s="842"/>
      <c r="D1084" s="87" t="s">
        <v>865</v>
      </c>
      <c r="E1084" s="81">
        <v>30.3</v>
      </c>
      <c r="F1084" s="80">
        <f>MATERIALES2!E95</f>
        <v>580</v>
      </c>
      <c r="G1084" s="110">
        <f>ROUND(E1084*F1084,0)</f>
        <v>17574</v>
      </c>
    </row>
    <row r="1085" spans="1:7">
      <c r="A1085" s="123"/>
      <c r="B1085" s="854" t="str">
        <f>MATERIALES2!C13</f>
        <v>CEMENTO GRIS</v>
      </c>
      <c r="C1085" s="855"/>
      <c r="D1085" s="37" t="s">
        <v>925</v>
      </c>
      <c r="E1085" s="83">
        <v>17.47</v>
      </c>
      <c r="F1085" s="82">
        <f>MATERIALES2!E13</f>
        <v>420</v>
      </c>
      <c r="G1085" s="111">
        <f>ROUND(E1085*F1085,0)</f>
        <v>7337</v>
      </c>
    </row>
    <row r="1086" spans="1:7" ht="14.25">
      <c r="A1086" s="123"/>
      <c r="B1086" s="854" t="str">
        <f>MATERIALES2!C20</f>
        <v xml:space="preserve">ARENA </v>
      </c>
      <c r="C1086" s="855"/>
      <c r="D1086" s="37" t="s">
        <v>1066</v>
      </c>
      <c r="E1086" s="53">
        <v>4.2000000000000003E-2</v>
      </c>
      <c r="F1086" s="82">
        <f>MATERIALES2!E20</f>
        <v>35000</v>
      </c>
      <c r="G1086" s="111">
        <f>ROUND(E1086*F1086,0)</f>
        <v>1470</v>
      </c>
    </row>
    <row r="1087" spans="1:7">
      <c r="A1087" s="123"/>
      <c r="B1087" s="854" t="str">
        <f>MATERIALES2!C28</f>
        <v>AGUA</v>
      </c>
      <c r="C1087" s="855"/>
      <c r="D1087" s="37" t="s">
        <v>1071</v>
      </c>
      <c r="E1087" s="83">
        <v>9.6999999999999993</v>
      </c>
      <c r="F1087" s="82">
        <f>MATERIALES2!E28</f>
        <v>50</v>
      </c>
      <c r="G1087" s="111">
        <f>ROUND(E1087*F1087,0)</f>
        <v>485</v>
      </c>
    </row>
    <row r="1088" spans="1:7">
      <c r="A1088" s="95"/>
      <c r="B1088" s="854"/>
      <c r="C1088" s="855"/>
      <c r="D1088" s="37"/>
      <c r="E1088" s="83"/>
      <c r="F1088" s="82"/>
      <c r="G1088" s="111"/>
    </row>
    <row r="1089" spans="1:8">
      <c r="A1089" s="95"/>
      <c r="B1089" s="854"/>
      <c r="C1089" s="855"/>
      <c r="D1089" s="37"/>
      <c r="E1089" s="53"/>
      <c r="F1089" s="82"/>
      <c r="G1089" s="111"/>
    </row>
    <row r="1090" spans="1:8">
      <c r="A1090" s="95"/>
      <c r="B1090" s="854"/>
      <c r="C1090" s="855"/>
      <c r="D1090" s="37"/>
      <c r="E1090" s="53"/>
      <c r="F1090" s="82"/>
      <c r="G1090" s="111"/>
    </row>
    <row r="1091" spans="1:8">
      <c r="A1091" s="95"/>
      <c r="B1091" s="938" t="s">
        <v>841</v>
      </c>
      <c r="C1091" s="939"/>
      <c r="D1091" s="53" t="s">
        <v>841</v>
      </c>
      <c r="E1091" s="53"/>
      <c r="F1091" s="82"/>
      <c r="G1091" s="111"/>
      <c r="H1091" s="505" t="s">
        <v>1670</v>
      </c>
    </row>
    <row r="1092" spans="1:8" ht="13.5" thickBot="1">
      <c r="A1092" s="95"/>
      <c r="B1092" s="942" t="s">
        <v>841</v>
      </c>
      <c r="C1092" s="943"/>
      <c r="D1092" s="84" t="s">
        <v>841</v>
      </c>
      <c r="E1092" s="84"/>
      <c r="F1092" s="85"/>
      <c r="G1092" s="112"/>
    </row>
    <row r="1093" spans="1:8" ht="13.5" thickTop="1">
      <c r="A1093" s="95"/>
      <c r="B1093" s="808"/>
      <c r="C1093" s="809"/>
      <c r="D1093" s="801" t="s">
        <v>856</v>
      </c>
      <c r="E1093" s="802"/>
      <c r="F1093" s="9"/>
      <c r="G1093" s="113">
        <f>SUM(G1084:G1092)</f>
        <v>26866</v>
      </c>
    </row>
    <row r="1094" spans="1:8">
      <c r="A1094" s="95"/>
      <c r="B1094" s="819"/>
      <c r="C1094" s="820"/>
      <c r="D1094" s="801" t="s">
        <v>857</v>
      </c>
      <c r="E1094" s="802"/>
      <c r="F1094" s="79">
        <f>'MANO DE OBRA'!D60</f>
        <v>0.05</v>
      </c>
      <c r="G1094" s="113">
        <f>ROUND(G1093*F1094,0)</f>
        <v>1343</v>
      </c>
    </row>
    <row r="1095" spans="1:8" ht="13.5" thickBot="1">
      <c r="A1095" s="95"/>
      <c r="B1095" s="819"/>
      <c r="C1095" s="820"/>
      <c r="D1095" s="803" t="s">
        <v>320</v>
      </c>
      <c r="E1095" s="804"/>
      <c r="F1095" s="114"/>
      <c r="G1095" s="118">
        <f>+G1093+G1094</f>
        <v>28209</v>
      </c>
    </row>
    <row r="1096" spans="1:8" ht="14.25" thickTop="1" thickBot="1">
      <c r="A1096" s="95"/>
      <c r="B1096" s="830"/>
      <c r="C1096" s="830"/>
      <c r="D1096" s="830"/>
      <c r="E1096" s="830"/>
      <c r="F1096" s="830"/>
      <c r="G1096" s="830"/>
    </row>
    <row r="1097" spans="1:8" ht="13.5" thickTop="1">
      <c r="A1097" s="95"/>
      <c r="B1097" s="811" t="s">
        <v>858</v>
      </c>
      <c r="C1097" s="812"/>
      <c r="D1097" s="812"/>
      <c r="E1097" s="812"/>
      <c r="F1097" s="812"/>
      <c r="G1097" s="825"/>
    </row>
    <row r="1098" spans="1:8">
      <c r="A1098" s="95"/>
      <c r="B1098" s="817"/>
      <c r="C1098" s="818"/>
      <c r="D1098" s="98" t="s">
        <v>301</v>
      </c>
      <c r="E1098" s="98" t="s">
        <v>859</v>
      </c>
      <c r="F1098" s="99" t="s">
        <v>839</v>
      </c>
      <c r="G1098" s="107" t="s">
        <v>840</v>
      </c>
    </row>
    <row r="1099" spans="1:8">
      <c r="A1099" s="95"/>
      <c r="B1099" s="821" t="s">
        <v>838</v>
      </c>
      <c r="C1099" s="822"/>
      <c r="D1099" s="100" t="s">
        <v>316</v>
      </c>
      <c r="E1099" s="100" t="s">
        <v>315</v>
      </c>
      <c r="F1099" s="101" t="s">
        <v>306</v>
      </c>
      <c r="G1099" s="108" t="s">
        <v>319</v>
      </c>
    </row>
    <row r="1100" spans="1:8">
      <c r="A1100" s="95"/>
      <c r="B1100" s="115"/>
      <c r="C1100" s="102"/>
      <c r="D1100" s="103"/>
      <c r="E1100" s="103" t="s">
        <v>317</v>
      </c>
      <c r="F1100" s="104" t="s">
        <v>318</v>
      </c>
      <c r="G1100" s="109"/>
    </row>
    <row r="1101" spans="1:8">
      <c r="A1101" s="95"/>
      <c r="B1101" s="823" t="str">
        <f>'MANO DE OBRA'!B10</f>
        <v>AYUDANTE CUAD. TIPO AA</v>
      </c>
      <c r="C1101" s="824"/>
      <c r="D1101" s="87">
        <v>1</v>
      </c>
      <c r="E1101" s="80">
        <f>'MANO DE OBRA'!E10</f>
        <v>34680</v>
      </c>
      <c r="F1101" s="81">
        <v>6.96</v>
      </c>
      <c r="G1101" s="110">
        <f>ROUND(D1101*E1101/F1101,0)</f>
        <v>4983</v>
      </c>
    </row>
    <row r="1102" spans="1:8">
      <c r="A1102" s="95"/>
      <c r="B1102" s="835" t="str">
        <f>'MANO DE OBRA'!B15</f>
        <v xml:space="preserve">OFICIAL CUAD. TIPO AA </v>
      </c>
      <c r="C1102" s="836"/>
      <c r="D1102" s="37">
        <v>1</v>
      </c>
      <c r="E1102" s="82">
        <f>'MANO DE OBRA'!E15</f>
        <v>71474</v>
      </c>
      <c r="F1102" s="83">
        <v>6.96</v>
      </c>
      <c r="G1102" s="111">
        <f>ROUND(D1102*E1102/F1102,0)</f>
        <v>10269</v>
      </c>
    </row>
    <row r="1103" spans="1:8">
      <c r="A1103" s="95"/>
      <c r="B1103" s="835"/>
      <c r="C1103" s="836"/>
      <c r="D1103" s="89"/>
      <c r="E1103" s="82"/>
      <c r="F1103" s="83"/>
      <c r="G1103" s="111"/>
    </row>
    <row r="1104" spans="1:8">
      <c r="A1104" s="95"/>
      <c r="B1104" s="835" t="s">
        <v>841</v>
      </c>
      <c r="C1104" s="836"/>
      <c r="D1104" s="37"/>
      <c r="E1104" s="82"/>
      <c r="F1104" s="83"/>
      <c r="G1104" s="111"/>
    </row>
    <row r="1105" spans="1:8" ht="13.5" thickBot="1">
      <c r="A1105" s="95"/>
      <c r="B1105" s="828" t="s">
        <v>841</v>
      </c>
      <c r="C1105" s="829"/>
      <c r="D1105" s="77"/>
      <c r="E1105" s="82"/>
      <c r="F1105" s="86"/>
      <c r="G1105" s="112"/>
    </row>
    <row r="1106" spans="1:8" ht="14.25" thickTop="1" thickBot="1">
      <c r="A1106" s="95"/>
      <c r="B1106" s="808"/>
      <c r="C1106" s="808"/>
      <c r="D1106" s="808"/>
      <c r="E1106" s="809"/>
      <c r="F1106" s="120" t="s">
        <v>856</v>
      </c>
      <c r="G1106" s="118">
        <f>SUM(G1101:G1105)</f>
        <v>15252</v>
      </c>
    </row>
    <row r="1107" spans="1:8" ht="14.25" thickTop="1" thickBot="1">
      <c r="A1107" s="95"/>
      <c r="B1107" s="810"/>
      <c r="C1107" s="810"/>
      <c r="D1107" s="810"/>
      <c r="E1107" s="810"/>
      <c r="F1107" s="810"/>
      <c r="G1107" s="810"/>
    </row>
    <row r="1108" spans="1:8" ht="13.5" thickTop="1">
      <c r="A1108" s="95"/>
      <c r="B1108" s="811" t="s">
        <v>321</v>
      </c>
      <c r="C1108" s="812"/>
      <c r="D1108" s="812"/>
      <c r="E1108" s="812"/>
      <c r="F1108" s="812"/>
      <c r="G1108" s="825"/>
    </row>
    <row r="1109" spans="1:8">
      <c r="A1109" s="95"/>
      <c r="B1109" s="817" t="s">
        <v>838</v>
      </c>
      <c r="C1109" s="818"/>
      <c r="D1109" s="98" t="s">
        <v>301</v>
      </c>
      <c r="E1109" s="98" t="s">
        <v>297</v>
      </c>
      <c r="F1109" s="99" t="s">
        <v>839</v>
      </c>
      <c r="G1109" s="107" t="s">
        <v>840</v>
      </c>
    </row>
    <row r="1110" spans="1:8">
      <c r="A1110" s="95"/>
      <c r="B1110" s="115"/>
      <c r="C1110" s="102"/>
      <c r="D1110" s="103" t="s">
        <v>322</v>
      </c>
      <c r="E1110" s="103" t="s">
        <v>323</v>
      </c>
      <c r="F1110" s="104" t="s">
        <v>324</v>
      </c>
      <c r="G1110" s="109" t="s">
        <v>325</v>
      </c>
    </row>
    <row r="1111" spans="1:8">
      <c r="A1111" s="95"/>
      <c r="B1111" s="826"/>
      <c r="C1111" s="827"/>
      <c r="D1111" s="96"/>
      <c r="E1111" s="96"/>
      <c r="F1111" s="96"/>
      <c r="G1111" s="116"/>
    </row>
    <row r="1112" spans="1:8" ht="13.5" thickBot="1">
      <c r="A1112" s="95"/>
      <c r="B1112" s="828" t="s">
        <v>841</v>
      </c>
      <c r="C1112" s="829"/>
      <c r="D1112" s="77"/>
      <c r="E1112" s="82"/>
      <c r="F1112" s="86"/>
      <c r="G1112" s="112"/>
    </row>
    <row r="1113" spans="1:8" ht="14.25" thickTop="1" thickBot="1">
      <c r="A1113" s="95"/>
      <c r="B1113" s="808"/>
      <c r="C1113" s="808"/>
      <c r="D1113" s="808"/>
      <c r="E1113" s="809"/>
      <c r="F1113" s="120" t="s">
        <v>856</v>
      </c>
      <c r="G1113" s="118">
        <f>SUM(G1108:G1112)</f>
        <v>0</v>
      </c>
    </row>
    <row r="1114" spans="1:8" ht="14.25" thickTop="1" thickBot="1">
      <c r="A1114" s="95"/>
      <c r="B1114" s="810"/>
      <c r="C1114" s="810"/>
      <c r="D1114" s="810"/>
      <c r="E1114" s="810"/>
      <c r="F1114" s="810"/>
      <c r="G1114" s="834"/>
    </row>
    <row r="1115" spans="1:8" ht="13.5" thickTop="1">
      <c r="A1115" s="95"/>
      <c r="B1115" s="811" t="s">
        <v>326</v>
      </c>
      <c r="C1115" s="812"/>
      <c r="D1115" s="812"/>
      <c r="E1115" s="812"/>
      <c r="F1115" s="813"/>
      <c r="G1115" s="121">
        <f>+G1079+G1095+G1106</f>
        <v>44224</v>
      </c>
    </row>
    <row r="1116" spans="1:8">
      <c r="A1116" s="95"/>
      <c r="B1116" s="814" t="s">
        <v>861</v>
      </c>
      <c r="C1116" s="815"/>
      <c r="D1116" s="815"/>
      <c r="E1116" s="816"/>
      <c r="F1116" s="128">
        <f>'MANO DE OBRA'!D59</f>
        <v>0</v>
      </c>
      <c r="G1116" s="122">
        <f>ROUND(G1115*F1116,0)</f>
        <v>0</v>
      </c>
    </row>
    <row r="1117" spans="1:8" ht="13.5" thickBot="1">
      <c r="A1117" s="95"/>
      <c r="B1117" s="805" t="s">
        <v>1049</v>
      </c>
      <c r="C1117" s="806"/>
      <c r="D1117" s="806"/>
      <c r="E1117" s="806"/>
      <c r="F1117" s="807"/>
      <c r="G1117" s="118">
        <f>ROUND(G1115+G1116,-2)</f>
        <v>44200</v>
      </c>
      <c r="H1117" s="505" t="s">
        <v>1670</v>
      </c>
    </row>
    <row r="1118" spans="1:8" ht="15" thickTop="1">
      <c r="A1118" s="95"/>
      <c r="B1118" s="90" t="s">
        <v>303</v>
      </c>
      <c r="C1118" s="843"/>
      <c r="D1118" s="843"/>
      <c r="E1118" s="843"/>
      <c r="F1118" s="92" t="s">
        <v>781</v>
      </c>
      <c r="G1118" s="93" t="s">
        <v>1067</v>
      </c>
    </row>
    <row r="1119" spans="1:8">
      <c r="A1119" s="95"/>
      <c r="B1119" s="91" t="s">
        <v>834</v>
      </c>
      <c r="C1119" s="844" t="s">
        <v>1384</v>
      </c>
      <c r="D1119" s="844"/>
      <c r="E1119" s="844"/>
      <c r="F1119" s="15" t="s">
        <v>833</v>
      </c>
      <c r="G1119" s="165" t="str">
        <f>'MANO DE OBRA'!D61</f>
        <v>Agosto de 2010</v>
      </c>
    </row>
    <row r="1120" spans="1:8" ht="13.5" thickBot="1">
      <c r="A1120" s="127"/>
      <c r="B1120" s="94" t="s">
        <v>835</v>
      </c>
      <c r="C1120" s="845" t="s">
        <v>1406</v>
      </c>
      <c r="D1120" s="845"/>
      <c r="E1120" s="845"/>
      <c r="F1120" s="845"/>
      <c r="G1120" s="846"/>
    </row>
    <row r="1121" spans="1:7" ht="14.25" thickTop="1" thickBot="1">
      <c r="A1121" s="95"/>
      <c r="B1121" s="847"/>
      <c r="C1121" s="847"/>
      <c r="D1121" s="847"/>
      <c r="E1121" s="847"/>
      <c r="F1121" s="847"/>
      <c r="G1121" s="847"/>
    </row>
    <row r="1122" spans="1:7" ht="13.5" thickTop="1">
      <c r="A1122" s="95"/>
      <c r="B1122" s="811" t="s">
        <v>304</v>
      </c>
      <c r="C1122" s="812"/>
      <c r="D1122" s="812"/>
      <c r="E1122" s="812"/>
      <c r="F1122" s="812"/>
      <c r="G1122" s="825"/>
    </row>
    <row r="1123" spans="1:7">
      <c r="A1123" s="95"/>
      <c r="B1123" s="105"/>
      <c r="C1123" s="97"/>
      <c r="D1123" s="98" t="s">
        <v>301</v>
      </c>
      <c r="E1123" s="98" t="s">
        <v>1072</v>
      </c>
      <c r="F1123" s="99" t="s">
        <v>839</v>
      </c>
      <c r="G1123" s="107" t="s">
        <v>840</v>
      </c>
    </row>
    <row r="1124" spans="1:7">
      <c r="A1124" s="95"/>
      <c r="B1124" s="821" t="s">
        <v>838</v>
      </c>
      <c r="C1124" s="822"/>
      <c r="D1124" s="100" t="s">
        <v>308</v>
      </c>
      <c r="E1124" s="100" t="s">
        <v>305</v>
      </c>
      <c r="F1124" s="101" t="s">
        <v>306</v>
      </c>
      <c r="G1124" s="108" t="s">
        <v>310</v>
      </c>
    </row>
    <row r="1125" spans="1:7">
      <c r="A1125" s="95"/>
      <c r="B1125" s="115"/>
      <c r="C1125" s="102"/>
      <c r="D1125" s="103"/>
      <c r="E1125" s="103" t="s">
        <v>309</v>
      </c>
      <c r="F1125" s="104" t="s">
        <v>307</v>
      </c>
      <c r="G1125" s="109"/>
    </row>
    <row r="1126" spans="1:7">
      <c r="A1126" s="127"/>
      <c r="B1126" s="823" t="str">
        <f>'MAQUINARIA Y EQUIPOS'!C28</f>
        <v>HERRAMIENTAS MENORES</v>
      </c>
      <c r="C1126" s="824"/>
      <c r="D1126" s="87">
        <v>1</v>
      </c>
      <c r="E1126" s="82">
        <f>ROUND(G1159*0.05,0)</f>
        <v>279</v>
      </c>
      <c r="F1126" s="81">
        <v>1</v>
      </c>
      <c r="G1126" s="110">
        <f>ROUND(D1126*E1126/F1126,0)</f>
        <v>279</v>
      </c>
    </row>
    <row r="1127" spans="1:7">
      <c r="A1127" s="95"/>
      <c r="B1127" s="835"/>
      <c r="C1127" s="836"/>
      <c r="D1127" s="37"/>
      <c r="E1127" s="82"/>
      <c r="F1127" s="83"/>
      <c r="G1127" s="111"/>
    </row>
    <row r="1128" spans="1:7">
      <c r="A1128" s="95"/>
      <c r="B1128" s="835"/>
      <c r="C1128" s="836"/>
      <c r="D1128" s="89"/>
      <c r="E1128" s="82"/>
      <c r="F1128" s="83"/>
      <c r="G1128" s="111"/>
    </row>
    <row r="1129" spans="1:7">
      <c r="A1129" s="95"/>
      <c r="B1129" s="835"/>
      <c r="C1129" s="836"/>
      <c r="D1129" s="89"/>
      <c r="E1129" s="82"/>
      <c r="F1129" s="83"/>
      <c r="G1129" s="111"/>
    </row>
    <row r="1130" spans="1:7">
      <c r="A1130" s="95"/>
      <c r="B1130" s="835" t="s">
        <v>841</v>
      </c>
      <c r="C1130" s="836"/>
      <c r="D1130" s="37"/>
      <c r="E1130" s="82"/>
      <c r="F1130" s="83"/>
      <c r="G1130" s="111"/>
    </row>
    <row r="1131" spans="1:7" ht="13.5" thickBot="1">
      <c r="A1131" s="95"/>
      <c r="B1131" s="839" t="s">
        <v>841</v>
      </c>
      <c r="C1131" s="840"/>
      <c r="D1131" s="77"/>
      <c r="E1131" s="106"/>
      <c r="F1131" s="86"/>
      <c r="G1131" s="112"/>
    </row>
    <row r="1132" spans="1:7" ht="14.25" thickTop="1" thickBot="1">
      <c r="A1132" s="95"/>
      <c r="B1132" s="808"/>
      <c r="C1132" s="808"/>
      <c r="D1132" s="808"/>
      <c r="E1132" s="809"/>
      <c r="F1132" s="119" t="s">
        <v>856</v>
      </c>
      <c r="G1132" s="118">
        <f>SUM(G1126:G1131)</f>
        <v>279</v>
      </c>
    </row>
    <row r="1133" spans="1:7" ht="14.25" thickTop="1" thickBot="1">
      <c r="A1133" s="95"/>
      <c r="B1133" s="830"/>
      <c r="C1133" s="830"/>
      <c r="D1133" s="830"/>
      <c r="E1133" s="830"/>
      <c r="F1133" s="830"/>
      <c r="G1133" s="830"/>
    </row>
    <row r="1134" spans="1:7" ht="13.5" thickTop="1">
      <c r="A1134" s="95"/>
      <c r="B1134" s="811" t="s">
        <v>311</v>
      </c>
      <c r="C1134" s="812"/>
      <c r="D1134" s="812"/>
      <c r="E1134" s="812"/>
      <c r="F1134" s="812"/>
      <c r="G1134" s="825"/>
    </row>
    <row r="1135" spans="1:7">
      <c r="A1135" s="95"/>
      <c r="B1135" s="817" t="s">
        <v>838</v>
      </c>
      <c r="C1135" s="818"/>
      <c r="D1135" s="98" t="s">
        <v>842</v>
      </c>
      <c r="E1135" s="98" t="s">
        <v>853</v>
      </c>
      <c r="F1135" s="99" t="s">
        <v>1047</v>
      </c>
      <c r="G1135" s="107" t="s">
        <v>840</v>
      </c>
    </row>
    <row r="1136" spans="1:7">
      <c r="A1136" s="95"/>
      <c r="B1136" s="115"/>
      <c r="C1136" s="102"/>
      <c r="D1136" s="100"/>
      <c r="E1136" s="100" t="s">
        <v>312</v>
      </c>
      <c r="F1136" s="101" t="s">
        <v>313</v>
      </c>
      <c r="G1136" s="108" t="s">
        <v>314</v>
      </c>
    </row>
    <row r="1137" spans="1:8">
      <c r="A1137" s="125"/>
      <c r="B1137" s="841" t="str">
        <f>MATERIALES2!C96</f>
        <v>BLOQUE ARCILLA H15</v>
      </c>
      <c r="C1137" s="842"/>
      <c r="D1137" s="87" t="s">
        <v>865</v>
      </c>
      <c r="E1137" s="81">
        <v>12</v>
      </c>
      <c r="F1137" s="80">
        <f>MATERIALES2!E96</f>
        <v>980</v>
      </c>
      <c r="G1137" s="110">
        <f>ROUND(E1137*F1137,0)</f>
        <v>11760</v>
      </c>
    </row>
    <row r="1138" spans="1:8">
      <c r="A1138" s="123"/>
      <c r="B1138" s="854" t="str">
        <f>MATERIALES2!C13</f>
        <v>CEMENTO GRIS</v>
      </c>
      <c r="C1138" s="855"/>
      <c r="D1138" s="37" t="s">
        <v>925</v>
      </c>
      <c r="E1138" s="83">
        <v>5.1100000000000003</v>
      </c>
      <c r="F1138" s="82">
        <f>MATERIALES2!E13</f>
        <v>420</v>
      </c>
      <c r="G1138" s="111">
        <f>ROUND(E1138*F1138,0)</f>
        <v>2146</v>
      </c>
    </row>
    <row r="1139" spans="1:8" ht="14.25">
      <c r="A1139" s="123"/>
      <c r="B1139" s="854" t="str">
        <f>MATERIALES2!C20</f>
        <v xml:space="preserve">ARENA </v>
      </c>
      <c r="C1139" s="855"/>
      <c r="D1139" s="37" t="s">
        <v>1066</v>
      </c>
      <c r="E1139" s="53">
        <v>1.2E-2</v>
      </c>
      <c r="F1139" s="82">
        <f>MATERIALES2!E20</f>
        <v>35000</v>
      </c>
      <c r="G1139" s="111">
        <f>ROUND(E1139*F1139,0)</f>
        <v>420</v>
      </c>
    </row>
    <row r="1140" spans="1:8">
      <c r="A1140" s="123"/>
      <c r="B1140" s="854" t="str">
        <f>MATERIALES2!C28</f>
        <v>AGUA</v>
      </c>
      <c r="C1140" s="855"/>
      <c r="D1140" s="37" t="s">
        <v>1071</v>
      </c>
      <c r="E1140" s="83">
        <v>2.84</v>
      </c>
      <c r="F1140" s="82">
        <f>MATERIALES2!E28</f>
        <v>50</v>
      </c>
      <c r="G1140" s="111">
        <f>ROUND(E1140*F1140,0)</f>
        <v>142</v>
      </c>
    </row>
    <row r="1141" spans="1:8">
      <c r="A1141" s="95"/>
      <c r="B1141" s="854"/>
      <c r="C1141" s="855"/>
      <c r="D1141" s="37"/>
      <c r="E1141" s="83"/>
      <c r="F1141" s="82"/>
      <c r="G1141" s="111"/>
    </row>
    <row r="1142" spans="1:8">
      <c r="A1142" s="95"/>
      <c r="B1142" s="854"/>
      <c r="C1142" s="855"/>
      <c r="D1142" s="37"/>
      <c r="E1142" s="53"/>
      <c r="F1142" s="82"/>
      <c r="G1142" s="111"/>
    </row>
    <row r="1143" spans="1:8">
      <c r="A1143" s="95"/>
      <c r="B1143" s="854"/>
      <c r="C1143" s="855"/>
      <c r="D1143" s="37"/>
      <c r="E1143" s="53"/>
      <c r="F1143" s="82"/>
      <c r="G1143" s="111"/>
    </row>
    <row r="1144" spans="1:8">
      <c r="A1144" s="95"/>
      <c r="B1144" s="938" t="s">
        <v>841</v>
      </c>
      <c r="C1144" s="939"/>
      <c r="D1144" s="53" t="s">
        <v>841</v>
      </c>
      <c r="E1144" s="53"/>
      <c r="F1144" s="82"/>
      <c r="G1144" s="111"/>
      <c r="H1144" s="505" t="s">
        <v>1670</v>
      </c>
    </row>
    <row r="1145" spans="1:8" ht="13.5" thickBot="1">
      <c r="A1145" s="95"/>
      <c r="B1145" s="942" t="s">
        <v>841</v>
      </c>
      <c r="C1145" s="943"/>
      <c r="D1145" s="84" t="s">
        <v>841</v>
      </c>
      <c r="E1145" s="84"/>
      <c r="F1145" s="85"/>
      <c r="G1145" s="112"/>
    </row>
    <row r="1146" spans="1:8" ht="13.5" thickTop="1">
      <c r="A1146" s="95"/>
      <c r="B1146" s="808"/>
      <c r="C1146" s="809"/>
      <c r="D1146" s="801" t="s">
        <v>856</v>
      </c>
      <c r="E1146" s="802"/>
      <c r="F1146" s="9"/>
      <c r="G1146" s="113">
        <f>SUM(G1137:G1145)</f>
        <v>14468</v>
      </c>
    </row>
    <row r="1147" spans="1:8">
      <c r="A1147" s="95"/>
      <c r="B1147" s="819"/>
      <c r="C1147" s="820"/>
      <c r="D1147" s="801" t="s">
        <v>857</v>
      </c>
      <c r="E1147" s="802"/>
      <c r="F1147" s="79">
        <f>'MANO DE OBRA'!D60</f>
        <v>0.05</v>
      </c>
      <c r="G1147" s="113">
        <f>ROUND(G1146*F1147,0)</f>
        <v>723</v>
      </c>
    </row>
    <row r="1148" spans="1:8" ht="13.5" thickBot="1">
      <c r="A1148" s="95"/>
      <c r="B1148" s="819"/>
      <c r="C1148" s="820"/>
      <c r="D1148" s="803" t="s">
        <v>320</v>
      </c>
      <c r="E1148" s="804"/>
      <c r="F1148" s="114"/>
      <c r="G1148" s="118">
        <f>+G1146+G1147</f>
        <v>15191</v>
      </c>
    </row>
    <row r="1149" spans="1:8" ht="14.25" thickTop="1" thickBot="1">
      <c r="A1149" s="95"/>
      <c r="B1149" s="830"/>
      <c r="C1149" s="830"/>
      <c r="D1149" s="830"/>
      <c r="E1149" s="830"/>
      <c r="F1149" s="830"/>
      <c r="G1149" s="830"/>
    </row>
    <row r="1150" spans="1:8" ht="13.5" thickTop="1">
      <c r="A1150" s="95"/>
      <c r="B1150" s="811" t="s">
        <v>858</v>
      </c>
      <c r="C1150" s="812"/>
      <c r="D1150" s="812"/>
      <c r="E1150" s="812"/>
      <c r="F1150" s="812"/>
      <c r="G1150" s="825"/>
    </row>
    <row r="1151" spans="1:8">
      <c r="A1151" s="95"/>
      <c r="B1151" s="817"/>
      <c r="C1151" s="818"/>
      <c r="D1151" s="98" t="s">
        <v>301</v>
      </c>
      <c r="E1151" s="98" t="s">
        <v>859</v>
      </c>
      <c r="F1151" s="99" t="s">
        <v>839</v>
      </c>
      <c r="G1151" s="107" t="s">
        <v>840</v>
      </c>
    </row>
    <row r="1152" spans="1:8">
      <c r="A1152" s="95"/>
      <c r="B1152" s="821" t="s">
        <v>838</v>
      </c>
      <c r="C1152" s="822"/>
      <c r="D1152" s="100" t="s">
        <v>316</v>
      </c>
      <c r="E1152" s="100" t="s">
        <v>315</v>
      </c>
      <c r="F1152" s="101" t="s">
        <v>306</v>
      </c>
      <c r="G1152" s="108" t="s">
        <v>319</v>
      </c>
    </row>
    <row r="1153" spans="1:7">
      <c r="A1153" s="95"/>
      <c r="B1153" s="115"/>
      <c r="C1153" s="102"/>
      <c r="D1153" s="103"/>
      <c r="E1153" s="103" t="s">
        <v>317</v>
      </c>
      <c r="F1153" s="104" t="s">
        <v>318</v>
      </c>
      <c r="G1153" s="109"/>
    </row>
    <row r="1154" spans="1:7">
      <c r="A1154" s="95"/>
      <c r="B1154" s="823" t="str">
        <f>'MANO DE OBRA'!B10</f>
        <v>AYUDANTE CUAD. TIPO AA</v>
      </c>
      <c r="C1154" s="824"/>
      <c r="D1154" s="87">
        <v>1</v>
      </c>
      <c r="E1154" s="80">
        <f>'MANO DE OBRA'!E10</f>
        <v>34680</v>
      </c>
      <c r="F1154" s="81">
        <v>19.04</v>
      </c>
      <c r="G1154" s="110">
        <f>ROUND(D1154*E1154/F1154,0)</f>
        <v>1821</v>
      </c>
    </row>
    <row r="1155" spans="1:7">
      <c r="A1155" s="95"/>
      <c r="B1155" s="835" t="str">
        <f>'MANO DE OBRA'!B15</f>
        <v xml:space="preserve">OFICIAL CUAD. TIPO AA </v>
      </c>
      <c r="C1155" s="836"/>
      <c r="D1155" s="37">
        <v>1</v>
      </c>
      <c r="E1155" s="82">
        <f>'MANO DE OBRA'!E15</f>
        <v>71474</v>
      </c>
      <c r="F1155" s="83">
        <v>19.04</v>
      </c>
      <c r="G1155" s="111">
        <f>ROUND(D1155*E1155/F1155,0)</f>
        <v>3754</v>
      </c>
    </row>
    <row r="1156" spans="1:7">
      <c r="A1156" s="95"/>
      <c r="B1156" s="835"/>
      <c r="C1156" s="836"/>
      <c r="D1156" s="89"/>
      <c r="E1156" s="82"/>
      <c r="F1156" s="83"/>
      <c r="G1156" s="111"/>
    </row>
    <row r="1157" spans="1:7">
      <c r="A1157" s="95"/>
      <c r="B1157" s="835" t="s">
        <v>841</v>
      </c>
      <c r="C1157" s="836"/>
      <c r="D1157" s="37"/>
      <c r="E1157" s="82"/>
      <c r="F1157" s="83"/>
      <c r="G1157" s="111"/>
    </row>
    <row r="1158" spans="1:7" ht="13.5" thickBot="1">
      <c r="A1158" s="95"/>
      <c r="B1158" s="828" t="s">
        <v>841</v>
      </c>
      <c r="C1158" s="829"/>
      <c r="D1158" s="77"/>
      <c r="E1158" s="82"/>
      <c r="F1158" s="86"/>
      <c r="G1158" s="112"/>
    </row>
    <row r="1159" spans="1:7" ht="14.25" thickTop="1" thickBot="1">
      <c r="A1159" s="95"/>
      <c r="B1159" s="808"/>
      <c r="C1159" s="808"/>
      <c r="D1159" s="808"/>
      <c r="E1159" s="809"/>
      <c r="F1159" s="120" t="s">
        <v>856</v>
      </c>
      <c r="G1159" s="118">
        <f>SUM(G1154:G1158)</f>
        <v>5575</v>
      </c>
    </row>
    <row r="1160" spans="1:7" ht="14.25" thickTop="1" thickBot="1">
      <c r="A1160" s="95"/>
      <c r="B1160" s="810"/>
      <c r="C1160" s="810"/>
      <c r="D1160" s="810"/>
      <c r="E1160" s="810"/>
      <c r="F1160" s="810"/>
      <c r="G1160" s="810"/>
    </row>
    <row r="1161" spans="1:7" ht="13.5" thickTop="1">
      <c r="A1161" s="95"/>
      <c r="B1161" s="811" t="s">
        <v>321</v>
      </c>
      <c r="C1161" s="812"/>
      <c r="D1161" s="812"/>
      <c r="E1161" s="812"/>
      <c r="F1161" s="812"/>
      <c r="G1161" s="825"/>
    </row>
    <row r="1162" spans="1:7">
      <c r="A1162" s="95"/>
      <c r="B1162" s="817" t="s">
        <v>838</v>
      </c>
      <c r="C1162" s="818"/>
      <c r="D1162" s="98" t="s">
        <v>301</v>
      </c>
      <c r="E1162" s="98" t="s">
        <v>297</v>
      </c>
      <c r="F1162" s="99" t="s">
        <v>839</v>
      </c>
      <c r="G1162" s="107" t="s">
        <v>840</v>
      </c>
    </row>
    <row r="1163" spans="1:7">
      <c r="A1163" s="95"/>
      <c r="B1163" s="115"/>
      <c r="C1163" s="102"/>
      <c r="D1163" s="103" t="s">
        <v>322</v>
      </c>
      <c r="E1163" s="103" t="s">
        <v>323</v>
      </c>
      <c r="F1163" s="104" t="s">
        <v>324</v>
      </c>
      <c r="G1163" s="109" t="s">
        <v>325</v>
      </c>
    </row>
    <row r="1164" spans="1:7">
      <c r="A1164" s="95"/>
      <c r="B1164" s="826"/>
      <c r="C1164" s="827"/>
      <c r="D1164" s="96"/>
      <c r="E1164" s="96"/>
      <c r="F1164" s="96"/>
      <c r="G1164" s="116"/>
    </row>
    <row r="1165" spans="1:7" ht="13.5" thickBot="1">
      <c r="A1165" s="95"/>
      <c r="B1165" s="828" t="s">
        <v>841</v>
      </c>
      <c r="C1165" s="829"/>
      <c r="D1165" s="77"/>
      <c r="E1165" s="82"/>
      <c r="F1165" s="86"/>
      <c r="G1165" s="112"/>
    </row>
    <row r="1166" spans="1:7" ht="14.25" thickTop="1" thickBot="1">
      <c r="A1166" s="95"/>
      <c r="B1166" s="808"/>
      <c r="C1166" s="808"/>
      <c r="D1166" s="808"/>
      <c r="E1166" s="809"/>
      <c r="F1166" s="120" t="s">
        <v>856</v>
      </c>
      <c r="G1166" s="118">
        <f>SUM(G1161:G1165)</f>
        <v>0</v>
      </c>
    </row>
    <row r="1167" spans="1:7" ht="14.25" thickTop="1" thickBot="1">
      <c r="A1167" s="95"/>
      <c r="B1167" s="810"/>
      <c r="C1167" s="810"/>
      <c r="D1167" s="810"/>
      <c r="E1167" s="810"/>
      <c r="F1167" s="810"/>
      <c r="G1167" s="834"/>
    </row>
    <row r="1168" spans="1:7" ht="13.5" thickTop="1">
      <c r="A1168" s="95"/>
      <c r="B1168" s="811" t="s">
        <v>326</v>
      </c>
      <c r="C1168" s="812"/>
      <c r="D1168" s="812"/>
      <c r="E1168" s="812"/>
      <c r="F1168" s="813"/>
      <c r="G1168" s="121">
        <f>+G1132+G1148+G1159</f>
        <v>21045</v>
      </c>
    </row>
    <row r="1169" spans="1:8">
      <c r="A1169" s="95"/>
      <c r="B1169" s="814" t="s">
        <v>861</v>
      </c>
      <c r="C1169" s="815"/>
      <c r="D1169" s="815"/>
      <c r="E1169" s="816"/>
      <c r="F1169" s="128">
        <f>'MANO DE OBRA'!D59</f>
        <v>0</v>
      </c>
      <c r="G1169" s="122">
        <f>ROUND(G1168*F1169,0)</f>
        <v>0</v>
      </c>
    </row>
    <row r="1170" spans="1:8" ht="13.5" thickBot="1">
      <c r="A1170" s="95"/>
      <c r="B1170" s="805" t="s">
        <v>1049</v>
      </c>
      <c r="C1170" s="806"/>
      <c r="D1170" s="806"/>
      <c r="E1170" s="806"/>
      <c r="F1170" s="807"/>
      <c r="G1170" s="118">
        <f>ROUND(G1168+G1169,-2)</f>
        <v>21000</v>
      </c>
      <c r="H1170" s="505" t="s">
        <v>1670</v>
      </c>
    </row>
    <row r="1171" spans="1:8" ht="15" thickTop="1">
      <c r="A1171" s="95"/>
      <c r="B1171" s="90" t="s">
        <v>303</v>
      </c>
      <c r="C1171" s="843"/>
      <c r="D1171" s="843"/>
      <c r="E1171" s="843"/>
      <c r="F1171" s="92" t="s">
        <v>781</v>
      </c>
      <c r="G1171" s="93" t="s">
        <v>1067</v>
      </c>
    </row>
    <row r="1172" spans="1:8">
      <c r="A1172" s="95"/>
      <c r="B1172" s="91" t="s">
        <v>834</v>
      </c>
      <c r="C1172" s="844" t="s">
        <v>1384</v>
      </c>
      <c r="D1172" s="844"/>
      <c r="E1172" s="844"/>
      <c r="F1172" s="15" t="s">
        <v>833</v>
      </c>
      <c r="G1172" s="165" t="str">
        <f>'MANO DE OBRA'!D61</f>
        <v>Agosto de 2010</v>
      </c>
    </row>
    <row r="1173" spans="1:8" ht="13.5" thickBot="1">
      <c r="A1173" s="127"/>
      <c r="B1173" s="94" t="s">
        <v>835</v>
      </c>
      <c r="C1173" s="845" t="s">
        <v>1407</v>
      </c>
      <c r="D1173" s="845"/>
      <c r="E1173" s="845"/>
      <c r="F1173" s="845"/>
      <c r="G1173" s="846"/>
    </row>
    <row r="1174" spans="1:8" ht="14.25" thickTop="1" thickBot="1">
      <c r="A1174" s="95"/>
      <c r="B1174" s="847"/>
      <c r="C1174" s="847"/>
      <c r="D1174" s="847"/>
      <c r="E1174" s="847"/>
      <c r="F1174" s="847"/>
      <c r="G1174" s="847"/>
    </row>
    <row r="1175" spans="1:8" ht="13.5" thickTop="1">
      <c r="A1175" s="95"/>
      <c r="B1175" s="811" t="s">
        <v>304</v>
      </c>
      <c r="C1175" s="812"/>
      <c r="D1175" s="812"/>
      <c r="E1175" s="812"/>
      <c r="F1175" s="812"/>
      <c r="G1175" s="825"/>
    </row>
    <row r="1176" spans="1:8">
      <c r="A1176" s="95"/>
      <c r="B1176" s="105"/>
      <c r="C1176" s="97"/>
      <c r="D1176" s="98" t="s">
        <v>301</v>
      </c>
      <c r="E1176" s="98" t="s">
        <v>1072</v>
      </c>
      <c r="F1176" s="99" t="s">
        <v>839</v>
      </c>
      <c r="G1176" s="107" t="s">
        <v>840</v>
      </c>
    </row>
    <row r="1177" spans="1:8">
      <c r="A1177" s="95"/>
      <c r="B1177" s="821" t="s">
        <v>838</v>
      </c>
      <c r="C1177" s="822"/>
      <c r="D1177" s="100" t="s">
        <v>308</v>
      </c>
      <c r="E1177" s="100" t="s">
        <v>305</v>
      </c>
      <c r="F1177" s="101" t="s">
        <v>306</v>
      </c>
      <c r="G1177" s="108" t="s">
        <v>310</v>
      </c>
    </row>
    <row r="1178" spans="1:8">
      <c r="A1178" s="95"/>
      <c r="B1178" s="115"/>
      <c r="C1178" s="102"/>
      <c r="D1178" s="103"/>
      <c r="E1178" s="103" t="s">
        <v>309</v>
      </c>
      <c r="F1178" s="104" t="s">
        <v>307</v>
      </c>
      <c r="G1178" s="109"/>
    </row>
    <row r="1179" spans="1:8">
      <c r="A1179" s="127"/>
      <c r="B1179" s="823" t="str">
        <f>'MAQUINARIA Y EQUIPOS'!C28</f>
        <v>HERRAMIENTAS MENORES</v>
      </c>
      <c r="C1179" s="824"/>
      <c r="D1179" s="87">
        <v>1</v>
      </c>
      <c r="E1179" s="82">
        <f>ROUND(G1212*0.05,0)</f>
        <v>763</v>
      </c>
      <c r="F1179" s="81">
        <v>1</v>
      </c>
      <c r="G1179" s="110">
        <f>ROUND(D1179*E1179/F1179,0)</f>
        <v>763</v>
      </c>
    </row>
    <row r="1180" spans="1:8">
      <c r="A1180" s="95"/>
      <c r="B1180" s="835"/>
      <c r="C1180" s="836"/>
      <c r="D1180" s="37"/>
      <c r="E1180" s="82"/>
      <c r="F1180" s="83"/>
      <c r="G1180" s="111"/>
    </row>
    <row r="1181" spans="1:8">
      <c r="A1181" s="95"/>
      <c r="B1181" s="835"/>
      <c r="C1181" s="836"/>
      <c r="D1181" s="89"/>
      <c r="E1181" s="82"/>
      <c r="F1181" s="83"/>
      <c r="G1181" s="111"/>
    </row>
    <row r="1182" spans="1:8">
      <c r="A1182" s="95"/>
      <c r="B1182" s="835"/>
      <c r="C1182" s="836"/>
      <c r="D1182" s="89"/>
      <c r="E1182" s="82"/>
      <c r="F1182" s="83"/>
      <c r="G1182" s="111"/>
    </row>
    <row r="1183" spans="1:8">
      <c r="A1183" s="95"/>
      <c r="B1183" s="835" t="s">
        <v>841</v>
      </c>
      <c r="C1183" s="836"/>
      <c r="D1183" s="37"/>
      <c r="E1183" s="82"/>
      <c r="F1183" s="83"/>
      <c r="G1183" s="111"/>
    </row>
    <row r="1184" spans="1:8" ht="13.5" thickBot="1">
      <c r="A1184" s="95"/>
      <c r="B1184" s="839" t="s">
        <v>841</v>
      </c>
      <c r="C1184" s="840"/>
      <c r="D1184" s="77"/>
      <c r="E1184" s="106"/>
      <c r="F1184" s="86"/>
      <c r="G1184" s="112"/>
    </row>
    <row r="1185" spans="1:8" ht="14.25" thickTop="1" thickBot="1">
      <c r="A1185" s="95"/>
      <c r="B1185" s="808"/>
      <c r="C1185" s="808"/>
      <c r="D1185" s="808"/>
      <c r="E1185" s="809"/>
      <c r="F1185" s="119" t="s">
        <v>856</v>
      </c>
      <c r="G1185" s="118">
        <f>SUM(G1179:G1184)</f>
        <v>763</v>
      </c>
    </row>
    <row r="1186" spans="1:8" ht="14.25" thickTop="1" thickBot="1">
      <c r="A1186" s="95"/>
      <c r="B1186" s="830"/>
      <c r="C1186" s="830"/>
      <c r="D1186" s="830"/>
      <c r="E1186" s="830"/>
      <c r="F1186" s="830"/>
      <c r="G1186" s="830"/>
    </row>
    <row r="1187" spans="1:8" ht="13.5" thickTop="1">
      <c r="A1187" s="95"/>
      <c r="B1187" s="811" t="s">
        <v>311</v>
      </c>
      <c r="C1187" s="812"/>
      <c r="D1187" s="812"/>
      <c r="E1187" s="812"/>
      <c r="F1187" s="812"/>
      <c r="G1187" s="825"/>
    </row>
    <row r="1188" spans="1:8">
      <c r="A1188" s="95"/>
      <c r="B1188" s="817" t="s">
        <v>838</v>
      </c>
      <c r="C1188" s="818"/>
      <c r="D1188" s="98" t="s">
        <v>842</v>
      </c>
      <c r="E1188" s="98" t="s">
        <v>853</v>
      </c>
      <c r="F1188" s="99" t="s">
        <v>1047</v>
      </c>
      <c r="G1188" s="107" t="s">
        <v>840</v>
      </c>
    </row>
    <row r="1189" spans="1:8">
      <c r="A1189" s="95"/>
      <c r="B1189" s="115"/>
      <c r="C1189" s="102"/>
      <c r="D1189" s="100"/>
      <c r="E1189" s="100" t="s">
        <v>312</v>
      </c>
      <c r="F1189" s="101" t="s">
        <v>313</v>
      </c>
      <c r="G1189" s="108" t="s">
        <v>314</v>
      </c>
    </row>
    <row r="1190" spans="1:8">
      <c r="A1190" s="125"/>
      <c r="B1190" s="841" t="str">
        <f>MATERIALES2!C96</f>
        <v>BLOQUE ARCILLA H15</v>
      </c>
      <c r="C1190" s="842"/>
      <c r="D1190" s="87" t="s">
        <v>865</v>
      </c>
      <c r="E1190" s="81">
        <v>21.92</v>
      </c>
      <c r="F1190" s="80">
        <f>MATERIALES2!E96</f>
        <v>980</v>
      </c>
      <c r="G1190" s="110">
        <f>ROUND(E1190*F1190,0)</f>
        <v>21482</v>
      </c>
    </row>
    <row r="1191" spans="1:8">
      <c r="A1191" s="123"/>
      <c r="B1191" s="854" t="str">
        <f>MATERIALES2!C13</f>
        <v>CEMENTO GRIS</v>
      </c>
      <c r="C1191" s="855"/>
      <c r="D1191" s="37" t="s">
        <v>925</v>
      </c>
      <c r="E1191" s="83">
        <v>14.46</v>
      </c>
      <c r="F1191" s="82">
        <f>MATERIALES2!E13</f>
        <v>420</v>
      </c>
      <c r="G1191" s="111">
        <f>ROUND(E1191*F1191,0)</f>
        <v>6073</v>
      </c>
    </row>
    <row r="1192" spans="1:8" ht="14.25">
      <c r="A1192" s="123"/>
      <c r="B1192" s="854" t="str">
        <f>MATERIALES2!C20</f>
        <v xml:space="preserve">ARENA </v>
      </c>
      <c r="C1192" s="855"/>
      <c r="D1192" s="37" t="s">
        <v>1066</v>
      </c>
      <c r="E1192" s="53">
        <v>3.5000000000000003E-2</v>
      </c>
      <c r="F1192" s="82">
        <f>MATERIALES2!E20</f>
        <v>35000</v>
      </c>
      <c r="G1192" s="111">
        <f>ROUND(E1192*F1192,0)</f>
        <v>1225</v>
      </c>
    </row>
    <row r="1193" spans="1:8">
      <c r="A1193" s="123"/>
      <c r="B1193" s="854" t="str">
        <f>MATERIALES2!C28</f>
        <v>AGUA</v>
      </c>
      <c r="C1193" s="855"/>
      <c r="D1193" s="37" t="s">
        <v>1071</v>
      </c>
      <c r="E1193" s="83">
        <v>8.0299999999999994</v>
      </c>
      <c r="F1193" s="82">
        <f>MATERIALES2!E28</f>
        <v>50</v>
      </c>
      <c r="G1193" s="111">
        <f>ROUND(E1193*F1193,0)</f>
        <v>402</v>
      </c>
    </row>
    <row r="1194" spans="1:8">
      <c r="A1194" s="95"/>
      <c r="B1194" s="854"/>
      <c r="C1194" s="855"/>
      <c r="D1194" s="37"/>
      <c r="E1194" s="83"/>
      <c r="F1194" s="82"/>
      <c r="G1194" s="111"/>
    </row>
    <row r="1195" spans="1:8">
      <c r="A1195" s="95"/>
      <c r="B1195" s="854"/>
      <c r="C1195" s="855"/>
      <c r="D1195" s="37"/>
      <c r="E1195" s="53"/>
      <c r="F1195" s="82"/>
      <c r="G1195" s="111"/>
    </row>
    <row r="1196" spans="1:8">
      <c r="A1196" s="95"/>
      <c r="B1196" s="854"/>
      <c r="C1196" s="855"/>
      <c r="D1196" s="37"/>
      <c r="E1196" s="53"/>
      <c r="F1196" s="82"/>
      <c r="G1196" s="111"/>
    </row>
    <row r="1197" spans="1:8">
      <c r="A1197" s="95"/>
      <c r="B1197" s="938" t="s">
        <v>841</v>
      </c>
      <c r="C1197" s="939"/>
      <c r="D1197" s="53" t="s">
        <v>841</v>
      </c>
      <c r="E1197" s="53"/>
      <c r="F1197" s="82"/>
      <c r="G1197" s="111"/>
      <c r="H1197" s="505" t="s">
        <v>1670</v>
      </c>
    </row>
    <row r="1198" spans="1:8" ht="13.5" thickBot="1">
      <c r="A1198" s="95"/>
      <c r="B1198" s="942" t="s">
        <v>841</v>
      </c>
      <c r="C1198" s="943"/>
      <c r="D1198" s="84" t="s">
        <v>841</v>
      </c>
      <c r="E1198" s="84"/>
      <c r="F1198" s="85"/>
      <c r="G1198" s="112"/>
    </row>
    <row r="1199" spans="1:8" ht="13.5" thickTop="1">
      <c r="A1199" s="95"/>
      <c r="B1199" s="808"/>
      <c r="C1199" s="809"/>
      <c r="D1199" s="801" t="s">
        <v>856</v>
      </c>
      <c r="E1199" s="802"/>
      <c r="F1199" s="9"/>
      <c r="G1199" s="113">
        <f>SUM(G1190:G1198)</f>
        <v>29182</v>
      </c>
    </row>
    <row r="1200" spans="1:8">
      <c r="A1200" s="95"/>
      <c r="B1200" s="819"/>
      <c r="C1200" s="820"/>
      <c r="D1200" s="801" t="s">
        <v>857</v>
      </c>
      <c r="E1200" s="802"/>
      <c r="F1200" s="79">
        <f>'MANO DE OBRA'!D60</f>
        <v>0.05</v>
      </c>
      <c r="G1200" s="113">
        <f>ROUND(G1199*F1200,0)</f>
        <v>1459</v>
      </c>
    </row>
    <row r="1201" spans="1:7" ht="13.5" thickBot="1">
      <c r="A1201" s="95"/>
      <c r="B1201" s="819"/>
      <c r="C1201" s="820"/>
      <c r="D1201" s="803" t="s">
        <v>320</v>
      </c>
      <c r="E1201" s="804"/>
      <c r="F1201" s="114"/>
      <c r="G1201" s="118">
        <f>+G1199+G1200</f>
        <v>30641</v>
      </c>
    </row>
    <row r="1202" spans="1:7" ht="14.25" thickTop="1" thickBot="1">
      <c r="A1202" s="95"/>
      <c r="B1202" s="830"/>
      <c r="C1202" s="830"/>
      <c r="D1202" s="830"/>
      <c r="E1202" s="830"/>
      <c r="F1202" s="830"/>
      <c r="G1202" s="830"/>
    </row>
    <row r="1203" spans="1:7" ht="13.5" thickTop="1">
      <c r="A1203" s="95"/>
      <c r="B1203" s="811" t="s">
        <v>858</v>
      </c>
      <c r="C1203" s="812"/>
      <c r="D1203" s="812"/>
      <c r="E1203" s="812"/>
      <c r="F1203" s="812"/>
      <c r="G1203" s="825"/>
    </row>
    <row r="1204" spans="1:7">
      <c r="A1204" s="95"/>
      <c r="B1204" s="817"/>
      <c r="C1204" s="818"/>
      <c r="D1204" s="98" t="s">
        <v>301</v>
      </c>
      <c r="E1204" s="98" t="s">
        <v>859</v>
      </c>
      <c r="F1204" s="99" t="s">
        <v>839</v>
      </c>
      <c r="G1204" s="107" t="s">
        <v>840</v>
      </c>
    </row>
    <row r="1205" spans="1:7">
      <c r="A1205" s="95"/>
      <c r="B1205" s="821" t="s">
        <v>838</v>
      </c>
      <c r="C1205" s="822"/>
      <c r="D1205" s="100" t="s">
        <v>316</v>
      </c>
      <c r="E1205" s="100" t="s">
        <v>315</v>
      </c>
      <c r="F1205" s="101" t="s">
        <v>306</v>
      </c>
      <c r="G1205" s="108" t="s">
        <v>319</v>
      </c>
    </row>
    <row r="1206" spans="1:7">
      <c r="A1206" s="95"/>
      <c r="B1206" s="115"/>
      <c r="C1206" s="102"/>
      <c r="D1206" s="103"/>
      <c r="E1206" s="103" t="s">
        <v>317</v>
      </c>
      <c r="F1206" s="104" t="s">
        <v>318</v>
      </c>
      <c r="G1206" s="109"/>
    </row>
    <row r="1207" spans="1:7">
      <c r="A1207" s="95"/>
      <c r="B1207" s="823" t="str">
        <f>'MANO DE OBRA'!B10</f>
        <v>AYUDANTE CUAD. TIPO AA</v>
      </c>
      <c r="C1207" s="824"/>
      <c r="D1207" s="87">
        <v>1</v>
      </c>
      <c r="E1207" s="80">
        <f>'MANO DE OBRA'!E10</f>
        <v>34680</v>
      </c>
      <c r="F1207" s="81">
        <v>6.96</v>
      </c>
      <c r="G1207" s="110">
        <f>ROUND(D1207*E1207/F1207,0)</f>
        <v>4983</v>
      </c>
    </row>
    <row r="1208" spans="1:7">
      <c r="A1208" s="95"/>
      <c r="B1208" s="835" t="str">
        <f>'MANO DE OBRA'!B15</f>
        <v xml:space="preserve">OFICIAL CUAD. TIPO AA </v>
      </c>
      <c r="C1208" s="836"/>
      <c r="D1208" s="37">
        <v>1</v>
      </c>
      <c r="E1208" s="82">
        <f>'MANO DE OBRA'!E15</f>
        <v>71474</v>
      </c>
      <c r="F1208" s="83">
        <v>6.96</v>
      </c>
      <c r="G1208" s="111">
        <f>ROUND(D1208*E1208/F1208,0)</f>
        <v>10269</v>
      </c>
    </row>
    <row r="1209" spans="1:7">
      <c r="A1209" s="95"/>
      <c r="B1209" s="835"/>
      <c r="C1209" s="836"/>
      <c r="D1209" s="89"/>
      <c r="E1209" s="82"/>
      <c r="F1209" s="83"/>
      <c r="G1209" s="111"/>
    </row>
    <row r="1210" spans="1:7">
      <c r="A1210" s="95"/>
      <c r="B1210" s="835" t="s">
        <v>841</v>
      </c>
      <c r="C1210" s="836"/>
      <c r="D1210" s="37"/>
      <c r="E1210" s="82"/>
      <c r="F1210" s="83"/>
      <c r="G1210" s="111"/>
    </row>
    <row r="1211" spans="1:7" ht="13.5" thickBot="1">
      <c r="A1211" s="95"/>
      <c r="B1211" s="828" t="s">
        <v>841</v>
      </c>
      <c r="C1211" s="829"/>
      <c r="D1211" s="77"/>
      <c r="E1211" s="82"/>
      <c r="F1211" s="86"/>
      <c r="G1211" s="112"/>
    </row>
    <row r="1212" spans="1:7" ht="14.25" thickTop="1" thickBot="1">
      <c r="A1212" s="95"/>
      <c r="B1212" s="808"/>
      <c r="C1212" s="808"/>
      <c r="D1212" s="808"/>
      <c r="E1212" s="809"/>
      <c r="F1212" s="120" t="s">
        <v>856</v>
      </c>
      <c r="G1212" s="118">
        <f>SUM(G1207:G1211)</f>
        <v>15252</v>
      </c>
    </row>
    <row r="1213" spans="1:7" ht="14.25" thickTop="1" thickBot="1">
      <c r="A1213" s="95"/>
      <c r="B1213" s="810"/>
      <c r="C1213" s="810"/>
      <c r="D1213" s="810"/>
      <c r="E1213" s="810"/>
      <c r="F1213" s="810"/>
      <c r="G1213" s="810"/>
    </row>
    <row r="1214" spans="1:7" ht="13.5" thickTop="1">
      <c r="A1214" s="95"/>
      <c r="B1214" s="811" t="s">
        <v>321</v>
      </c>
      <c r="C1214" s="812"/>
      <c r="D1214" s="812"/>
      <c r="E1214" s="812"/>
      <c r="F1214" s="812"/>
      <c r="G1214" s="825"/>
    </row>
    <row r="1215" spans="1:7">
      <c r="A1215" s="95"/>
      <c r="B1215" s="817" t="s">
        <v>838</v>
      </c>
      <c r="C1215" s="818"/>
      <c r="D1215" s="98" t="s">
        <v>301</v>
      </c>
      <c r="E1215" s="98" t="s">
        <v>297</v>
      </c>
      <c r="F1215" s="99" t="s">
        <v>839</v>
      </c>
      <c r="G1215" s="107" t="s">
        <v>840</v>
      </c>
    </row>
    <row r="1216" spans="1:7">
      <c r="A1216" s="95"/>
      <c r="B1216" s="115"/>
      <c r="C1216" s="102"/>
      <c r="D1216" s="103" t="s">
        <v>322</v>
      </c>
      <c r="E1216" s="103" t="s">
        <v>323</v>
      </c>
      <c r="F1216" s="104" t="s">
        <v>324</v>
      </c>
      <c r="G1216" s="109" t="s">
        <v>325</v>
      </c>
    </row>
    <row r="1217" spans="1:8">
      <c r="A1217" s="95"/>
      <c r="B1217" s="826"/>
      <c r="C1217" s="827"/>
      <c r="D1217" s="96"/>
      <c r="E1217" s="96"/>
      <c r="F1217" s="96"/>
      <c r="G1217" s="116"/>
    </row>
    <row r="1218" spans="1:8" ht="13.5" thickBot="1">
      <c r="A1218" s="95"/>
      <c r="B1218" s="828" t="s">
        <v>841</v>
      </c>
      <c r="C1218" s="829"/>
      <c r="D1218" s="77"/>
      <c r="E1218" s="82"/>
      <c r="F1218" s="86"/>
      <c r="G1218" s="112"/>
    </row>
    <row r="1219" spans="1:8" ht="14.25" thickTop="1" thickBot="1">
      <c r="A1219" s="95"/>
      <c r="B1219" s="808"/>
      <c r="C1219" s="808"/>
      <c r="D1219" s="808"/>
      <c r="E1219" s="809"/>
      <c r="F1219" s="120" t="s">
        <v>856</v>
      </c>
      <c r="G1219" s="118">
        <f>SUM(G1214:G1218)</f>
        <v>0</v>
      </c>
    </row>
    <row r="1220" spans="1:8" ht="14.25" thickTop="1" thickBot="1">
      <c r="A1220" s="95"/>
      <c r="B1220" s="810"/>
      <c r="C1220" s="810"/>
      <c r="D1220" s="810"/>
      <c r="E1220" s="810"/>
      <c r="F1220" s="810"/>
      <c r="G1220" s="834"/>
    </row>
    <row r="1221" spans="1:8" ht="13.5" thickTop="1">
      <c r="A1221" s="95"/>
      <c r="B1221" s="811" t="s">
        <v>326</v>
      </c>
      <c r="C1221" s="812"/>
      <c r="D1221" s="812"/>
      <c r="E1221" s="812"/>
      <c r="F1221" s="813"/>
      <c r="G1221" s="121">
        <f>+G1185+G1201+G1212</f>
        <v>46656</v>
      </c>
    </row>
    <row r="1222" spans="1:8">
      <c r="A1222" s="95"/>
      <c r="B1222" s="814" t="s">
        <v>861</v>
      </c>
      <c r="C1222" s="815"/>
      <c r="D1222" s="815"/>
      <c r="E1222" s="816"/>
      <c r="F1222" s="128">
        <f>'MANO DE OBRA'!D59</f>
        <v>0</v>
      </c>
      <c r="G1222" s="122">
        <f>ROUND(G1221*F1222,0)</f>
        <v>0</v>
      </c>
    </row>
    <row r="1223" spans="1:8" ht="13.5" thickBot="1">
      <c r="A1223" s="95"/>
      <c r="B1223" s="805" t="s">
        <v>1049</v>
      </c>
      <c r="C1223" s="806"/>
      <c r="D1223" s="806"/>
      <c r="E1223" s="806"/>
      <c r="F1223" s="807"/>
      <c r="G1223" s="118">
        <f>ROUND(G1221+G1222,-2)</f>
        <v>46700</v>
      </c>
      <c r="H1223" s="505" t="s">
        <v>1670</v>
      </c>
    </row>
    <row r="1224" spans="1:8" ht="13.5" thickTop="1"/>
  </sheetData>
  <mergeCells count="1131">
    <mergeCell ref="C3:G3"/>
    <mergeCell ref="B4:G4"/>
    <mergeCell ref="C1:G1"/>
    <mergeCell ref="C2:G2"/>
    <mergeCell ref="B12:C12"/>
    <mergeCell ref="B14:C14"/>
    <mergeCell ref="C5:G5"/>
    <mergeCell ref="C6:E6"/>
    <mergeCell ref="C7:E7"/>
    <mergeCell ref="C8:G8"/>
    <mergeCell ref="B26:C26"/>
    <mergeCell ref="B27:C27"/>
    <mergeCell ref="B28:C28"/>
    <mergeCell ref="B29:C29"/>
    <mergeCell ref="B30:C30"/>
    <mergeCell ref="B31:C31"/>
    <mergeCell ref="B19:C19"/>
    <mergeCell ref="B20:E20"/>
    <mergeCell ref="B21:G21"/>
    <mergeCell ref="B22:G22"/>
    <mergeCell ref="B23:C23"/>
    <mergeCell ref="B25:C25"/>
    <mergeCell ref="B9:G9"/>
    <mergeCell ref="B10:G10"/>
    <mergeCell ref="B15:C15"/>
    <mergeCell ref="B16:C16"/>
    <mergeCell ref="B17:C17"/>
    <mergeCell ref="B18:C18"/>
    <mergeCell ref="B44:C44"/>
    <mergeCell ref="B45:C45"/>
    <mergeCell ref="B46:C46"/>
    <mergeCell ref="B47:E47"/>
    <mergeCell ref="B48:G48"/>
    <mergeCell ref="B49:G49"/>
    <mergeCell ref="B37:G37"/>
    <mergeCell ref="B38:G38"/>
    <mergeCell ref="B39:C39"/>
    <mergeCell ref="B40:C40"/>
    <mergeCell ref="B42:C42"/>
    <mergeCell ref="B43:C43"/>
    <mergeCell ref="B32:C32"/>
    <mergeCell ref="B33:C33"/>
    <mergeCell ref="B34:C36"/>
    <mergeCell ref="D34:E34"/>
    <mergeCell ref="D35:E35"/>
    <mergeCell ref="D36:E36"/>
    <mergeCell ref="B63:G63"/>
    <mergeCell ref="B65:C65"/>
    <mergeCell ref="B67:C67"/>
    <mergeCell ref="B68:C68"/>
    <mergeCell ref="B69:C69"/>
    <mergeCell ref="B70:C70"/>
    <mergeCell ref="B57:E57"/>
    <mergeCell ref="B58:F58"/>
    <mergeCell ref="C59:E59"/>
    <mergeCell ref="C60:E60"/>
    <mergeCell ref="C61:G61"/>
    <mergeCell ref="B62:G62"/>
    <mergeCell ref="B50:C50"/>
    <mergeCell ref="B52:C52"/>
    <mergeCell ref="B53:C53"/>
    <mergeCell ref="B54:E54"/>
    <mergeCell ref="B55:G55"/>
    <mergeCell ref="B56:F56"/>
    <mergeCell ref="B84:C84"/>
    <mergeCell ref="B85:C85"/>
    <mergeCell ref="B86:C86"/>
    <mergeCell ref="B87:C89"/>
    <mergeCell ref="D87:E87"/>
    <mergeCell ref="D88:E88"/>
    <mergeCell ref="D89:E89"/>
    <mergeCell ref="B78:C78"/>
    <mergeCell ref="B79:C79"/>
    <mergeCell ref="B80:C80"/>
    <mergeCell ref="B81:C81"/>
    <mergeCell ref="B82:C82"/>
    <mergeCell ref="B83:C83"/>
    <mergeCell ref="B71:C71"/>
    <mergeCell ref="B72:C72"/>
    <mergeCell ref="B73:E73"/>
    <mergeCell ref="B74:G74"/>
    <mergeCell ref="B75:G75"/>
    <mergeCell ref="B76:C76"/>
    <mergeCell ref="B103:C103"/>
    <mergeCell ref="B105:C105"/>
    <mergeCell ref="B106:C106"/>
    <mergeCell ref="B107:E107"/>
    <mergeCell ref="B108:G108"/>
    <mergeCell ref="B109:F109"/>
    <mergeCell ref="B97:C97"/>
    <mergeCell ref="B98:C98"/>
    <mergeCell ref="B99:C99"/>
    <mergeCell ref="B100:E100"/>
    <mergeCell ref="B101:G101"/>
    <mergeCell ref="B102:G102"/>
    <mergeCell ref="B90:G90"/>
    <mergeCell ref="B91:G91"/>
    <mergeCell ref="B92:C92"/>
    <mergeCell ref="B93:C93"/>
    <mergeCell ref="B95:C95"/>
    <mergeCell ref="B96:C96"/>
    <mergeCell ref="B124:C124"/>
    <mergeCell ref="B125:C125"/>
    <mergeCell ref="B126:E126"/>
    <mergeCell ref="B127:G127"/>
    <mergeCell ref="B128:G128"/>
    <mergeCell ref="B129:C129"/>
    <mergeCell ref="B116:G116"/>
    <mergeCell ref="B118:C118"/>
    <mergeCell ref="B120:C120"/>
    <mergeCell ref="B121:C121"/>
    <mergeCell ref="B122:C122"/>
    <mergeCell ref="B123:C123"/>
    <mergeCell ref="B110:E110"/>
    <mergeCell ref="B111:F111"/>
    <mergeCell ref="C112:E112"/>
    <mergeCell ref="C113:E113"/>
    <mergeCell ref="C114:G114"/>
    <mergeCell ref="B115:G115"/>
    <mergeCell ref="B143:G143"/>
    <mergeCell ref="B144:G144"/>
    <mergeCell ref="B145:C145"/>
    <mergeCell ref="B146:C146"/>
    <mergeCell ref="B148:C148"/>
    <mergeCell ref="B149:C149"/>
    <mergeCell ref="B137:C137"/>
    <mergeCell ref="B138:C138"/>
    <mergeCell ref="B139:C139"/>
    <mergeCell ref="B140:C142"/>
    <mergeCell ref="D140:E140"/>
    <mergeCell ref="D141:E141"/>
    <mergeCell ref="D142:E142"/>
    <mergeCell ref="B131:C131"/>
    <mergeCell ref="B132:C132"/>
    <mergeCell ref="B133:C133"/>
    <mergeCell ref="B134:C134"/>
    <mergeCell ref="B135:C135"/>
    <mergeCell ref="B136:C136"/>
    <mergeCell ref="B163:E163"/>
    <mergeCell ref="B164:F164"/>
    <mergeCell ref="C165:E165"/>
    <mergeCell ref="C166:E166"/>
    <mergeCell ref="C167:G167"/>
    <mergeCell ref="B168:G168"/>
    <mergeCell ref="B156:C156"/>
    <mergeCell ref="B158:C158"/>
    <mergeCell ref="B159:C159"/>
    <mergeCell ref="B160:E160"/>
    <mergeCell ref="B161:G161"/>
    <mergeCell ref="B162:F162"/>
    <mergeCell ref="B150:C150"/>
    <mergeCell ref="B151:C151"/>
    <mergeCell ref="B152:C152"/>
    <mergeCell ref="B153:E153"/>
    <mergeCell ref="B154:G154"/>
    <mergeCell ref="B155:G155"/>
    <mergeCell ref="B184:C184"/>
    <mergeCell ref="B185:C185"/>
    <mergeCell ref="B186:C186"/>
    <mergeCell ref="B187:C187"/>
    <mergeCell ref="B188:C188"/>
    <mergeCell ref="B189:C189"/>
    <mergeCell ref="B177:C177"/>
    <mergeCell ref="B178:C178"/>
    <mergeCell ref="B179:E179"/>
    <mergeCell ref="B180:G180"/>
    <mergeCell ref="B181:G181"/>
    <mergeCell ref="B182:C182"/>
    <mergeCell ref="B169:G169"/>
    <mergeCell ref="B171:C171"/>
    <mergeCell ref="B173:C173"/>
    <mergeCell ref="B174:C174"/>
    <mergeCell ref="B175:C175"/>
    <mergeCell ref="B176:C176"/>
    <mergeCell ref="B203:C203"/>
    <mergeCell ref="B204:C204"/>
    <mergeCell ref="B205:C205"/>
    <mergeCell ref="B206:E206"/>
    <mergeCell ref="B207:G207"/>
    <mergeCell ref="B208:G208"/>
    <mergeCell ref="B196:G196"/>
    <mergeCell ref="B197:G197"/>
    <mergeCell ref="B198:C198"/>
    <mergeCell ref="B199:C199"/>
    <mergeCell ref="B201:C201"/>
    <mergeCell ref="B202:C202"/>
    <mergeCell ref="B190:C190"/>
    <mergeCell ref="B191:C191"/>
    <mergeCell ref="B192:C192"/>
    <mergeCell ref="B193:C195"/>
    <mergeCell ref="D193:E193"/>
    <mergeCell ref="D194:E194"/>
    <mergeCell ref="D195:E195"/>
    <mergeCell ref="B222:G222"/>
    <mergeCell ref="B224:C224"/>
    <mergeCell ref="B226:C226"/>
    <mergeCell ref="B227:C227"/>
    <mergeCell ref="B228:C228"/>
    <mergeCell ref="B229:C229"/>
    <mergeCell ref="B216:E216"/>
    <mergeCell ref="B217:F217"/>
    <mergeCell ref="C218:E218"/>
    <mergeCell ref="C219:E219"/>
    <mergeCell ref="C220:G220"/>
    <mergeCell ref="B221:G221"/>
    <mergeCell ref="B209:C209"/>
    <mergeCell ref="B211:C211"/>
    <mergeCell ref="B212:C212"/>
    <mergeCell ref="B213:E213"/>
    <mergeCell ref="B214:G214"/>
    <mergeCell ref="B215:F215"/>
    <mergeCell ref="B243:C243"/>
    <mergeCell ref="B244:C244"/>
    <mergeCell ref="B245:C247"/>
    <mergeCell ref="D245:E245"/>
    <mergeCell ref="D246:E246"/>
    <mergeCell ref="D247:E247"/>
    <mergeCell ref="B237:C237"/>
    <mergeCell ref="B238:C238"/>
    <mergeCell ref="B239:C239"/>
    <mergeCell ref="B240:C240"/>
    <mergeCell ref="B241:C241"/>
    <mergeCell ref="B242:C242"/>
    <mergeCell ref="B230:C230"/>
    <mergeCell ref="B231:E231"/>
    <mergeCell ref="B232:G232"/>
    <mergeCell ref="B233:G233"/>
    <mergeCell ref="B234:C234"/>
    <mergeCell ref="B236:C236"/>
    <mergeCell ref="B261:C261"/>
    <mergeCell ref="B263:C263"/>
    <mergeCell ref="B264:C264"/>
    <mergeCell ref="B265:E265"/>
    <mergeCell ref="B266:G266"/>
    <mergeCell ref="B267:F267"/>
    <mergeCell ref="B255:C255"/>
    <mergeCell ref="B256:C256"/>
    <mergeCell ref="B257:C257"/>
    <mergeCell ref="B258:E258"/>
    <mergeCell ref="B259:G259"/>
    <mergeCell ref="B260:G260"/>
    <mergeCell ref="B248:G248"/>
    <mergeCell ref="B249:G249"/>
    <mergeCell ref="B250:C250"/>
    <mergeCell ref="B251:C251"/>
    <mergeCell ref="B253:C253"/>
    <mergeCell ref="B254:C254"/>
    <mergeCell ref="B282:C282"/>
    <mergeCell ref="B283:C283"/>
    <mergeCell ref="B284:E284"/>
    <mergeCell ref="B285:G285"/>
    <mergeCell ref="B286:G286"/>
    <mergeCell ref="B287:C287"/>
    <mergeCell ref="B274:G274"/>
    <mergeCell ref="B276:C276"/>
    <mergeCell ref="B278:C278"/>
    <mergeCell ref="B279:C279"/>
    <mergeCell ref="B280:C280"/>
    <mergeCell ref="B281:C281"/>
    <mergeCell ref="B268:E268"/>
    <mergeCell ref="B269:F269"/>
    <mergeCell ref="C270:E270"/>
    <mergeCell ref="C271:E271"/>
    <mergeCell ref="C272:G272"/>
    <mergeCell ref="B273:G273"/>
    <mergeCell ref="B301:G301"/>
    <mergeCell ref="B302:G302"/>
    <mergeCell ref="B303:C303"/>
    <mergeCell ref="B304:C304"/>
    <mergeCell ref="B306:C306"/>
    <mergeCell ref="B307:C307"/>
    <mergeCell ref="B295:C295"/>
    <mergeCell ref="B296:C296"/>
    <mergeCell ref="B297:C297"/>
    <mergeCell ref="B298:C300"/>
    <mergeCell ref="D298:E298"/>
    <mergeCell ref="D299:E299"/>
    <mergeCell ref="D300:E300"/>
    <mergeCell ref="B289:C289"/>
    <mergeCell ref="B290:C290"/>
    <mergeCell ref="B291:C291"/>
    <mergeCell ref="B292:C292"/>
    <mergeCell ref="B293:C293"/>
    <mergeCell ref="B294:C294"/>
    <mergeCell ref="B321:E321"/>
    <mergeCell ref="B322:F322"/>
    <mergeCell ref="C323:E323"/>
    <mergeCell ref="C324:E324"/>
    <mergeCell ref="C325:G325"/>
    <mergeCell ref="B326:G326"/>
    <mergeCell ref="B314:C314"/>
    <mergeCell ref="B316:C316"/>
    <mergeCell ref="B317:C317"/>
    <mergeCell ref="B318:E318"/>
    <mergeCell ref="B319:G319"/>
    <mergeCell ref="B320:F320"/>
    <mergeCell ref="B308:C308"/>
    <mergeCell ref="B309:C309"/>
    <mergeCell ref="B310:C310"/>
    <mergeCell ref="B311:E311"/>
    <mergeCell ref="B312:G312"/>
    <mergeCell ref="B313:G313"/>
    <mergeCell ref="B342:C342"/>
    <mergeCell ref="B343:C343"/>
    <mergeCell ref="B344:C344"/>
    <mergeCell ref="B345:C345"/>
    <mergeCell ref="B346:C346"/>
    <mergeCell ref="B347:C347"/>
    <mergeCell ref="B335:C335"/>
    <mergeCell ref="B336:C336"/>
    <mergeCell ref="B337:E337"/>
    <mergeCell ref="B338:G338"/>
    <mergeCell ref="B339:G339"/>
    <mergeCell ref="B340:C340"/>
    <mergeCell ref="B327:G327"/>
    <mergeCell ref="B329:C329"/>
    <mergeCell ref="B331:C331"/>
    <mergeCell ref="B332:C332"/>
    <mergeCell ref="B333:C333"/>
    <mergeCell ref="B334:C334"/>
    <mergeCell ref="B361:C361"/>
    <mergeCell ref="B362:C362"/>
    <mergeCell ref="B363:C363"/>
    <mergeCell ref="B364:E364"/>
    <mergeCell ref="B365:G365"/>
    <mergeCell ref="B366:G366"/>
    <mergeCell ref="B354:G354"/>
    <mergeCell ref="B355:G355"/>
    <mergeCell ref="B356:C356"/>
    <mergeCell ref="B357:C357"/>
    <mergeCell ref="B359:C359"/>
    <mergeCell ref="B360:C360"/>
    <mergeCell ref="B348:C348"/>
    <mergeCell ref="B349:C349"/>
    <mergeCell ref="B350:C350"/>
    <mergeCell ref="B351:C353"/>
    <mergeCell ref="D351:E351"/>
    <mergeCell ref="D352:E352"/>
    <mergeCell ref="D353:E353"/>
    <mergeCell ref="B380:G380"/>
    <mergeCell ref="B382:C382"/>
    <mergeCell ref="B384:C384"/>
    <mergeCell ref="B385:C385"/>
    <mergeCell ref="B386:C386"/>
    <mergeCell ref="B387:C387"/>
    <mergeCell ref="B374:E374"/>
    <mergeCell ref="B375:F375"/>
    <mergeCell ref="C376:E376"/>
    <mergeCell ref="C377:E377"/>
    <mergeCell ref="C378:G378"/>
    <mergeCell ref="B379:G379"/>
    <mergeCell ref="B367:C367"/>
    <mergeCell ref="B369:C369"/>
    <mergeCell ref="B370:C370"/>
    <mergeCell ref="B371:E371"/>
    <mergeCell ref="B372:G372"/>
    <mergeCell ref="B373:F373"/>
    <mergeCell ref="B401:C401"/>
    <mergeCell ref="B402:C402"/>
    <mergeCell ref="B403:C403"/>
    <mergeCell ref="B404:C406"/>
    <mergeCell ref="D404:E404"/>
    <mergeCell ref="D405:E405"/>
    <mergeCell ref="D406:E406"/>
    <mergeCell ref="B395:C395"/>
    <mergeCell ref="B396:C396"/>
    <mergeCell ref="B397:C397"/>
    <mergeCell ref="B398:C398"/>
    <mergeCell ref="B399:C399"/>
    <mergeCell ref="B400:C400"/>
    <mergeCell ref="B388:C388"/>
    <mergeCell ref="B389:C389"/>
    <mergeCell ref="B390:E390"/>
    <mergeCell ref="B391:G391"/>
    <mergeCell ref="B392:G392"/>
    <mergeCell ref="B393:C393"/>
    <mergeCell ref="B420:C420"/>
    <mergeCell ref="B422:C422"/>
    <mergeCell ref="B423:C423"/>
    <mergeCell ref="B424:E424"/>
    <mergeCell ref="B425:G425"/>
    <mergeCell ref="B426:F426"/>
    <mergeCell ref="B414:C414"/>
    <mergeCell ref="B415:C415"/>
    <mergeCell ref="B416:C416"/>
    <mergeCell ref="B417:E417"/>
    <mergeCell ref="B418:G418"/>
    <mergeCell ref="B419:G419"/>
    <mergeCell ref="B407:G407"/>
    <mergeCell ref="B408:G408"/>
    <mergeCell ref="B409:C409"/>
    <mergeCell ref="B410:C410"/>
    <mergeCell ref="B412:C412"/>
    <mergeCell ref="B413:C413"/>
    <mergeCell ref="B441:C441"/>
    <mergeCell ref="B442:C442"/>
    <mergeCell ref="B443:E443"/>
    <mergeCell ref="B444:G444"/>
    <mergeCell ref="B445:G445"/>
    <mergeCell ref="B446:C446"/>
    <mergeCell ref="B433:G433"/>
    <mergeCell ref="B435:C435"/>
    <mergeCell ref="B437:C437"/>
    <mergeCell ref="B438:C438"/>
    <mergeCell ref="B439:C439"/>
    <mergeCell ref="B440:C440"/>
    <mergeCell ref="B427:E427"/>
    <mergeCell ref="B428:F428"/>
    <mergeCell ref="C429:E429"/>
    <mergeCell ref="C430:E430"/>
    <mergeCell ref="C431:G431"/>
    <mergeCell ref="B432:G432"/>
    <mergeCell ref="B460:G460"/>
    <mergeCell ref="B461:G461"/>
    <mergeCell ref="B462:C462"/>
    <mergeCell ref="B463:C463"/>
    <mergeCell ref="B465:C465"/>
    <mergeCell ref="B466:C466"/>
    <mergeCell ref="B454:C454"/>
    <mergeCell ref="B455:C455"/>
    <mergeCell ref="B456:C456"/>
    <mergeCell ref="B457:C459"/>
    <mergeCell ref="D457:E457"/>
    <mergeCell ref="D458:E458"/>
    <mergeCell ref="D459:E459"/>
    <mergeCell ref="B448:C448"/>
    <mergeCell ref="B449:C449"/>
    <mergeCell ref="B450:C450"/>
    <mergeCell ref="B451:C451"/>
    <mergeCell ref="B452:C452"/>
    <mergeCell ref="B453:C453"/>
    <mergeCell ref="B480:E480"/>
    <mergeCell ref="B481:F481"/>
    <mergeCell ref="C482:E482"/>
    <mergeCell ref="C483:E483"/>
    <mergeCell ref="C484:G484"/>
    <mergeCell ref="B485:G485"/>
    <mergeCell ref="B473:C473"/>
    <mergeCell ref="B475:C475"/>
    <mergeCell ref="B476:C476"/>
    <mergeCell ref="B477:E477"/>
    <mergeCell ref="B478:G478"/>
    <mergeCell ref="B479:F479"/>
    <mergeCell ref="B467:C467"/>
    <mergeCell ref="B468:C468"/>
    <mergeCell ref="B469:C469"/>
    <mergeCell ref="B470:E470"/>
    <mergeCell ref="B471:G471"/>
    <mergeCell ref="B472:G472"/>
    <mergeCell ref="B501:C501"/>
    <mergeCell ref="B502:C502"/>
    <mergeCell ref="B503:C503"/>
    <mergeCell ref="B504:C504"/>
    <mergeCell ref="B505:C505"/>
    <mergeCell ref="B506:C506"/>
    <mergeCell ref="B494:C494"/>
    <mergeCell ref="B495:C495"/>
    <mergeCell ref="B496:E496"/>
    <mergeCell ref="B497:G497"/>
    <mergeCell ref="B498:G498"/>
    <mergeCell ref="B499:C499"/>
    <mergeCell ref="B486:G486"/>
    <mergeCell ref="B488:C488"/>
    <mergeCell ref="B490:C490"/>
    <mergeCell ref="B491:C491"/>
    <mergeCell ref="B492:C492"/>
    <mergeCell ref="B493:C493"/>
    <mergeCell ref="B520:C520"/>
    <mergeCell ref="B521:C521"/>
    <mergeCell ref="B522:C522"/>
    <mergeCell ref="B523:E523"/>
    <mergeCell ref="B524:G524"/>
    <mergeCell ref="B525:G525"/>
    <mergeCell ref="B513:G513"/>
    <mergeCell ref="B514:G514"/>
    <mergeCell ref="B515:C515"/>
    <mergeCell ref="B516:C516"/>
    <mergeCell ref="B518:C518"/>
    <mergeCell ref="B519:C519"/>
    <mergeCell ref="B507:C507"/>
    <mergeCell ref="B508:C508"/>
    <mergeCell ref="B509:C509"/>
    <mergeCell ref="B510:C512"/>
    <mergeCell ref="D510:E510"/>
    <mergeCell ref="D511:E511"/>
    <mergeCell ref="D512:E512"/>
    <mergeCell ref="B539:G539"/>
    <mergeCell ref="B541:C541"/>
    <mergeCell ref="B543:C543"/>
    <mergeCell ref="B544:C544"/>
    <mergeCell ref="B545:C545"/>
    <mergeCell ref="B546:C546"/>
    <mergeCell ref="B533:E533"/>
    <mergeCell ref="B534:F534"/>
    <mergeCell ref="C535:E535"/>
    <mergeCell ref="C536:E536"/>
    <mergeCell ref="C537:G537"/>
    <mergeCell ref="B538:G538"/>
    <mergeCell ref="B526:C526"/>
    <mergeCell ref="B528:C528"/>
    <mergeCell ref="B529:C529"/>
    <mergeCell ref="B530:E530"/>
    <mergeCell ref="B531:G531"/>
    <mergeCell ref="B532:F532"/>
    <mergeCell ref="B560:C560"/>
    <mergeCell ref="B561:C561"/>
    <mergeCell ref="B562:C562"/>
    <mergeCell ref="B563:C565"/>
    <mergeCell ref="D563:E563"/>
    <mergeCell ref="D564:E564"/>
    <mergeCell ref="D565:E565"/>
    <mergeCell ref="B554:C554"/>
    <mergeCell ref="B555:C555"/>
    <mergeCell ref="B556:C556"/>
    <mergeCell ref="B557:C557"/>
    <mergeCell ref="B558:C558"/>
    <mergeCell ref="B559:C559"/>
    <mergeCell ref="B547:C547"/>
    <mergeCell ref="B548:C548"/>
    <mergeCell ref="B549:E549"/>
    <mergeCell ref="B550:G550"/>
    <mergeCell ref="B551:G551"/>
    <mergeCell ref="B552:C552"/>
    <mergeCell ref="B579:C579"/>
    <mergeCell ref="B581:C581"/>
    <mergeCell ref="B582:C582"/>
    <mergeCell ref="B583:E583"/>
    <mergeCell ref="B584:G584"/>
    <mergeCell ref="B585:F585"/>
    <mergeCell ref="B573:C573"/>
    <mergeCell ref="B574:C574"/>
    <mergeCell ref="B575:C575"/>
    <mergeCell ref="B576:E576"/>
    <mergeCell ref="B577:G577"/>
    <mergeCell ref="B578:G578"/>
    <mergeCell ref="B566:G566"/>
    <mergeCell ref="B567:G567"/>
    <mergeCell ref="B568:C568"/>
    <mergeCell ref="B569:C569"/>
    <mergeCell ref="B571:C571"/>
    <mergeCell ref="B572:C572"/>
    <mergeCell ref="B600:C600"/>
    <mergeCell ref="B601:C601"/>
    <mergeCell ref="B602:E602"/>
    <mergeCell ref="B603:G603"/>
    <mergeCell ref="B604:G604"/>
    <mergeCell ref="B605:C605"/>
    <mergeCell ref="B592:G592"/>
    <mergeCell ref="B594:C594"/>
    <mergeCell ref="B596:C596"/>
    <mergeCell ref="B597:C597"/>
    <mergeCell ref="B598:C598"/>
    <mergeCell ref="B599:C599"/>
    <mergeCell ref="B586:E586"/>
    <mergeCell ref="B587:F587"/>
    <mergeCell ref="C588:E588"/>
    <mergeCell ref="C589:E589"/>
    <mergeCell ref="C590:G590"/>
    <mergeCell ref="B591:G591"/>
    <mergeCell ref="B619:G619"/>
    <mergeCell ref="B620:G620"/>
    <mergeCell ref="B621:C621"/>
    <mergeCell ref="B622:C622"/>
    <mergeCell ref="B624:C624"/>
    <mergeCell ref="B625:C625"/>
    <mergeCell ref="B613:C613"/>
    <mergeCell ref="B614:C614"/>
    <mergeCell ref="B615:C615"/>
    <mergeCell ref="B616:C618"/>
    <mergeCell ref="D616:E616"/>
    <mergeCell ref="D617:E617"/>
    <mergeCell ref="D618:E618"/>
    <mergeCell ref="B607:C607"/>
    <mergeCell ref="B608:C608"/>
    <mergeCell ref="B609:C609"/>
    <mergeCell ref="B610:C610"/>
    <mergeCell ref="B611:C611"/>
    <mergeCell ref="B612:C612"/>
    <mergeCell ref="B639:E639"/>
    <mergeCell ref="B640:F640"/>
    <mergeCell ref="C641:E641"/>
    <mergeCell ref="C642:E642"/>
    <mergeCell ref="C643:G643"/>
    <mergeCell ref="B644:G644"/>
    <mergeCell ref="B632:C632"/>
    <mergeCell ref="B634:C634"/>
    <mergeCell ref="B635:C635"/>
    <mergeCell ref="B636:E636"/>
    <mergeCell ref="B637:G637"/>
    <mergeCell ref="B638:F638"/>
    <mergeCell ref="B626:C626"/>
    <mergeCell ref="B627:C627"/>
    <mergeCell ref="B628:C628"/>
    <mergeCell ref="B629:E629"/>
    <mergeCell ref="B630:G630"/>
    <mergeCell ref="B631:G631"/>
    <mergeCell ref="B660:C660"/>
    <mergeCell ref="B661:C661"/>
    <mergeCell ref="B662:C662"/>
    <mergeCell ref="B663:C663"/>
    <mergeCell ref="B664:C664"/>
    <mergeCell ref="B665:C665"/>
    <mergeCell ref="B653:C653"/>
    <mergeCell ref="B654:C654"/>
    <mergeCell ref="B655:E655"/>
    <mergeCell ref="B656:G656"/>
    <mergeCell ref="B657:G657"/>
    <mergeCell ref="B658:C658"/>
    <mergeCell ref="B645:G645"/>
    <mergeCell ref="B647:C647"/>
    <mergeCell ref="B649:C649"/>
    <mergeCell ref="B650:C650"/>
    <mergeCell ref="B651:C651"/>
    <mergeCell ref="B652:C652"/>
    <mergeCell ref="B679:C679"/>
    <mergeCell ref="B680:C680"/>
    <mergeCell ref="B681:C681"/>
    <mergeCell ref="B682:E682"/>
    <mergeCell ref="B683:G683"/>
    <mergeCell ref="B684:G684"/>
    <mergeCell ref="B672:G672"/>
    <mergeCell ref="B673:G673"/>
    <mergeCell ref="B674:C674"/>
    <mergeCell ref="B675:C675"/>
    <mergeCell ref="B677:C677"/>
    <mergeCell ref="B678:C678"/>
    <mergeCell ref="B666:C666"/>
    <mergeCell ref="B667:C667"/>
    <mergeCell ref="B668:C668"/>
    <mergeCell ref="B669:C671"/>
    <mergeCell ref="D669:E669"/>
    <mergeCell ref="D670:E670"/>
    <mergeCell ref="D671:E671"/>
    <mergeCell ref="B698:G698"/>
    <mergeCell ref="B700:C700"/>
    <mergeCell ref="B702:C702"/>
    <mergeCell ref="B703:C703"/>
    <mergeCell ref="B704:C704"/>
    <mergeCell ref="B705:C705"/>
    <mergeCell ref="B692:E692"/>
    <mergeCell ref="B693:F693"/>
    <mergeCell ref="C694:E694"/>
    <mergeCell ref="C695:E695"/>
    <mergeCell ref="C696:G696"/>
    <mergeCell ref="B697:G697"/>
    <mergeCell ref="B685:C685"/>
    <mergeCell ref="B687:C687"/>
    <mergeCell ref="B688:C688"/>
    <mergeCell ref="B689:E689"/>
    <mergeCell ref="B690:G690"/>
    <mergeCell ref="B691:F691"/>
    <mergeCell ref="B719:C719"/>
    <mergeCell ref="B720:C720"/>
    <mergeCell ref="B721:C721"/>
    <mergeCell ref="B722:C724"/>
    <mergeCell ref="D722:E722"/>
    <mergeCell ref="D723:E723"/>
    <mergeCell ref="D724:E724"/>
    <mergeCell ref="B713:C713"/>
    <mergeCell ref="B714:C714"/>
    <mergeCell ref="B715:C715"/>
    <mergeCell ref="B716:C716"/>
    <mergeCell ref="B717:C717"/>
    <mergeCell ref="B718:C718"/>
    <mergeCell ref="B706:C706"/>
    <mergeCell ref="B707:C707"/>
    <mergeCell ref="B708:E708"/>
    <mergeCell ref="B709:G709"/>
    <mergeCell ref="B710:G710"/>
    <mergeCell ref="B711:C711"/>
    <mergeCell ref="B738:C738"/>
    <mergeCell ref="B740:C740"/>
    <mergeCell ref="B741:C741"/>
    <mergeCell ref="B742:E742"/>
    <mergeCell ref="B743:G743"/>
    <mergeCell ref="B744:F744"/>
    <mergeCell ref="B732:C732"/>
    <mergeCell ref="B733:C733"/>
    <mergeCell ref="B734:C734"/>
    <mergeCell ref="B735:E735"/>
    <mergeCell ref="B736:G736"/>
    <mergeCell ref="B737:G737"/>
    <mergeCell ref="B725:G725"/>
    <mergeCell ref="B726:G726"/>
    <mergeCell ref="B727:C727"/>
    <mergeCell ref="B728:C728"/>
    <mergeCell ref="B730:C730"/>
    <mergeCell ref="B731:C731"/>
    <mergeCell ref="B759:C759"/>
    <mergeCell ref="B760:C760"/>
    <mergeCell ref="B761:E761"/>
    <mergeCell ref="B762:G762"/>
    <mergeCell ref="B763:G763"/>
    <mergeCell ref="B764:C764"/>
    <mergeCell ref="B751:G751"/>
    <mergeCell ref="B753:C753"/>
    <mergeCell ref="B755:C755"/>
    <mergeCell ref="B756:C756"/>
    <mergeCell ref="B757:C757"/>
    <mergeCell ref="B758:C758"/>
    <mergeCell ref="B745:E745"/>
    <mergeCell ref="B746:F746"/>
    <mergeCell ref="C747:E747"/>
    <mergeCell ref="C748:E748"/>
    <mergeCell ref="C749:G749"/>
    <mergeCell ref="B750:G750"/>
    <mergeCell ref="B778:G778"/>
    <mergeCell ref="B779:G779"/>
    <mergeCell ref="B780:C780"/>
    <mergeCell ref="B781:C781"/>
    <mergeCell ref="B783:C783"/>
    <mergeCell ref="B784:C784"/>
    <mergeCell ref="B772:C772"/>
    <mergeCell ref="B773:C773"/>
    <mergeCell ref="B774:C774"/>
    <mergeCell ref="B775:C777"/>
    <mergeCell ref="D775:E775"/>
    <mergeCell ref="D776:E776"/>
    <mergeCell ref="D777:E777"/>
    <mergeCell ref="B766:C766"/>
    <mergeCell ref="B767:C767"/>
    <mergeCell ref="B768:C768"/>
    <mergeCell ref="B769:C769"/>
    <mergeCell ref="B770:C770"/>
    <mergeCell ref="B771:C771"/>
    <mergeCell ref="B798:E798"/>
    <mergeCell ref="B799:F799"/>
    <mergeCell ref="C800:E800"/>
    <mergeCell ref="C801:E801"/>
    <mergeCell ref="C802:G802"/>
    <mergeCell ref="B803:G803"/>
    <mergeCell ref="B791:C791"/>
    <mergeCell ref="B793:C793"/>
    <mergeCell ref="B794:C794"/>
    <mergeCell ref="B795:E795"/>
    <mergeCell ref="B796:G796"/>
    <mergeCell ref="B797:F797"/>
    <mergeCell ref="B785:C785"/>
    <mergeCell ref="B786:C786"/>
    <mergeCell ref="B787:C787"/>
    <mergeCell ref="B788:E788"/>
    <mergeCell ref="B789:G789"/>
    <mergeCell ref="B790:G790"/>
    <mergeCell ref="B819:C819"/>
    <mergeCell ref="B820:C820"/>
    <mergeCell ref="B821:C821"/>
    <mergeCell ref="B822:C822"/>
    <mergeCell ref="B823:C823"/>
    <mergeCell ref="B824:C824"/>
    <mergeCell ref="B812:C812"/>
    <mergeCell ref="B813:C813"/>
    <mergeCell ref="B814:E814"/>
    <mergeCell ref="B815:G815"/>
    <mergeCell ref="B816:G816"/>
    <mergeCell ref="B817:C817"/>
    <mergeCell ref="B804:G804"/>
    <mergeCell ref="B806:C806"/>
    <mergeCell ref="B808:C808"/>
    <mergeCell ref="B809:C809"/>
    <mergeCell ref="B810:C810"/>
    <mergeCell ref="B811:C811"/>
    <mergeCell ref="B838:C838"/>
    <mergeCell ref="B839:C839"/>
    <mergeCell ref="B840:C840"/>
    <mergeCell ref="B841:E841"/>
    <mergeCell ref="B842:G842"/>
    <mergeCell ref="B843:G843"/>
    <mergeCell ref="B831:G831"/>
    <mergeCell ref="B832:G832"/>
    <mergeCell ref="B833:C833"/>
    <mergeCell ref="B834:C834"/>
    <mergeCell ref="B836:C836"/>
    <mergeCell ref="B837:C837"/>
    <mergeCell ref="B825:C825"/>
    <mergeCell ref="B826:C826"/>
    <mergeCell ref="B827:C827"/>
    <mergeCell ref="B828:C830"/>
    <mergeCell ref="D828:E828"/>
    <mergeCell ref="D829:E829"/>
    <mergeCell ref="D830:E830"/>
    <mergeCell ref="B857:G857"/>
    <mergeCell ref="B859:C859"/>
    <mergeCell ref="B861:C861"/>
    <mergeCell ref="B862:C862"/>
    <mergeCell ref="B863:C863"/>
    <mergeCell ref="B864:C864"/>
    <mergeCell ref="B851:E851"/>
    <mergeCell ref="B852:F852"/>
    <mergeCell ref="C853:E853"/>
    <mergeCell ref="C854:E854"/>
    <mergeCell ref="C855:G855"/>
    <mergeCell ref="B856:G856"/>
    <mergeCell ref="B844:C844"/>
    <mergeCell ref="B846:C846"/>
    <mergeCell ref="B847:C847"/>
    <mergeCell ref="B848:E848"/>
    <mergeCell ref="B849:G849"/>
    <mergeCell ref="B850:F850"/>
    <mergeCell ref="B878:C878"/>
    <mergeCell ref="B879:C879"/>
    <mergeCell ref="B880:C880"/>
    <mergeCell ref="B881:C883"/>
    <mergeCell ref="D881:E881"/>
    <mergeCell ref="D882:E882"/>
    <mergeCell ref="D883:E883"/>
    <mergeCell ref="B872:C872"/>
    <mergeCell ref="B873:C873"/>
    <mergeCell ref="B874:C874"/>
    <mergeCell ref="B875:C875"/>
    <mergeCell ref="B876:C876"/>
    <mergeCell ref="B877:C877"/>
    <mergeCell ref="B865:C865"/>
    <mergeCell ref="B866:C866"/>
    <mergeCell ref="B867:E867"/>
    <mergeCell ref="B868:G868"/>
    <mergeCell ref="B869:G869"/>
    <mergeCell ref="B870:C870"/>
    <mergeCell ref="B897:C897"/>
    <mergeCell ref="B899:C899"/>
    <mergeCell ref="B900:C900"/>
    <mergeCell ref="B901:E901"/>
    <mergeCell ref="B902:G902"/>
    <mergeCell ref="B903:F903"/>
    <mergeCell ref="B891:C891"/>
    <mergeCell ref="B892:C892"/>
    <mergeCell ref="B893:C893"/>
    <mergeCell ref="B894:E894"/>
    <mergeCell ref="B895:G895"/>
    <mergeCell ref="B896:G896"/>
    <mergeCell ref="B884:G884"/>
    <mergeCell ref="B885:G885"/>
    <mergeCell ref="B886:C886"/>
    <mergeCell ref="B887:C887"/>
    <mergeCell ref="B889:C889"/>
    <mergeCell ref="B890:C890"/>
    <mergeCell ref="B918:C918"/>
    <mergeCell ref="B919:C919"/>
    <mergeCell ref="B920:E920"/>
    <mergeCell ref="B921:G921"/>
    <mergeCell ref="B922:G922"/>
    <mergeCell ref="B923:C923"/>
    <mergeCell ref="B910:G910"/>
    <mergeCell ref="B912:C912"/>
    <mergeCell ref="B914:C914"/>
    <mergeCell ref="B915:C915"/>
    <mergeCell ref="B916:C916"/>
    <mergeCell ref="B917:C917"/>
    <mergeCell ref="B904:E904"/>
    <mergeCell ref="B905:F905"/>
    <mergeCell ref="C906:E906"/>
    <mergeCell ref="C907:E907"/>
    <mergeCell ref="C908:G908"/>
    <mergeCell ref="B909:G909"/>
    <mergeCell ref="B937:G937"/>
    <mergeCell ref="B938:G938"/>
    <mergeCell ref="B939:C939"/>
    <mergeCell ref="B940:C940"/>
    <mergeCell ref="B942:C942"/>
    <mergeCell ref="B943:C943"/>
    <mergeCell ref="B931:C931"/>
    <mergeCell ref="B932:C932"/>
    <mergeCell ref="B933:C933"/>
    <mergeCell ref="B934:C936"/>
    <mergeCell ref="D934:E934"/>
    <mergeCell ref="D935:E935"/>
    <mergeCell ref="D936:E936"/>
    <mergeCell ref="B925:C925"/>
    <mergeCell ref="B926:C926"/>
    <mergeCell ref="B927:C927"/>
    <mergeCell ref="B928:C928"/>
    <mergeCell ref="B929:C929"/>
    <mergeCell ref="B930:C930"/>
    <mergeCell ref="B957:E957"/>
    <mergeCell ref="B958:F958"/>
    <mergeCell ref="C959:E959"/>
    <mergeCell ref="C960:E960"/>
    <mergeCell ref="C961:G961"/>
    <mergeCell ref="B962:G962"/>
    <mergeCell ref="B950:C950"/>
    <mergeCell ref="B952:C952"/>
    <mergeCell ref="B953:C953"/>
    <mergeCell ref="B954:E954"/>
    <mergeCell ref="B955:G955"/>
    <mergeCell ref="B956:F956"/>
    <mergeCell ref="B944:C944"/>
    <mergeCell ref="B945:C945"/>
    <mergeCell ref="B946:C946"/>
    <mergeCell ref="B947:E947"/>
    <mergeCell ref="B948:G948"/>
    <mergeCell ref="B949:G949"/>
    <mergeCell ref="B978:C978"/>
    <mergeCell ref="B979:C979"/>
    <mergeCell ref="B980:C980"/>
    <mergeCell ref="B981:C981"/>
    <mergeCell ref="B982:C982"/>
    <mergeCell ref="B983:C983"/>
    <mergeCell ref="B971:C971"/>
    <mergeCell ref="B972:C972"/>
    <mergeCell ref="B973:E973"/>
    <mergeCell ref="B974:G974"/>
    <mergeCell ref="B975:G975"/>
    <mergeCell ref="B976:C976"/>
    <mergeCell ref="B963:G963"/>
    <mergeCell ref="B965:C965"/>
    <mergeCell ref="B967:C967"/>
    <mergeCell ref="B968:C968"/>
    <mergeCell ref="B969:C969"/>
    <mergeCell ref="B970:C970"/>
    <mergeCell ref="B997:C997"/>
    <mergeCell ref="B998:C998"/>
    <mergeCell ref="B999:C999"/>
    <mergeCell ref="B1000:E1000"/>
    <mergeCell ref="B1001:G1001"/>
    <mergeCell ref="B1002:G1002"/>
    <mergeCell ref="B990:G990"/>
    <mergeCell ref="B991:G991"/>
    <mergeCell ref="B992:C992"/>
    <mergeCell ref="B993:C993"/>
    <mergeCell ref="B995:C995"/>
    <mergeCell ref="B996:C996"/>
    <mergeCell ref="B984:C984"/>
    <mergeCell ref="B985:C985"/>
    <mergeCell ref="B986:C986"/>
    <mergeCell ref="B987:C989"/>
    <mergeCell ref="D987:E987"/>
    <mergeCell ref="D988:E988"/>
    <mergeCell ref="D989:E989"/>
    <mergeCell ref="B1016:G1016"/>
    <mergeCell ref="B1018:C1018"/>
    <mergeCell ref="B1020:C1020"/>
    <mergeCell ref="B1021:C1021"/>
    <mergeCell ref="B1022:C1022"/>
    <mergeCell ref="B1023:C1023"/>
    <mergeCell ref="B1010:E1010"/>
    <mergeCell ref="B1011:F1011"/>
    <mergeCell ref="C1012:E1012"/>
    <mergeCell ref="C1013:E1013"/>
    <mergeCell ref="C1014:G1014"/>
    <mergeCell ref="B1015:G1015"/>
    <mergeCell ref="B1003:C1003"/>
    <mergeCell ref="B1005:C1005"/>
    <mergeCell ref="B1006:C1006"/>
    <mergeCell ref="B1007:E1007"/>
    <mergeCell ref="B1008:G1008"/>
    <mergeCell ref="B1009:F1009"/>
    <mergeCell ref="B1037:C1037"/>
    <mergeCell ref="B1038:C1038"/>
    <mergeCell ref="B1039:C1039"/>
    <mergeCell ref="B1040:C1042"/>
    <mergeCell ref="D1040:E1040"/>
    <mergeCell ref="D1041:E1041"/>
    <mergeCell ref="D1042:E1042"/>
    <mergeCell ref="B1031:C1031"/>
    <mergeCell ref="B1032:C1032"/>
    <mergeCell ref="B1033:C1033"/>
    <mergeCell ref="B1034:C1034"/>
    <mergeCell ref="B1035:C1035"/>
    <mergeCell ref="B1036:C1036"/>
    <mergeCell ref="B1024:C1024"/>
    <mergeCell ref="B1025:C1025"/>
    <mergeCell ref="B1026:E1026"/>
    <mergeCell ref="B1027:G1027"/>
    <mergeCell ref="B1028:G1028"/>
    <mergeCell ref="B1029:C1029"/>
    <mergeCell ref="B1056:C1056"/>
    <mergeCell ref="B1058:C1058"/>
    <mergeCell ref="B1059:C1059"/>
    <mergeCell ref="B1060:E1060"/>
    <mergeCell ref="B1061:G1061"/>
    <mergeCell ref="B1062:F1062"/>
    <mergeCell ref="B1050:C1050"/>
    <mergeCell ref="B1051:C1051"/>
    <mergeCell ref="B1052:C1052"/>
    <mergeCell ref="B1053:E1053"/>
    <mergeCell ref="B1054:G1054"/>
    <mergeCell ref="B1055:G1055"/>
    <mergeCell ref="B1043:G1043"/>
    <mergeCell ref="B1044:G1044"/>
    <mergeCell ref="B1045:C1045"/>
    <mergeCell ref="B1046:C1046"/>
    <mergeCell ref="B1048:C1048"/>
    <mergeCell ref="B1049:C1049"/>
    <mergeCell ref="B1077:C1077"/>
    <mergeCell ref="B1078:C1078"/>
    <mergeCell ref="B1079:E1079"/>
    <mergeCell ref="B1080:G1080"/>
    <mergeCell ref="B1081:G1081"/>
    <mergeCell ref="B1082:C1082"/>
    <mergeCell ref="B1069:G1069"/>
    <mergeCell ref="B1071:C1071"/>
    <mergeCell ref="B1073:C1073"/>
    <mergeCell ref="B1074:C1074"/>
    <mergeCell ref="B1075:C1075"/>
    <mergeCell ref="B1076:C1076"/>
    <mergeCell ref="B1063:E1063"/>
    <mergeCell ref="B1064:F1064"/>
    <mergeCell ref="C1065:E1065"/>
    <mergeCell ref="C1066:E1066"/>
    <mergeCell ref="C1067:G1067"/>
    <mergeCell ref="B1068:G1068"/>
    <mergeCell ref="B1096:G1096"/>
    <mergeCell ref="B1097:G1097"/>
    <mergeCell ref="B1098:C1098"/>
    <mergeCell ref="B1099:C1099"/>
    <mergeCell ref="B1101:C1101"/>
    <mergeCell ref="B1102:C1102"/>
    <mergeCell ref="B1090:C1090"/>
    <mergeCell ref="B1091:C1091"/>
    <mergeCell ref="B1092:C1092"/>
    <mergeCell ref="B1093:C1095"/>
    <mergeCell ref="D1093:E1093"/>
    <mergeCell ref="D1094:E1094"/>
    <mergeCell ref="D1095:E1095"/>
    <mergeCell ref="B1084:C1084"/>
    <mergeCell ref="B1085:C1085"/>
    <mergeCell ref="B1086:C1086"/>
    <mergeCell ref="B1087:C1087"/>
    <mergeCell ref="B1088:C1088"/>
    <mergeCell ref="B1089:C1089"/>
    <mergeCell ref="B1116:E1116"/>
    <mergeCell ref="B1117:F1117"/>
    <mergeCell ref="C1118:E1118"/>
    <mergeCell ref="C1119:E1119"/>
    <mergeCell ref="C1120:G1120"/>
    <mergeCell ref="B1121:G1121"/>
    <mergeCell ref="B1109:C1109"/>
    <mergeCell ref="B1111:C1111"/>
    <mergeCell ref="B1112:C1112"/>
    <mergeCell ref="B1113:E1113"/>
    <mergeCell ref="B1114:G1114"/>
    <mergeCell ref="B1115:F1115"/>
    <mergeCell ref="B1103:C1103"/>
    <mergeCell ref="B1104:C1104"/>
    <mergeCell ref="B1105:C1105"/>
    <mergeCell ref="B1106:E1106"/>
    <mergeCell ref="B1107:G1107"/>
    <mergeCell ref="B1108:G1108"/>
    <mergeCell ref="B1137:C1137"/>
    <mergeCell ref="B1138:C1138"/>
    <mergeCell ref="B1139:C1139"/>
    <mergeCell ref="B1140:C1140"/>
    <mergeCell ref="B1141:C1141"/>
    <mergeCell ref="B1142:C1142"/>
    <mergeCell ref="B1130:C1130"/>
    <mergeCell ref="B1131:C1131"/>
    <mergeCell ref="B1132:E1132"/>
    <mergeCell ref="B1133:G1133"/>
    <mergeCell ref="B1134:G1134"/>
    <mergeCell ref="B1135:C1135"/>
    <mergeCell ref="B1122:G1122"/>
    <mergeCell ref="B1124:C1124"/>
    <mergeCell ref="B1126:C1126"/>
    <mergeCell ref="B1127:C1127"/>
    <mergeCell ref="B1128:C1128"/>
    <mergeCell ref="B1129:C1129"/>
    <mergeCell ref="B1156:C1156"/>
    <mergeCell ref="B1157:C1157"/>
    <mergeCell ref="B1158:C1158"/>
    <mergeCell ref="B1159:E1159"/>
    <mergeCell ref="B1160:G1160"/>
    <mergeCell ref="B1161:G1161"/>
    <mergeCell ref="B1149:G1149"/>
    <mergeCell ref="B1150:G1150"/>
    <mergeCell ref="B1151:C1151"/>
    <mergeCell ref="B1152:C1152"/>
    <mergeCell ref="B1154:C1154"/>
    <mergeCell ref="B1155:C1155"/>
    <mergeCell ref="B1143:C1143"/>
    <mergeCell ref="B1144:C1144"/>
    <mergeCell ref="B1145:C1145"/>
    <mergeCell ref="B1146:C1148"/>
    <mergeCell ref="D1146:E1146"/>
    <mergeCell ref="D1147:E1147"/>
    <mergeCell ref="D1148:E1148"/>
    <mergeCell ref="B1175:G1175"/>
    <mergeCell ref="B1177:C1177"/>
    <mergeCell ref="B1179:C1179"/>
    <mergeCell ref="B1180:C1180"/>
    <mergeCell ref="B1181:C1181"/>
    <mergeCell ref="B1182:C1182"/>
    <mergeCell ref="B1169:E1169"/>
    <mergeCell ref="B1170:F1170"/>
    <mergeCell ref="C1171:E1171"/>
    <mergeCell ref="C1172:E1172"/>
    <mergeCell ref="C1173:G1173"/>
    <mergeCell ref="B1174:G1174"/>
    <mergeCell ref="B1162:C1162"/>
    <mergeCell ref="B1164:C1164"/>
    <mergeCell ref="B1165:C1165"/>
    <mergeCell ref="B1166:E1166"/>
    <mergeCell ref="B1167:G1167"/>
    <mergeCell ref="B1168:F1168"/>
    <mergeCell ref="B1196:C1196"/>
    <mergeCell ref="B1197:C1197"/>
    <mergeCell ref="B1198:C1198"/>
    <mergeCell ref="B1199:C1201"/>
    <mergeCell ref="D1199:E1199"/>
    <mergeCell ref="D1200:E1200"/>
    <mergeCell ref="D1201:E1201"/>
    <mergeCell ref="B1190:C1190"/>
    <mergeCell ref="B1191:C1191"/>
    <mergeCell ref="B1192:C1192"/>
    <mergeCell ref="B1193:C1193"/>
    <mergeCell ref="B1194:C1194"/>
    <mergeCell ref="B1195:C1195"/>
    <mergeCell ref="B1183:C1183"/>
    <mergeCell ref="B1184:C1184"/>
    <mergeCell ref="B1185:E1185"/>
    <mergeCell ref="B1186:G1186"/>
    <mergeCell ref="B1187:G1187"/>
    <mergeCell ref="B1188:C1188"/>
    <mergeCell ref="B1222:E1222"/>
    <mergeCell ref="B1223:F1223"/>
    <mergeCell ref="B1215:C1215"/>
    <mergeCell ref="B1217:C1217"/>
    <mergeCell ref="B1218:C1218"/>
    <mergeCell ref="B1219:E1219"/>
    <mergeCell ref="B1220:G1220"/>
    <mergeCell ref="B1221:F1221"/>
    <mergeCell ref="B1209:C1209"/>
    <mergeCell ref="B1210:C1210"/>
    <mergeCell ref="B1211:C1211"/>
    <mergeCell ref="B1212:E1212"/>
    <mergeCell ref="B1213:G1213"/>
    <mergeCell ref="B1214:G1214"/>
    <mergeCell ref="B1202:G1202"/>
    <mergeCell ref="B1203:G1203"/>
    <mergeCell ref="B1204:C1204"/>
    <mergeCell ref="B1205:C1205"/>
    <mergeCell ref="B1207:C1207"/>
    <mergeCell ref="B1208:C1208"/>
  </mergeCells>
  <phoneticPr fontId="0" type="noConversion"/>
  <hyperlinks>
    <hyperlink ref="H6" location="'ITEMS RESUMEN'!MAMPOSTERIA" display="volver"/>
    <hyperlink ref="H32" location="'ITEMS RESUMEN'!MAMPOSTERIA" display="volver"/>
    <hyperlink ref="H58" location="'ITEMS RESUMEN'!MAMPOSTERIA" display="volver"/>
    <hyperlink ref="H85" location="'ITEMS RESUMEN'!MAMPOSTERIA" display="volver"/>
    <hyperlink ref="H111" location="'ITEMS RESUMEN'!MAMPOSTERIA" display="volver"/>
    <hyperlink ref="H138" location="'ITEMS RESUMEN'!MAMPOSTERIA" display="volver"/>
    <hyperlink ref="H164" location="'ITEMS RESUMEN'!MAMPOSTERIA" display="volver"/>
    <hyperlink ref="H191" location="'ITEMS RESUMEN'!MAMPOSTERIA" display="volver"/>
    <hyperlink ref="H217" location="'ITEMS RESUMEN'!MAMPOSTERIA" display="volver"/>
    <hyperlink ref="H243" location="'ITEMS RESUMEN'!MAMPOSTERIA" display="volver"/>
    <hyperlink ref="H269" location="'ITEMS RESUMEN'!MAMPOSTERIA" display="volver"/>
    <hyperlink ref="H296" location="'ITEMS RESUMEN'!MAMPOSTERIA" display="volver"/>
    <hyperlink ref="H322" location="'ITEMS RESUMEN'!MAMPOSTERIA" display="volver"/>
    <hyperlink ref="H349" location="'ITEMS RESUMEN'!MAMPOSTERIA" display="volver"/>
    <hyperlink ref="H375" location="'ITEMS RESUMEN'!MAMPOSTERIA" display="volver"/>
    <hyperlink ref="H402" location="'ITEMS RESUMEN'!MAMPOSTERIA" display="volver"/>
    <hyperlink ref="H428" location="'ITEMS RESUMEN'!MAMPOSTERIA" display="volver"/>
    <hyperlink ref="H455" location="'ITEMS RESUMEN'!MAMPOSTERIA" display="volver"/>
    <hyperlink ref="H481" location="'ITEMS RESUMEN'!MAMPOSTERIA" display="volver"/>
    <hyperlink ref="H508" location="'ITEMS RESUMEN'!MAMPOSTERIA" display="volver"/>
    <hyperlink ref="H534" location="'ITEMS RESUMEN'!MAMPOSTERIA" display="volver"/>
    <hyperlink ref="H561" location="'ITEMS RESUMEN'!MAMPOSTERIA" display="volver"/>
    <hyperlink ref="H587" location="'ITEMS RESUMEN'!MAMPOSTERIA" display="volver"/>
    <hyperlink ref="H614" location="'ITEMS RESUMEN'!MAMPOSTERIA" display="volver"/>
    <hyperlink ref="H640" location="'ITEMS RESUMEN'!MAMPOSTERIA" display="volver"/>
    <hyperlink ref="H667" location="'ITEMS RESUMEN'!MAMPOSTERIA" display="volver"/>
    <hyperlink ref="H693" location="'ITEMS RESUMEN'!MAMPOSTERIA" display="volver"/>
    <hyperlink ref="H720" location="'ITEMS RESUMEN'!MAMPOSTERIA" display="volver"/>
    <hyperlink ref="H746" location="'ITEMS RESUMEN'!MAMPOSTERIA" display="volver"/>
    <hyperlink ref="H773" location="'ITEMS RESUMEN'!MAMPOSTERIA" display="volver"/>
    <hyperlink ref="H799" location="'ITEMS RESUMEN'!MAMPOSTERIA" display="volver"/>
    <hyperlink ref="H826" location="'ITEMS RESUMEN'!MAMPOSTERIA" display="volver"/>
    <hyperlink ref="H852" location="'ITEMS RESUMEN'!MAMPOSTERIA" display="volver"/>
    <hyperlink ref="H879" location="'ITEMS RESUMEN'!MAMPOSTERIA" display="volver"/>
    <hyperlink ref="H905" location="'ITEMS RESUMEN'!MAMPOSTERIA" display="volver"/>
    <hyperlink ref="H932" location="'ITEMS RESUMEN'!MAMPOSTERIA" display="volver"/>
    <hyperlink ref="H958" location="'ITEMS RESUMEN'!MAMPOSTERIA" display="volver"/>
    <hyperlink ref="H985" location="'ITEMS RESUMEN'!MAMPOSTERIA" display="volver"/>
    <hyperlink ref="H1011" location="'ITEMS RESUMEN'!MAMPOSTERIA" display="volver"/>
    <hyperlink ref="H1038" location="'ITEMS RESUMEN'!MAMPOSTERIA" display="volver"/>
    <hyperlink ref="H1064" location="'ITEMS RESUMEN'!MAMPOSTERIA" display="volver"/>
    <hyperlink ref="H1091" location="'ITEMS RESUMEN'!MAMPOSTERIA" display="volver"/>
    <hyperlink ref="H1117" location="'ITEMS RESUMEN'!MAMPOSTERIA" display="volver"/>
    <hyperlink ref="H1144" location="'ITEMS RESUMEN'!MAMPOSTERIA" display="volver"/>
    <hyperlink ref="H1170" location="'ITEMS RESUMEN'!MAMPOSTERIA" display="volver"/>
    <hyperlink ref="H1197" location="'ITEMS RESUMEN'!MAMPOSTERIA" display="volver"/>
    <hyperlink ref="H1223" location="'ITEMS RESUMEN'!MAMPOSTERIA" display="volver"/>
  </hyperlinks>
  <printOptions horizontalCentered="1" verticalCentered="1"/>
  <pageMargins left="0" right="0" top="0" bottom="0" header="0" footer="0"/>
  <pageSetup scale="85" orientation="portrait" r:id="rId1"/>
  <headerFooter alignWithMargins="0"/>
  <rowBreaks count="22" manualBreakCount="22">
    <brk id="58" min="1" max="6" man="1"/>
    <brk id="111" min="1" max="6" man="1"/>
    <brk id="164" min="1" max="6" man="1"/>
    <brk id="217" min="1" max="6" man="1"/>
    <brk id="269" min="1" max="6" man="1"/>
    <brk id="322" min="1" max="6" man="1"/>
    <brk id="375" min="1" max="6" man="1"/>
    <brk id="428" min="1" max="6" man="1"/>
    <brk id="481" min="1" max="6" man="1"/>
    <brk id="534" min="1" max="6" man="1"/>
    <brk id="587" min="1" max="6" man="1"/>
    <brk id="640" min="1" max="6" man="1"/>
    <brk id="693" min="1" max="6" man="1"/>
    <brk id="746" min="1" max="6" man="1"/>
    <brk id="799" min="1" max="6" man="1"/>
    <brk id="852" min="1" max="6" man="1"/>
    <brk id="905" min="1" max="6" man="1"/>
    <brk id="958" min="1" max="6" man="1"/>
    <brk id="1011" min="1" max="6" man="1"/>
    <brk id="1064" min="1" max="6" man="1"/>
    <brk id="1117" min="1" max="6" man="1"/>
    <brk id="1170" min="1" max="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7">
    <tabColor indexed="36"/>
  </sheetPr>
  <dimension ref="A1:H907"/>
  <sheetViews>
    <sheetView topLeftCell="A483" zoomScale="85" zoomScaleNormal="85" zoomScaleSheetLayoutView="70" workbookViewId="0">
      <selection activeCell="H509" sqref="H509"/>
    </sheetView>
  </sheetViews>
  <sheetFormatPr baseColWidth="10" defaultRowHeight="12.75"/>
  <cols>
    <col min="1" max="1" width="11.42578125" style="255"/>
    <col min="2" max="2" width="12.7109375" style="255" customWidth="1"/>
    <col min="3" max="3" width="25.7109375" style="255" customWidth="1"/>
    <col min="4" max="4" width="12.7109375" style="255" customWidth="1"/>
    <col min="5" max="5" width="13.7109375" style="255" customWidth="1"/>
    <col min="6" max="6" width="14.7109375" style="255" customWidth="1"/>
    <col min="7" max="7" width="16.7109375" style="255" customWidth="1"/>
    <col min="8" max="16384" width="11.42578125" style="255"/>
  </cols>
  <sheetData>
    <row r="1" spans="1:8" ht="19.5" thickTop="1">
      <c r="A1" s="253"/>
      <c r="B1" s="225"/>
      <c r="C1" s="848" t="s">
        <v>1054</v>
      </c>
      <c r="D1" s="848"/>
      <c r="E1" s="848"/>
      <c r="F1" s="848"/>
      <c r="G1" s="849"/>
    </row>
    <row r="2" spans="1:8" ht="18.75">
      <c r="A2" s="253"/>
      <c r="B2" s="226"/>
      <c r="C2" s="780" t="s">
        <v>1381</v>
      </c>
      <c r="D2" s="780"/>
      <c r="E2" s="780"/>
      <c r="F2" s="780"/>
      <c r="G2" s="850"/>
    </row>
    <row r="3" spans="1:8" ht="18.75">
      <c r="A3" s="253"/>
      <c r="B3" s="226"/>
      <c r="C3" s="781"/>
      <c r="D3" s="781"/>
      <c r="E3" s="781"/>
      <c r="F3" s="781"/>
      <c r="G3" s="851"/>
    </row>
    <row r="4" spans="1:8" ht="15.75">
      <c r="A4" s="253"/>
      <c r="B4" s="881" t="s">
        <v>780</v>
      </c>
      <c r="C4" s="852"/>
      <c r="D4" s="852"/>
      <c r="E4" s="852"/>
      <c r="F4" s="852"/>
      <c r="G4" s="853"/>
    </row>
    <row r="5" spans="1:8" ht="15.75" thickBot="1">
      <c r="A5" s="253"/>
      <c r="B5" s="227"/>
      <c r="C5" s="856"/>
      <c r="D5" s="856"/>
      <c r="E5" s="856"/>
      <c r="F5" s="856"/>
      <c r="G5" s="857"/>
    </row>
    <row r="6" spans="1:8" ht="15" thickTop="1">
      <c r="A6" s="253"/>
      <c r="B6" s="254" t="s">
        <v>303</v>
      </c>
      <c r="C6" s="1046"/>
      <c r="D6" s="1046"/>
      <c r="E6" s="1046"/>
      <c r="F6" s="257" t="s">
        <v>781</v>
      </c>
      <c r="G6" s="258" t="s">
        <v>1067</v>
      </c>
      <c r="H6" s="505" t="s">
        <v>1670</v>
      </c>
    </row>
    <row r="7" spans="1:8">
      <c r="A7" s="253"/>
      <c r="B7" s="256" t="s">
        <v>834</v>
      </c>
      <c r="C7" s="1047" t="s">
        <v>1416</v>
      </c>
      <c r="D7" s="1047"/>
      <c r="E7" s="1047"/>
      <c r="F7" s="260" t="s">
        <v>833</v>
      </c>
      <c r="G7" s="261" t="str">
        <f>'MANO DE OBRA'!D61</f>
        <v>Agosto de 2010</v>
      </c>
    </row>
    <row r="8" spans="1:8" ht="13.5" thickBot="1">
      <c r="A8" s="262"/>
      <c r="B8" s="263" t="s">
        <v>835</v>
      </c>
      <c r="C8" s="1048" t="s">
        <v>1417</v>
      </c>
      <c r="D8" s="1048"/>
      <c r="E8" s="1048"/>
      <c r="F8" s="1048"/>
      <c r="G8" s="1049"/>
    </row>
    <row r="9" spans="1:8" ht="14.25" thickTop="1" thickBot="1">
      <c r="A9" s="253"/>
      <c r="B9" s="1050"/>
      <c r="C9" s="1050"/>
      <c r="D9" s="1050"/>
      <c r="E9" s="1050"/>
      <c r="F9" s="1050"/>
      <c r="G9" s="1050"/>
    </row>
    <row r="10" spans="1:8" ht="13.5" thickTop="1">
      <c r="A10" s="253"/>
      <c r="B10" s="1019" t="s">
        <v>304</v>
      </c>
      <c r="C10" s="1020"/>
      <c r="D10" s="1020"/>
      <c r="E10" s="1020"/>
      <c r="F10" s="1020"/>
      <c r="G10" s="1024"/>
    </row>
    <row r="11" spans="1:8">
      <c r="A11" s="253"/>
      <c r="B11" s="264"/>
      <c r="C11" s="265"/>
      <c r="D11" s="266" t="s">
        <v>301</v>
      </c>
      <c r="E11" s="266" t="s">
        <v>1072</v>
      </c>
      <c r="F11" s="267" t="s">
        <v>839</v>
      </c>
      <c r="G11" s="268" t="s">
        <v>840</v>
      </c>
    </row>
    <row r="12" spans="1:8">
      <c r="A12" s="253"/>
      <c r="B12" s="1026" t="s">
        <v>838</v>
      </c>
      <c r="C12" s="1027"/>
      <c r="D12" s="269" t="s">
        <v>308</v>
      </c>
      <c r="E12" s="269" t="s">
        <v>305</v>
      </c>
      <c r="F12" s="270" t="s">
        <v>306</v>
      </c>
      <c r="G12" s="271" t="s">
        <v>310</v>
      </c>
    </row>
    <row r="13" spans="1:8">
      <c r="A13" s="253"/>
      <c r="B13" s="272"/>
      <c r="C13" s="273"/>
      <c r="D13" s="274"/>
      <c r="E13" s="274" t="s">
        <v>309</v>
      </c>
      <c r="F13" s="275" t="s">
        <v>307</v>
      </c>
      <c r="G13" s="276"/>
    </row>
    <row r="14" spans="1:8">
      <c r="A14" s="262"/>
      <c r="B14" s="1028" t="str">
        <f>'MAQUINARIA Y EQUIPOS'!C28</f>
        <v>HERRAMIENTAS MENORES</v>
      </c>
      <c r="C14" s="1029"/>
      <c r="D14" s="277">
        <v>1</v>
      </c>
      <c r="E14" s="278">
        <f>ROUND(G47*0.05,0)</f>
        <v>365</v>
      </c>
      <c r="F14" s="279">
        <v>1</v>
      </c>
      <c r="G14" s="280">
        <f>ROUND(D14*E14/F14,0)</f>
        <v>365</v>
      </c>
    </row>
    <row r="15" spans="1:8">
      <c r="A15" s="253"/>
      <c r="B15" s="1022" t="str">
        <f>'MAQUINARIA Y EQUIPOS'!C9</f>
        <v>ANDAMIO TUBULAR 1.50 m</v>
      </c>
      <c r="C15" s="1023"/>
      <c r="D15" s="281">
        <v>4</v>
      </c>
      <c r="E15" s="282">
        <f>'MAQUINARIA Y EQUIPOS'!D9</f>
        <v>754</v>
      </c>
      <c r="F15" s="283">
        <v>14.55</v>
      </c>
      <c r="G15" s="284">
        <f>ROUND(D15*E15/F15,0)</f>
        <v>207</v>
      </c>
    </row>
    <row r="16" spans="1:8">
      <c r="A16" s="253"/>
      <c r="B16" s="1022" t="str">
        <f>'MAQUINARIA Y EQUIPOS'!C47</f>
        <v>TABLONES 3m</v>
      </c>
      <c r="C16" s="1023"/>
      <c r="D16" s="281">
        <v>4</v>
      </c>
      <c r="E16" s="282">
        <f>'MAQUINARIA Y EQUIPOS'!D47</f>
        <v>348</v>
      </c>
      <c r="F16" s="283">
        <v>14.55</v>
      </c>
      <c r="G16" s="284">
        <f>ROUND(D16*E16/F16,0)</f>
        <v>96</v>
      </c>
    </row>
    <row r="17" spans="1:8">
      <c r="A17" s="253"/>
      <c r="B17" s="1022"/>
      <c r="C17" s="1023"/>
      <c r="D17" s="285"/>
      <c r="E17" s="278"/>
      <c r="F17" s="283"/>
      <c r="G17" s="284"/>
    </row>
    <row r="18" spans="1:8">
      <c r="A18" s="253"/>
      <c r="B18" s="1022" t="s">
        <v>841</v>
      </c>
      <c r="C18" s="1023"/>
      <c r="D18" s="281"/>
      <c r="E18" s="278"/>
      <c r="F18" s="283"/>
      <c r="G18" s="284"/>
    </row>
    <row r="19" spans="1:8" ht="13.5" thickBot="1">
      <c r="A19" s="253"/>
      <c r="B19" s="1044" t="s">
        <v>841</v>
      </c>
      <c r="C19" s="1045"/>
      <c r="D19" s="286"/>
      <c r="E19" s="287"/>
      <c r="F19" s="288"/>
      <c r="G19" s="289"/>
    </row>
    <row r="20" spans="1:8" ht="14.25" thickTop="1" thickBot="1">
      <c r="A20" s="253"/>
      <c r="B20" s="1015"/>
      <c r="C20" s="1015"/>
      <c r="D20" s="1015"/>
      <c r="E20" s="1016"/>
      <c r="F20" s="290" t="s">
        <v>856</v>
      </c>
      <c r="G20" s="291">
        <f>SUM(G14:G19)</f>
        <v>668</v>
      </c>
    </row>
    <row r="21" spans="1:8" ht="14.25" thickTop="1" thickBot="1">
      <c r="A21" s="253"/>
      <c r="B21" s="1025"/>
      <c r="C21" s="1025"/>
      <c r="D21" s="1025"/>
      <c r="E21" s="1025"/>
      <c r="F21" s="1025"/>
      <c r="G21" s="1025"/>
    </row>
    <row r="22" spans="1:8" ht="13.5" thickTop="1">
      <c r="A22" s="253"/>
      <c r="B22" s="1019" t="s">
        <v>311</v>
      </c>
      <c r="C22" s="1020"/>
      <c r="D22" s="1020"/>
      <c r="E22" s="1020"/>
      <c r="F22" s="1020"/>
      <c r="G22" s="1024"/>
    </row>
    <row r="23" spans="1:8">
      <c r="A23" s="253"/>
      <c r="B23" s="1009" t="s">
        <v>838</v>
      </c>
      <c r="C23" s="1010"/>
      <c r="D23" s="266" t="s">
        <v>842</v>
      </c>
      <c r="E23" s="266" t="s">
        <v>853</v>
      </c>
      <c r="F23" s="267" t="s">
        <v>1047</v>
      </c>
      <c r="G23" s="268" t="s">
        <v>840</v>
      </c>
    </row>
    <row r="24" spans="1:8">
      <c r="A24" s="253"/>
      <c r="B24" s="272"/>
      <c r="C24" s="273"/>
      <c r="D24" s="269"/>
      <c r="E24" s="269" t="s">
        <v>312</v>
      </c>
      <c r="F24" s="270" t="s">
        <v>313</v>
      </c>
      <c r="G24" s="271" t="s">
        <v>314</v>
      </c>
    </row>
    <row r="25" spans="1:8">
      <c r="A25" s="259"/>
      <c r="B25" s="1042" t="str">
        <f>MATERIALES2!C152</f>
        <v>ABARCO DE 2X3X4,50</v>
      </c>
      <c r="C25" s="1043"/>
      <c r="D25" s="277" t="s">
        <v>865</v>
      </c>
      <c r="E25" s="279">
        <v>0.48</v>
      </c>
      <c r="F25" s="292">
        <f>MATERIALES2!E152</f>
        <v>7500</v>
      </c>
      <c r="G25" s="280">
        <f>ROUND(E25*F25,0)</f>
        <v>3600</v>
      </c>
    </row>
    <row r="26" spans="1:8">
      <c r="A26" s="293"/>
      <c r="B26" s="1030" t="str">
        <f>MATERIALES2!C919</f>
        <v>PUNTILLAS DE 3"</v>
      </c>
      <c r="C26" s="1031"/>
      <c r="D26" s="281" t="s">
        <v>922</v>
      </c>
      <c r="E26" s="283">
        <v>0.08</v>
      </c>
      <c r="F26" s="278">
        <f>MATERIALES2!E919</f>
        <v>1500</v>
      </c>
      <c r="G26" s="284">
        <f>ROUND(E26*F26,0)</f>
        <v>120</v>
      </c>
    </row>
    <row r="27" spans="1:8">
      <c r="A27" s="253"/>
      <c r="B27" s="1030"/>
      <c r="C27" s="1031"/>
      <c r="D27" s="281"/>
      <c r="E27" s="294"/>
      <c r="F27" s="278"/>
      <c r="G27" s="284"/>
    </row>
    <row r="28" spans="1:8">
      <c r="A28" s="253"/>
      <c r="B28" s="1030"/>
      <c r="C28" s="1031"/>
      <c r="D28" s="281"/>
      <c r="E28" s="283"/>
      <c r="F28" s="278"/>
      <c r="G28" s="284"/>
    </row>
    <row r="29" spans="1:8">
      <c r="A29" s="253"/>
      <c r="B29" s="1030"/>
      <c r="C29" s="1031"/>
      <c r="D29" s="281"/>
      <c r="E29" s="294"/>
      <c r="F29" s="278"/>
      <c r="G29" s="284"/>
    </row>
    <row r="30" spans="1:8">
      <c r="A30" s="253"/>
      <c r="B30" s="1030"/>
      <c r="C30" s="1031"/>
      <c r="D30" s="281"/>
      <c r="E30" s="294"/>
      <c r="F30" s="278"/>
      <c r="G30" s="284"/>
    </row>
    <row r="31" spans="1:8">
      <c r="A31" s="253"/>
      <c r="B31" s="1030"/>
      <c r="C31" s="1031"/>
      <c r="D31" s="281"/>
      <c r="E31" s="294"/>
      <c r="F31" s="278"/>
      <c r="G31" s="284"/>
    </row>
    <row r="32" spans="1:8">
      <c r="A32" s="253"/>
      <c r="B32" s="1032" t="s">
        <v>841</v>
      </c>
      <c r="C32" s="1033"/>
      <c r="D32" s="294" t="s">
        <v>841</v>
      </c>
      <c r="E32" s="294"/>
      <c r="F32" s="278"/>
      <c r="G32" s="284"/>
      <c r="H32" s="505" t="s">
        <v>1670</v>
      </c>
    </row>
    <row r="33" spans="1:7" ht="13.5" thickBot="1">
      <c r="A33" s="253"/>
      <c r="B33" s="1034" t="s">
        <v>841</v>
      </c>
      <c r="C33" s="1035"/>
      <c r="D33" s="295" t="s">
        <v>841</v>
      </c>
      <c r="E33" s="295"/>
      <c r="F33" s="296"/>
      <c r="G33" s="289"/>
    </row>
    <row r="34" spans="1:7" ht="13.5" thickTop="1">
      <c r="A34" s="253"/>
      <c r="B34" s="1015"/>
      <c r="C34" s="1016"/>
      <c r="D34" s="1038" t="s">
        <v>856</v>
      </c>
      <c r="E34" s="1039"/>
      <c r="F34" s="297"/>
      <c r="G34" s="298">
        <f>SUM(G25:G33)</f>
        <v>3720</v>
      </c>
    </row>
    <row r="35" spans="1:7">
      <c r="A35" s="253"/>
      <c r="B35" s="1036"/>
      <c r="C35" s="1037"/>
      <c r="D35" s="1038" t="s">
        <v>857</v>
      </c>
      <c r="E35" s="1039"/>
      <c r="F35" s="299">
        <f>'MANO DE OBRA'!D60</f>
        <v>0.05</v>
      </c>
      <c r="G35" s="298">
        <f>ROUND(G34*F35,0)</f>
        <v>186</v>
      </c>
    </row>
    <row r="36" spans="1:7" ht="13.5" thickBot="1">
      <c r="A36" s="253"/>
      <c r="B36" s="1036"/>
      <c r="C36" s="1037"/>
      <c r="D36" s="1040" t="s">
        <v>320</v>
      </c>
      <c r="E36" s="1041"/>
      <c r="F36" s="300"/>
      <c r="G36" s="291">
        <f>+G34+G35</f>
        <v>3906</v>
      </c>
    </row>
    <row r="37" spans="1:7" ht="14.25" thickTop="1" thickBot="1">
      <c r="A37" s="253"/>
      <c r="B37" s="1025"/>
      <c r="C37" s="1025"/>
      <c r="D37" s="1025"/>
      <c r="E37" s="1025"/>
      <c r="F37" s="1025"/>
      <c r="G37" s="1025"/>
    </row>
    <row r="38" spans="1:7" ht="13.5" thickTop="1">
      <c r="A38" s="253"/>
      <c r="B38" s="1019" t="s">
        <v>858</v>
      </c>
      <c r="C38" s="1020"/>
      <c r="D38" s="1020"/>
      <c r="E38" s="1020"/>
      <c r="F38" s="1020"/>
      <c r="G38" s="1024"/>
    </row>
    <row r="39" spans="1:7">
      <c r="A39" s="253"/>
      <c r="B39" s="1009"/>
      <c r="C39" s="1010"/>
      <c r="D39" s="266" t="s">
        <v>301</v>
      </c>
      <c r="E39" s="266" t="s">
        <v>859</v>
      </c>
      <c r="F39" s="267" t="s">
        <v>839</v>
      </c>
      <c r="G39" s="268" t="s">
        <v>840</v>
      </c>
    </row>
    <row r="40" spans="1:7">
      <c r="A40" s="253"/>
      <c r="B40" s="1026" t="s">
        <v>838</v>
      </c>
      <c r="C40" s="1027"/>
      <c r="D40" s="269" t="s">
        <v>316</v>
      </c>
      <c r="E40" s="269" t="s">
        <v>315</v>
      </c>
      <c r="F40" s="270" t="s">
        <v>306</v>
      </c>
      <c r="G40" s="271" t="s">
        <v>319</v>
      </c>
    </row>
    <row r="41" spans="1:7">
      <c r="A41" s="253"/>
      <c r="B41" s="272"/>
      <c r="C41" s="273"/>
      <c r="D41" s="274"/>
      <c r="E41" s="274" t="s">
        <v>317</v>
      </c>
      <c r="F41" s="275" t="s">
        <v>318</v>
      </c>
      <c r="G41" s="276"/>
    </row>
    <row r="42" spans="1:7">
      <c r="A42" s="253"/>
      <c r="B42" s="1028" t="str">
        <f>'MANO DE OBRA'!B10</f>
        <v>AYUDANTE CUAD. TIPO AA</v>
      </c>
      <c r="C42" s="1029"/>
      <c r="D42" s="277">
        <v>1</v>
      </c>
      <c r="E42" s="292">
        <f>'MANO DE OBRA'!E10</f>
        <v>34680</v>
      </c>
      <c r="F42" s="279">
        <v>14.55</v>
      </c>
      <c r="G42" s="280">
        <f>ROUND(D42*E42/F42,0)</f>
        <v>2384</v>
      </c>
    </row>
    <row r="43" spans="1:7">
      <c r="A43" s="253"/>
      <c r="B43" s="1022" t="str">
        <f>'MANO DE OBRA'!B15</f>
        <v xml:space="preserve">OFICIAL CUAD. TIPO AA </v>
      </c>
      <c r="C43" s="1023"/>
      <c r="D43" s="281">
        <v>1</v>
      </c>
      <c r="E43" s="278">
        <f>'MANO DE OBRA'!E15</f>
        <v>71474</v>
      </c>
      <c r="F43" s="283">
        <v>14.55</v>
      </c>
      <c r="G43" s="284">
        <f>ROUND(D43*E43/F43,0)</f>
        <v>4912</v>
      </c>
    </row>
    <row r="44" spans="1:7">
      <c r="A44" s="253"/>
      <c r="B44" s="1022"/>
      <c r="C44" s="1023"/>
      <c r="D44" s="285"/>
      <c r="E44" s="278"/>
      <c r="F44" s="283"/>
      <c r="G44" s="284"/>
    </row>
    <row r="45" spans="1:7">
      <c r="A45" s="253"/>
      <c r="B45" s="1022" t="s">
        <v>841</v>
      </c>
      <c r="C45" s="1023"/>
      <c r="D45" s="281"/>
      <c r="E45" s="278"/>
      <c r="F45" s="283"/>
      <c r="G45" s="284"/>
    </row>
    <row r="46" spans="1:7" ht="13.5" thickBot="1">
      <c r="A46" s="253"/>
      <c r="B46" s="1013" t="s">
        <v>841</v>
      </c>
      <c r="C46" s="1014"/>
      <c r="D46" s="286"/>
      <c r="E46" s="278"/>
      <c r="F46" s="288"/>
      <c r="G46" s="289"/>
    </row>
    <row r="47" spans="1:7" ht="14.25" thickTop="1" thickBot="1">
      <c r="A47" s="253"/>
      <c r="B47" s="1015"/>
      <c r="C47" s="1015"/>
      <c r="D47" s="1015"/>
      <c r="E47" s="1016"/>
      <c r="F47" s="301" t="s">
        <v>856</v>
      </c>
      <c r="G47" s="291">
        <f>SUM(G42:G46)</f>
        <v>7296</v>
      </c>
    </row>
    <row r="48" spans="1:7" ht="14.25" thickTop="1" thickBot="1">
      <c r="A48" s="253"/>
      <c r="B48" s="1017"/>
      <c r="C48" s="1017"/>
      <c r="D48" s="1017"/>
      <c r="E48" s="1017"/>
      <c r="F48" s="1017"/>
      <c r="G48" s="1017"/>
    </row>
    <row r="49" spans="1:8" ht="13.5" thickTop="1">
      <c r="A49" s="253"/>
      <c r="B49" s="1019" t="s">
        <v>321</v>
      </c>
      <c r="C49" s="1020"/>
      <c r="D49" s="1020"/>
      <c r="E49" s="1020"/>
      <c r="F49" s="1020"/>
      <c r="G49" s="1024"/>
    </row>
    <row r="50" spans="1:8">
      <c r="A50" s="253"/>
      <c r="B50" s="1009" t="s">
        <v>838</v>
      </c>
      <c r="C50" s="1010"/>
      <c r="D50" s="266" t="s">
        <v>301</v>
      </c>
      <c r="E50" s="266" t="s">
        <v>297</v>
      </c>
      <c r="F50" s="267" t="s">
        <v>839</v>
      </c>
      <c r="G50" s="268" t="s">
        <v>840</v>
      </c>
    </row>
    <row r="51" spans="1:8">
      <c r="A51" s="253"/>
      <c r="B51" s="272"/>
      <c r="C51" s="273"/>
      <c r="D51" s="274" t="s">
        <v>322</v>
      </c>
      <c r="E51" s="274" t="s">
        <v>323</v>
      </c>
      <c r="F51" s="275" t="s">
        <v>324</v>
      </c>
      <c r="G51" s="276" t="s">
        <v>325</v>
      </c>
    </row>
    <row r="52" spans="1:8">
      <c r="A52" s="253"/>
      <c r="B52" s="1011"/>
      <c r="C52" s="1012"/>
      <c r="D52" s="302"/>
      <c r="E52" s="302"/>
      <c r="F52" s="302"/>
      <c r="G52" s="303"/>
    </row>
    <row r="53" spans="1:8" ht="13.5" thickBot="1">
      <c r="A53" s="253"/>
      <c r="B53" s="1013" t="s">
        <v>841</v>
      </c>
      <c r="C53" s="1014"/>
      <c r="D53" s="286"/>
      <c r="E53" s="278"/>
      <c r="F53" s="288"/>
      <c r="G53" s="289"/>
    </row>
    <row r="54" spans="1:8" ht="14.25" thickTop="1" thickBot="1">
      <c r="A54" s="253"/>
      <c r="B54" s="1015"/>
      <c r="C54" s="1015"/>
      <c r="D54" s="1015"/>
      <c r="E54" s="1016"/>
      <c r="F54" s="301" t="s">
        <v>856</v>
      </c>
      <c r="G54" s="291">
        <f>SUM(G49:G53)</f>
        <v>0</v>
      </c>
    </row>
    <row r="55" spans="1:8" ht="14.25" thickTop="1" thickBot="1">
      <c r="A55" s="253"/>
      <c r="B55" s="1017"/>
      <c r="C55" s="1017"/>
      <c r="D55" s="1017"/>
      <c r="E55" s="1017"/>
      <c r="F55" s="1017"/>
      <c r="G55" s="1018"/>
    </row>
    <row r="56" spans="1:8" ht="13.5" thickTop="1">
      <c r="A56" s="253"/>
      <c r="B56" s="1019" t="s">
        <v>326</v>
      </c>
      <c r="C56" s="1020"/>
      <c r="D56" s="1020"/>
      <c r="E56" s="1020"/>
      <c r="F56" s="1021"/>
      <c r="G56" s="304">
        <f>+G20+G36+G47</f>
        <v>11870</v>
      </c>
    </row>
    <row r="57" spans="1:8">
      <c r="A57" s="253"/>
      <c r="B57" s="1003" t="s">
        <v>861</v>
      </c>
      <c r="C57" s="1004"/>
      <c r="D57" s="1004"/>
      <c r="E57" s="1005"/>
      <c r="F57" s="305">
        <f>'MANO DE OBRA'!D59</f>
        <v>0</v>
      </c>
      <c r="G57" s="306">
        <f>ROUND(G56*F57,0)</f>
        <v>0</v>
      </c>
    </row>
    <row r="58" spans="1:8" ht="13.5" thickBot="1">
      <c r="A58" s="253"/>
      <c r="B58" s="1006" t="s">
        <v>1049</v>
      </c>
      <c r="C58" s="1007"/>
      <c r="D58" s="1007"/>
      <c r="E58" s="1007"/>
      <c r="F58" s="1008"/>
      <c r="G58" s="291">
        <f>ROUND(G56+G57,-2)</f>
        <v>11900</v>
      </c>
      <c r="H58" s="505" t="s">
        <v>1670</v>
      </c>
    </row>
    <row r="59" spans="1:8" ht="13.5" thickTop="1">
      <c r="A59" s="253"/>
      <c r="B59" s="254" t="s">
        <v>303</v>
      </c>
      <c r="C59" s="1046"/>
      <c r="D59" s="1046"/>
      <c r="E59" s="1046"/>
      <c r="F59" s="257" t="s">
        <v>781</v>
      </c>
      <c r="G59" s="258" t="s">
        <v>831</v>
      </c>
    </row>
    <row r="60" spans="1:8">
      <c r="A60" s="253"/>
      <c r="B60" s="256" t="s">
        <v>834</v>
      </c>
      <c r="C60" s="1051" t="s">
        <v>398</v>
      </c>
      <c r="D60" s="1047"/>
      <c r="E60" s="1047"/>
      <c r="F60" s="260" t="s">
        <v>833</v>
      </c>
      <c r="G60" s="261" t="str">
        <f>'MANO DE OBRA'!D61</f>
        <v>Agosto de 2010</v>
      </c>
    </row>
    <row r="61" spans="1:8" ht="13.5" thickBot="1">
      <c r="A61" s="262"/>
      <c r="B61" s="263" t="s">
        <v>835</v>
      </c>
      <c r="C61" s="1048" t="s">
        <v>1418</v>
      </c>
      <c r="D61" s="1048"/>
      <c r="E61" s="1048"/>
      <c r="F61" s="1048"/>
      <c r="G61" s="1049"/>
    </row>
    <row r="62" spans="1:8" ht="14.25" thickTop="1" thickBot="1">
      <c r="A62" s="253"/>
      <c r="B62" s="1050"/>
      <c r="C62" s="1050"/>
      <c r="D62" s="1050"/>
      <c r="E62" s="1050"/>
      <c r="F62" s="1050"/>
      <c r="G62" s="1050"/>
    </row>
    <row r="63" spans="1:8" ht="13.5" thickTop="1">
      <c r="A63" s="253"/>
      <c r="B63" s="1019" t="s">
        <v>304</v>
      </c>
      <c r="C63" s="1020"/>
      <c r="D63" s="1020"/>
      <c r="E63" s="1020"/>
      <c r="F63" s="1020"/>
      <c r="G63" s="1024"/>
    </row>
    <row r="64" spans="1:8">
      <c r="A64" s="253"/>
      <c r="B64" s="264"/>
      <c r="C64" s="265"/>
      <c r="D64" s="266" t="s">
        <v>301</v>
      </c>
      <c r="E64" s="266" t="s">
        <v>1072</v>
      </c>
      <c r="F64" s="267" t="s">
        <v>839</v>
      </c>
      <c r="G64" s="268" t="s">
        <v>840</v>
      </c>
    </row>
    <row r="65" spans="1:7">
      <c r="A65" s="253"/>
      <c r="B65" s="1026" t="s">
        <v>838</v>
      </c>
      <c r="C65" s="1027"/>
      <c r="D65" s="269" t="s">
        <v>308</v>
      </c>
      <c r="E65" s="269" t="s">
        <v>305</v>
      </c>
      <c r="F65" s="270" t="s">
        <v>306</v>
      </c>
      <c r="G65" s="271" t="s">
        <v>310</v>
      </c>
    </row>
    <row r="66" spans="1:7">
      <c r="A66" s="253"/>
      <c r="B66" s="272"/>
      <c r="C66" s="273"/>
      <c r="D66" s="274"/>
      <c r="E66" s="274" t="s">
        <v>309</v>
      </c>
      <c r="F66" s="275" t="s">
        <v>307</v>
      </c>
      <c r="G66" s="276"/>
    </row>
    <row r="67" spans="1:7">
      <c r="A67" s="262"/>
      <c r="B67" s="1028" t="str">
        <f>'MAQUINARIA Y EQUIPOS'!C28</f>
        <v>HERRAMIENTAS MENORES</v>
      </c>
      <c r="C67" s="1029"/>
      <c r="D67" s="277">
        <v>1</v>
      </c>
      <c r="E67" s="278">
        <f>ROUND(G100*0.05,0)</f>
        <v>113</v>
      </c>
      <c r="F67" s="279">
        <v>1</v>
      </c>
      <c r="G67" s="280">
        <f>ROUND(D67*E67/F67,0)</f>
        <v>113</v>
      </c>
    </row>
    <row r="68" spans="1:7">
      <c r="A68" s="253"/>
      <c r="B68" s="1022" t="str">
        <f>'MAQUINARIA Y EQUIPOS'!C9</f>
        <v>ANDAMIO TUBULAR 1.50 m</v>
      </c>
      <c r="C68" s="1023"/>
      <c r="D68" s="281">
        <v>4</v>
      </c>
      <c r="E68" s="282">
        <f>'MAQUINARIA Y EQUIPOS'!D9</f>
        <v>754</v>
      </c>
      <c r="F68" s="283">
        <v>47.06</v>
      </c>
      <c r="G68" s="284">
        <f>ROUND(D68*E68/F68,0)</f>
        <v>64</v>
      </c>
    </row>
    <row r="69" spans="1:7">
      <c r="A69" s="253"/>
      <c r="B69" s="1022" t="str">
        <f>'MAQUINARIA Y EQUIPOS'!C47</f>
        <v>TABLONES 3m</v>
      </c>
      <c r="C69" s="1023"/>
      <c r="D69" s="281">
        <v>4</v>
      </c>
      <c r="E69" s="282">
        <f>'MAQUINARIA Y EQUIPOS'!D47</f>
        <v>348</v>
      </c>
      <c r="F69" s="283">
        <v>47.06</v>
      </c>
      <c r="G69" s="284">
        <f>ROUND(D69*E69/F69,0)</f>
        <v>30</v>
      </c>
    </row>
    <row r="70" spans="1:7">
      <c r="A70" s="253"/>
      <c r="B70" s="1022"/>
      <c r="C70" s="1023"/>
      <c r="D70" s="285"/>
      <c r="E70" s="278"/>
      <c r="F70" s="283"/>
      <c r="G70" s="284"/>
    </row>
    <row r="71" spans="1:7">
      <c r="A71" s="253"/>
      <c r="B71" s="1022" t="s">
        <v>841</v>
      </c>
      <c r="C71" s="1023"/>
      <c r="D71" s="281"/>
      <c r="E71" s="278"/>
      <c r="F71" s="283"/>
      <c r="G71" s="284"/>
    </row>
    <row r="72" spans="1:7" ht="13.5" thickBot="1">
      <c r="A72" s="253"/>
      <c r="B72" s="1044" t="s">
        <v>841</v>
      </c>
      <c r="C72" s="1045"/>
      <c r="D72" s="286"/>
      <c r="E72" s="287"/>
      <c r="F72" s="288"/>
      <c r="G72" s="289"/>
    </row>
    <row r="73" spans="1:7" ht="14.25" thickTop="1" thickBot="1">
      <c r="A73" s="253"/>
      <c r="B73" s="1015"/>
      <c r="C73" s="1015"/>
      <c r="D73" s="1015"/>
      <c r="E73" s="1016"/>
      <c r="F73" s="290" t="s">
        <v>856</v>
      </c>
      <c r="G73" s="291">
        <f>SUM(G67:G72)</f>
        <v>207</v>
      </c>
    </row>
    <row r="74" spans="1:7" ht="14.25" thickTop="1" thickBot="1">
      <c r="A74" s="253"/>
      <c r="B74" s="1025"/>
      <c r="C74" s="1025"/>
      <c r="D74" s="1025"/>
      <c r="E74" s="1025"/>
      <c r="F74" s="1025"/>
      <c r="G74" s="1025"/>
    </row>
    <row r="75" spans="1:7" ht="13.5" thickTop="1">
      <c r="A75" s="253"/>
      <c r="B75" s="1019" t="s">
        <v>311</v>
      </c>
      <c r="C75" s="1020"/>
      <c r="D75" s="1020"/>
      <c r="E75" s="1020"/>
      <c r="F75" s="1020"/>
      <c r="G75" s="1024"/>
    </row>
    <row r="76" spans="1:7">
      <c r="A76" s="253"/>
      <c r="B76" s="1009" t="s">
        <v>838</v>
      </c>
      <c r="C76" s="1010"/>
      <c r="D76" s="266" t="s">
        <v>842</v>
      </c>
      <c r="E76" s="266" t="s">
        <v>853</v>
      </c>
      <c r="F76" s="267" t="s">
        <v>1047</v>
      </c>
      <c r="G76" s="268" t="s">
        <v>840</v>
      </c>
    </row>
    <row r="77" spans="1:7">
      <c r="A77" s="253"/>
      <c r="B77" s="272"/>
      <c r="C77" s="273"/>
      <c r="D77" s="269"/>
      <c r="E77" s="269" t="s">
        <v>312</v>
      </c>
      <c r="F77" s="270" t="s">
        <v>313</v>
      </c>
      <c r="G77" s="271" t="s">
        <v>314</v>
      </c>
    </row>
    <row r="78" spans="1:7">
      <c r="A78" s="259"/>
      <c r="B78" s="1042" t="str">
        <f>MATERIALES2!C13</f>
        <v>CEMENTO GRIS</v>
      </c>
      <c r="C78" s="1043"/>
      <c r="D78" s="277" t="s">
        <v>925</v>
      </c>
      <c r="E78" s="279">
        <v>3</v>
      </c>
      <c r="F78" s="292">
        <f>MATERIALES2!E13</f>
        <v>420</v>
      </c>
      <c r="G78" s="280">
        <f>ROUND(E78*F78,0)</f>
        <v>1260</v>
      </c>
    </row>
    <row r="79" spans="1:7" ht="14.25">
      <c r="A79" s="293"/>
      <c r="B79" s="1030" t="str">
        <f>MATERIALES2!C20</f>
        <v xml:space="preserve">ARENA </v>
      </c>
      <c r="C79" s="1031"/>
      <c r="D79" s="281" t="s">
        <v>1066</v>
      </c>
      <c r="E79" s="307">
        <v>7.0000000000000001E-3</v>
      </c>
      <c r="F79" s="278">
        <f>MATERIALES2!E20</f>
        <v>35000</v>
      </c>
      <c r="G79" s="284">
        <f>ROUND(E79*F79,0)</f>
        <v>245</v>
      </c>
    </row>
    <row r="80" spans="1:7">
      <c r="A80" s="293"/>
      <c r="B80" s="1030" t="str">
        <f>MATERIALES2!C28</f>
        <v>AGUA</v>
      </c>
      <c r="C80" s="1031"/>
      <c r="D80" s="281" t="s">
        <v>1071</v>
      </c>
      <c r="E80" s="294">
        <v>1.66</v>
      </c>
      <c r="F80" s="278">
        <f>MATERIALES2!E28</f>
        <v>50</v>
      </c>
      <c r="G80" s="284">
        <f>ROUND(E80*F80,0)</f>
        <v>83</v>
      </c>
    </row>
    <row r="81" spans="1:8">
      <c r="A81" s="253"/>
      <c r="B81" s="1030"/>
      <c r="C81" s="1031"/>
      <c r="D81" s="281"/>
      <c r="E81" s="283"/>
      <c r="F81" s="278"/>
      <c r="G81" s="284"/>
    </row>
    <row r="82" spans="1:8">
      <c r="A82" s="253"/>
      <c r="B82" s="1030"/>
      <c r="C82" s="1031"/>
      <c r="D82" s="281"/>
      <c r="E82" s="294"/>
      <c r="F82" s="278"/>
      <c r="G82" s="284"/>
    </row>
    <row r="83" spans="1:8">
      <c r="A83" s="253"/>
      <c r="B83" s="1030"/>
      <c r="C83" s="1031"/>
      <c r="D83" s="281"/>
      <c r="E83" s="294"/>
      <c r="F83" s="278"/>
      <c r="G83" s="284"/>
    </row>
    <row r="84" spans="1:8">
      <c r="A84" s="253"/>
      <c r="B84" s="1030"/>
      <c r="C84" s="1031"/>
      <c r="D84" s="281"/>
      <c r="E84" s="294"/>
      <c r="F84" s="278"/>
      <c r="G84" s="284"/>
    </row>
    <row r="85" spans="1:8">
      <c r="A85" s="253"/>
      <c r="B85" s="1032" t="s">
        <v>841</v>
      </c>
      <c r="C85" s="1033"/>
      <c r="D85" s="294" t="s">
        <v>841</v>
      </c>
      <c r="E85" s="294"/>
      <c r="F85" s="278"/>
      <c r="G85" s="284"/>
      <c r="H85" s="505" t="s">
        <v>1670</v>
      </c>
    </row>
    <row r="86" spans="1:8" ht="13.5" thickBot="1">
      <c r="A86" s="253"/>
      <c r="B86" s="1034" t="s">
        <v>841</v>
      </c>
      <c r="C86" s="1035"/>
      <c r="D86" s="295" t="s">
        <v>841</v>
      </c>
      <c r="E86" s="295"/>
      <c r="F86" s="296"/>
      <c r="G86" s="289"/>
    </row>
    <row r="87" spans="1:8" ht="13.5" thickTop="1">
      <c r="A87" s="253"/>
      <c r="B87" s="1015"/>
      <c r="C87" s="1016"/>
      <c r="D87" s="1038" t="s">
        <v>856</v>
      </c>
      <c r="E87" s="1039"/>
      <c r="F87" s="297"/>
      <c r="G87" s="298">
        <f>SUM(G78:G86)</f>
        <v>1588</v>
      </c>
    </row>
    <row r="88" spans="1:8">
      <c r="A88" s="253"/>
      <c r="B88" s="1036"/>
      <c r="C88" s="1037"/>
      <c r="D88" s="1038" t="s">
        <v>857</v>
      </c>
      <c r="E88" s="1039"/>
      <c r="F88" s="299">
        <f>'MANO DE OBRA'!D60</f>
        <v>0.05</v>
      </c>
      <c r="G88" s="298">
        <f>ROUND(G87*F88,0)</f>
        <v>79</v>
      </c>
    </row>
    <row r="89" spans="1:8" ht="13.5" thickBot="1">
      <c r="A89" s="253"/>
      <c r="B89" s="1036"/>
      <c r="C89" s="1037"/>
      <c r="D89" s="1040" t="s">
        <v>320</v>
      </c>
      <c r="E89" s="1041"/>
      <c r="F89" s="300"/>
      <c r="G89" s="291">
        <f>+G87+G88</f>
        <v>1667</v>
      </c>
    </row>
    <row r="90" spans="1:8" ht="14.25" thickTop="1" thickBot="1">
      <c r="A90" s="253"/>
      <c r="B90" s="1025"/>
      <c r="C90" s="1025"/>
      <c r="D90" s="1025"/>
      <c r="E90" s="1025"/>
      <c r="F90" s="1025"/>
      <c r="G90" s="1025"/>
    </row>
    <row r="91" spans="1:8" ht="13.5" thickTop="1">
      <c r="A91" s="253"/>
      <c r="B91" s="1019" t="s">
        <v>858</v>
      </c>
      <c r="C91" s="1020"/>
      <c r="D91" s="1020"/>
      <c r="E91" s="1020"/>
      <c r="F91" s="1020"/>
      <c r="G91" s="1024"/>
    </row>
    <row r="92" spans="1:8">
      <c r="A92" s="253"/>
      <c r="B92" s="1009"/>
      <c r="C92" s="1010"/>
      <c r="D92" s="266" t="s">
        <v>301</v>
      </c>
      <c r="E92" s="266" t="s">
        <v>859</v>
      </c>
      <c r="F92" s="267" t="s">
        <v>839</v>
      </c>
      <c r="G92" s="268" t="s">
        <v>840</v>
      </c>
    </row>
    <row r="93" spans="1:8">
      <c r="A93" s="253"/>
      <c r="B93" s="1026" t="s">
        <v>838</v>
      </c>
      <c r="C93" s="1027"/>
      <c r="D93" s="269" t="s">
        <v>316</v>
      </c>
      <c r="E93" s="269" t="s">
        <v>315</v>
      </c>
      <c r="F93" s="270" t="s">
        <v>306</v>
      </c>
      <c r="G93" s="271" t="s">
        <v>319</v>
      </c>
    </row>
    <row r="94" spans="1:8">
      <c r="A94" s="253"/>
      <c r="B94" s="272"/>
      <c r="C94" s="273"/>
      <c r="D94" s="274"/>
      <c r="E94" s="274" t="s">
        <v>317</v>
      </c>
      <c r="F94" s="275" t="s">
        <v>318</v>
      </c>
      <c r="G94" s="276"/>
    </row>
    <row r="95" spans="1:8">
      <c r="A95" s="253"/>
      <c r="B95" s="1028" t="str">
        <f>'MANO DE OBRA'!B10</f>
        <v>AYUDANTE CUAD. TIPO AA</v>
      </c>
      <c r="C95" s="1029"/>
      <c r="D95" s="277">
        <v>1</v>
      </c>
      <c r="E95" s="292">
        <f>'MANO DE OBRA'!E10</f>
        <v>34680</v>
      </c>
      <c r="F95" s="279">
        <v>47.06</v>
      </c>
      <c r="G95" s="280">
        <f>ROUND(D95*E95/F95,0)</f>
        <v>737</v>
      </c>
    </row>
    <row r="96" spans="1:8">
      <c r="A96" s="253"/>
      <c r="B96" s="1022" t="str">
        <f>'MANO DE OBRA'!B15</f>
        <v xml:space="preserve">OFICIAL CUAD. TIPO AA </v>
      </c>
      <c r="C96" s="1023"/>
      <c r="D96" s="281">
        <v>1</v>
      </c>
      <c r="E96" s="278">
        <f>'MANO DE OBRA'!E15</f>
        <v>71474</v>
      </c>
      <c r="F96" s="283">
        <v>47.06</v>
      </c>
      <c r="G96" s="284">
        <f>ROUND(D96*E96/F96,0)</f>
        <v>1519</v>
      </c>
    </row>
    <row r="97" spans="1:8">
      <c r="A97" s="253"/>
      <c r="B97" s="1022"/>
      <c r="C97" s="1023"/>
      <c r="D97" s="285"/>
      <c r="E97" s="278"/>
      <c r="F97" s="283"/>
      <c r="G97" s="284"/>
    </row>
    <row r="98" spans="1:8">
      <c r="A98" s="253"/>
      <c r="B98" s="1022" t="s">
        <v>841</v>
      </c>
      <c r="C98" s="1023"/>
      <c r="D98" s="281"/>
      <c r="E98" s="278"/>
      <c r="F98" s="283"/>
      <c r="G98" s="284"/>
    </row>
    <row r="99" spans="1:8" ht="13.5" thickBot="1">
      <c r="A99" s="253"/>
      <c r="B99" s="1013" t="s">
        <v>841</v>
      </c>
      <c r="C99" s="1014"/>
      <c r="D99" s="286"/>
      <c r="E99" s="278"/>
      <c r="F99" s="288"/>
      <c r="G99" s="289"/>
    </row>
    <row r="100" spans="1:8" ht="14.25" thickTop="1" thickBot="1">
      <c r="A100" s="253"/>
      <c r="B100" s="1015"/>
      <c r="C100" s="1015"/>
      <c r="D100" s="1015"/>
      <c r="E100" s="1016"/>
      <c r="F100" s="301" t="s">
        <v>856</v>
      </c>
      <c r="G100" s="291">
        <f>SUM(G95:G99)</f>
        <v>2256</v>
      </c>
    </row>
    <row r="101" spans="1:8" ht="14.25" thickTop="1" thickBot="1">
      <c r="A101" s="253"/>
      <c r="B101" s="1017"/>
      <c r="C101" s="1017"/>
      <c r="D101" s="1017"/>
      <c r="E101" s="1017"/>
      <c r="F101" s="1017"/>
      <c r="G101" s="1017"/>
    </row>
    <row r="102" spans="1:8" ht="13.5" thickTop="1">
      <c r="A102" s="253"/>
      <c r="B102" s="1019" t="s">
        <v>321</v>
      </c>
      <c r="C102" s="1020"/>
      <c r="D102" s="1020"/>
      <c r="E102" s="1020"/>
      <c r="F102" s="1020"/>
      <c r="G102" s="1024"/>
    </row>
    <row r="103" spans="1:8">
      <c r="A103" s="253"/>
      <c r="B103" s="1009" t="s">
        <v>838</v>
      </c>
      <c r="C103" s="1010"/>
      <c r="D103" s="266" t="s">
        <v>301</v>
      </c>
      <c r="E103" s="266" t="s">
        <v>297</v>
      </c>
      <c r="F103" s="267" t="s">
        <v>839</v>
      </c>
      <c r="G103" s="268" t="s">
        <v>840</v>
      </c>
    </row>
    <row r="104" spans="1:8">
      <c r="A104" s="253"/>
      <c r="B104" s="272"/>
      <c r="C104" s="273"/>
      <c r="D104" s="274" t="s">
        <v>322</v>
      </c>
      <c r="E104" s="274" t="s">
        <v>323</v>
      </c>
      <c r="F104" s="275" t="s">
        <v>324</v>
      </c>
      <c r="G104" s="276" t="s">
        <v>325</v>
      </c>
    </row>
    <row r="105" spans="1:8">
      <c r="A105" s="253"/>
      <c r="B105" s="1011"/>
      <c r="C105" s="1012"/>
      <c r="D105" s="302"/>
      <c r="E105" s="302"/>
      <c r="F105" s="302"/>
      <c r="G105" s="303"/>
    </row>
    <row r="106" spans="1:8" ht="13.5" thickBot="1">
      <c r="A106" s="253"/>
      <c r="B106" s="1013" t="s">
        <v>841</v>
      </c>
      <c r="C106" s="1014"/>
      <c r="D106" s="286"/>
      <c r="E106" s="278"/>
      <c r="F106" s="288"/>
      <c r="G106" s="289"/>
    </row>
    <row r="107" spans="1:8" ht="14.25" thickTop="1" thickBot="1">
      <c r="A107" s="253"/>
      <c r="B107" s="1015"/>
      <c r="C107" s="1015"/>
      <c r="D107" s="1015"/>
      <c r="E107" s="1016"/>
      <c r="F107" s="301" t="s">
        <v>856</v>
      </c>
      <c r="G107" s="291">
        <f>SUM(G102:G106)</f>
        <v>0</v>
      </c>
    </row>
    <row r="108" spans="1:8" ht="14.25" thickTop="1" thickBot="1">
      <c r="A108" s="253"/>
      <c r="B108" s="1017"/>
      <c r="C108" s="1017"/>
      <c r="D108" s="1017"/>
      <c r="E108" s="1017"/>
      <c r="F108" s="1017"/>
      <c r="G108" s="1018"/>
    </row>
    <row r="109" spans="1:8" ht="13.5" thickTop="1">
      <c r="A109" s="253"/>
      <c r="B109" s="1019" t="s">
        <v>326</v>
      </c>
      <c r="C109" s="1020"/>
      <c r="D109" s="1020"/>
      <c r="E109" s="1020"/>
      <c r="F109" s="1021"/>
      <c r="G109" s="304">
        <f>+G73+G89+G100</f>
        <v>4130</v>
      </c>
    </row>
    <row r="110" spans="1:8">
      <c r="A110" s="253"/>
      <c r="B110" s="1003" t="s">
        <v>861</v>
      </c>
      <c r="C110" s="1004"/>
      <c r="D110" s="1004"/>
      <c r="E110" s="1005"/>
      <c r="F110" s="305">
        <f>'MANO DE OBRA'!D59</f>
        <v>0</v>
      </c>
      <c r="G110" s="306">
        <f>ROUND(G109*F110,0)</f>
        <v>0</v>
      </c>
    </row>
    <row r="111" spans="1:8" ht="13.5" thickBot="1">
      <c r="A111" s="253"/>
      <c r="B111" s="1006" t="s">
        <v>1049</v>
      </c>
      <c r="C111" s="1007"/>
      <c r="D111" s="1007"/>
      <c r="E111" s="1007"/>
      <c r="F111" s="1008"/>
      <c r="G111" s="291">
        <f>ROUND(G109+G110,-2)</f>
        <v>4100</v>
      </c>
      <c r="H111" s="505" t="s">
        <v>1670</v>
      </c>
    </row>
    <row r="112" spans="1:8" ht="13.5" thickTop="1">
      <c r="A112" s="253"/>
      <c r="B112" s="254" t="s">
        <v>303</v>
      </c>
      <c r="C112" s="1046"/>
      <c r="D112" s="1046"/>
      <c r="E112" s="1046"/>
      <c r="F112" s="257" t="s">
        <v>781</v>
      </c>
      <c r="G112" s="258" t="s">
        <v>831</v>
      </c>
    </row>
    <row r="113" spans="1:7">
      <c r="A113" s="253"/>
      <c r="B113" s="256" t="s">
        <v>834</v>
      </c>
      <c r="C113" s="1047" t="s">
        <v>1416</v>
      </c>
      <c r="D113" s="1047"/>
      <c r="E113" s="1047"/>
      <c r="F113" s="260" t="s">
        <v>833</v>
      </c>
      <c r="G113" s="261" t="str">
        <f>'MANO DE OBRA'!D61</f>
        <v>Agosto de 2010</v>
      </c>
    </row>
    <row r="114" spans="1:7" ht="13.5" thickBot="1">
      <c r="A114" s="262"/>
      <c r="B114" s="263" t="s">
        <v>835</v>
      </c>
      <c r="C114" s="1048" t="s">
        <v>1419</v>
      </c>
      <c r="D114" s="1048"/>
      <c r="E114" s="1048"/>
      <c r="F114" s="1048"/>
      <c r="G114" s="1049"/>
    </row>
    <row r="115" spans="1:7" ht="14.25" thickTop="1" thickBot="1">
      <c r="A115" s="253"/>
      <c r="B115" s="1050"/>
      <c r="C115" s="1050"/>
      <c r="D115" s="1050"/>
      <c r="E115" s="1050"/>
      <c r="F115" s="1050"/>
      <c r="G115" s="1050"/>
    </row>
    <row r="116" spans="1:7" ht="13.5" thickTop="1">
      <c r="A116" s="253"/>
      <c r="B116" s="1019" t="s">
        <v>304</v>
      </c>
      <c r="C116" s="1020"/>
      <c r="D116" s="1020"/>
      <c r="E116" s="1020"/>
      <c r="F116" s="1020"/>
      <c r="G116" s="1024"/>
    </row>
    <row r="117" spans="1:7">
      <c r="A117" s="253"/>
      <c r="B117" s="264"/>
      <c r="C117" s="265"/>
      <c r="D117" s="266" t="s">
        <v>301</v>
      </c>
      <c r="E117" s="266" t="s">
        <v>1072</v>
      </c>
      <c r="F117" s="267" t="s">
        <v>839</v>
      </c>
      <c r="G117" s="268" t="s">
        <v>840</v>
      </c>
    </row>
    <row r="118" spans="1:7">
      <c r="A118" s="253"/>
      <c r="B118" s="1026" t="s">
        <v>838</v>
      </c>
      <c r="C118" s="1027"/>
      <c r="D118" s="269" t="s">
        <v>308</v>
      </c>
      <c r="E118" s="269" t="s">
        <v>305</v>
      </c>
      <c r="F118" s="270" t="s">
        <v>306</v>
      </c>
      <c r="G118" s="271" t="s">
        <v>310</v>
      </c>
    </row>
    <row r="119" spans="1:7">
      <c r="A119" s="253"/>
      <c r="B119" s="272"/>
      <c r="C119" s="273"/>
      <c r="D119" s="274"/>
      <c r="E119" s="274" t="s">
        <v>309</v>
      </c>
      <c r="F119" s="275" t="s">
        <v>307</v>
      </c>
      <c r="G119" s="276"/>
    </row>
    <row r="120" spans="1:7">
      <c r="A120" s="262"/>
      <c r="B120" s="1028" t="str">
        <f>'MAQUINARIA Y EQUIPOS'!C28</f>
        <v>HERRAMIENTAS MENORES</v>
      </c>
      <c r="C120" s="1029"/>
      <c r="D120" s="277">
        <v>1</v>
      </c>
      <c r="E120" s="278">
        <f>ROUND(G153*0.05,0)</f>
        <v>153</v>
      </c>
      <c r="F120" s="279">
        <v>1</v>
      </c>
      <c r="G120" s="280">
        <f>ROUND(D120*E120/F120,0)</f>
        <v>153</v>
      </c>
    </row>
    <row r="121" spans="1:7">
      <c r="A121" s="253"/>
      <c r="B121" s="1022" t="str">
        <f>'MAQUINARIA Y EQUIPOS'!C9</f>
        <v>ANDAMIO TUBULAR 1.50 m</v>
      </c>
      <c r="C121" s="1023"/>
      <c r="D121" s="281">
        <v>4</v>
      </c>
      <c r="E121" s="282">
        <f>'MAQUINARIA Y EQUIPOS'!D9</f>
        <v>754</v>
      </c>
      <c r="F121" s="283">
        <v>34.78</v>
      </c>
      <c r="G121" s="284">
        <f>ROUND(D121*E121/F121,0)</f>
        <v>87</v>
      </c>
    </row>
    <row r="122" spans="1:7">
      <c r="A122" s="253"/>
      <c r="B122" s="1022" t="str">
        <f>'MAQUINARIA Y EQUIPOS'!C47</f>
        <v>TABLONES 3m</v>
      </c>
      <c r="C122" s="1023"/>
      <c r="D122" s="281">
        <v>4</v>
      </c>
      <c r="E122" s="282">
        <f>'MAQUINARIA Y EQUIPOS'!D47</f>
        <v>348</v>
      </c>
      <c r="F122" s="283">
        <v>34.78</v>
      </c>
      <c r="G122" s="284">
        <f>ROUND(D122*E122/F122,0)</f>
        <v>40</v>
      </c>
    </row>
    <row r="123" spans="1:7">
      <c r="A123" s="253"/>
      <c r="B123" s="1022"/>
      <c r="C123" s="1023"/>
      <c r="D123" s="285"/>
      <c r="E123" s="278"/>
      <c r="F123" s="283"/>
      <c r="G123" s="284"/>
    </row>
    <row r="124" spans="1:7">
      <c r="A124" s="253"/>
      <c r="B124" s="1022" t="s">
        <v>841</v>
      </c>
      <c r="C124" s="1023"/>
      <c r="D124" s="281"/>
      <c r="E124" s="278"/>
      <c r="F124" s="283"/>
      <c r="G124" s="284"/>
    </row>
    <row r="125" spans="1:7" ht="13.5" thickBot="1">
      <c r="A125" s="253"/>
      <c r="B125" s="1044" t="s">
        <v>841</v>
      </c>
      <c r="C125" s="1045"/>
      <c r="D125" s="286"/>
      <c r="E125" s="287"/>
      <c r="F125" s="288"/>
      <c r="G125" s="289"/>
    </row>
    <row r="126" spans="1:7" ht="14.25" thickTop="1" thickBot="1">
      <c r="A126" s="253"/>
      <c r="B126" s="1015"/>
      <c r="C126" s="1015"/>
      <c r="D126" s="1015"/>
      <c r="E126" s="1016"/>
      <c r="F126" s="290" t="s">
        <v>856</v>
      </c>
      <c r="G126" s="291">
        <f>SUM(G120:G125)</f>
        <v>280</v>
      </c>
    </row>
    <row r="127" spans="1:7" ht="14.25" thickTop="1" thickBot="1">
      <c r="A127" s="253"/>
      <c r="B127" s="1025"/>
      <c r="C127" s="1025"/>
      <c r="D127" s="1025"/>
      <c r="E127" s="1025"/>
      <c r="F127" s="1025"/>
      <c r="G127" s="1025"/>
    </row>
    <row r="128" spans="1:7" ht="13.5" thickTop="1">
      <c r="A128" s="253"/>
      <c r="B128" s="1019" t="s">
        <v>311</v>
      </c>
      <c r="C128" s="1020"/>
      <c r="D128" s="1020"/>
      <c r="E128" s="1020"/>
      <c r="F128" s="1020"/>
      <c r="G128" s="1024"/>
    </row>
    <row r="129" spans="1:8">
      <c r="A129" s="253"/>
      <c r="B129" s="1009" t="s">
        <v>838</v>
      </c>
      <c r="C129" s="1010"/>
      <c r="D129" s="266" t="s">
        <v>842</v>
      </c>
      <c r="E129" s="266" t="s">
        <v>853</v>
      </c>
      <c r="F129" s="267" t="s">
        <v>1047</v>
      </c>
      <c r="G129" s="268" t="s">
        <v>840</v>
      </c>
    </row>
    <row r="130" spans="1:8">
      <c r="A130" s="253"/>
      <c r="B130" s="272"/>
      <c r="C130" s="273"/>
      <c r="D130" s="269"/>
      <c r="E130" s="269" t="s">
        <v>312</v>
      </c>
      <c r="F130" s="270" t="s">
        <v>313</v>
      </c>
      <c r="G130" s="271" t="s">
        <v>314</v>
      </c>
    </row>
    <row r="131" spans="1:8">
      <c r="A131" s="259"/>
      <c r="B131" s="1042" t="str">
        <f>MATERIALES2!C13</f>
        <v>CEMENTO GRIS</v>
      </c>
      <c r="C131" s="1043"/>
      <c r="D131" s="277" t="s">
        <v>925</v>
      </c>
      <c r="E131" s="279">
        <v>3</v>
      </c>
      <c r="F131" s="292">
        <f>MATERIALES2!E13</f>
        <v>420</v>
      </c>
      <c r="G131" s="280">
        <f>ROUND(E131*F131,0)</f>
        <v>1260</v>
      </c>
    </row>
    <row r="132" spans="1:8" ht="14.25">
      <c r="A132" s="293"/>
      <c r="B132" s="1030" t="str">
        <f>MATERIALES2!C20</f>
        <v xml:space="preserve">ARENA </v>
      </c>
      <c r="C132" s="1031"/>
      <c r="D132" s="281" t="s">
        <v>1066</v>
      </c>
      <c r="E132" s="307">
        <v>7.0000000000000001E-3</v>
      </c>
      <c r="F132" s="278">
        <f>MATERIALES2!E20</f>
        <v>35000</v>
      </c>
      <c r="G132" s="284">
        <f>ROUND(E132*F132,0)</f>
        <v>245</v>
      </c>
    </row>
    <row r="133" spans="1:8">
      <c r="A133" s="293"/>
      <c r="B133" s="1030" t="str">
        <f>MATERIALES2!C28</f>
        <v>AGUA</v>
      </c>
      <c r="C133" s="1031"/>
      <c r="D133" s="281" t="s">
        <v>1071</v>
      </c>
      <c r="E133" s="294">
        <v>1.66</v>
      </c>
      <c r="F133" s="278">
        <f>MATERIALES2!E28</f>
        <v>50</v>
      </c>
      <c r="G133" s="284">
        <f>ROUND(E133*F133,0)</f>
        <v>83</v>
      </c>
    </row>
    <row r="134" spans="1:8">
      <c r="A134" s="253"/>
      <c r="B134" s="1030"/>
      <c r="C134" s="1031"/>
      <c r="D134" s="281"/>
      <c r="E134" s="283"/>
      <c r="F134" s="278"/>
      <c r="G134" s="284"/>
    </row>
    <row r="135" spans="1:8">
      <c r="A135" s="253"/>
      <c r="B135" s="1030"/>
      <c r="C135" s="1031"/>
      <c r="D135" s="281"/>
      <c r="E135" s="294"/>
      <c r="F135" s="278"/>
      <c r="G135" s="284"/>
    </row>
    <row r="136" spans="1:8">
      <c r="A136" s="253"/>
      <c r="B136" s="1030"/>
      <c r="C136" s="1031"/>
      <c r="D136" s="281"/>
      <c r="E136" s="294"/>
      <c r="F136" s="278"/>
      <c r="G136" s="284"/>
    </row>
    <row r="137" spans="1:8">
      <c r="A137" s="253"/>
      <c r="B137" s="1030"/>
      <c r="C137" s="1031"/>
      <c r="D137" s="281"/>
      <c r="E137" s="294"/>
      <c r="F137" s="278"/>
      <c r="G137" s="284"/>
    </row>
    <row r="138" spans="1:8">
      <c r="A138" s="253"/>
      <c r="B138" s="1032" t="s">
        <v>841</v>
      </c>
      <c r="C138" s="1033"/>
      <c r="D138" s="294" t="s">
        <v>841</v>
      </c>
      <c r="E138" s="294"/>
      <c r="F138" s="278"/>
      <c r="G138" s="284"/>
      <c r="H138" s="505" t="s">
        <v>1670</v>
      </c>
    </row>
    <row r="139" spans="1:8" ht="13.5" thickBot="1">
      <c r="A139" s="253"/>
      <c r="B139" s="1034" t="s">
        <v>841</v>
      </c>
      <c r="C139" s="1035"/>
      <c r="D139" s="295" t="s">
        <v>841</v>
      </c>
      <c r="E139" s="295"/>
      <c r="F139" s="296"/>
      <c r="G139" s="289"/>
    </row>
    <row r="140" spans="1:8" ht="13.5" thickTop="1">
      <c r="A140" s="253"/>
      <c r="B140" s="1015"/>
      <c r="C140" s="1016"/>
      <c r="D140" s="1038" t="s">
        <v>856</v>
      </c>
      <c r="E140" s="1039"/>
      <c r="F140" s="297"/>
      <c r="G140" s="298">
        <f>SUM(G131:G139)</f>
        <v>1588</v>
      </c>
    </row>
    <row r="141" spans="1:8">
      <c r="A141" s="253"/>
      <c r="B141" s="1036"/>
      <c r="C141" s="1037"/>
      <c r="D141" s="1038" t="s">
        <v>857</v>
      </c>
      <c r="E141" s="1039"/>
      <c r="F141" s="299">
        <f>'MANO DE OBRA'!D60</f>
        <v>0.05</v>
      </c>
      <c r="G141" s="298">
        <f>ROUND(G140*F141,0)</f>
        <v>79</v>
      </c>
    </row>
    <row r="142" spans="1:8" ht="13.5" thickBot="1">
      <c r="A142" s="253"/>
      <c r="B142" s="1036"/>
      <c r="C142" s="1037"/>
      <c r="D142" s="1040" t="s">
        <v>320</v>
      </c>
      <c r="E142" s="1041"/>
      <c r="F142" s="300"/>
      <c r="G142" s="291">
        <f>+G140+G141</f>
        <v>1667</v>
      </c>
    </row>
    <row r="143" spans="1:8" ht="14.25" thickTop="1" thickBot="1">
      <c r="A143" s="253"/>
      <c r="B143" s="1025"/>
      <c r="C143" s="1025"/>
      <c r="D143" s="1025"/>
      <c r="E143" s="1025"/>
      <c r="F143" s="1025"/>
      <c r="G143" s="1025"/>
    </row>
    <row r="144" spans="1:8" ht="13.5" thickTop="1">
      <c r="A144" s="253"/>
      <c r="B144" s="1019" t="s">
        <v>858</v>
      </c>
      <c r="C144" s="1020"/>
      <c r="D144" s="1020"/>
      <c r="E144" s="1020"/>
      <c r="F144" s="1020"/>
      <c r="G144" s="1024"/>
    </row>
    <row r="145" spans="1:7">
      <c r="A145" s="253"/>
      <c r="B145" s="1009"/>
      <c r="C145" s="1010"/>
      <c r="D145" s="266" t="s">
        <v>301</v>
      </c>
      <c r="E145" s="266" t="s">
        <v>859</v>
      </c>
      <c r="F145" s="267" t="s">
        <v>839</v>
      </c>
      <c r="G145" s="268" t="s">
        <v>840</v>
      </c>
    </row>
    <row r="146" spans="1:7">
      <c r="A146" s="253"/>
      <c r="B146" s="1026" t="s">
        <v>838</v>
      </c>
      <c r="C146" s="1027"/>
      <c r="D146" s="269" t="s">
        <v>316</v>
      </c>
      <c r="E146" s="269" t="s">
        <v>315</v>
      </c>
      <c r="F146" s="270" t="s">
        <v>306</v>
      </c>
      <c r="G146" s="271" t="s">
        <v>319</v>
      </c>
    </row>
    <row r="147" spans="1:7">
      <c r="A147" s="253"/>
      <c r="B147" s="272"/>
      <c r="C147" s="273"/>
      <c r="D147" s="274"/>
      <c r="E147" s="274" t="s">
        <v>317</v>
      </c>
      <c r="F147" s="275" t="s">
        <v>318</v>
      </c>
      <c r="G147" s="276"/>
    </row>
    <row r="148" spans="1:7">
      <c r="A148" s="253"/>
      <c r="B148" s="1028" t="str">
        <f>'MANO DE OBRA'!B10</f>
        <v>AYUDANTE CUAD. TIPO AA</v>
      </c>
      <c r="C148" s="1029"/>
      <c r="D148" s="277">
        <v>1</v>
      </c>
      <c r="E148" s="292">
        <f>'MANO DE OBRA'!E10</f>
        <v>34680</v>
      </c>
      <c r="F148" s="279">
        <v>34.78</v>
      </c>
      <c r="G148" s="280">
        <f>ROUND(D148*E148/F148,0)</f>
        <v>997</v>
      </c>
    </row>
    <row r="149" spans="1:7">
      <c r="A149" s="253"/>
      <c r="B149" s="1022" t="str">
        <f>'MANO DE OBRA'!B15</f>
        <v xml:space="preserve">OFICIAL CUAD. TIPO AA </v>
      </c>
      <c r="C149" s="1023"/>
      <c r="D149" s="281">
        <v>1</v>
      </c>
      <c r="E149" s="278">
        <f>'MANO DE OBRA'!E15</f>
        <v>71474</v>
      </c>
      <c r="F149" s="283">
        <v>34.78</v>
      </c>
      <c r="G149" s="284">
        <f>ROUND(D149*E149/F149,0)</f>
        <v>2055</v>
      </c>
    </row>
    <row r="150" spans="1:7">
      <c r="A150" s="253"/>
      <c r="B150" s="1022"/>
      <c r="C150" s="1023"/>
      <c r="D150" s="285"/>
      <c r="E150" s="278"/>
      <c r="F150" s="283"/>
      <c r="G150" s="284"/>
    </row>
    <row r="151" spans="1:7">
      <c r="A151" s="253"/>
      <c r="B151" s="1022" t="s">
        <v>841</v>
      </c>
      <c r="C151" s="1023"/>
      <c r="D151" s="281"/>
      <c r="E151" s="278"/>
      <c r="F151" s="283"/>
      <c r="G151" s="284"/>
    </row>
    <row r="152" spans="1:7" ht="13.5" thickBot="1">
      <c r="A152" s="253"/>
      <c r="B152" s="1013" t="s">
        <v>841</v>
      </c>
      <c r="C152" s="1014"/>
      <c r="D152" s="286"/>
      <c r="E152" s="278"/>
      <c r="F152" s="288"/>
      <c r="G152" s="289"/>
    </row>
    <row r="153" spans="1:7" ht="14.25" thickTop="1" thickBot="1">
      <c r="A153" s="253"/>
      <c r="B153" s="1015"/>
      <c r="C153" s="1015"/>
      <c r="D153" s="1015"/>
      <c r="E153" s="1016"/>
      <c r="F153" s="301" t="s">
        <v>856</v>
      </c>
      <c r="G153" s="291">
        <f>SUM(G148:G152)</f>
        <v>3052</v>
      </c>
    </row>
    <row r="154" spans="1:7" ht="14.25" thickTop="1" thickBot="1">
      <c r="A154" s="253"/>
      <c r="B154" s="1017"/>
      <c r="C154" s="1017"/>
      <c r="D154" s="1017"/>
      <c r="E154" s="1017"/>
      <c r="F154" s="1017"/>
      <c r="G154" s="1017"/>
    </row>
    <row r="155" spans="1:7" ht="13.5" thickTop="1">
      <c r="A155" s="253"/>
      <c r="B155" s="1019" t="s">
        <v>321</v>
      </c>
      <c r="C155" s="1020"/>
      <c r="D155" s="1020"/>
      <c r="E155" s="1020"/>
      <c r="F155" s="1020"/>
      <c r="G155" s="1024"/>
    </row>
    <row r="156" spans="1:7">
      <c r="A156" s="253"/>
      <c r="B156" s="1009" t="s">
        <v>838</v>
      </c>
      <c r="C156" s="1010"/>
      <c r="D156" s="266" t="s">
        <v>301</v>
      </c>
      <c r="E156" s="266" t="s">
        <v>297</v>
      </c>
      <c r="F156" s="267" t="s">
        <v>839</v>
      </c>
      <c r="G156" s="268" t="s">
        <v>840</v>
      </c>
    </row>
    <row r="157" spans="1:7">
      <c r="A157" s="253"/>
      <c r="B157" s="272"/>
      <c r="C157" s="273"/>
      <c r="D157" s="274" t="s">
        <v>322</v>
      </c>
      <c r="E157" s="274" t="s">
        <v>323</v>
      </c>
      <c r="F157" s="275" t="s">
        <v>324</v>
      </c>
      <c r="G157" s="276" t="s">
        <v>325</v>
      </c>
    </row>
    <row r="158" spans="1:7">
      <c r="A158" s="253"/>
      <c r="B158" s="1011"/>
      <c r="C158" s="1012"/>
      <c r="D158" s="302"/>
      <c r="E158" s="302"/>
      <c r="F158" s="302"/>
      <c r="G158" s="303"/>
    </row>
    <row r="159" spans="1:7" ht="13.5" thickBot="1">
      <c r="A159" s="253"/>
      <c r="B159" s="1013" t="s">
        <v>841</v>
      </c>
      <c r="C159" s="1014"/>
      <c r="D159" s="286"/>
      <c r="E159" s="278"/>
      <c r="F159" s="288"/>
      <c r="G159" s="289"/>
    </row>
    <row r="160" spans="1:7" ht="14.25" thickTop="1" thickBot="1">
      <c r="A160" s="253"/>
      <c r="B160" s="1015"/>
      <c r="C160" s="1015"/>
      <c r="D160" s="1015"/>
      <c r="E160" s="1016"/>
      <c r="F160" s="301" t="s">
        <v>856</v>
      </c>
      <c r="G160" s="291">
        <f>SUM(G155:G159)</f>
        <v>0</v>
      </c>
    </row>
    <row r="161" spans="1:8" ht="14.25" thickTop="1" thickBot="1">
      <c r="A161" s="253"/>
      <c r="B161" s="1017"/>
      <c r="C161" s="1017"/>
      <c r="D161" s="1017"/>
      <c r="E161" s="1017"/>
      <c r="F161" s="1017"/>
      <c r="G161" s="1018"/>
    </row>
    <row r="162" spans="1:8" ht="13.5" thickTop="1">
      <c r="A162" s="253"/>
      <c r="B162" s="1019" t="s">
        <v>326</v>
      </c>
      <c r="C162" s="1020"/>
      <c r="D162" s="1020"/>
      <c r="E162" s="1020"/>
      <c r="F162" s="1021"/>
      <c r="G162" s="304">
        <f>+G126+G142+G153</f>
        <v>4999</v>
      </c>
    </row>
    <row r="163" spans="1:8">
      <c r="A163" s="253"/>
      <c r="B163" s="1003" t="s">
        <v>861</v>
      </c>
      <c r="C163" s="1004"/>
      <c r="D163" s="1004"/>
      <c r="E163" s="1005"/>
      <c r="F163" s="305">
        <f>'MANO DE OBRA'!D59</f>
        <v>0</v>
      </c>
      <c r="G163" s="306">
        <f>ROUND(G162*F163,0)</f>
        <v>0</v>
      </c>
    </row>
    <row r="164" spans="1:8" ht="13.5" thickBot="1">
      <c r="A164" s="253"/>
      <c r="B164" s="1006" t="s">
        <v>1049</v>
      </c>
      <c r="C164" s="1007"/>
      <c r="D164" s="1007"/>
      <c r="E164" s="1007"/>
      <c r="F164" s="1008"/>
      <c r="G164" s="291">
        <f>ROUND(G162+G163,-2)</f>
        <v>5000</v>
      </c>
      <c r="H164" s="505" t="s">
        <v>1670</v>
      </c>
    </row>
    <row r="165" spans="1:8" ht="15" thickTop="1">
      <c r="A165" s="253"/>
      <c r="B165" s="254" t="s">
        <v>303</v>
      </c>
      <c r="C165" s="1046"/>
      <c r="D165" s="1046"/>
      <c r="E165" s="1046"/>
      <c r="F165" s="257" t="s">
        <v>781</v>
      </c>
      <c r="G165" s="258" t="s">
        <v>1067</v>
      </c>
    </row>
    <row r="166" spans="1:8">
      <c r="A166" s="253"/>
      <c r="B166" s="256" t="s">
        <v>834</v>
      </c>
      <c r="C166" s="1047" t="s">
        <v>1416</v>
      </c>
      <c r="D166" s="1047"/>
      <c r="E166" s="1047"/>
      <c r="F166" s="260" t="s">
        <v>833</v>
      </c>
      <c r="G166" s="261" t="str">
        <f>'MANO DE OBRA'!D61</f>
        <v>Agosto de 2010</v>
      </c>
    </row>
    <row r="167" spans="1:8" ht="13.5" thickBot="1">
      <c r="A167" s="262"/>
      <c r="B167" s="263" t="s">
        <v>835</v>
      </c>
      <c r="C167" s="1048" t="s">
        <v>1420</v>
      </c>
      <c r="D167" s="1048"/>
      <c r="E167" s="1048"/>
      <c r="F167" s="1048"/>
      <c r="G167" s="1049"/>
    </row>
    <row r="168" spans="1:8" ht="14.25" thickTop="1" thickBot="1">
      <c r="A168" s="253"/>
      <c r="B168" s="1050"/>
      <c r="C168" s="1050"/>
      <c r="D168" s="1050"/>
      <c r="E168" s="1050"/>
      <c r="F168" s="1050"/>
      <c r="G168" s="1050"/>
    </row>
    <row r="169" spans="1:8" ht="13.5" thickTop="1">
      <c r="A169" s="253"/>
      <c r="B169" s="1019" t="s">
        <v>304</v>
      </c>
      <c r="C169" s="1020"/>
      <c r="D169" s="1020"/>
      <c r="E169" s="1020"/>
      <c r="F169" s="1020"/>
      <c r="G169" s="1024"/>
    </row>
    <row r="170" spans="1:8">
      <c r="A170" s="253"/>
      <c r="B170" s="264"/>
      <c r="C170" s="265"/>
      <c r="D170" s="266" t="s">
        <v>301</v>
      </c>
      <c r="E170" s="266" t="s">
        <v>1072</v>
      </c>
      <c r="F170" s="267" t="s">
        <v>839</v>
      </c>
      <c r="G170" s="268" t="s">
        <v>840</v>
      </c>
    </row>
    <row r="171" spans="1:8">
      <c r="A171" s="253"/>
      <c r="B171" s="1026" t="s">
        <v>838</v>
      </c>
      <c r="C171" s="1027"/>
      <c r="D171" s="269" t="s">
        <v>308</v>
      </c>
      <c r="E171" s="269" t="s">
        <v>305</v>
      </c>
      <c r="F171" s="270" t="s">
        <v>306</v>
      </c>
      <c r="G171" s="271" t="s">
        <v>310</v>
      </c>
    </row>
    <row r="172" spans="1:8">
      <c r="A172" s="253"/>
      <c r="B172" s="272"/>
      <c r="C172" s="273"/>
      <c r="D172" s="274"/>
      <c r="E172" s="274" t="s">
        <v>309</v>
      </c>
      <c r="F172" s="275" t="s">
        <v>307</v>
      </c>
      <c r="G172" s="276"/>
    </row>
    <row r="173" spans="1:8">
      <c r="A173" s="262"/>
      <c r="B173" s="1028" t="str">
        <f>'MAQUINARIA Y EQUIPOS'!C28</f>
        <v>HERRAMIENTAS MENORES</v>
      </c>
      <c r="C173" s="1029"/>
      <c r="D173" s="277">
        <v>1</v>
      </c>
      <c r="E173" s="278">
        <f>ROUND(G206*0.05,0)</f>
        <v>265</v>
      </c>
      <c r="F173" s="279">
        <v>1</v>
      </c>
      <c r="G173" s="280">
        <f>ROUND(D173*E173/F173,0)</f>
        <v>265</v>
      </c>
    </row>
    <row r="174" spans="1:8">
      <c r="A174" s="253"/>
      <c r="B174" s="1022" t="str">
        <f>'MAQUINARIA Y EQUIPOS'!C9</f>
        <v>ANDAMIO TUBULAR 1.50 m</v>
      </c>
      <c r="C174" s="1023"/>
      <c r="D174" s="281">
        <v>4</v>
      </c>
      <c r="E174" s="282">
        <f>'MAQUINARIA Y EQUIPOS'!D9</f>
        <v>754</v>
      </c>
      <c r="F174" s="283">
        <v>20</v>
      </c>
      <c r="G174" s="284">
        <f>ROUND(D174*E174/F174,0)</f>
        <v>151</v>
      </c>
    </row>
    <row r="175" spans="1:8">
      <c r="A175" s="253"/>
      <c r="B175" s="1022" t="str">
        <f>'MAQUINARIA Y EQUIPOS'!C47</f>
        <v>TABLONES 3m</v>
      </c>
      <c r="C175" s="1023"/>
      <c r="D175" s="281">
        <v>4</v>
      </c>
      <c r="E175" s="282">
        <f>'MAQUINARIA Y EQUIPOS'!D47</f>
        <v>348</v>
      </c>
      <c r="F175" s="283">
        <v>20</v>
      </c>
      <c r="G175" s="284">
        <f>ROUND(D175*E175/F175,0)</f>
        <v>70</v>
      </c>
    </row>
    <row r="176" spans="1:8">
      <c r="A176" s="253"/>
      <c r="B176" s="1022"/>
      <c r="C176" s="1023"/>
      <c r="D176" s="285"/>
      <c r="E176" s="278"/>
      <c r="F176" s="283"/>
      <c r="G176" s="284"/>
    </row>
    <row r="177" spans="1:8">
      <c r="A177" s="253"/>
      <c r="B177" s="1022" t="s">
        <v>841</v>
      </c>
      <c r="C177" s="1023"/>
      <c r="D177" s="281"/>
      <c r="E177" s="278"/>
      <c r="F177" s="283"/>
      <c r="G177" s="284"/>
    </row>
    <row r="178" spans="1:8" ht="13.5" thickBot="1">
      <c r="A178" s="253"/>
      <c r="B178" s="1044" t="s">
        <v>841</v>
      </c>
      <c r="C178" s="1045"/>
      <c r="D178" s="286"/>
      <c r="E178" s="287"/>
      <c r="F178" s="288"/>
      <c r="G178" s="289"/>
    </row>
    <row r="179" spans="1:8" ht="14.25" thickTop="1" thickBot="1">
      <c r="A179" s="253"/>
      <c r="B179" s="1015"/>
      <c r="C179" s="1015"/>
      <c r="D179" s="1015"/>
      <c r="E179" s="1016"/>
      <c r="F179" s="290" t="s">
        <v>856</v>
      </c>
      <c r="G179" s="291">
        <f>SUM(G173:G178)</f>
        <v>486</v>
      </c>
    </row>
    <row r="180" spans="1:8" ht="14.25" thickTop="1" thickBot="1">
      <c r="A180" s="253"/>
      <c r="B180" s="1025"/>
      <c r="C180" s="1025"/>
      <c r="D180" s="1025"/>
      <c r="E180" s="1025"/>
      <c r="F180" s="1025"/>
      <c r="G180" s="1025"/>
    </row>
    <row r="181" spans="1:8" ht="13.5" thickTop="1">
      <c r="A181" s="253"/>
      <c r="B181" s="1019" t="s">
        <v>311</v>
      </c>
      <c r="C181" s="1020"/>
      <c r="D181" s="1020"/>
      <c r="E181" s="1020"/>
      <c r="F181" s="1020"/>
      <c r="G181" s="1024"/>
    </row>
    <row r="182" spans="1:8">
      <c r="A182" s="253"/>
      <c r="B182" s="1009" t="s">
        <v>838</v>
      </c>
      <c r="C182" s="1010"/>
      <c r="D182" s="266" t="s">
        <v>842</v>
      </c>
      <c r="E182" s="266" t="s">
        <v>853</v>
      </c>
      <c r="F182" s="267" t="s">
        <v>1047</v>
      </c>
      <c r="G182" s="268" t="s">
        <v>840</v>
      </c>
    </row>
    <row r="183" spans="1:8">
      <c r="A183" s="253"/>
      <c r="B183" s="272"/>
      <c r="C183" s="273"/>
      <c r="D183" s="269"/>
      <c r="E183" s="269" t="s">
        <v>312</v>
      </c>
      <c r="F183" s="270" t="s">
        <v>313</v>
      </c>
      <c r="G183" s="271" t="s">
        <v>314</v>
      </c>
    </row>
    <row r="184" spans="1:8">
      <c r="A184" s="259"/>
      <c r="B184" s="1042" t="str">
        <f>MATERIALES2!C915</f>
        <v>MALLA CON VENA 0.5 X 2.00</v>
      </c>
      <c r="C184" s="1043"/>
      <c r="D184" s="277" t="s">
        <v>865</v>
      </c>
      <c r="E184" s="279">
        <v>0.9</v>
      </c>
      <c r="F184" s="292">
        <f>MATERIALES2!E915</f>
        <v>2800</v>
      </c>
      <c r="G184" s="280">
        <f>ROUND(E184*F184,0)</f>
        <v>2520</v>
      </c>
    </row>
    <row r="185" spans="1:8">
      <c r="A185" s="293"/>
      <c r="B185" s="1030" t="str">
        <f>MATERIALES2!C918</f>
        <v>PUNTILLAS DE 2"</v>
      </c>
      <c r="C185" s="1031"/>
      <c r="D185" s="281" t="s">
        <v>922</v>
      </c>
      <c r="E185" s="307">
        <v>0.04</v>
      </c>
      <c r="F185" s="278">
        <f>MATERIALES2!E918</f>
        <v>1500</v>
      </c>
      <c r="G185" s="284">
        <f>ROUND(E185*F185,0)</f>
        <v>60</v>
      </c>
    </row>
    <row r="186" spans="1:8">
      <c r="A186" s="293"/>
      <c r="B186" s="1030"/>
      <c r="C186" s="1031"/>
      <c r="D186" s="281"/>
      <c r="E186" s="294"/>
      <c r="F186" s="278"/>
      <c r="G186" s="284"/>
    </row>
    <row r="187" spans="1:8">
      <c r="A187" s="253"/>
      <c r="B187" s="1030"/>
      <c r="C187" s="1031"/>
      <c r="D187" s="281"/>
      <c r="E187" s="283"/>
      <c r="F187" s="278"/>
      <c r="G187" s="284"/>
    </row>
    <row r="188" spans="1:8">
      <c r="A188" s="253"/>
      <c r="B188" s="1030"/>
      <c r="C188" s="1031"/>
      <c r="D188" s="281"/>
      <c r="E188" s="294"/>
      <c r="F188" s="278"/>
      <c r="G188" s="284"/>
    </row>
    <row r="189" spans="1:8">
      <c r="A189" s="253"/>
      <c r="B189" s="1030"/>
      <c r="C189" s="1031"/>
      <c r="D189" s="281"/>
      <c r="E189" s="294"/>
      <c r="F189" s="278"/>
      <c r="G189" s="284"/>
    </row>
    <row r="190" spans="1:8">
      <c r="A190" s="253"/>
      <c r="B190" s="1030"/>
      <c r="C190" s="1031"/>
      <c r="D190" s="281"/>
      <c r="E190" s="294"/>
      <c r="F190" s="278"/>
      <c r="G190" s="284"/>
    </row>
    <row r="191" spans="1:8">
      <c r="A191" s="253"/>
      <c r="B191" s="1032" t="s">
        <v>841</v>
      </c>
      <c r="C191" s="1033"/>
      <c r="D191" s="294" t="s">
        <v>841</v>
      </c>
      <c r="E191" s="294"/>
      <c r="F191" s="278"/>
      <c r="G191" s="284"/>
      <c r="H191" s="505" t="s">
        <v>1670</v>
      </c>
    </row>
    <row r="192" spans="1:8" ht="13.5" thickBot="1">
      <c r="A192" s="253"/>
      <c r="B192" s="1034" t="s">
        <v>841</v>
      </c>
      <c r="C192" s="1035"/>
      <c r="D192" s="295" t="s">
        <v>841</v>
      </c>
      <c r="E192" s="295"/>
      <c r="F192" s="296"/>
      <c r="G192" s="289"/>
    </row>
    <row r="193" spans="1:7" ht="13.5" thickTop="1">
      <c r="A193" s="253"/>
      <c r="B193" s="1015"/>
      <c r="C193" s="1016"/>
      <c r="D193" s="1038" t="s">
        <v>856</v>
      </c>
      <c r="E193" s="1039"/>
      <c r="F193" s="297"/>
      <c r="G193" s="298">
        <f>SUM(G184:G192)</f>
        <v>2580</v>
      </c>
    </row>
    <row r="194" spans="1:7">
      <c r="A194" s="253"/>
      <c r="B194" s="1036"/>
      <c r="C194" s="1037"/>
      <c r="D194" s="1038" t="s">
        <v>857</v>
      </c>
      <c r="E194" s="1039"/>
      <c r="F194" s="299">
        <f>'MANO DE OBRA'!D60</f>
        <v>0.05</v>
      </c>
      <c r="G194" s="298">
        <f>ROUND(G193*F194,0)</f>
        <v>129</v>
      </c>
    </row>
    <row r="195" spans="1:7" ht="13.5" thickBot="1">
      <c r="A195" s="253"/>
      <c r="B195" s="1036"/>
      <c r="C195" s="1037"/>
      <c r="D195" s="1040" t="s">
        <v>320</v>
      </c>
      <c r="E195" s="1041"/>
      <c r="F195" s="300"/>
      <c r="G195" s="291">
        <f>+G193+G194</f>
        <v>2709</v>
      </c>
    </row>
    <row r="196" spans="1:7" ht="14.25" thickTop="1" thickBot="1">
      <c r="A196" s="253"/>
      <c r="B196" s="1025"/>
      <c r="C196" s="1025"/>
      <c r="D196" s="1025"/>
      <c r="E196" s="1025"/>
      <c r="F196" s="1025"/>
      <c r="G196" s="1025"/>
    </row>
    <row r="197" spans="1:7" ht="13.5" thickTop="1">
      <c r="A197" s="253"/>
      <c r="B197" s="1019" t="s">
        <v>858</v>
      </c>
      <c r="C197" s="1020"/>
      <c r="D197" s="1020"/>
      <c r="E197" s="1020"/>
      <c r="F197" s="1020"/>
      <c r="G197" s="1024"/>
    </row>
    <row r="198" spans="1:7">
      <c r="A198" s="253"/>
      <c r="B198" s="1009"/>
      <c r="C198" s="1010"/>
      <c r="D198" s="266" t="s">
        <v>301</v>
      </c>
      <c r="E198" s="266" t="s">
        <v>859</v>
      </c>
      <c r="F198" s="267" t="s">
        <v>839</v>
      </c>
      <c r="G198" s="268" t="s">
        <v>840</v>
      </c>
    </row>
    <row r="199" spans="1:7">
      <c r="A199" s="253"/>
      <c r="B199" s="1026" t="s">
        <v>838</v>
      </c>
      <c r="C199" s="1027"/>
      <c r="D199" s="269" t="s">
        <v>316</v>
      </c>
      <c r="E199" s="269" t="s">
        <v>315</v>
      </c>
      <c r="F199" s="270" t="s">
        <v>306</v>
      </c>
      <c r="G199" s="271" t="s">
        <v>319</v>
      </c>
    </row>
    <row r="200" spans="1:7">
      <c r="A200" s="253"/>
      <c r="B200" s="272"/>
      <c r="C200" s="273"/>
      <c r="D200" s="274"/>
      <c r="E200" s="274" t="s">
        <v>317</v>
      </c>
      <c r="F200" s="275" t="s">
        <v>318</v>
      </c>
      <c r="G200" s="276"/>
    </row>
    <row r="201" spans="1:7">
      <c r="A201" s="253"/>
      <c r="B201" s="1028" t="str">
        <f>'MANO DE OBRA'!B10</f>
        <v>AYUDANTE CUAD. TIPO AA</v>
      </c>
      <c r="C201" s="1029"/>
      <c r="D201" s="277">
        <v>1</v>
      </c>
      <c r="E201" s="292">
        <f>'MANO DE OBRA'!E10</f>
        <v>34680</v>
      </c>
      <c r="F201" s="279">
        <v>20</v>
      </c>
      <c r="G201" s="280">
        <f>ROUND(D201*E201/F201,0)</f>
        <v>1734</v>
      </c>
    </row>
    <row r="202" spans="1:7">
      <c r="A202" s="253"/>
      <c r="B202" s="1022" t="str">
        <f>'MANO DE OBRA'!B15</f>
        <v xml:space="preserve">OFICIAL CUAD. TIPO AA </v>
      </c>
      <c r="C202" s="1023"/>
      <c r="D202" s="281">
        <v>1</v>
      </c>
      <c r="E202" s="278">
        <f>'MANO DE OBRA'!E15</f>
        <v>71474</v>
      </c>
      <c r="F202" s="283">
        <v>20</v>
      </c>
      <c r="G202" s="284">
        <f>ROUND(D202*E202/F202,0)</f>
        <v>3574</v>
      </c>
    </row>
    <row r="203" spans="1:7">
      <c r="A203" s="253"/>
      <c r="B203" s="1022"/>
      <c r="C203" s="1023"/>
      <c r="D203" s="285"/>
      <c r="E203" s="278"/>
      <c r="F203" s="283"/>
      <c r="G203" s="284"/>
    </row>
    <row r="204" spans="1:7">
      <c r="A204" s="253"/>
      <c r="B204" s="1022" t="s">
        <v>841</v>
      </c>
      <c r="C204" s="1023"/>
      <c r="D204" s="281"/>
      <c r="E204" s="278"/>
      <c r="F204" s="283"/>
      <c r="G204" s="284"/>
    </row>
    <row r="205" spans="1:7" ht="13.5" thickBot="1">
      <c r="A205" s="253"/>
      <c r="B205" s="1013" t="s">
        <v>841</v>
      </c>
      <c r="C205" s="1014"/>
      <c r="D205" s="286"/>
      <c r="E205" s="278"/>
      <c r="F205" s="288"/>
      <c r="G205" s="289"/>
    </row>
    <row r="206" spans="1:7" ht="14.25" thickTop="1" thickBot="1">
      <c r="A206" s="253"/>
      <c r="B206" s="1015"/>
      <c r="C206" s="1015"/>
      <c r="D206" s="1015"/>
      <c r="E206" s="1016"/>
      <c r="F206" s="301" t="s">
        <v>856</v>
      </c>
      <c r="G206" s="291">
        <f>SUM(G201:G205)</f>
        <v>5308</v>
      </c>
    </row>
    <row r="207" spans="1:7" ht="14.25" thickTop="1" thickBot="1">
      <c r="A207" s="253"/>
      <c r="B207" s="1017"/>
      <c r="C207" s="1017"/>
      <c r="D207" s="1017"/>
      <c r="E207" s="1017"/>
      <c r="F207" s="1017"/>
      <c r="G207" s="1017"/>
    </row>
    <row r="208" spans="1:7" ht="13.5" thickTop="1">
      <c r="A208" s="253"/>
      <c r="B208" s="1019" t="s">
        <v>321</v>
      </c>
      <c r="C208" s="1020"/>
      <c r="D208" s="1020"/>
      <c r="E208" s="1020"/>
      <c r="F208" s="1020"/>
      <c r="G208" s="1024"/>
    </row>
    <row r="209" spans="1:8">
      <c r="A209" s="253"/>
      <c r="B209" s="1009" t="s">
        <v>838</v>
      </c>
      <c r="C209" s="1010"/>
      <c r="D209" s="266" t="s">
        <v>301</v>
      </c>
      <c r="E209" s="266" t="s">
        <v>297</v>
      </c>
      <c r="F209" s="267" t="s">
        <v>839</v>
      </c>
      <c r="G209" s="268" t="s">
        <v>840</v>
      </c>
    </row>
    <row r="210" spans="1:8">
      <c r="A210" s="253"/>
      <c r="B210" s="272"/>
      <c r="C210" s="273"/>
      <c r="D210" s="274" t="s">
        <v>322</v>
      </c>
      <c r="E210" s="274" t="s">
        <v>323</v>
      </c>
      <c r="F210" s="275" t="s">
        <v>324</v>
      </c>
      <c r="G210" s="276" t="s">
        <v>325</v>
      </c>
    </row>
    <row r="211" spans="1:8">
      <c r="A211" s="253"/>
      <c r="B211" s="1011"/>
      <c r="C211" s="1012"/>
      <c r="D211" s="302"/>
      <c r="E211" s="302"/>
      <c r="F211" s="302"/>
      <c r="G211" s="303"/>
    </row>
    <row r="212" spans="1:8" ht="13.5" thickBot="1">
      <c r="A212" s="253"/>
      <c r="B212" s="1013" t="s">
        <v>841</v>
      </c>
      <c r="C212" s="1014"/>
      <c r="D212" s="286"/>
      <c r="E212" s="278"/>
      <c r="F212" s="288"/>
      <c r="G212" s="289"/>
    </row>
    <row r="213" spans="1:8" ht="14.25" thickTop="1" thickBot="1">
      <c r="A213" s="253"/>
      <c r="B213" s="1015"/>
      <c r="C213" s="1015"/>
      <c r="D213" s="1015"/>
      <c r="E213" s="1016"/>
      <c r="F213" s="301" t="s">
        <v>856</v>
      </c>
      <c r="G213" s="291">
        <f>SUM(G208:G212)</f>
        <v>0</v>
      </c>
    </row>
    <row r="214" spans="1:8" ht="14.25" thickTop="1" thickBot="1">
      <c r="A214" s="253"/>
      <c r="B214" s="1017"/>
      <c r="C214" s="1017"/>
      <c r="D214" s="1017"/>
      <c r="E214" s="1017"/>
      <c r="F214" s="1017"/>
      <c r="G214" s="1018"/>
    </row>
    <row r="215" spans="1:8" ht="13.5" thickTop="1">
      <c r="A215" s="253"/>
      <c r="B215" s="1019" t="s">
        <v>326</v>
      </c>
      <c r="C215" s="1020"/>
      <c r="D215" s="1020"/>
      <c r="E215" s="1020"/>
      <c r="F215" s="1021"/>
      <c r="G215" s="304">
        <f>+G179+G195+G206</f>
        <v>8503</v>
      </c>
    </row>
    <row r="216" spans="1:8">
      <c r="A216" s="253"/>
      <c r="B216" s="1003" t="s">
        <v>861</v>
      </c>
      <c r="C216" s="1004"/>
      <c r="D216" s="1004"/>
      <c r="E216" s="1005"/>
      <c r="F216" s="305">
        <f>'MANO DE OBRA'!D59</f>
        <v>0</v>
      </c>
      <c r="G216" s="306">
        <f>ROUND(G215*F216,0)</f>
        <v>0</v>
      </c>
    </row>
    <row r="217" spans="1:8" ht="13.5" thickBot="1">
      <c r="A217" s="253"/>
      <c r="B217" s="1006" t="s">
        <v>1049</v>
      </c>
      <c r="C217" s="1007"/>
      <c r="D217" s="1007"/>
      <c r="E217" s="1007"/>
      <c r="F217" s="1008"/>
      <c r="G217" s="291">
        <f>ROUND(G215+G216,-2)</f>
        <v>8500</v>
      </c>
      <c r="H217" s="505" t="s">
        <v>1670</v>
      </c>
    </row>
    <row r="218" spans="1:8" ht="15" thickTop="1">
      <c r="A218" s="253"/>
      <c r="B218" s="254" t="s">
        <v>303</v>
      </c>
      <c r="C218" s="1046"/>
      <c r="D218" s="1046"/>
      <c r="E218" s="1046"/>
      <c r="F218" s="257" t="s">
        <v>781</v>
      </c>
      <c r="G218" s="258" t="s">
        <v>1067</v>
      </c>
    </row>
    <row r="219" spans="1:8">
      <c r="A219" s="253"/>
      <c r="B219" s="256" t="s">
        <v>834</v>
      </c>
      <c r="C219" s="1047" t="s">
        <v>1416</v>
      </c>
      <c r="D219" s="1047"/>
      <c r="E219" s="1047"/>
      <c r="F219" s="260" t="s">
        <v>833</v>
      </c>
      <c r="G219" s="261" t="str">
        <f>'MANO DE OBRA'!D61</f>
        <v>Agosto de 2010</v>
      </c>
    </row>
    <row r="220" spans="1:8" ht="13.5" thickBot="1">
      <c r="A220" s="262"/>
      <c r="B220" s="263" t="s">
        <v>835</v>
      </c>
      <c r="C220" s="1048" t="s">
        <v>1421</v>
      </c>
      <c r="D220" s="1048"/>
      <c r="E220" s="1048"/>
      <c r="F220" s="1048"/>
      <c r="G220" s="1049"/>
    </row>
    <row r="221" spans="1:8" ht="14.25" thickTop="1" thickBot="1">
      <c r="A221" s="253"/>
      <c r="B221" s="1050"/>
      <c r="C221" s="1050"/>
      <c r="D221" s="1050"/>
      <c r="E221" s="1050"/>
      <c r="F221" s="1050"/>
      <c r="G221" s="1050"/>
    </row>
    <row r="222" spans="1:8" ht="13.5" thickTop="1">
      <c r="A222" s="253"/>
      <c r="B222" s="1019" t="s">
        <v>304</v>
      </c>
      <c r="C222" s="1020"/>
      <c r="D222" s="1020"/>
      <c r="E222" s="1020"/>
      <c r="F222" s="1020"/>
      <c r="G222" s="1024"/>
    </row>
    <row r="223" spans="1:8">
      <c r="A223" s="253"/>
      <c r="B223" s="264"/>
      <c r="C223" s="265"/>
      <c r="D223" s="266" t="s">
        <v>301</v>
      </c>
      <c r="E223" s="266" t="s">
        <v>1072</v>
      </c>
      <c r="F223" s="267" t="s">
        <v>839</v>
      </c>
      <c r="G223" s="268" t="s">
        <v>840</v>
      </c>
    </row>
    <row r="224" spans="1:8">
      <c r="A224" s="253"/>
      <c r="B224" s="1026" t="s">
        <v>838</v>
      </c>
      <c r="C224" s="1027"/>
      <c r="D224" s="269" t="s">
        <v>308</v>
      </c>
      <c r="E224" s="269" t="s">
        <v>305</v>
      </c>
      <c r="F224" s="270" t="s">
        <v>306</v>
      </c>
      <c r="G224" s="271" t="s">
        <v>310</v>
      </c>
    </row>
    <row r="225" spans="1:7">
      <c r="A225" s="253"/>
      <c r="B225" s="272"/>
      <c r="C225" s="273"/>
      <c r="D225" s="274"/>
      <c r="E225" s="274" t="s">
        <v>309</v>
      </c>
      <c r="F225" s="275" t="s">
        <v>307</v>
      </c>
      <c r="G225" s="276"/>
    </row>
    <row r="226" spans="1:7">
      <c r="A226" s="262"/>
      <c r="B226" s="1028" t="str">
        <f>'MAQUINARIA Y EQUIPOS'!C28</f>
        <v>HERRAMIENTAS MENORES</v>
      </c>
      <c r="C226" s="1029"/>
      <c r="D226" s="277">
        <v>1</v>
      </c>
      <c r="E226" s="278">
        <f>ROUND(G259*0.05,0)</f>
        <v>398</v>
      </c>
      <c r="F226" s="279">
        <v>1</v>
      </c>
      <c r="G226" s="280">
        <f>ROUND(D226*E226/F226,0)</f>
        <v>398</v>
      </c>
    </row>
    <row r="227" spans="1:7">
      <c r="A227" s="253"/>
      <c r="B227" s="1022" t="str">
        <f>'MAQUINARIA Y EQUIPOS'!C9</f>
        <v>ANDAMIO TUBULAR 1.50 m</v>
      </c>
      <c r="C227" s="1023"/>
      <c r="D227" s="281">
        <v>4</v>
      </c>
      <c r="E227" s="282">
        <f>'MAQUINARIA Y EQUIPOS'!D9</f>
        <v>754</v>
      </c>
      <c r="F227" s="283">
        <v>13.33</v>
      </c>
      <c r="G227" s="284">
        <f>ROUND(D227*E227/F227,0)</f>
        <v>226</v>
      </c>
    </row>
    <row r="228" spans="1:7">
      <c r="A228" s="253"/>
      <c r="B228" s="1022" t="str">
        <f>'MAQUINARIA Y EQUIPOS'!C47</f>
        <v>TABLONES 3m</v>
      </c>
      <c r="C228" s="1023"/>
      <c r="D228" s="281">
        <v>4</v>
      </c>
      <c r="E228" s="282">
        <f>'MAQUINARIA Y EQUIPOS'!D47</f>
        <v>348</v>
      </c>
      <c r="F228" s="283">
        <v>13.33</v>
      </c>
      <c r="G228" s="284">
        <f>ROUND(D228*E228/F228,0)</f>
        <v>104</v>
      </c>
    </row>
    <row r="229" spans="1:7">
      <c r="A229" s="253"/>
      <c r="B229" s="1022"/>
      <c r="C229" s="1023"/>
      <c r="D229" s="285"/>
      <c r="E229" s="278"/>
      <c r="F229" s="283"/>
      <c r="G229" s="284"/>
    </row>
    <row r="230" spans="1:7">
      <c r="A230" s="253"/>
      <c r="B230" s="1022" t="s">
        <v>841</v>
      </c>
      <c r="C230" s="1023"/>
      <c r="D230" s="281"/>
      <c r="E230" s="278"/>
      <c r="F230" s="283"/>
      <c r="G230" s="284"/>
    </row>
    <row r="231" spans="1:7" ht="13.5" thickBot="1">
      <c r="A231" s="253"/>
      <c r="B231" s="1044" t="s">
        <v>841</v>
      </c>
      <c r="C231" s="1045"/>
      <c r="D231" s="286"/>
      <c r="E231" s="287"/>
      <c r="F231" s="288"/>
      <c r="G231" s="289"/>
    </row>
    <row r="232" spans="1:7" ht="14.25" thickTop="1" thickBot="1">
      <c r="A232" s="253"/>
      <c r="B232" s="1015"/>
      <c r="C232" s="1015"/>
      <c r="D232" s="1015"/>
      <c r="E232" s="1016"/>
      <c r="F232" s="290" t="s">
        <v>856</v>
      </c>
      <c r="G232" s="291">
        <f>SUM(G226:G231)</f>
        <v>728</v>
      </c>
    </row>
    <row r="233" spans="1:7" ht="14.25" thickTop="1" thickBot="1">
      <c r="A233" s="253"/>
      <c r="B233" s="1025"/>
      <c r="C233" s="1025"/>
      <c r="D233" s="1025"/>
      <c r="E233" s="1025"/>
      <c r="F233" s="1025"/>
      <c r="G233" s="1025"/>
    </row>
    <row r="234" spans="1:7" ht="13.5" thickTop="1">
      <c r="A234" s="253"/>
      <c r="B234" s="1019" t="s">
        <v>311</v>
      </c>
      <c r="C234" s="1020"/>
      <c r="D234" s="1020"/>
      <c r="E234" s="1020"/>
      <c r="F234" s="1020"/>
      <c r="G234" s="1024"/>
    </row>
    <row r="235" spans="1:7">
      <c r="A235" s="253"/>
      <c r="B235" s="1009" t="s">
        <v>838</v>
      </c>
      <c r="C235" s="1010"/>
      <c r="D235" s="266" t="s">
        <v>842</v>
      </c>
      <c r="E235" s="266" t="s">
        <v>853</v>
      </c>
      <c r="F235" s="267" t="s">
        <v>1047</v>
      </c>
      <c r="G235" s="268" t="s">
        <v>840</v>
      </c>
    </row>
    <row r="236" spans="1:7">
      <c r="A236" s="253"/>
      <c r="B236" s="272"/>
      <c r="C236" s="273"/>
      <c r="D236" s="269"/>
      <c r="E236" s="269" t="s">
        <v>312</v>
      </c>
      <c r="F236" s="270" t="s">
        <v>313</v>
      </c>
      <c r="G236" s="271" t="s">
        <v>314</v>
      </c>
    </row>
    <row r="237" spans="1:7">
      <c r="A237" s="259"/>
      <c r="B237" s="1042" t="str">
        <f>MATERIALES2!C13</f>
        <v>CEMENTO GRIS</v>
      </c>
      <c r="C237" s="1043"/>
      <c r="D237" s="277" t="s">
        <v>925</v>
      </c>
      <c r="E237" s="279">
        <v>9.1</v>
      </c>
      <c r="F237" s="292">
        <f>MATERIALES2!E13</f>
        <v>420</v>
      </c>
      <c r="G237" s="280">
        <f>ROUND(E237*F237,0)</f>
        <v>3822</v>
      </c>
    </row>
    <row r="238" spans="1:7" ht="14.25">
      <c r="A238" s="293"/>
      <c r="B238" s="1030" t="str">
        <f>MATERIALES2!C20</f>
        <v xml:space="preserve">ARENA </v>
      </c>
      <c r="C238" s="1031"/>
      <c r="D238" s="281" t="s">
        <v>1066</v>
      </c>
      <c r="E238" s="307">
        <v>2.9000000000000001E-2</v>
      </c>
      <c r="F238" s="278">
        <f>MATERIALES2!E20</f>
        <v>35000</v>
      </c>
      <c r="G238" s="284">
        <f>ROUND(E238*F238,0)</f>
        <v>1015</v>
      </c>
    </row>
    <row r="239" spans="1:7">
      <c r="A239" s="293"/>
      <c r="B239" s="1030" t="str">
        <f>MATERIALES2!C28</f>
        <v>AGUA</v>
      </c>
      <c r="C239" s="1031"/>
      <c r="D239" s="281" t="s">
        <v>1071</v>
      </c>
      <c r="E239" s="294">
        <v>5.93</v>
      </c>
      <c r="F239" s="278">
        <f>MATERIALES2!E28</f>
        <v>50</v>
      </c>
      <c r="G239" s="284">
        <f>ROUND(E239*F239,0)</f>
        <v>297</v>
      </c>
    </row>
    <row r="240" spans="1:7">
      <c r="A240" s="253"/>
      <c r="B240" s="1030"/>
      <c r="C240" s="1031"/>
      <c r="D240" s="281"/>
      <c r="E240" s="283"/>
      <c r="F240" s="278"/>
      <c r="G240" s="284"/>
    </row>
    <row r="241" spans="1:8">
      <c r="A241" s="253"/>
      <c r="B241" s="1030"/>
      <c r="C241" s="1031"/>
      <c r="D241" s="281"/>
      <c r="E241" s="294"/>
      <c r="F241" s="278"/>
      <c r="G241" s="284"/>
    </row>
    <row r="242" spans="1:8">
      <c r="A242" s="253"/>
      <c r="B242" s="1030"/>
      <c r="C242" s="1031"/>
      <c r="D242" s="281"/>
      <c r="E242" s="294"/>
      <c r="F242" s="278"/>
      <c r="G242" s="284"/>
    </row>
    <row r="243" spans="1:8">
      <c r="A243" s="253"/>
      <c r="B243" s="1030"/>
      <c r="C243" s="1031"/>
      <c r="D243" s="281"/>
      <c r="E243" s="294"/>
      <c r="F243" s="278"/>
      <c r="G243" s="284"/>
    </row>
    <row r="244" spans="1:8">
      <c r="A244" s="253"/>
      <c r="B244" s="1032" t="s">
        <v>841</v>
      </c>
      <c r="C244" s="1033"/>
      <c r="D244" s="294" t="s">
        <v>841</v>
      </c>
      <c r="E244" s="294"/>
      <c r="F244" s="278"/>
      <c r="G244" s="284"/>
      <c r="H244" s="505" t="s">
        <v>1670</v>
      </c>
    </row>
    <row r="245" spans="1:8" ht="13.5" thickBot="1">
      <c r="A245" s="253"/>
      <c r="B245" s="1034" t="s">
        <v>841</v>
      </c>
      <c r="C245" s="1035"/>
      <c r="D245" s="295" t="s">
        <v>841</v>
      </c>
      <c r="E245" s="295"/>
      <c r="F245" s="296"/>
      <c r="G245" s="289"/>
    </row>
    <row r="246" spans="1:8" ht="13.5" thickTop="1">
      <c r="A246" s="253"/>
      <c r="B246" s="1015"/>
      <c r="C246" s="1016"/>
      <c r="D246" s="1038" t="s">
        <v>856</v>
      </c>
      <c r="E246" s="1039"/>
      <c r="F246" s="297"/>
      <c r="G246" s="298">
        <f>SUM(G237:G245)</f>
        <v>5134</v>
      </c>
    </row>
    <row r="247" spans="1:8">
      <c r="A247" s="253"/>
      <c r="B247" s="1036"/>
      <c r="C247" s="1037"/>
      <c r="D247" s="1038" t="s">
        <v>857</v>
      </c>
      <c r="E247" s="1039"/>
      <c r="F247" s="299">
        <v>0.12</v>
      </c>
      <c r="G247" s="298">
        <f>ROUND(G246*F247,0)</f>
        <v>616</v>
      </c>
    </row>
    <row r="248" spans="1:8" ht="13.5" thickBot="1">
      <c r="A248" s="253"/>
      <c r="B248" s="1036"/>
      <c r="C248" s="1037"/>
      <c r="D248" s="1040" t="s">
        <v>320</v>
      </c>
      <c r="E248" s="1041"/>
      <c r="F248" s="300"/>
      <c r="G248" s="291">
        <f>+G246+G247</f>
        <v>5750</v>
      </c>
    </row>
    <row r="249" spans="1:8" ht="14.25" thickTop="1" thickBot="1">
      <c r="A249" s="253"/>
      <c r="B249" s="1025"/>
      <c r="C249" s="1025"/>
      <c r="D249" s="1025"/>
      <c r="E249" s="1025"/>
      <c r="F249" s="1025"/>
      <c r="G249" s="1025"/>
    </row>
    <row r="250" spans="1:8" ht="13.5" thickTop="1">
      <c r="A250" s="253"/>
      <c r="B250" s="1019" t="s">
        <v>858</v>
      </c>
      <c r="C250" s="1020"/>
      <c r="D250" s="1020"/>
      <c r="E250" s="1020"/>
      <c r="F250" s="1020"/>
      <c r="G250" s="1024"/>
    </row>
    <row r="251" spans="1:8">
      <c r="A251" s="253"/>
      <c r="B251" s="1009"/>
      <c r="C251" s="1010"/>
      <c r="D251" s="266" t="s">
        <v>301</v>
      </c>
      <c r="E251" s="266" t="s">
        <v>859</v>
      </c>
      <c r="F251" s="267" t="s">
        <v>839</v>
      </c>
      <c r="G251" s="268" t="s">
        <v>840</v>
      </c>
    </row>
    <row r="252" spans="1:8">
      <c r="A252" s="253"/>
      <c r="B252" s="1026" t="s">
        <v>838</v>
      </c>
      <c r="C252" s="1027"/>
      <c r="D252" s="269" t="s">
        <v>316</v>
      </c>
      <c r="E252" s="269" t="s">
        <v>315</v>
      </c>
      <c r="F252" s="270" t="s">
        <v>306</v>
      </c>
      <c r="G252" s="271" t="s">
        <v>319</v>
      </c>
    </row>
    <row r="253" spans="1:8">
      <c r="A253" s="253"/>
      <c r="B253" s="272"/>
      <c r="C253" s="273"/>
      <c r="D253" s="274"/>
      <c r="E253" s="274" t="s">
        <v>317</v>
      </c>
      <c r="F253" s="275" t="s">
        <v>318</v>
      </c>
      <c r="G253" s="276"/>
    </row>
    <row r="254" spans="1:8">
      <c r="A254" s="253"/>
      <c r="B254" s="1028" t="str">
        <f>'MANO DE OBRA'!B10</f>
        <v>AYUDANTE CUAD. TIPO AA</v>
      </c>
      <c r="C254" s="1029"/>
      <c r="D254" s="277">
        <v>1</v>
      </c>
      <c r="E254" s="292">
        <f>'MANO DE OBRA'!E10</f>
        <v>34680</v>
      </c>
      <c r="F254" s="279">
        <v>13.33</v>
      </c>
      <c r="G254" s="280">
        <f>ROUND(D254*E254/F254,0)</f>
        <v>2602</v>
      </c>
    </row>
    <row r="255" spans="1:8">
      <c r="A255" s="253"/>
      <c r="B255" s="1022" t="str">
        <f>'MANO DE OBRA'!B15</f>
        <v xml:space="preserve">OFICIAL CUAD. TIPO AA </v>
      </c>
      <c r="C255" s="1023"/>
      <c r="D255" s="281">
        <v>1</v>
      </c>
      <c r="E255" s="278">
        <f>'MANO DE OBRA'!E15</f>
        <v>71474</v>
      </c>
      <c r="F255" s="283">
        <v>13.33</v>
      </c>
      <c r="G255" s="284">
        <f>ROUND(D255*E255/F255,0)</f>
        <v>5362</v>
      </c>
    </row>
    <row r="256" spans="1:8">
      <c r="A256" s="253"/>
      <c r="B256" s="1022"/>
      <c r="C256" s="1023"/>
      <c r="D256" s="285"/>
      <c r="E256" s="278"/>
      <c r="F256" s="283"/>
      <c r="G256" s="284"/>
    </row>
    <row r="257" spans="1:8">
      <c r="A257" s="253"/>
      <c r="B257" s="1022" t="s">
        <v>841</v>
      </c>
      <c r="C257" s="1023"/>
      <c r="D257" s="281"/>
      <c r="E257" s="278"/>
      <c r="F257" s="283"/>
      <c r="G257" s="284"/>
    </row>
    <row r="258" spans="1:8" ht="13.5" thickBot="1">
      <c r="A258" s="253"/>
      <c r="B258" s="1013" t="s">
        <v>841</v>
      </c>
      <c r="C258" s="1014"/>
      <c r="D258" s="286"/>
      <c r="E258" s="278"/>
      <c r="F258" s="288"/>
      <c r="G258" s="289"/>
    </row>
    <row r="259" spans="1:8" ht="14.25" thickTop="1" thickBot="1">
      <c r="A259" s="253"/>
      <c r="B259" s="1015"/>
      <c r="C259" s="1015"/>
      <c r="D259" s="1015"/>
      <c r="E259" s="1016"/>
      <c r="F259" s="301" t="s">
        <v>856</v>
      </c>
      <c r="G259" s="291">
        <f>SUM(G254:G258)</f>
        <v>7964</v>
      </c>
    </row>
    <row r="260" spans="1:8" ht="14.25" thickTop="1" thickBot="1">
      <c r="A260" s="253"/>
      <c r="B260" s="1017"/>
      <c r="C260" s="1017"/>
      <c r="D260" s="1017"/>
      <c r="E260" s="1017"/>
      <c r="F260" s="1017"/>
      <c r="G260" s="1017"/>
    </row>
    <row r="261" spans="1:8" ht="13.5" thickTop="1">
      <c r="A261" s="253"/>
      <c r="B261" s="1019" t="s">
        <v>321</v>
      </c>
      <c r="C261" s="1020"/>
      <c r="D261" s="1020"/>
      <c r="E261" s="1020"/>
      <c r="F261" s="1020"/>
      <c r="G261" s="1024"/>
    </row>
    <row r="262" spans="1:8">
      <c r="A262" s="253"/>
      <c r="B262" s="1009" t="s">
        <v>838</v>
      </c>
      <c r="C262" s="1010"/>
      <c r="D262" s="266" t="s">
        <v>301</v>
      </c>
      <c r="E262" s="266" t="s">
        <v>297</v>
      </c>
      <c r="F262" s="267" t="s">
        <v>839</v>
      </c>
      <c r="G262" s="268" t="s">
        <v>840</v>
      </c>
    </row>
    <row r="263" spans="1:8">
      <c r="A263" s="253"/>
      <c r="B263" s="272"/>
      <c r="C263" s="273"/>
      <c r="D263" s="274" t="s">
        <v>322</v>
      </c>
      <c r="E263" s="274" t="s">
        <v>323</v>
      </c>
      <c r="F263" s="275" t="s">
        <v>324</v>
      </c>
      <c r="G263" s="276" t="s">
        <v>325</v>
      </c>
    </row>
    <row r="264" spans="1:8">
      <c r="A264" s="253"/>
      <c r="B264" s="1011"/>
      <c r="C264" s="1012"/>
      <c r="D264" s="302"/>
      <c r="E264" s="302"/>
      <c r="F264" s="302"/>
      <c r="G264" s="303"/>
    </row>
    <row r="265" spans="1:8" ht="13.5" thickBot="1">
      <c r="A265" s="253"/>
      <c r="B265" s="1013" t="s">
        <v>841</v>
      </c>
      <c r="C265" s="1014"/>
      <c r="D265" s="286"/>
      <c r="E265" s="278"/>
      <c r="F265" s="288"/>
      <c r="G265" s="289"/>
    </row>
    <row r="266" spans="1:8" ht="14.25" thickTop="1" thickBot="1">
      <c r="A266" s="253"/>
      <c r="B266" s="1015"/>
      <c r="C266" s="1015"/>
      <c r="D266" s="1015"/>
      <c r="E266" s="1016"/>
      <c r="F266" s="301" t="s">
        <v>856</v>
      </c>
      <c r="G266" s="291">
        <f>SUM(G261:G265)</f>
        <v>0</v>
      </c>
    </row>
    <row r="267" spans="1:8" ht="14.25" thickTop="1" thickBot="1">
      <c r="A267" s="253"/>
      <c r="B267" s="1017"/>
      <c r="C267" s="1017"/>
      <c r="D267" s="1017"/>
      <c r="E267" s="1017"/>
      <c r="F267" s="1017"/>
      <c r="G267" s="1018"/>
    </row>
    <row r="268" spans="1:8" ht="13.5" thickTop="1">
      <c r="A268" s="253"/>
      <c r="B268" s="1019" t="s">
        <v>326</v>
      </c>
      <c r="C268" s="1020"/>
      <c r="D268" s="1020"/>
      <c r="E268" s="1020"/>
      <c r="F268" s="1021"/>
      <c r="G268" s="304">
        <f>+G232+G248+G259</f>
        <v>14442</v>
      </c>
    </row>
    <row r="269" spans="1:8">
      <c r="A269" s="253"/>
      <c r="B269" s="1003" t="s">
        <v>861</v>
      </c>
      <c r="C269" s="1004"/>
      <c r="D269" s="1004"/>
      <c r="E269" s="1005"/>
      <c r="F269" s="305">
        <f>'MANO DE OBRA'!D59</f>
        <v>0</v>
      </c>
      <c r="G269" s="306">
        <f>ROUND(G268*F269,0)</f>
        <v>0</v>
      </c>
    </row>
    <row r="270" spans="1:8" ht="13.5" thickBot="1">
      <c r="A270" s="253"/>
      <c r="B270" s="1006" t="s">
        <v>1049</v>
      </c>
      <c r="C270" s="1007"/>
      <c r="D270" s="1007"/>
      <c r="E270" s="1007"/>
      <c r="F270" s="1008"/>
      <c r="G270" s="291">
        <f>ROUND(G268+G269,-2)</f>
        <v>14400</v>
      </c>
      <c r="H270" s="505" t="s">
        <v>1670</v>
      </c>
    </row>
    <row r="271" spans="1:8" ht="15" thickTop="1">
      <c r="A271" s="253"/>
      <c r="B271" s="254" t="s">
        <v>303</v>
      </c>
      <c r="C271" s="1046"/>
      <c r="D271" s="1046"/>
      <c r="E271" s="1046"/>
      <c r="F271" s="257" t="s">
        <v>781</v>
      </c>
      <c r="G271" s="258" t="s">
        <v>1067</v>
      </c>
    </row>
    <row r="272" spans="1:8">
      <c r="A272" s="253"/>
      <c r="B272" s="256" t="s">
        <v>834</v>
      </c>
      <c r="C272" s="1047" t="s">
        <v>1416</v>
      </c>
      <c r="D272" s="1047"/>
      <c r="E272" s="1047"/>
      <c r="F272" s="260" t="s">
        <v>833</v>
      </c>
      <c r="G272" s="261" t="str">
        <f>'MANO DE OBRA'!D61</f>
        <v>Agosto de 2010</v>
      </c>
    </row>
    <row r="273" spans="1:7" ht="13.5" thickBot="1">
      <c r="A273" s="262"/>
      <c r="B273" s="263" t="s">
        <v>835</v>
      </c>
      <c r="C273" s="1048" t="s">
        <v>1422</v>
      </c>
      <c r="D273" s="1048"/>
      <c r="E273" s="1048"/>
      <c r="F273" s="1048"/>
      <c r="G273" s="1049"/>
    </row>
    <row r="274" spans="1:7" ht="14.25" thickTop="1" thickBot="1">
      <c r="A274" s="253"/>
      <c r="B274" s="1050"/>
      <c r="C274" s="1050"/>
      <c r="D274" s="1050"/>
      <c r="E274" s="1050"/>
      <c r="F274" s="1050"/>
      <c r="G274" s="1050"/>
    </row>
    <row r="275" spans="1:7" ht="13.5" thickTop="1">
      <c r="A275" s="253"/>
      <c r="B275" s="1019" t="s">
        <v>304</v>
      </c>
      <c r="C275" s="1020"/>
      <c r="D275" s="1020"/>
      <c r="E275" s="1020"/>
      <c r="F275" s="1020"/>
      <c r="G275" s="1024"/>
    </row>
    <row r="276" spans="1:7">
      <c r="A276" s="253"/>
      <c r="B276" s="264"/>
      <c r="C276" s="265"/>
      <c r="D276" s="266" t="s">
        <v>301</v>
      </c>
      <c r="E276" s="266" t="s">
        <v>1072</v>
      </c>
      <c r="F276" s="267" t="s">
        <v>839</v>
      </c>
      <c r="G276" s="268" t="s">
        <v>840</v>
      </c>
    </row>
    <row r="277" spans="1:7">
      <c r="A277" s="253"/>
      <c r="B277" s="1026" t="s">
        <v>838</v>
      </c>
      <c r="C277" s="1027"/>
      <c r="D277" s="269" t="s">
        <v>308</v>
      </c>
      <c r="E277" s="269" t="s">
        <v>305</v>
      </c>
      <c r="F277" s="270" t="s">
        <v>306</v>
      </c>
      <c r="G277" s="271" t="s">
        <v>310</v>
      </c>
    </row>
    <row r="278" spans="1:7">
      <c r="A278" s="253"/>
      <c r="B278" s="272"/>
      <c r="C278" s="273"/>
      <c r="D278" s="274"/>
      <c r="E278" s="274" t="s">
        <v>309</v>
      </c>
      <c r="F278" s="275" t="s">
        <v>307</v>
      </c>
      <c r="G278" s="276"/>
    </row>
    <row r="279" spans="1:7">
      <c r="A279" s="262"/>
      <c r="B279" s="1028" t="str">
        <f>'MAQUINARIA Y EQUIPOS'!C28</f>
        <v>HERRAMIENTAS MENORES</v>
      </c>
      <c r="C279" s="1029"/>
      <c r="D279" s="277">
        <v>1</v>
      </c>
      <c r="E279" s="278">
        <f>ROUND(G312*0.05,0)</f>
        <v>398</v>
      </c>
      <c r="F279" s="279">
        <v>1</v>
      </c>
      <c r="G279" s="280">
        <f>ROUND(D279*E279/F279,0)</f>
        <v>398</v>
      </c>
    </row>
    <row r="280" spans="1:7">
      <c r="A280" s="253"/>
      <c r="B280" s="1022" t="str">
        <f>'MAQUINARIA Y EQUIPOS'!C9</f>
        <v>ANDAMIO TUBULAR 1.50 m</v>
      </c>
      <c r="C280" s="1023"/>
      <c r="D280" s="281">
        <v>4</v>
      </c>
      <c r="E280" s="282">
        <f>'MAQUINARIA Y EQUIPOS'!D9</f>
        <v>754</v>
      </c>
      <c r="F280" s="283">
        <v>13.33</v>
      </c>
      <c r="G280" s="284">
        <f>ROUND(D280*E280/F280,0)</f>
        <v>226</v>
      </c>
    </row>
    <row r="281" spans="1:7">
      <c r="A281" s="253"/>
      <c r="B281" s="1022" t="str">
        <f>'MAQUINARIA Y EQUIPOS'!C47</f>
        <v>TABLONES 3m</v>
      </c>
      <c r="C281" s="1023"/>
      <c r="D281" s="281">
        <v>4</v>
      </c>
      <c r="E281" s="282">
        <f>'MAQUINARIA Y EQUIPOS'!D47</f>
        <v>348</v>
      </c>
      <c r="F281" s="283">
        <v>13.33</v>
      </c>
      <c r="G281" s="284">
        <f>ROUND(D281*E281/F281,0)</f>
        <v>104</v>
      </c>
    </row>
    <row r="282" spans="1:7">
      <c r="A282" s="253"/>
      <c r="B282" s="1022"/>
      <c r="C282" s="1023"/>
      <c r="D282" s="285"/>
      <c r="E282" s="278"/>
      <c r="F282" s="283"/>
      <c r="G282" s="284"/>
    </row>
    <row r="283" spans="1:7">
      <c r="A283" s="253"/>
      <c r="B283" s="1022" t="s">
        <v>841</v>
      </c>
      <c r="C283" s="1023"/>
      <c r="D283" s="281"/>
      <c r="E283" s="278"/>
      <c r="F283" s="283"/>
      <c r="G283" s="284"/>
    </row>
    <row r="284" spans="1:7" ht="13.5" thickBot="1">
      <c r="A284" s="253"/>
      <c r="B284" s="1044" t="s">
        <v>841</v>
      </c>
      <c r="C284" s="1045"/>
      <c r="D284" s="286"/>
      <c r="E284" s="287"/>
      <c r="F284" s="288"/>
      <c r="G284" s="289"/>
    </row>
    <row r="285" spans="1:7" ht="14.25" thickTop="1" thickBot="1">
      <c r="A285" s="253"/>
      <c r="B285" s="1015"/>
      <c r="C285" s="1015"/>
      <c r="D285" s="1015"/>
      <c r="E285" s="1016"/>
      <c r="F285" s="290" t="s">
        <v>856</v>
      </c>
      <c r="G285" s="291">
        <f>SUM(G279:G284)</f>
        <v>728</v>
      </c>
    </row>
    <row r="286" spans="1:7" ht="14.25" thickTop="1" thickBot="1">
      <c r="A286" s="253"/>
      <c r="B286" s="1025"/>
      <c r="C286" s="1025"/>
      <c r="D286" s="1025"/>
      <c r="E286" s="1025"/>
      <c r="F286" s="1025"/>
      <c r="G286" s="1025"/>
    </row>
    <row r="287" spans="1:7" ht="13.5" thickTop="1">
      <c r="A287" s="253"/>
      <c r="B287" s="1019" t="s">
        <v>311</v>
      </c>
      <c r="C287" s="1020"/>
      <c r="D287" s="1020"/>
      <c r="E287" s="1020"/>
      <c r="F287" s="1020"/>
      <c r="G287" s="1024"/>
    </row>
    <row r="288" spans="1:7">
      <c r="A288" s="253"/>
      <c r="B288" s="1009" t="s">
        <v>838</v>
      </c>
      <c r="C288" s="1010"/>
      <c r="D288" s="266" t="s">
        <v>842</v>
      </c>
      <c r="E288" s="266" t="s">
        <v>853</v>
      </c>
      <c r="F288" s="267" t="s">
        <v>1047</v>
      </c>
      <c r="G288" s="268" t="s">
        <v>840</v>
      </c>
    </row>
    <row r="289" spans="1:8">
      <c r="A289" s="253"/>
      <c r="B289" s="272"/>
      <c r="C289" s="273"/>
      <c r="D289" s="269"/>
      <c r="E289" s="269" t="s">
        <v>312</v>
      </c>
      <c r="F289" s="270" t="s">
        <v>313</v>
      </c>
      <c r="G289" s="271" t="s">
        <v>314</v>
      </c>
    </row>
    <row r="290" spans="1:8">
      <c r="A290" s="259"/>
      <c r="B290" s="1042" t="str">
        <f>MATERIALES2!C13</f>
        <v>CEMENTO GRIS</v>
      </c>
      <c r="C290" s="1043"/>
      <c r="D290" s="277" t="s">
        <v>925</v>
      </c>
      <c r="E290" s="279">
        <v>7.55</v>
      </c>
      <c r="F290" s="292">
        <f>MATERIALES2!E13</f>
        <v>420</v>
      </c>
      <c r="G290" s="280">
        <f>ROUND(E290*F290,0)</f>
        <v>3171</v>
      </c>
    </row>
    <row r="291" spans="1:8" ht="14.25">
      <c r="A291" s="293"/>
      <c r="B291" s="1030" t="str">
        <f>MATERIALES2!C20</f>
        <v xml:space="preserve">ARENA </v>
      </c>
      <c r="C291" s="1031"/>
      <c r="D291" s="281" t="s">
        <v>1066</v>
      </c>
      <c r="E291" s="307">
        <v>0.03</v>
      </c>
      <c r="F291" s="278">
        <f>MATERIALES2!E20</f>
        <v>35000</v>
      </c>
      <c r="G291" s="284">
        <f>ROUND(E291*F291,0)</f>
        <v>1050</v>
      </c>
    </row>
    <row r="292" spans="1:8">
      <c r="A292" s="293"/>
      <c r="B292" s="1030" t="str">
        <f>MATERIALES2!C28</f>
        <v>AGUA</v>
      </c>
      <c r="C292" s="1031"/>
      <c r="D292" s="281" t="s">
        <v>1071</v>
      </c>
      <c r="E292" s="294">
        <v>5.9249999999999998</v>
      </c>
      <c r="F292" s="278">
        <f>MATERIALES2!E28</f>
        <v>50</v>
      </c>
      <c r="G292" s="284">
        <f>ROUND(E292*F292,0)</f>
        <v>296</v>
      </c>
    </row>
    <row r="293" spans="1:8">
      <c r="A293" s="253"/>
      <c r="B293" s="1030"/>
      <c r="C293" s="1031"/>
      <c r="D293" s="281"/>
      <c r="E293" s="283"/>
      <c r="F293" s="278"/>
      <c r="G293" s="284"/>
    </row>
    <row r="294" spans="1:8">
      <c r="A294" s="253"/>
      <c r="B294" s="1030"/>
      <c r="C294" s="1031"/>
      <c r="D294" s="281"/>
      <c r="E294" s="294"/>
      <c r="F294" s="278"/>
      <c r="G294" s="284"/>
    </row>
    <row r="295" spans="1:8">
      <c r="A295" s="253"/>
      <c r="B295" s="1030"/>
      <c r="C295" s="1031"/>
      <c r="D295" s="281"/>
      <c r="E295" s="294"/>
      <c r="F295" s="278"/>
      <c r="G295" s="284"/>
    </row>
    <row r="296" spans="1:8">
      <c r="A296" s="253"/>
      <c r="B296" s="1030"/>
      <c r="C296" s="1031"/>
      <c r="D296" s="281"/>
      <c r="E296" s="294"/>
      <c r="F296" s="278"/>
      <c r="G296" s="284"/>
    </row>
    <row r="297" spans="1:8">
      <c r="A297" s="253"/>
      <c r="B297" s="1032" t="s">
        <v>841</v>
      </c>
      <c r="C297" s="1033"/>
      <c r="D297" s="294" t="s">
        <v>841</v>
      </c>
      <c r="E297" s="294"/>
      <c r="F297" s="278"/>
      <c r="G297" s="284"/>
      <c r="H297" s="505" t="s">
        <v>1670</v>
      </c>
    </row>
    <row r="298" spans="1:8" ht="13.5" thickBot="1">
      <c r="A298" s="253"/>
      <c r="B298" s="1034" t="s">
        <v>841</v>
      </c>
      <c r="C298" s="1035"/>
      <c r="D298" s="295" t="s">
        <v>841</v>
      </c>
      <c r="E298" s="295"/>
      <c r="F298" s="296"/>
      <c r="G298" s="289"/>
    </row>
    <row r="299" spans="1:8" ht="13.5" thickTop="1">
      <c r="A299" s="253"/>
      <c r="B299" s="1015"/>
      <c r="C299" s="1016"/>
      <c r="D299" s="1038" t="s">
        <v>856</v>
      </c>
      <c r="E299" s="1039"/>
      <c r="F299" s="297"/>
      <c r="G299" s="298">
        <f>SUM(G290:G298)</f>
        <v>4517</v>
      </c>
    </row>
    <row r="300" spans="1:8">
      <c r="A300" s="253"/>
      <c r="B300" s="1036"/>
      <c r="C300" s="1037"/>
      <c r="D300" s="1038" t="s">
        <v>857</v>
      </c>
      <c r="E300" s="1039"/>
      <c r="F300" s="299">
        <v>0.12</v>
      </c>
      <c r="G300" s="298">
        <f>ROUND(G299*F300,0)</f>
        <v>542</v>
      </c>
    </row>
    <row r="301" spans="1:8" ht="13.5" thickBot="1">
      <c r="A301" s="253"/>
      <c r="B301" s="1036"/>
      <c r="C301" s="1037"/>
      <c r="D301" s="1040" t="s">
        <v>320</v>
      </c>
      <c r="E301" s="1041"/>
      <c r="F301" s="300"/>
      <c r="G301" s="291">
        <f>+G299+G300</f>
        <v>5059</v>
      </c>
    </row>
    <row r="302" spans="1:8" ht="14.25" thickTop="1" thickBot="1">
      <c r="A302" s="253"/>
      <c r="B302" s="1025"/>
      <c r="C302" s="1025"/>
      <c r="D302" s="1025"/>
      <c r="E302" s="1025"/>
      <c r="F302" s="1025"/>
      <c r="G302" s="1025"/>
    </row>
    <row r="303" spans="1:8" ht="13.5" thickTop="1">
      <c r="A303" s="253"/>
      <c r="B303" s="1019" t="s">
        <v>858</v>
      </c>
      <c r="C303" s="1020"/>
      <c r="D303" s="1020"/>
      <c r="E303" s="1020"/>
      <c r="F303" s="1020"/>
      <c r="G303" s="1024"/>
    </row>
    <row r="304" spans="1:8">
      <c r="A304" s="253"/>
      <c r="B304" s="1009"/>
      <c r="C304" s="1010"/>
      <c r="D304" s="266" t="s">
        <v>301</v>
      </c>
      <c r="E304" s="266" t="s">
        <v>859</v>
      </c>
      <c r="F304" s="267" t="s">
        <v>839</v>
      </c>
      <c r="G304" s="268" t="s">
        <v>840</v>
      </c>
    </row>
    <row r="305" spans="1:7">
      <c r="A305" s="253"/>
      <c r="B305" s="1026" t="s">
        <v>838</v>
      </c>
      <c r="C305" s="1027"/>
      <c r="D305" s="269" t="s">
        <v>316</v>
      </c>
      <c r="E305" s="269" t="s">
        <v>315</v>
      </c>
      <c r="F305" s="270" t="s">
        <v>306</v>
      </c>
      <c r="G305" s="271" t="s">
        <v>319</v>
      </c>
    </row>
    <row r="306" spans="1:7">
      <c r="A306" s="253"/>
      <c r="B306" s="272"/>
      <c r="C306" s="273"/>
      <c r="D306" s="274"/>
      <c r="E306" s="274" t="s">
        <v>317</v>
      </c>
      <c r="F306" s="275" t="s">
        <v>318</v>
      </c>
      <c r="G306" s="276"/>
    </row>
    <row r="307" spans="1:7">
      <c r="A307" s="253"/>
      <c r="B307" s="1028" t="str">
        <f>'MANO DE OBRA'!B10</f>
        <v>AYUDANTE CUAD. TIPO AA</v>
      </c>
      <c r="C307" s="1029"/>
      <c r="D307" s="277">
        <v>1</v>
      </c>
      <c r="E307" s="292">
        <f>'MANO DE OBRA'!E10</f>
        <v>34680</v>
      </c>
      <c r="F307" s="279">
        <v>13.33</v>
      </c>
      <c r="G307" s="280">
        <f>ROUND(D307*E307/F307,0)</f>
        <v>2602</v>
      </c>
    </row>
    <row r="308" spans="1:7">
      <c r="A308" s="253"/>
      <c r="B308" s="1022" t="str">
        <f>'MANO DE OBRA'!B15</f>
        <v xml:space="preserve">OFICIAL CUAD. TIPO AA </v>
      </c>
      <c r="C308" s="1023"/>
      <c r="D308" s="281">
        <v>1</v>
      </c>
      <c r="E308" s="278">
        <f>'MANO DE OBRA'!E15</f>
        <v>71474</v>
      </c>
      <c r="F308" s="283">
        <v>13.33</v>
      </c>
      <c r="G308" s="284">
        <f>ROUND(D308*E308/F308,0)</f>
        <v>5362</v>
      </c>
    </row>
    <row r="309" spans="1:7">
      <c r="A309" s="253"/>
      <c r="B309" s="1022"/>
      <c r="C309" s="1023"/>
      <c r="D309" s="285"/>
      <c r="E309" s="278"/>
      <c r="F309" s="283"/>
      <c r="G309" s="284"/>
    </row>
    <row r="310" spans="1:7">
      <c r="A310" s="253"/>
      <c r="B310" s="1022" t="s">
        <v>841</v>
      </c>
      <c r="C310" s="1023"/>
      <c r="D310" s="281"/>
      <c r="E310" s="278"/>
      <c r="F310" s="283"/>
      <c r="G310" s="284"/>
    </row>
    <row r="311" spans="1:7" ht="13.5" thickBot="1">
      <c r="A311" s="253"/>
      <c r="B311" s="1013" t="s">
        <v>841</v>
      </c>
      <c r="C311" s="1014"/>
      <c r="D311" s="286"/>
      <c r="E311" s="278"/>
      <c r="F311" s="288"/>
      <c r="G311" s="289"/>
    </row>
    <row r="312" spans="1:7" ht="14.25" thickTop="1" thickBot="1">
      <c r="A312" s="253"/>
      <c r="B312" s="1015"/>
      <c r="C312" s="1015"/>
      <c r="D312" s="1015"/>
      <c r="E312" s="1016"/>
      <c r="F312" s="301" t="s">
        <v>856</v>
      </c>
      <c r="G312" s="291">
        <f>SUM(G307:G311)</f>
        <v>7964</v>
      </c>
    </row>
    <row r="313" spans="1:7" ht="14.25" thickTop="1" thickBot="1">
      <c r="A313" s="253"/>
      <c r="B313" s="1017"/>
      <c r="C313" s="1017"/>
      <c r="D313" s="1017"/>
      <c r="E313" s="1017"/>
      <c r="F313" s="1017"/>
      <c r="G313" s="1017"/>
    </row>
    <row r="314" spans="1:7" ht="13.5" thickTop="1">
      <c r="A314" s="253"/>
      <c r="B314" s="1019" t="s">
        <v>321</v>
      </c>
      <c r="C314" s="1020"/>
      <c r="D314" s="1020"/>
      <c r="E314" s="1020"/>
      <c r="F314" s="1020"/>
      <c r="G314" s="1024"/>
    </row>
    <row r="315" spans="1:7">
      <c r="A315" s="253"/>
      <c r="B315" s="1009" t="s">
        <v>838</v>
      </c>
      <c r="C315" s="1010"/>
      <c r="D315" s="266" t="s">
        <v>301</v>
      </c>
      <c r="E315" s="266" t="s">
        <v>297</v>
      </c>
      <c r="F315" s="267" t="s">
        <v>839</v>
      </c>
      <c r="G315" s="268" t="s">
        <v>840</v>
      </c>
    </row>
    <row r="316" spans="1:7">
      <c r="A316" s="253"/>
      <c r="B316" s="272"/>
      <c r="C316" s="273"/>
      <c r="D316" s="274" t="s">
        <v>322</v>
      </c>
      <c r="E316" s="274" t="s">
        <v>323</v>
      </c>
      <c r="F316" s="275" t="s">
        <v>324</v>
      </c>
      <c r="G316" s="276" t="s">
        <v>325</v>
      </c>
    </row>
    <row r="317" spans="1:7">
      <c r="A317" s="253"/>
      <c r="B317" s="1011"/>
      <c r="C317" s="1012"/>
      <c r="D317" s="302"/>
      <c r="E317" s="302"/>
      <c r="F317" s="302"/>
      <c r="G317" s="303"/>
    </row>
    <row r="318" spans="1:7" ht="13.5" thickBot="1">
      <c r="A318" s="253"/>
      <c r="B318" s="1013" t="s">
        <v>841</v>
      </c>
      <c r="C318" s="1014"/>
      <c r="D318" s="286"/>
      <c r="E318" s="278"/>
      <c r="F318" s="288"/>
      <c r="G318" s="289"/>
    </row>
    <row r="319" spans="1:7" ht="14.25" thickTop="1" thickBot="1">
      <c r="A319" s="253"/>
      <c r="B319" s="1015"/>
      <c r="C319" s="1015"/>
      <c r="D319" s="1015"/>
      <c r="E319" s="1016"/>
      <c r="F319" s="301" t="s">
        <v>856</v>
      </c>
      <c r="G319" s="291">
        <f>SUM(G314:G318)</f>
        <v>0</v>
      </c>
    </row>
    <row r="320" spans="1:7" ht="14.25" thickTop="1" thickBot="1">
      <c r="A320" s="253"/>
      <c r="B320" s="1017"/>
      <c r="C320" s="1017"/>
      <c r="D320" s="1017"/>
      <c r="E320" s="1017"/>
      <c r="F320" s="1017"/>
      <c r="G320" s="1018"/>
    </row>
    <row r="321" spans="1:8" ht="13.5" thickTop="1">
      <c r="A321" s="253"/>
      <c r="B321" s="1019" t="s">
        <v>326</v>
      </c>
      <c r="C321" s="1020"/>
      <c r="D321" s="1020"/>
      <c r="E321" s="1020"/>
      <c r="F321" s="1021"/>
      <c r="G321" s="304">
        <f>+G285+G301+G312</f>
        <v>13751</v>
      </c>
    </row>
    <row r="322" spans="1:8">
      <c r="A322" s="253"/>
      <c r="B322" s="1003" t="s">
        <v>861</v>
      </c>
      <c r="C322" s="1004"/>
      <c r="D322" s="1004"/>
      <c r="E322" s="1005"/>
      <c r="F322" s="305">
        <f>'MANO DE OBRA'!D59</f>
        <v>0</v>
      </c>
      <c r="G322" s="306">
        <f>ROUND(G321*F322,0)</f>
        <v>0</v>
      </c>
    </row>
    <row r="323" spans="1:8" ht="13.5" thickBot="1">
      <c r="A323" s="253"/>
      <c r="B323" s="1006" t="s">
        <v>1049</v>
      </c>
      <c r="C323" s="1007"/>
      <c r="D323" s="1007"/>
      <c r="E323" s="1007"/>
      <c r="F323" s="1008"/>
      <c r="G323" s="291">
        <f>ROUND(G321+G322,-2)</f>
        <v>13800</v>
      </c>
      <c r="H323" s="505" t="s">
        <v>1670</v>
      </c>
    </row>
    <row r="324" spans="1:8" ht="15" thickTop="1">
      <c r="A324" s="253"/>
      <c r="B324" s="254" t="s">
        <v>303</v>
      </c>
      <c r="C324" s="1046"/>
      <c r="D324" s="1046"/>
      <c r="E324" s="1046"/>
      <c r="F324" s="257" t="s">
        <v>781</v>
      </c>
      <c r="G324" s="258" t="s">
        <v>1067</v>
      </c>
    </row>
    <row r="325" spans="1:8">
      <c r="A325" s="253"/>
      <c r="B325" s="256" t="s">
        <v>834</v>
      </c>
      <c r="C325" s="1047" t="s">
        <v>1416</v>
      </c>
      <c r="D325" s="1047"/>
      <c r="E325" s="1047"/>
      <c r="F325" s="260" t="s">
        <v>833</v>
      </c>
      <c r="G325" s="261" t="str">
        <f>'MANO DE OBRA'!D61</f>
        <v>Agosto de 2010</v>
      </c>
    </row>
    <row r="326" spans="1:8" ht="13.5" thickBot="1">
      <c r="A326" s="262"/>
      <c r="B326" s="263" t="s">
        <v>835</v>
      </c>
      <c r="C326" s="1048" t="s">
        <v>1423</v>
      </c>
      <c r="D326" s="1048"/>
      <c r="E326" s="1048"/>
      <c r="F326" s="1048"/>
      <c r="G326" s="1049"/>
    </row>
    <row r="327" spans="1:8" ht="14.25" thickTop="1" thickBot="1">
      <c r="A327" s="253"/>
      <c r="B327" s="1050"/>
      <c r="C327" s="1050"/>
      <c r="D327" s="1050"/>
      <c r="E327" s="1050"/>
      <c r="F327" s="1050"/>
      <c r="G327" s="1050"/>
    </row>
    <row r="328" spans="1:8" ht="13.5" thickTop="1">
      <c r="A328" s="253"/>
      <c r="B328" s="1019" t="s">
        <v>304</v>
      </c>
      <c r="C328" s="1020"/>
      <c r="D328" s="1020"/>
      <c r="E328" s="1020"/>
      <c r="F328" s="1020"/>
      <c r="G328" s="1024"/>
    </row>
    <row r="329" spans="1:8">
      <c r="A329" s="253"/>
      <c r="B329" s="264"/>
      <c r="C329" s="265"/>
      <c r="D329" s="266" t="s">
        <v>301</v>
      </c>
      <c r="E329" s="266" t="s">
        <v>1072</v>
      </c>
      <c r="F329" s="267" t="s">
        <v>839</v>
      </c>
      <c r="G329" s="268" t="s">
        <v>840</v>
      </c>
    </row>
    <row r="330" spans="1:8">
      <c r="A330" s="253"/>
      <c r="B330" s="1026" t="s">
        <v>838</v>
      </c>
      <c r="C330" s="1027"/>
      <c r="D330" s="269" t="s">
        <v>308</v>
      </c>
      <c r="E330" s="269" t="s">
        <v>305</v>
      </c>
      <c r="F330" s="270" t="s">
        <v>306</v>
      </c>
      <c r="G330" s="271" t="s">
        <v>310</v>
      </c>
    </row>
    <row r="331" spans="1:8">
      <c r="A331" s="253"/>
      <c r="B331" s="272"/>
      <c r="C331" s="273"/>
      <c r="D331" s="274"/>
      <c r="E331" s="274" t="s">
        <v>309</v>
      </c>
      <c r="F331" s="275" t="s">
        <v>307</v>
      </c>
      <c r="G331" s="276"/>
    </row>
    <row r="332" spans="1:8">
      <c r="A332" s="262"/>
      <c r="B332" s="1028" t="str">
        <f>'MAQUINARIA Y EQUIPOS'!C28</f>
        <v>HERRAMIENTAS MENORES</v>
      </c>
      <c r="C332" s="1029"/>
      <c r="D332" s="277">
        <v>1</v>
      </c>
      <c r="E332" s="278">
        <f>ROUND(G365*0.05,0)</f>
        <v>345</v>
      </c>
      <c r="F332" s="279">
        <v>1</v>
      </c>
      <c r="G332" s="280">
        <f>ROUND(D332*E332/F332,0)</f>
        <v>345</v>
      </c>
    </row>
    <row r="333" spans="1:8">
      <c r="A333" s="253"/>
      <c r="B333" s="1022" t="str">
        <f>'MAQUINARIA Y EQUIPOS'!C9</f>
        <v>ANDAMIO TUBULAR 1.50 m</v>
      </c>
      <c r="C333" s="1023"/>
      <c r="D333" s="281">
        <v>4</v>
      </c>
      <c r="E333" s="282">
        <f>'MAQUINARIA Y EQUIPOS'!D9</f>
        <v>754</v>
      </c>
      <c r="F333" s="283">
        <v>15.39</v>
      </c>
      <c r="G333" s="284">
        <f>ROUND(D333*E333/F333,0)</f>
        <v>196</v>
      </c>
    </row>
    <row r="334" spans="1:8">
      <c r="A334" s="253"/>
      <c r="B334" s="1022" t="str">
        <f>'MAQUINARIA Y EQUIPOS'!C47</f>
        <v>TABLONES 3m</v>
      </c>
      <c r="C334" s="1023"/>
      <c r="D334" s="281">
        <v>4</v>
      </c>
      <c r="E334" s="282">
        <f>'MAQUINARIA Y EQUIPOS'!D47</f>
        <v>348</v>
      </c>
      <c r="F334" s="283">
        <v>15.39</v>
      </c>
      <c r="G334" s="284">
        <f>ROUND(D334*E334/F334,0)</f>
        <v>90</v>
      </c>
    </row>
    <row r="335" spans="1:8">
      <c r="A335" s="253"/>
      <c r="B335" s="1022"/>
      <c r="C335" s="1023"/>
      <c r="D335" s="285"/>
      <c r="E335" s="278"/>
      <c r="F335" s="283"/>
      <c r="G335" s="284"/>
    </row>
    <row r="336" spans="1:8">
      <c r="A336" s="253"/>
      <c r="B336" s="1022" t="s">
        <v>841</v>
      </c>
      <c r="C336" s="1023"/>
      <c r="D336" s="281"/>
      <c r="E336" s="278"/>
      <c r="F336" s="283"/>
      <c r="G336" s="284"/>
    </row>
    <row r="337" spans="1:8" ht="13.5" thickBot="1">
      <c r="A337" s="253"/>
      <c r="B337" s="1044" t="s">
        <v>841</v>
      </c>
      <c r="C337" s="1045"/>
      <c r="D337" s="286"/>
      <c r="E337" s="287"/>
      <c r="F337" s="288"/>
      <c r="G337" s="289"/>
    </row>
    <row r="338" spans="1:8" ht="14.25" thickTop="1" thickBot="1">
      <c r="A338" s="253"/>
      <c r="B338" s="1015"/>
      <c r="C338" s="1015"/>
      <c r="D338" s="1015"/>
      <c r="E338" s="1016"/>
      <c r="F338" s="290" t="s">
        <v>856</v>
      </c>
      <c r="G338" s="291">
        <f>SUM(G332:G337)</f>
        <v>631</v>
      </c>
    </row>
    <row r="339" spans="1:8" ht="14.25" thickTop="1" thickBot="1">
      <c r="A339" s="253"/>
      <c r="B339" s="1025"/>
      <c r="C339" s="1025"/>
      <c r="D339" s="1025"/>
      <c r="E339" s="1025"/>
      <c r="F339" s="1025"/>
      <c r="G339" s="1025"/>
    </row>
    <row r="340" spans="1:8" ht="13.5" thickTop="1">
      <c r="A340" s="253"/>
      <c r="B340" s="1019" t="s">
        <v>311</v>
      </c>
      <c r="C340" s="1020"/>
      <c r="D340" s="1020"/>
      <c r="E340" s="1020"/>
      <c r="F340" s="1020"/>
      <c r="G340" s="1024"/>
    </row>
    <row r="341" spans="1:8">
      <c r="A341" s="253"/>
      <c r="B341" s="1009" t="s">
        <v>838</v>
      </c>
      <c r="C341" s="1010"/>
      <c r="D341" s="266" t="s">
        <v>842</v>
      </c>
      <c r="E341" s="266" t="s">
        <v>853</v>
      </c>
      <c r="F341" s="267" t="s">
        <v>1047</v>
      </c>
      <c r="G341" s="268" t="s">
        <v>840</v>
      </c>
    </row>
    <row r="342" spans="1:8">
      <c r="A342" s="253"/>
      <c r="B342" s="272"/>
      <c r="C342" s="273"/>
      <c r="D342" s="269"/>
      <c r="E342" s="269" t="s">
        <v>312</v>
      </c>
      <c r="F342" s="270" t="s">
        <v>313</v>
      </c>
      <c r="G342" s="271" t="s">
        <v>314</v>
      </c>
    </row>
    <row r="343" spans="1:8">
      <c r="A343" s="259"/>
      <c r="B343" s="1042" t="str">
        <f>MATERIALES2!C13</f>
        <v>CEMENTO GRIS</v>
      </c>
      <c r="C343" s="1043"/>
      <c r="D343" s="277" t="s">
        <v>925</v>
      </c>
      <c r="E343" s="279">
        <v>10.92</v>
      </c>
      <c r="F343" s="292">
        <f>MATERIALES2!E13</f>
        <v>420</v>
      </c>
      <c r="G343" s="280">
        <f>ROUND(E343*F343,0)</f>
        <v>4586</v>
      </c>
    </row>
    <row r="344" spans="1:8" ht="14.25">
      <c r="A344" s="293"/>
      <c r="B344" s="1030" t="str">
        <f>MATERIALES2!C20</f>
        <v xml:space="preserve">ARENA </v>
      </c>
      <c r="C344" s="1031"/>
      <c r="D344" s="281" t="s">
        <v>1066</v>
      </c>
      <c r="E344" s="307">
        <v>3.5000000000000003E-2</v>
      </c>
      <c r="F344" s="278">
        <f>MATERIALES2!E20</f>
        <v>35000</v>
      </c>
      <c r="G344" s="284">
        <f>ROUND(E344*F344,0)</f>
        <v>1225</v>
      </c>
    </row>
    <row r="345" spans="1:8">
      <c r="A345" s="293"/>
      <c r="B345" s="1030" t="str">
        <f>MATERIALES2!C28</f>
        <v>AGUA</v>
      </c>
      <c r="C345" s="1031"/>
      <c r="D345" s="281" t="s">
        <v>1071</v>
      </c>
      <c r="E345" s="294">
        <v>7.11</v>
      </c>
      <c r="F345" s="278">
        <f>MATERIALES2!E28</f>
        <v>50</v>
      </c>
      <c r="G345" s="284">
        <f>ROUND(E345*F345,0)</f>
        <v>356</v>
      </c>
    </row>
    <row r="346" spans="1:8">
      <c r="A346" s="253"/>
      <c r="B346" s="1030"/>
      <c r="C346" s="1031"/>
      <c r="D346" s="281"/>
      <c r="E346" s="283"/>
      <c r="F346" s="278"/>
      <c r="G346" s="284"/>
    </row>
    <row r="347" spans="1:8">
      <c r="A347" s="253"/>
      <c r="B347" s="1030"/>
      <c r="C347" s="1031"/>
      <c r="D347" s="281"/>
      <c r="E347" s="294"/>
      <c r="F347" s="278"/>
      <c r="G347" s="284"/>
    </row>
    <row r="348" spans="1:8">
      <c r="A348" s="253"/>
      <c r="B348" s="1030"/>
      <c r="C348" s="1031"/>
      <c r="D348" s="281"/>
      <c r="E348" s="294"/>
      <c r="F348" s="278"/>
      <c r="G348" s="284"/>
    </row>
    <row r="349" spans="1:8">
      <c r="A349" s="253"/>
      <c r="B349" s="1030"/>
      <c r="C349" s="1031"/>
      <c r="D349" s="281"/>
      <c r="E349" s="294"/>
      <c r="F349" s="278"/>
      <c r="G349" s="284"/>
    </row>
    <row r="350" spans="1:8">
      <c r="A350" s="253"/>
      <c r="B350" s="1032" t="s">
        <v>841</v>
      </c>
      <c r="C350" s="1033"/>
      <c r="D350" s="294" t="s">
        <v>841</v>
      </c>
      <c r="E350" s="294"/>
      <c r="F350" s="278"/>
      <c r="G350" s="284"/>
      <c r="H350" s="505" t="s">
        <v>1670</v>
      </c>
    </row>
    <row r="351" spans="1:8" ht="13.5" thickBot="1">
      <c r="A351" s="253"/>
      <c r="B351" s="1034" t="s">
        <v>841</v>
      </c>
      <c r="C351" s="1035"/>
      <c r="D351" s="295" t="s">
        <v>841</v>
      </c>
      <c r="E351" s="295"/>
      <c r="F351" s="296"/>
      <c r="G351" s="289"/>
    </row>
    <row r="352" spans="1:8" ht="13.5" thickTop="1">
      <c r="A352" s="253"/>
      <c r="B352" s="1015"/>
      <c r="C352" s="1016"/>
      <c r="D352" s="1038" t="s">
        <v>856</v>
      </c>
      <c r="E352" s="1039"/>
      <c r="F352" s="297"/>
      <c r="G352" s="298">
        <f>SUM(G343:G351)</f>
        <v>6167</v>
      </c>
    </row>
    <row r="353" spans="1:7">
      <c r="A353" s="253"/>
      <c r="B353" s="1036"/>
      <c r="C353" s="1037"/>
      <c r="D353" s="1038" t="s">
        <v>857</v>
      </c>
      <c r="E353" s="1039"/>
      <c r="F353" s="299">
        <v>0.12</v>
      </c>
      <c r="G353" s="298">
        <f>ROUND(G352*F353,0)</f>
        <v>740</v>
      </c>
    </row>
    <row r="354" spans="1:7" ht="13.5" thickBot="1">
      <c r="A354" s="253"/>
      <c r="B354" s="1036"/>
      <c r="C354" s="1037"/>
      <c r="D354" s="1040" t="s">
        <v>320</v>
      </c>
      <c r="E354" s="1041"/>
      <c r="F354" s="300"/>
      <c r="G354" s="291">
        <f>+G352+G353</f>
        <v>6907</v>
      </c>
    </row>
    <row r="355" spans="1:7" ht="14.25" thickTop="1" thickBot="1">
      <c r="A355" s="253"/>
      <c r="B355" s="1025"/>
      <c r="C355" s="1025"/>
      <c r="D355" s="1025"/>
      <c r="E355" s="1025"/>
      <c r="F355" s="1025"/>
      <c r="G355" s="1025"/>
    </row>
    <row r="356" spans="1:7" ht="13.5" thickTop="1">
      <c r="A356" s="253"/>
      <c r="B356" s="1019" t="s">
        <v>858</v>
      </c>
      <c r="C356" s="1020"/>
      <c r="D356" s="1020"/>
      <c r="E356" s="1020"/>
      <c r="F356" s="1020"/>
      <c r="G356" s="1024"/>
    </row>
    <row r="357" spans="1:7">
      <c r="A357" s="253"/>
      <c r="B357" s="1009"/>
      <c r="C357" s="1010"/>
      <c r="D357" s="266" t="s">
        <v>301</v>
      </c>
      <c r="E357" s="266" t="s">
        <v>859</v>
      </c>
      <c r="F357" s="267" t="s">
        <v>839</v>
      </c>
      <c r="G357" s="268" t="s">
        <v>840</v>
      </c>
    </row>
    <row r="358" spans="1:7">
      <c r="A358" s="253"/>
      <c r="B358" s="1026" t="s">
        <v>838</v>
      </c>
      <c r="C358" s="1027"/>
      <c r="D358" s="269" t="s">
        <v>316</v>
      </c>
      <c r="E358" s="269" t="s">
        <v>315</v>
      </c>
      <c r="F358" s="270" t="s">
        <v>306</v>
      </c>
      <c r="G358" s="271" t="s">
        <v>319</v>
      </c>
    </row>
    <row r="359" spans="1:7">
      <c r="A359" s="253"/>
      <c r="B359" s="272"/>
      <c r="C359" s="273"/>
      <c r="D359" s="274"/>
      <c r="E359" s="274" t="s">
        <v>317</v>
      </c>
      <c r="F359" s="275" t="s">
        <v>318</v>
      </c>
      <c r="G359" s="276"/>
    </row>
    <row r="360" spans="1:7">
      <c r="A360" s="253"/>
      <c r="B360" s="1028" t="str">
        <f>'MANO DE OBRA'!B10</f>
        <v>AYUDANTE CUAD. TIPO AA</v>
      </c>
      <c r="C360" s="1029"/>
      <c r="D360" s="277">
        <v>1</v>
      </c>
      <c r="E360" s="292">
        <f>'MANO DE OBRA'!E10</f>
        <v>34680</v>
      </c>
      <c r="F360" s="279">
        <v>15.39</v>
      </c>
      <c r="G360" s="280">
        <f>ROUND(D360*E360/F360,0)</f>
        <v>2253</v>
      </c>
    </row>
    <row r="361" spans="1:7">
      <c r="A361" s="253"/>
      <c r="B361" s="1022" t="str">
        <f>'MANO DE OBRA'!B15</f>
        <v xml:space="preserve">OFICIAL CUAD. TIPO AA </v>
      </c>
      <c r="C361" s="1023"/>
      <c r="D361" s="281">
        <v>1</v>
      </c>
      <c r="E361" s="278">
        <f>'MANO DE OBRA'!E15</f>
        <v>71474</v>
      </c>
      <c r="F361" s="283">
        <v>15.39</v>
      </c>
      <c r="G361" s="284">
        <f>ROUND(D361*E361/F361,0)</f>
        <v>4644</v>
      </c>
    </row>
    <row r="362" spans="1:7">
      <c r="A362" s="253"/>
      <c r="B362" s="1022"/>
      <c r="C362" s="1023"/>
      <c r="D362" s="285"/>
      <c r="E362" s="278"/>
      <c r="F362" s="283"/>
      <c r="G362" s="284"/>
    </row>
    <row r="363" spans="1:7">
      <c r="A363" s="253"/>
      <c r="B363" s="1022" t="s">
        <v>841</v>
      </c>
      <c r="C363" s="1023"/>
      <c r="D363" s="281"/>
      <c r="E363" s="278"/>
      <c r="F363" s="283"/>
      <c r="G363" s="284"/>
    </row>
    <row r="364" spans="1:7" ht="13.5" thickBot="1">
      <c r="A364" s="253"/>
      <c r="B364" s="1013" t="s">
        <v>841</v>
      </c>
      <c r="C364" s="1014"/>
      <c r="D364" s="286"/>
      <c r="E364" s="278"/>
      <c r="F364" s="288"/>
      <c r="G364" s="289"/>
    </row>
    <row r="365" spans="1:7" ht="14.25" thickTop="1" thickBot="1">
      <c r="A365" s="253"/>
      <c r="B365" s="1015"/>
      <c r="C365" s="1015"/>
      <c r="D365" s="1015"/>
      <c r="E365" s="1016"/>
      <c r="F365" s="301" t="s">
        <v>856</v>
      </c>
      <c r="G365" s="291">
        <f>SUM(G360:G364)</f>
        <v>6897</v>
      </c>
    </row>
    <row r="366" spans="1:7" ht="14.25" thickTop="1" thickBot="1">
      <c r="A366" s="253"/>
      <c r="B366" s="1017"/>
      <c r="C366" s="1017"/>
      <c r="D366" s="1017"/>
      <c r="E366" s="1017"/>
      <c r="F366" s="1017"/>
      <c r="G366" s="1017"/>
    </row>
    <row r="367" spans="1:7" ht="13.5" thickTop="1">
      <c r="A367" s="253"/>
      <c r="B367" s="1019" t="s">
        <v>321</v>
      </c>
      <c r="C367" s="1020"/>
      <c r="D367" s="1020"/>
      <c r="E367" s="1020"/>
      <c r="F367" s="1020"/>
      <c r="G367" s="1024"/>
    </row>
    <row r="368" spans="1:7">
      <c r="A368" s="253"/>
      <c r="B368" s="1009" t="s">
        <v>838</v>
      </c>
      <c r="C368" s="1010"/>
      <c r="D368" s="266" t="s">
        <v>301</v>
      </c>
      <c r="E368" s="266" t="s">
        <v>297</v>
      </c>
      <c r="F368" s="267" t="s">
        <v>839</v>
      </c>
      <c r="G368" s="268" t="s">
        <v>840</v>
      </c>
    </row>
    <row r="369" spans="1:8">
      <c r="A369" s="253"/>
      <c r="B369" s="272"/>
      <c r="C369" s="273"/>
      <c r="D369" s="274" t="s">
        <v>322</v>
      </c>
      <c r="E369" s="274" t="s">
        <v>323</v>
      </c>
      <c r="F369" s="275" t="s">
        <v>324</v>
      </c>
      <c r="G369" s="276" t="s">
        <v>325</v>
      </c>
    </row>
    <row r="370" spans="1:8">
      <c r="A370" s="253"/>
      <c r="B370" s="1011"/>
      <c r="C370" s="1012"/>
      <c r="D370" s="302"/>
      <c r="E370" s="302"/>
      <c r="F370" s="302"/>
      <c r="G370" s="303"/>
    </row>
    <row r="371" spans="1:8" ht="13.5" thickBot="1">
      <c r="A371" s="253"/>
      <c r="B371" s="1013" t="s">
        <v>841</v>
      </c>
      <c r="C371" s="1014"/>
      <c r="D371" s="286"/>
      <c r="E371" s="278"/>
      <c r="F371" s="288"/>
      <c r="G371" s="289"/>
    </row>
    <row r="372" spans="1:8" ht="14.25" thickTop="1" thickBot="1">
      <c r="A372" s="253"/>
      <c r="B372" s="1015"/>
      <c r="C372" s="1015"/>
      <c r="D372" s="1015"/>
      <c r="E372" s="1016"/>
      <c r="F372" s="301" t="s">
        <v>856</v>
      </c>
      <c r="G372" s="291">
        <f>SUM(G367:G371)</f>
        <v>0</v>
      </c>
    </row>
    <row r="373" spans="1:8" ht="14.25" thickTop="1" thickBot="1">
      <c r="A373" s="253"/>
      <c r="B373" s="1017"/>
      <c r="C373" s="1017"/>
      <c r="D373" s="1017"/>
      <c r="E373" s="1017"/>
      <c r="F373" s="1017"/>
      <c r="G373" s="1018"/>
    </row>
    <row r="374" spans="1:8" ht="13.5" thickTop="1">
      <c r="A374" s="253"/>
      <c r="B374" s="1019" t="s">
        <v>326</v>
      </c>
      <c r="C374" s="1020"/>
      <c r="D374" s="1020"/>
      <c r="E374" s="1020"/>
      <c r="F374" s="1021"/>
      <c r="G374" s="304">
        <f>+G338+G354+G365</f>
        <v>14435</v>
      </c>
    </row>
    <row r="375" spans="1:8">
      <c r="A375" s="253"/>
      <c r="B375" s="1003" t="s">
        <v>861</v>
      </c>
      <c r="C375" s="1004"/>
      <c r="D375" s="1004"/>
      <c r="E375" s="1005"/>
      <c r="F375" s="305">
        <f>'MANO DE OBRA'!D59</f>
        <v>0</v>
      </c>
      <c r="G375" s="306">
        <f>ROUND(G374*F375,0)</f>
        <v>0</v>
      </c>
    </row>
    <row r="376" spans="1:8" ht="13.5" thickBot="1">
      <c r="A376" s="253"/>
      <c r="B376" s="1006" t="s">
        <v>1049</v>
      </c>
      <c r="C376" s="1007"/>
      <c r="D376" s="1007"/>
      <c r="E376" s="1007"/>
      <c r="F376" s="1008"/>
      <c r="G376" s="291">
        <f>ROUND(G374+G375,-2)</f>
        <v>14400</v>
      </c>
      <c r="H376" s="505" t="s">
        <v>1670</v>
      </c>
    </row>
    <row r="377" spans="1:8" ht="15" thickTop="1">
      <c r="A377" s="253"/>
      <c r="B377" s="254" t="s">
        <v>303</v>
      </c>
      <c r="C377" s="1046"/>
      <c r="D377" s="1046"/>
      <c r="E377" s="1046"/>
      <c r="F377" s="257" t="s">
        <v>781</v>
      </c>
      <c r="G377" s="258" t="s">
        <v>1067</v>
      </c>
    </row>
    <row r="378" spans="1:8">
      <c r="A378" s="253"/>
      <c r="B378" s="256" t="s">
        <v>834</v>
      </c>
      <c r="C378" s="1047" t="s">
        <v>1416</v>
      </c>
      <c r="D378" s="1047"/>
      <c r="E378" s="1047"/>
      <c r="F378" s="260" t="s">
        <v>833</v>
      </c>
      <c r="G378" s="261" t="str">
        <f>'MANO DE OBRA'!D61</f>
        <v>Agosto de 2010</v>
      </c>
    </row>
    <row r="379" spans="1:8" ht="13.5" thickBot="1">
      <c r="A379" s="262"/>
      <c r="B379" s="263" t="s">
        <v>835</v>
      </c>
      <c r="C379" s="1048" t="s">
        <v>1424</v>
      </c>
      <c r="D379" s="1048"/>
      <c r="E379" s="1048"/>
      <c r="F379" s="1048"/>
      <c r="G379" s="1049"/>
    </row>
    <row r="380" spans="1:8" ht="14.25" thickTop="1" thickBot="1">
      <c r="A380" s="253"/>
      <c r="B380" s="1050"/>
      <c r="C380" s="1050"/>
      <c r="D380" s="1050"/>
      <c r="E380" s="1050"/>
      <c r="F380" s="1050"/>
      <c r="G380" s="1050"/>
    </row>
    <row r="381" spans="1:8" ht="13.5" thickTop="1">
      <c r="A381" s="253"/>
      <c r="B381" s="1019" t="s">
        <v>304</v>
      </c>
      <c r="C381" s="1020"/>
      <c r="D381" s="1020"/>
      <c r="E381" s="1020"/>
      <c r="F381" s="1020"/>
      <c r="G381" s="1024"/>
    </row>
    <row r="382" spans="1:8">
      <c r="A382" s="253"/>
      <c r="B382" s="264"/>
      <c r="C382" s="265"/>
      <c r="D382" s="266" t="s">
        <v>301</v>
      </c>
      <c r="E382" s="266" t="s">
        <v>1072</v>
      </c>
      <c r="F382" s="267" t="s">
        <v>839</v>
      </c>
      <c r="G382" s="268" t="s">
        <v>840</v>
      </c>
    </row>
    <row r="383" spans="1:8">
      <c r="A383" s="253"/>
      <c r="B383" s="1026" t="s">
        <v>838</v>
      </c>
      <c r="C383" s="1027"/>
      <c r="D383" s="269" t="s">
        <v>308</v>
      </c>
      <c r="E383" s="269" t="s">
        <v>305</v>
      </c>
      <c r="F383" s="270" t="s">
        <v>306</v>
      </c>
      <c r="G383" s="271" t="s">
        <v>310</v>
      </c>
    </row>
    <row r="384" spans="1:8">
      <c r="A384" s="253"/>
      <c r="B384" s="272"/>
      <c r="C384" s="273"/>
      <c r="D384" s="274"/>
      <c r="E384" s="274" t="s">
        <v>309</v>
      </c>
      <c r="F384" s="275" t="s">
        <v>307</v>
      </c>
      <c r="G384" s="276"/>
    </row>
    <row r="385" spans="1:7">
      <c r="A385" s="262"/>
      <c r="B385" s="1028" t="str">
        <f>'MAQUINARIA Y EQUIPOS'!C28</f>
        <v>HERRAMIENTAS MENORES</v>
      </c>
      <c r="C385" s="1029"/>
      <c r="D385" s="277">
        <v>1</v>
      </c>
      <c r="E385" s="278">
        <f>ROUND(G418*0.05,0)</f>
        <v>345</v>
      </c>
      <c r="F385" s="279">
        <v>1</v>
      </c>
      <c r="G385" s="280">
        <f>ROUND(D385*E385/F385,0)</f>
        <v>345</v>
      </c>
    </row>
    <row r="386" spans="1:7">
      <c r="A386" s="253"/>
      <c r="B386" s="1022" t="str">
        <f>'MAQUINARIA Y EQUIPOS'!C9</f>
        <v>ANDAMIO TUBULAR 1.50 m</v>
      </c>
      <c r="C386" s="1023"/>
      <c r="D386" s="281">
        <v>4</v>
      </c>
      <c r="E386" s="282">
        <f>'MAQUINARIA Y EQUIPOS'!D9</f>
        <v>754</v>
      </c>
      <c r="F386" s="283">
        <v>15.39</v>
      </c>
      <c r="G386" s="284">
        <f>ROUND(D386*E386/F386,0)</f>
        <v>196</v>
      </c>
    </row>
    <row r="387" spans="1:7">
      <c r="A387" s="253"/>
      <c r="B387" s="1022" t="str">
        <f>'MAQUINARIA Y EQUIPOS'!C47</f>
        <v>TABLONES 3m</v>
      </c>
      <c r="C387" s="1023"/>
      <c r="D387" s="281">
        <v>4</v>
      </c>
      <c r="E387" s="282">
        <f>'MAQUINARIA Y EQUIPOS'!D47</f>
        <v>348</v>
      </c>
      <c r="F387" s="283">
        <v>15.39</v>
      </c>
      <c r="G387" s="284">
        <f>ROUND(D387*E387/F387,0)</f>
        <v>90</v>
      </c>
    </row>
    <row r="388" spans="1:7">
      <c r="A388" s="253"/>
      <c r="B388" s="1022"/>
      <c r="C388" s="1023"/>
      <c r="D388" s="285"/>
      <c r="E388" s="278"/>
      <c r="F388" s="283"/>
      <c r="G388" s="284"/>
    </row>
    <row r="389" spans="1:7">
      <c r="A389" s="253"/>
      <c r="B389" s="1022" t="s">
        <v>841</v>
      </c>
      <c r="C389" s="1023"/>
      <c r="D389" s="281"/>
      <c r="E389" s="278"/>
      <c r="F389" s="283"/>
      <c r="G389" s="284"/>
    </row>
    <row r="390" spans="1:7" ht="13.5" thickBot="1">
      <c r="A390" s="253"/>
      <c r="B390" s="1044" t="s">
        <v>841</v>
      </c>
      <c r="C390" s="1045"/>
      <c r="D390" s="286"/>
      <c r="E390" s="287"/>
      <c r="F390" s="288"/>
      <c r="G390" s="289"/>
    </row>
    <row r="391" spans="1:7" ht="14.25" thickTop="1" thickBot="1">
      <c r="A391" s="253"/>
      <c r="B391" s="1015"/>
      <c r="C391" s="1015"/>
      <c r="D391" s="1015"/>
      <c r="E391" s="1016"/>
      <c r="F391" s="290" t="s">
        <v>856</v>
      </c>
      <c r="G391" s="291">
        <f>SUM(G385:G390)</f>
        <v>631</v>
      </c>
    </row>
    <row r="392" spans="1:7" ht="14.25" thickTop="1" thickBot="1">
      <c r="A392" s="253"/>
      <c r="B392" s="1025"/>
      <c r="C392" s="1025"/>
      <c r="D392" s="1025"/>
      <c r="E392" s="1025"/>
      <c r="F392" s="1025"/>
      <c r="G392" s="1025"/>
    </row>
    <row r="393" spans="1:7" ht="13.5" thickTop="1">
      <c r="A393" s="253"/>
      <c r="B393" s="1019" t="s">
        <v>311</v>
      </c>
      <c r="C393" s="1020"/>
      <c r="D393" s="1020"/>
      <c r="E393" s="1020"/>
      <c r="F393" s="1020"/>
      <c r="G393" s="1024"/>
    </row>
    <row r="394" spans="1:7">
      <c r="A394" s="253"/>
      <c r="B394" s="1009" t="s">
        <v>838</v>
      </c>
      <c r="C394" s="1010"/>
      <c r="D394" s="266" t="s">
        <v>842</v>
      </c>
      <c r="E394" s="266" t="s">
        <v>853</v>
      </c>
      <c r="F394" s="267" t="s">
        <v>1047</v>
      </c>
      <c r="G394" s="268" t="s">
        <v>840</v>
      </c>
    </row>
    <row r="395" spans="1:7">
      <c r="A395" s="253"/>
      <c r="B395" s="272"/>
      <c r="C395" s="273"/>
      <c r="D395" s="269"/>
      <c r="E395" s="269" t="s">
        <v>312</v>
      </c>
      <c r="F395" s="270" t="s">
        <v>313</v>
      </c>
      <c r="G395" s="271" t="s">
        <v>314</v>
      </c>
    </row>
    <row r="396" spans="1:7">
      <c r="A396" s="259"/>
      <c r="B396" s="1042" t="str">
        <f>MATERIALES2!C13</f>
        <v>CEMENTO GRIS</v>
      </c>
      <c r="C396" s="1043"/>
      <c r="D396" s="277" t="s">
        <v>925</v>
      </c>
      <c r="E396" s="279">
        <v>9.06</v>
      </c>
      <c r="F396" s="292">
        <f>MATERIALES2!E13</f>
        <v>420</v>
      </c>
      <c r="G396" s="280">
        <f>ROUND(E396*F396,0)</f>
        <v>3805</v>
      </c>
    </row>
    <row r="397" spans="1:7" ht="14.25">
      <c r="A397" s="293"/>
      <c r="B397" s="1030" t="str">
        <f>MATERIALES2!C20</f>
        <v xml:space="preserve">ARENA </v>
      </c>
      <c r="C397" s="1031"/>
      <c r="D397" s="281" t="s">
        <v>1066</v>
      </c>
      <c r="E397" s="307">
        <v>3.5999999999999997E-2</v>
      </c>
      <c r="F397" s="278">
        <f>MATERIALES2!E20</f>
        <v>35000</v>
      </c>
      <c r="G397" s="284">
        <f>ROUND(E397*F397,0)</f>
        <v>1260</v>
      </c>
    </row>
    <row r="398" spans="1:7">
      <c r="A398" s="293"/>
      <c r="B398" s="1030" t="str">
        <f>MATERIALES2!C28</f>
        <v>AGUA</v>
      </c>
      <c r="C398" s="1031"/>
      <c r="D398" s="281" t="s">
        <v>1071</v>
      </c>
      <c r="E398" s="294">
        <v>7.11</v>
      </c>
      <c r="F398" s="278">
        <f>MATERIALES2!E28</f>
        <v>50</v>
      </c>
      <c r="G398" s="284">
        <f>ROUND(E398*F398,0)</f>
        <v>356</v>
      </c>
    </row>
    <row r="399" spans="1:7">
      <c r="A399" s="253"/>
      <c r="B399" s="1030"/>
      <c r="C399" s="1031"/>
      <c r="D399" s="281"/>
      <c r="E399" s="283"/>
      <c r="F399" s="278"/>
      <c r="G399" s="284"/>
    </row>
    <row r="400" spans="1:7">
      <c r="A400" s="253"/>
      <c r="B400" s="1030"/>
      <c r="C400" s="1031"/>
      <c r="D400" s="281"/>
      <c r="E400" s="294"/>
      <c r="F400" s="278"/>
      <c r="G400" s="284"/>
    </row>
    <row r="401" spans="1:8">
      <c r="A401" s="253"/>
      <c r="B401" s="1030"/>
      <c r="C401" s="1031"/>
      <c r="D401" s="281"/>
      <c r="E401" s="294"/>
      <c r="F401" s="278"/>
      <c r="G401" s="284"/>
    </row>
    <row r="402" spans="1:8">
      <c r="A402" s="253"/>
      <c r="B402" s="1030"/>
      <c r="C402" s="1031"/>
      <c r="D402" s="281"/>
      <c r="E402" s="294"/>
      <c r="F402" s="278"/>
      <c r="G402" s="284"/>
    </row>
    <row r="403" spans="1:8">
      <c r="A403" s="253"/>
      <c r="B403" s="1032" t="s">
        <v>841</v>
      </c>
      <c r="C403" s="1033"/>
      <c r="D403" s="294" t="s">
        <v>841</v>
      </c>
      <c r="E403" s="294"/>
      <c r="F403" s="278"/>
      <c r="G403" s="284"/>
      <c r="H403" s="505" t="s">
        <v>1670</v>
      </c>
    </row>
    <row r="404" spans="1:8" ht="13.5" thickBot="1">
      <c r="A404" s="253"/>
      <c r="B404" s="1034" t="s">
        <v>841</v>
      </c>
      <c r="C404" s="1035"/>
      <c r="D404" s="295" t="s">
        <v>841</v>
      </c>
      <c r="E404" s="295"/>
      <c r="F404" s="296"/>
      <c r="G404" s="289"/>
    </row>
    <row r="405" spans="1:8" ht="13.5" thickTop="1">
      <c r="A405" s="253"/>
      <c r="B405" s="1015"/>
      <c r="C405" s="1016"/>
      <c r="D405" s="1038" t="s">
        <v>856</v>
      </c>
      <c r="E405" s="1039"/>
      <c r="F405" s="297"/>
      <c r="G405" s="298">
        <f>SUM(G396:G404)</f>
        <v>5421</v>
      </c>
    </row>
    <row r="406" spans="1:8">
      <c r="A406" s="253"/>
      <c r="B406" s="1036"/>
      <c r="C406" s="1037"/>
      <c r="D406" s="1038" t="s">
        <v>857</v>
      </c>
      <c r="E406" s="1039"/>
      <c r="F406" s="299">
        <v>0.12</v>
      </c>
      <c r="G406" s="298">
        <f>ROUND(G405*F406,0)</f>
        <v>651</v>
      </c>
    </row>
    <row r="407" spans="1:8" ht="13.5" thickBot="1">
      <c r="A407" s="253"/>
      <c r="B407" s="1036"/>
      <c r="C407" s="1037"/>
      <c r="D407" s="1040" t="s">
        <v>320</v>
      </c>
      <c r="E407" s="1041"/>
      <c r="F407" s="300"/>
      <c r="G407" s="291">
        <f>+G405+G406</f>
        <v>6072</v>
      </c>
    </row>
    <row r="408" spans="1:8" ht="14.25" thickTop="1" thickBot="1">
      <c r="A408" s="253"/>
      <c r="B408" s="1025"/>
      <c r="C408" s="1025"/>
      <c r="D408" s="1025"/>
      <c r="E408" s="1025"/>
      <c r="F408" s="1025"/>
      <c r="G408" s="1025"/>
    </row>
    <row r="409" spans="1:8" ht="13.5" thickTop="1">
      <c r="A409" s="253"/>
      <c r="B409" s="1019" t="s">
        <v>858</v>
      </c>
      <c r="C409" s="1020"/>
      <c r="D409" s="1020"/>
      <c r="E409" s="1020"/>
      <c r="F409" s="1020"/>
      <c r="G409" s="1024"/>
    </row>
    <row r="410" spans="1:8">
      <c r="A410" s="253"/>
      <c r="B410" s="1009"/>
      <c r="C410" s="1010"/>
      <c r="D410" s="266" t="s">
        <v>301</v>
      </c>
      <c r="E410" s="266" t="s">
        <v>859</v>
      </c>
      <c r="F410" s="267" t="s">
        <v>839</v>
      </c>
      <c r="G410" s="268" t="s">
        <v>840</v>
      </c>
    </row>
    <row r="411" spans="1:8">
      <c r="A411" s="253"/>
      <c r="B411" s="1026" t="s">
        <v>838</v>
      </c>
      <c r="C411" s="1027"/>
      <c r="D411" s="269" t="s">
        <v>316</v>
      </c>
      <c r="E411" s="269" t="s">
        <v>315</v>
      </c>
      <c r="F411" s="270" t="s">
        <v>306</v>
      </c>
      <c r="G411" s="271" t="s">
        <v>319</v>
      </c>
    </row>
    <row r="412" spans="1:8">
      <c r="A412" s="253"/>
      <c r="B412" s="272"/>
      <c r="C412" s="273"/>
      <c r="D412" s="274"/>
      <c r="E412" s="274" t="s">
        <v>317</v>
      </c>
      <c r="F412" s="275" t="s">
        <v>318</v>
      </c>
      <c r="G412" s="276"/>
    </row>
    <row r="413" spans="1:8">
      <c r="A413" s="253"/>
      <c r="B413" s="1028" t="str">
        <f>'MANO DE OBRA'!B10</f>
        <v>AYUDANTE CUAD. TIPO AA</v>
      </c>
      <c r="C413" s="1029"/>
      <c r="D413" s="277">
        <v>1</v>
      </c>
      <c r="E413" s="292">
        <f>'MANO DE OBRA'!E10</f>
        <v>34680</v>
      </c>
      <c r="F413" s="279">
        <v>15.39</v>
      </c>
      <c r="G413" s="280">
        <f>ROUND(D413*E413/F413,0)</f>
        <v>2253</v>
      </c>
    </row>
    <row r="414" spans="1:8">
      <c r="A414" s="253"/>
      <c r="B414" s="1022" t="str">
        <f>'MANO DE OBRA'!B15</f>
        <v xml:space="preserve">OFICIAL CUAD. TIPO AA </v>
      </c>
      <c r="C414" s="1023"/>
      <c r="D414" s="281">
        <v>1</v>
      </c>
      <c r="E414" s="278">
        <f>'MANO DE OBRA'!E15</f>
        <v>71474</v>
      </c>
      <c r="F414" s="283">
        <v>15.39</v>
      </c>
      <c r="G414" s="284">
        <f>ROUND(D414*E414/F414,0)</f>
        <v>4644</v>
      </c>
    </row>
    <row r="415" spans="1:8">
      <c r="A415" s="253"/>
      <c r="B415" s="1022"/>
      <c r="C415" s="1023"/>
      <c r="D415" s="285"/>
      <c r="E415" s="278"/>
      <c r="F415" s="283"/>
      <c r="G415" s="284"/>
    </row>
    <row r="416" spans="1:8">
      <c r="A416" s="253"/>
      <c r="B416" s="1022" t="s">
        <v>841</v>
      </c>
      <c r="C416" s="1023"/>
      <c r="D416" s="281"/>
      <c r="E416" s="278"/>
      <c r="F416" s="283"/>
      <c r="G416" s="284"/>
    </row>
    <row r="417" spans="1:8" ht="13.5" thickBot="1">
      <c r="A417" s="253"/>
      <c r="B417" s="1013" t="s">
        <v>841</v>
      </c>
      <c r="C417" s="1014"/>
      <c r="D417" s="286"/>
      <c r="E417" s="278"/>
      <c r="F417" s="288"/>
      <c r="G417" s="289"/>
    </row>
    <row r="418" spans="1:8" ht="14.25" thickTop="1" thickBot="1">
      <c r="A418" s="253"/>
      <c r="B418" s="1015"/>
      <c r="C418" s="1015"/>
      <c r="D418" s="1015"/>
      <c r="E418" s="1016"/>
      <c r="F418" s="301" t="s">
        <v>856</v>
      </c>
      <c r="G418" s="291">
        <f>SUM(G413:G417)</f>
        <v>6897</v>
      </c>
    </row>
    <row r="419" spans="1:8" ht="14.25" thickTop="1" thickBot="1">
      <c r="A419" s="253"/>
      <c r="B419" s="1017"/>
      <c r="C419" s="1017"/>
      <c r="D419" s="1017"/>
      <c r="E419" s="1017"/>
      <c r="F419" s="1017"/>
      <c r="G419" s="1017"/>
    </row>
    <row r="420" spans="1:8" ht="13.5" thickTop="1">
      <c r="A420" s="253"/>
      <c r="B420" s="1019" t="s">
        <v>321</v>
      </c>
      <c r="C420" s="1020"/>
      <c r="D420" s="1020"/>
      <c r="E420" s="1020"/>
      <c r="F420" s="1020"/>
      <c r="G420" s="1024"/>
    </row>
    <row r="421" spans="1:8">
      <c r="A421" s="253"/>
      <c r="B421" s="1009" t="s">
        <v>838</v>
      </c>
      <c r="C421" s="1010"/>
      <c r="D421" s="266" t="s">
        <v>301</v>
      </c>
      <c r="E421" s="266" t="s">
        <v>297</v>
      </c>
      <c r="F421" s="267" t="s">
        <v>839</v>
      </c>
      <c r="G421" s="268" t="s">
        <v>840</v>
      </c>
    </row>
    <row r="422" spans="1:8">
      <c r="A422" s="253"/>
      <c r="B422" s="272"/>
      <c r="C422" s="273"/>
      <c r="D422" s="274" t="s">
        <v>322</v>
      </c>
      <c r="E422" s="274" t="s">
        <v>323</v>
      </c>
      <c r="F422" s="275" t="s">
        <v>324</v>
      </c>
      <c r="G422" s="276" t="s">
        <v>325</v>
      </c>
    </row>
    <row r="423" spans="1:8">
      <c r="A423" s="253"/>
      <c r="B423" s="1011"/>
      <c r="C423" s="1012"/>
      <c r="D423" s="302"/>
      <c r="E423" s="302"/>
      <c r="F423" s="302"/>
      <c r="G423" s="303"/>
    </row>
    <row r="424" spans="1:8" ht="13.5" thickBot="1">
      <c r="A424" s="253"/>
      <c r="B424" s="1013" t="s">
        <v>841</v>
      </c>
      <c r="C424" s="1014"/>
      <c r="D424" s="286"/>
      <c r="E424" s="278"/>
      <c r="F424" s="288"/>
      <c r="G424" s="289"/>
    </row>
    <row r="425" spans="1:8" ht="14.25" thickTop="1" thickBot="1">
      <c r="A425" s="253"/>
      <c r="B425" s="1015"/>
      <c r="C425" s="1015"/>
      <c r="D425" s="1015"/>
      <c r="E425" s="1016"/>
      <c r="F425" s="301" t="s">
        <v>856</v>
      </c>
      <c r="G425" s="291">
        <f>SUM(G420:G424)</f>
        <v>0</v>
      </c>
    </row>
    <row r="426" spans="1:8" ht="14.25" thickTop="1" thickBot="1">
      <c r="A426" s="253"/>
      <c r="B426" s="1017"/>
      <c r="C426" s="1017"/>
      <c r="D426" s="1017"/>
      <c r="E426" s="1017"/>
      <c r="F426" s="1017"/>
      <c r="G426" s="1018"/>
    </row>
    <row r="427" spans="1:8" ht="13.5" thickTop="1">
      <c r="A427" s="253"/>
      <c r="B427" s="1019" t="s">
        <v>326</v>
      </c>
      <c r="C427" s="1020"/>
      <c r="D427" s="1020"/>
      <c r="E427" s="1020"/>
      <c r="F427" s="1021"/>
      <c r="G427" s="304">
        <f>+G391+G407+G418</f>
        <v>13600</v>
      </c>
    </row>
    <row r="428" spans="1:8">
      <c r="A428" s="253"/>
      <c r="B428" s="1003" t="s">
        <v>861</v>
      </c>
      <c r="C428" s="1004"/>
      <c r="D428" s="1004"/>
      <c r="E428" s="1005"/>
      <c r="F428" s="305">
        <f>'MANO DE OBRA'!D59</f>
        <v>0</v>
      </c>
      <c r="G428" s="306">
        <f>ROUND(G427*F428,0)</f>
        <v>0</v>
      </c>
    </row>
    <row r="429" spans="1:8" ht="13.5" thickBot="1">
      <c r="A429" s="253"/>
      <c r="B429" s="1006" t="s">
        <v>1049</v>
      </c>
      <c r="C429" s="1007"/>
      <c r="D429" s="1007"/>
      <c r="E429" s="1007"/>
      <c r="F429" s="1008"/>
      <c r="G429" s="291">
        <f>ROUND(G427+G428,-2)</f>
        <v>13600</v>
      </c>
      <c r="H429" s="505" t="s">
        <v>1670</v>
      </c>
    </row>
    <row r="430" spans="1:8" ht="15" thickTop="1">
      <c r="A430" s="253"/>
      <c r="B430" s="254" t="s">
        <v>303</v>
      </c>
      <c r="C430" s="1046"/>
      <c r="D430" s="1046"/>
      <c r="E430" s="1046"/>
      <c r="F430" s="257" t="s">
        <v>781</v>
      </c>
      <c r="G430" s="258" t="s">
        <v>1067</v>
      </c>
    </row>
    <row r="431" spans="1:8">
      <c r="A431" s="253"/>
      <c r="B431" s="256" t="s">
        <v>834</v>
      </c>
      <c r="C431" s="1051" t="s">
        <v>398</v>
      </c>
      <c r="D431" s="1047"/>
      <c r="E431" s="1047"/>
      <c r="F431" s="260" t="s">
        <v>833</v>
      </c>
      <c r="G431" s="261" t="str">
        <f>'MANO DE OBRA'!D61</f>
        <v>Agosto de 2010</v>
      </c>
    </row>
    <row r="432" spans="1:8" ht="13.5" thickBot="1">
      <c r="A432" s="262"/>
      <c r="B432" s="263" t="s">
        <v>835</v>
      </c>
      <c r="C432" s="1052" t="s">
        <v>796</v>
      </c>
      <c r="D432" s="1048"/>
      <c r="E432" s="1048"/>
      <c r="F432" s="1048"/>
      <c r="G432" s="1049"/>
    </row>
    <row r="433" spans="1:7" ht="14.25" thickTop="1" thickBot="1">
      <c r="A433" s="253"/>
      <c r="B433" s="1050"/>
      <c r="C433" s="1050"/>
      <c r="D433" s="1050"/>
      <c r="E433" s="1050"/>
      <c r="F433" s="1050"/>
      <c r="G433" s="1050"/>
    </row>
    <row r="434" spans="1:7" ht="13.5" thickTop="1">
      <c r="A434" s="253"/>
      <c r="B434" s="1019" t="s">
        <v>304</v>
      </c>
      <c r="C434" s="1020"/>
      <c r="D434" s="1020"/>
      <c r="E434" s="1020"/>
      <c r="F434" s="1020"/>
      <c r="G434" s="1024"/>
    </row>
    <row r="435" spans="1:7">
      <c r="A435" s="253"/>
      <c r="B435" s="264"/>
      <c r="C435" s="265"/>
      <c r="D435" s="266" t="s">
        <v>301</v>
      </c>
      <c r="E435" s="266" t="s">
        <v>1072</v>
      </c>
      <c r="F435" s="267" t="s">
        <v>839</v>
      </c>
      <c r="G435" s="268" t="s">
        <v>840</v>
      </c>
    </row>
    <row r="436" spans="1:7">
      <c r="A436" s="253"/>
      <c r="B436" s="1026" t="s">
        <v>838</v>
      </c>
      <c r="C436" s="1027"/>
      <c r="D436" s="269" t="s">
        <v>308</v>
      </c>
      <c r="E436" s="269" t="s">
        <v>305</v>
      </c>
      <c r="F436" s="270" t="s">
        <v>306</v>
      </c>
      <c r="G436" s="271" t="s">
        <v>310</v>
      </c>
    </row>
    <row r="437" spans="1:7">
      <c r="A437" s="253"/>
      <c r="B437" s="272"/>
      <c r="C437" s="273"/>
      <c r="D437" s="274"/>
      <c r="E437" s="274" t="s">
        <v>309</v>
      </c>
      <c r="F437" s="275" t="s">
        <v>307</v>
      </c>
      <c r="G437" s="276"/>
    </row>
    <row r="438" spans="1:7">
      <c r="A438" s="262"/>
      <c r="B438" s="1028" t="str">
        <f>'MAQUINARIA Y EQUIPOS'!C28</f>
        <v>HERRAMIENTAS MENORES</v>
      </c>
      <c r="C438" s="1029"/>
      <c r="D438" s="277">
        <v>1</v>
      </c>
      <c r="E438" s="278">
        <f>ROUND(G471*0.05,0)</f>
        <v>332</v>
      </c>
      <c r="F438" s="279">
        <v>1</v>
      </c>
      <c r="G438" s="280">
        <f>ROUND(D438*E438/F438,0)</f>
        <v>332</v>
      </c>
    </row>
    <row r="439" spans="1:7">
      <c r="A439" s="253"/>
      <c r="B439" s="1022" t="str">
        <f>'MAQUINARIA Y EQUIPOS'!C9</f>
        <v>ANDAMIO TUBULAR 1.50 m</v>
      </c>
      <c r="C439" s="1023"/>
      <c r="D439" s="281">
        <v>4</v>
      </c>
      <c r="E439" s="282">
        <f>'MAQUINARIA Y EQUIPOS'!D9</f>
        <v>754</v>
      </c>
      <c r="F439" s="283">
        <v>16</v>
      </c>
      <c r="G439" s="284">
        <f>ROUND(D439*E439/F439,0)</f>
        <v>189</v>
      </c>
    </row>
    <row r="440" spans="1:7">
      <c r="A440" s="253"/>
      <c r="B440" s="1022" t="str">
        <f>'MAQUINARIA Y EQUIPOS'!C47</f>
        <v>TABLONES 3m</v>
      </c>
      <c r="C440" s="1023"/>
      <c r="D440" s="281">
        <v>4</v>
      </c>
      <c r="E440" s="282">
        <f>'MAQUINARIA Y EQUIPOS'!D47</f>
        <v>348</v>
      </c>
      <c r="F440" s="283">
        <v>16</v>
      </c>
      <c r="G440" s="284">
        <f>ROUND(D440*E440/F440,0)</f>
        <v>87</v>
      </c>
    </row>
    <row r="441" spans="1:7">
      <c r="A441" s="253"/>
      <c r="B441" s="1022"/>
      <c r="C441" s="1023"/>
      <c r="D441" s="285"/>
      <c r="E441" s="278"/>
      <c r="F441" s="283"/>
      <c r="G441" s="284"/>
    </row>
    <row r="442" spans="1:7">
      <c r="A442" s="253"/>
      <c r="B442" s="1022" t="s">
        <v>841</v>
      </c>
      <c r="C442" s="1023"/>
      <c r="D442" s="281"/>
      <c r="E442" s="278"/>
      <c r="F442" s="283"/>
      <c r="G442" s="284"/>
    </row>
    <row r="443" spans="1:7" ht="13.5" thickBot="1">
      <c r="A443" s="253"/>
      <c r="B443" s="1044" t="s">
        <v>841</v>
      </c>
      <c r="C443" s="1045"/>
      <c r="D443" s="286"/>
      <c r="E443" s="287"/>
      <c r="F443" s="288"/>
      <c r="G443" s="289"/>
    </row>
    <row r="444" spans="1:7" ht="14.25" thickTop="1" thickBot="1">
      <c r="A444" s="253"/>
      <c r="B444" s="1015"/>
      <c r="C444" s="1015"/>
      <c r="D444" s="1015"/>
      <c r="E444" s="1016"/>
      <c r="F444" s="290" t="s">
        <v>856</v>
      </c>
      <c r="G444" s="291">
        <f>SUM(G438:G443)</f>
        <v>608</v>
      </c>
    </row>
    <row r="445" spans="1:7" ht="14.25" thickTop="1" thickBot="1">
      <c r="A445" s="253"/>
      <c r="B445" s="1025"/>
      <c r="C445" s="1025"/>
      <c r="D445" s="1025"/>
      <c r="E445" s="1025"/>
      <c r="F445" s="1025"/>
      <c r="G445" s="1025"/>
    </row>
    <row r="446" spans="1:7" ht="13.5" thickTop="1">
      <c r="A446" s="253"/>
      <c r="B446" s="1019" t="s">
        <v>311</v>
      </c>
      <c r="C446" s="1020"/>
      <c r="D446" s="1020"/>
      <c r="E446" s="1020"/>
      <c r="F446" s="1020"/>
      <c r="G446" s="1024"/>
    </row>
    <row r="447" spans="1:7">
      <c r="A447" s="253"/>
      <c r="B447" s="1009" t="s">
        <v>838</v>
      </c>
      <c r="C447" s="1010"/>
      <c r="D447" s="266" t="s">
        <v>842</v>
      </c>
      <c r="E447" s="266" t="s">
        <v>853</v>
      </c>
      <c r="F447" s="267" t="s">
        <v>1047</v>
      </c>
      <c r="G447" s="268" t="s">
        <v>840</v>
      </c>
    </row>
    <row r="448" spans="1:7">
      <c r="A448" s="253"/>
      <c r="B448" s="272"/>
      <c r="C448" s="273"/>
      <c r="D448" s="269"/>
      <c r="E448" s="269" t="s">
        <v>312</v>
      </c>
      <c r="F448" s="270" t="s">
        <v>313</v>
      </c>
      <c r="G448" s="271" t="s">
        <v>314</v>
      </c>
    </row>
    <row r="449" spans="1:8">
      <c r="A449" s="259"/>
      <c r="B449" s="1042" t="str">
        <f>MATERIALES2!C13</f>
        <v>CEMENTO GRIS</v>
      </c>
      <c r="C449" s="1043"/>
      <c r="D449" s="277" t="s">
        <v>925</v>
      </c>
      <c r="E449" s="279">
        <v>9.5</v>
      </c>
      <c r="F449" s="292">
        <f>MATERIALES2!E13</f>
        <v>420</v>
      </c>
      <c r="G449" s="280">
        <f>ROUND(E449*F449,0)</f>
        <v>3990</v>
      </c>
    </row>
    <row r="450" spans="1:8" ht="14.25">
      <c r="A450" s="293"/>
      <c r="B450" s="1030" t="str">
        <f>MATERIALES2!C20</f>
        <v xml:space="preserve">ARENA </v>
      </c>
      <c r="C450" s="1031"/>
      <c r="D450" s="281" t="s">
        <v>1066</v>
      </c>
      <c r="E450" s="307">
        <v>2.3E-2</v>
      </c>
      <c r="F450" s="278">
        <f>MATERIALES2!E20</f>
        <v>35000</v>
      </c>
      <c r="G450" s="284">
        <f>ROUND(E450*F450,0)</f>
        <v>805</v>
      </c>
    </row>
    <row r="451" spans="1:8">
      <c r="A451" s="293"/>
      <c r="B451" s="1030" t="str">
        <f>MATERIALES2!C28</f>
        <v>AGUA</v>
      </c>
      <c r="C451" s="1031"/>
      <c r="D451" s="281" t="s">
        <v>1071</v>
      </c>
      <c r="E451" s="294">
        <v>3.78</v>
      </c>
      <c r="F451" s="278">
        <f>MATERIALES2!E28</f>
        <v>50</v>
      </c>
      <c r="G451" s="284">
        <f>ROUND(E451*F451,0)</f>
        <v>189</v>
      </c>
    </row>
    <row r="452" spans="1:8">
      <c r="A452" s="253"/>
      <c r="B452" s="1030" t="str">
        <f>MATERIALES2!C303</f>
        <v>TOKENET 1  IMPERMEABIL.1 KILO</v>
      </c>
      <c r="C452" s="1031"/>
      <c r="D452" s="318" t="s">
        <v>925</v>
      </c>
      <c r="E452" s="294">
        <v>0.8</v>
      </c>
      <c r="F452" s="278">
        <f>MATERIALES2!E303</f>
        <v>4142.5</v>
      </c>
      <c r="G452" s="284">
        <f>ROUND(E452*F452,0)</f>
        <v>3314</v>
      </c>
    </row>
    <row r="453" spans="1:8">
      <c r="A453" s="253"/>
      <c r="B453" s="256"/>
      <c r="C453" s="319"/>
      <c r="D453" s="294"/>
      <c r="E453" s="319"/>
      <c r="F453" s="294"/>
      <c r="G453" s="320"/>
    </row>
    <row r="454" spans="1:8">
      <c r="A454" s="253"/>
      <c r="B454" s="1030"/>
      <c r="C454" s="1031"/>
      <c r="D454" s="281"/>
      <c r="E454" s="294"/>
      <c r="F454" s="278"/>
      <c r="G454" s="284"/>
    </row>
    <row r="455" spans="1:8">
      <c r="A455" s="253"/>
      <c r="B455" s="1030"/>
      <c r="C455" s="1031"/>
      <c r="D455" s="281"/>
      <c r="E455" s="294"/>
      <c r="F455" s="278"/>
      <c r="G455" s="284"/>
    </row>
    <row r="456" spans="1:8">
      <c r="A456" s="253"/>
      <c r="B456" s="1032" t="s">
        <v>841</v>
      </c>
      <c r="C456" s="1033"/>
      <c r="D456" s="294" t="s">
        <v>841</v>
      </c>
      <c r="E456" s="294"/>
      <c r="F456" s="278"/>
      <c r="G456" s="284"/>
      <c r="H456" s="505" t="s">
        <v>1670</v>
      </c>
    </row>
    <row r="457" spans="1:8" ht="13.5" thickBot="1">
      <c r="A457" s="253"/>
      <c r="B457" s="1034" t="s">
        <v>841</v>
      </c>
      <c r="C457" s="1035"/>
      <c r="D457" s="295" t="s">
        <v>841</v>
      </c>
      <c r="E457" s="295"/>
      <c r="F457" s="296"/>
      <c r="G457" s="289"/>
    </row>
    <row r="458" spans="1:8" ht="13.5" thickTop="1">
      <c r="A458" s="253"/>
      <c r="B458" s="1015"/>
      <c r="C458" s="1016"/>
      <c r="D458" s="1038" t="s">
        <v>856</v>
      </c>
      <c r="E458" s="1039"/>
      <c r="F458" s="297"/>
      <c r="G458" s="298">
        <f>SUM(G449:G457)</f>
        <v>8298</v>
      </c>
    </row>
    <row r="459" spans="1:8">
      <c r="A459" s="253"/>
      <c r="B459" s="1036"/>
      <c r="C459" s="1037"/>
      <c r="D459" s="1038" t="s">
        <v>857</v>
      </c>
      <c r="E459" s="1039"/>
      <c r="F459" s="299">
        <v>0.08</v>
      </c>
      <c r="G459" s="298">
        <f>ROUND(G458*F459,0)</f>
        <v>664</v>
      </c>
    </row>
    <row r="460" spans="1:8" ht="13.5" thickBot="1">
      <c r="A460" s="253"/>
      <c r="B460" s="1036"/>
      <c r="C460" s="1037"/>
      <c r="D460" s="1040" t="s">
        <v>320</v>
      </c>
      <c r="E460" s="1041"/>
      <c r="F460" s="300"/>
      <c r="G460" s="291">
        <f>+G458+G459</f>
        <v>8962</v>
      </c>
    </row>
    <row r="461" spans="1:8" ht="14.25" thickTop="1" thickBot="1">
      <c r="A461" s="253"/>
      <c r="B461" s="1025"/>
      <c r="C461" s="1025"/>
      <c r="D461" s="1025"/>
      <c r="E461" s="1025"/>
      <c r="F461" s="1025"/>
      <c r="G461" s="1025"/>
    </row>
    <row r="462" spans="1:8" ht="13.5" thickTop="1">
      <c r="A462" s="253"/>
      <c r="B462" s="1019" t="s">
        <v>858</v>
      </c>
      <c r="C462" s="1020"/>
      <c r="D462" s="1020"/>
      <c r="E462" s="1020"/>
      <c r="F462" s="1020"/>
      <c r="G462" s="1024"/>
    </row>
    <row r="463" spans="1:8">
      <c r="A463" s="253"/>
      <c r="B463" s="1009"/>
      <c r="C463" s="1010"/>
      <c r="D463" s="266" t="s">
        <v>301</v>
      </c>
      <c r="E463" s="266" t="s">
        <v>859</v>
      </c>
      <c r="F463" s="267" t="s">
        <v>839</v>
      </c>
      <c r="G463" s="268" t="s">
        <v>840</v>
      </c>
    </row>
    <row r="464" spans="1:8">
      <c r="A464" s="253"/>
      <c r="B464" s="1026" t="s">
        <v>838</v>
      </c>
      <c r="C464" s="1027"/>
      <c r="D464" s="269" t="s">
        <v>316</v>
      </c>
      <c r="E464" s="269" t="s">
        <v>315</v>
      </c>
      <c r="F464" s="270" t="s">
        <v>306</v>
      </c>
      <c r="G464" s="271" t="s">
        <v>319</v>
      </c>
    </row>
    <row r="465" spans="1:7">
      <c r="A465" s="253"/>
      <c r="B465" s="272"/>
      <c r="C465" s="273"/>
      <c r="D465" s="274"/>
      <c r="E465" s="274" t="s">
        <v>317</v>
      </c>
      <c r="F465" s="275" t="s">
        <v>318</v>
      </c>
      <c r="G465" s="276"/>
    </row>
    <row r="466" spans="1:7">
      <c r="A466" s="253"/>
      <c r="B466" s="1028" t="str">
        <f>'MANO DE OBRA'!B10</f>
        <v>AYUDANTE CUAD. TIPO AA</v>
      </c>
      <c r="C466" s="1029"/>
      <c r="D466" s="277">
        <v>1</v>
      </c>
      <c r="E466" s="292">
        <f>'MANO DE OBRA'!E10</f>
        <v>34680</v>
      </c>
      <c r="F466" s="279">
        <v>16</v>
      </c>
      <c r="G466" s="280">
        <f>ROUND(D466*E466/F466,0)</f>
        <v>2168</v>
      </c>
    </row>
    <row r="467" spans="1:7">
      <c r="A467" s="253"/>
      <c r="B467" s="1022" t="str">
        <f>'MANO DE OBRA'!B15</f>
        <v xml:space="preserve">OFICIAL CUAD. TIPO AA </v>
      </c>
      <c r="C467" s="1023"/>
      <c r="D467" s="281">
        <v>1</v>
      </c>
      <c r="E467" s="278">
        <f>'MANO DE OBRA'!E15</f>
        <v>71474</v>
      </c>
      <c r="F467" s="283">
        <v>16</v>
      </c>
      <c r="G467" s="284">
        <f>ROUND(D467*E467/F467,0)</f>
        <v>4467</v>
      </c>
    </row>
    <row r="468" spans="1:7">
      <c r="A468" s="253"/>
      <c r="B468" s="1022"/>
      <c r="C468" s="1023"/>
      <c r="D468" s="285"/>
      <c r="E468" s="278"/>
      <c r="F468" s="283"/>
      <c r="G468" s="284"/>
    </row>
    <row r="469" spans="1:7">
      <c r="A469" s="253"/>
      <c r="B469" s="1022" t="s">
        <v>841</v>
      </c>
      <c r="C469" s="1023"/>
      <c r="D469" s="281"/>
      <c r="E469" s="278"/>
      <c r="F469" s="283"/>
      <c r="G469" s="284"/>
    </row>
    <row r="470" spans="1:7" ht="13.5" thickBot="1">
      <c r="A470" s="253"/>
      <c r="B470" s="1013" t="s">
        <v>841</v>
      </c>
      <c r="C470" s="1014"/>
      <c r="D470" s="286"/>
      <c r="E470" s="278"/>
      <c r="F470" s="288"/>
      <c r="G470" s="289"/>
    </row>
    <row r="471" spans="1:7" ht="14.25" thickTop="1" thickBot="1">
      <c r="A471" s="253"/>
      <c r="B471" s="1015"/>
      <c r="C471" s="1015"/>
      <c r="D471" s="1015"/>
      <c r="E471" s="1016"/>
      <c r="F471" s="301" t="s">
        <v>856</v>
      </c>
      <c r="G471" s="291">
        <f>SUM(G466:G470)</f>
        <v>6635</v>
      </c>
    </row>
    <row r="472" spans="1:7" ht="14.25" thickTop="1" thickBot="1">
      <c r="A472" s="253"/>
      <c r="B472" s="1017"/>
      <c r="C472" s="1017"/>
      <c r="D472" s="1017"/>
      <c r="E472" s="1017"/>
      <c r="F472" s="1017"/>
      <c r="G472" s="1017"/>
    </row>
    <row r="473" spans="1:7" ht="13.5" thickTop="1">
      <c r="A473" s="253"/>
      <c r="B473" s="1019" t="s">
        <v>321</v>
      </c>
      <c r="C473" s="1020"/>
      <c r="D473" s="1020"/>
      <c r="E473" s="1020"/>
      <c r="F473" s="1020"/>
      <c r="G473" s="1024"/>
    </row>
    <row r="474" spans="1:7">
      <c r="A474" s="253"/>
      <c r="B474" s="1009" t="s">
        <v>838</v>
      </c>
      <c r="C474" s="1010"/>
      <c r="D474" s="266" t="s">
        <v>301</v>
      </c>
      <c r="E474" s="266" t="s">
        <v>297</v>
      </c>
      <c r="F474" s="267" t="s">
        <v>839</v>
      </c>
      <c r="G474" s="268" t="s">
        <v>840</v>
      </c>
    </row>
    <row r="475" spans="1:7">
      <c r="A475" s="253"/>
      <c r="B475" s="272"/>
      <c r="C475" s="273"/>
      <c r="D475" s="274" t="s">
        <v>322</v>
      </c>
      <c r="E475" s="274" t="s">
        <v>323</v>
      </c>
      <c r="F475" s="275" t="s">
        <v>324</v>
      </c>
      <c r="G475" s="276" t="s">
        <v>325</v>
      </c>
    </row>
    <row r="476" spans="1:7">
      <c r="A476" s="253"/>
      <c r="B476" s="1011"/>
      <c r="C476" s="1012"/>
      <c r="D476" s="302"/>
      <c r="E476" s="302"/>
      <c r="F476" s="302"/>
      <c r="G476" s="303"/>
    </row>
    <row r="477" spans="1:7" ht="13.5" thickBot="1">
      <c r="A477" s="253"/>
      <c r="B477" s="1013" t="s">
        <v>841</v>
      </c>
      <c r="C477" s="1014"/>
      <c r="D477" s="286"/>
      <c r="E477" s="278"/>
      <c r="F477" s="288"/>
      <c r="G477" s="289"/>
    </row>
    <row r="478" spans="1:7" ht="14.25" thickTop="1" thickBot="1">
      <c r="A478" s="253"/>
      <c r="B478" s="1015"/>
      <c r="C478" s="1015"/>
      <c r="D478" s="1015"/>
      <c r="E478" s="1016"/>
      <c r="F478" s="301" t="s">
        <v>856</v>
      </c>
      <c r="G478" s="291">
        <f>SUM(G473:G477)</f>
        <v>0</v>
      </c>
    </row>
    <row r="479" spans="1:7" ht="14.25" thickTop="1" thickBot="1">
      <c r="A479" s="253"/>
      <c r="B479" s="1017"/>
      <c r="C479" s="1017"/>
      <c r="D479" s="1017"/>
      <c r="E479" s="1017"/>
      <c r="F479" s="1017"/>
      <c r="G479" s="1018"/>
    </row>
    <row r="480" spans="1:7" ht="13.5" thickTop="1">
      <c r="A480" s="253"/>
      <c r="B480" s="1019" t="s">
        <v>326</v>
      </c>
      <c r="C480" s="1020"/>
      <c r="D480" s="1020"/>
      <c r="E480" s="1020"/>
      <c r="F480" s="1021"/>
      <c r="G480" s="304">
        <f>+G444+G460+G471</f>
        <v>16205</v>
      </c>
    </row>
    <row r="481" spans="1:8">
      <c r="A481" s="253"/>
      <c r="B481" s="1003" t="s">
        <v>861</v>
      </c>
      <c r="C481" s="1004"/>
      <c r="D481" s="1004"/>
      <c r="E481" s="1005"/>
      <c r="F481" s="305">
        <f>'MANO DE OBRA'!D59</f>
        <v>0</v>
      </c>
      <c r="G481" s="306">
        <f>ROUND(G480*F481,0)</f>
        <v>0</v>
      </c>
    </row>
    <row r="482" spans="1:8" ht="13.5" thickBot="1">
      <c r="A482" s="253"/>
      <c r="B482" s="1006" t="s">
        <v>1049</v>
      </c>
      <c r="C482" s="1007"/>
      <c r="D482" s="1007"/>
      <c r="E482" s="1007"/>
      <c r="F482" s="1008"/>
      <c r="G482" s="291">
        <f>ROUND(G480+G481,-2)</f>
        <v>16200</v>
      </c>
      <c r="H482" s="505" t="s">
        <v>1670</v>
      </c>
    </row>
    <row r="483" spans="1:8" ht="15" thickTop="1">
      <c r="A483" s="253"/>
      <c r="B483" s="254" t="s">
        <v>303</v>
      </c>
      <c r="C483" s="1046"/>
      <c r="D483" s="1046"/>
      <c r="E483" s="1046"/>
      <c r="F483" s="257" t="s">
        <v>781</v>
      </c>
      <c r="G483" s="258" t="s">
        <v>1067</v>
      </c>
    </row>
    <row r="484" spans="1:8">
      <c r="A484" s="253"/>
      <c r="B484" s="256" t="s">
        <v>834</v>
      </c>
      <c r="C484" s="1047" t="s">
        <v>1416</v>
      </c>
      <c r="D484" s="1047"/>
      <c r="E484" s="1047"/>
      <c r="F484" s="260" t="s">
        <v>833</v>
      </c>
      <c r="G484" s="261" t="str">
        <f>'MANO DE OBRA'!D61</f>
        <v>Agosto de 2010</v>
      </c>
    </row>
    <row r="485" spans="1:8" ht="13.5" thickBot="1">
      <c r="A485" s="262"/>
      <c r="B485" s="263" t="s">
        <v>835</v>
      </c>
      <c r="C485" s="1048" t="s">
        <v>1425</v>
      </c>
      <c r="D485" s="1048"/>
      <c r="E485" s="1048"/>
      <c r="F485" s="1048"/>
      <c r="G485" s="1049"/>
    </row>
    <row r="486" spans="1:8" ht="14.25" thickTop="1" thickBot="1">
      <c r="A486" s="253"/>
      <c r="B486" s="1050"/>
      <c r="C486" s="1050"/>
      <c r="D486" s="1050"/>
      <c r="E486" s="1050"/>
      <c r="F486" s="1050"/>
      <c r="G486" s="1050"/>
    </row>
    <row r="487" spans="1:8" ht="13.5" thickTop="1">
      <c r="A487" s="253"/>
      <c r="B487" s="1019" t="s">
        <v>304</v>
      </c>
      <c r="C487" s="1020"/>
      <c r="D487" s="1020"/>
      <c r="E487" s="1020"/>
      <c r="F487" s="1020"/>
      <c r="G487" s="1024"/>
    </row>
    <row r="488" spans="1:8">
      <c r="A488" s="253"/>
      <c r="B488" s="264"/>
      <c r="C488" s="265"/>
      <c r="D488" s="266" t="s">
        <v>301</v>
      </c>
      <c r="E488" s="266" t="s">
        <v>1072</v>
      </c>
      <c r="F488" s="267" t="s">
        <v>839</v>
      </c>
      <c r="G488" s="268" t="s">
        <v>840</v>
      </c>
    </row>
    <row r="489" spans="1:8">
      <c r="A489" s="253"/>
      <c r="B489" s="1026" t="s">
        <v>838</v>
      </c>
      <c r="C489" s="1027"/>
      <c r="D489" s="269" t="s">
        <v>308</v>
      </c>
      <c r="E489" s="269" t="s">
        <v>305</v>
      </c>
      <c r="F489" s="270" t="s">
        <v>306</v>
      </c>
      <c r="G489" s="271" t="s">
        <v>310</v>
      </c>
    </row>
    <row r="490" spans="1:8">
      <c r="A490" s="253"/>
      <c r="B490" s="272"/>
      <c r="C490" s="273"/>
      <c r="D490" s="274"/>
      <c r="E490" s="274" t="s">
        <v>309</v>
      </c>
      <c r="F490" s="275" t="s">
        <v>307</v>
      </c>
      <c r="G490" s="276"/>
    </row>
    <row r="491" spans="1:8">
      <c r="A491" s="262"/>
      <c r="B491" s="1028" t="str">
        <f>'MAQUINARIA Y EQUIPOS'!$C$28</f>
        <v>HERRAMIENTAS MENORES</v>
      </c>
      <c r="C491" s="1029"/>
      <c r="D491" s="277">
        <v>1</v>
      </c>
      <c r="E491" s="278">
        <f>ROUND(G524*0.05,0)</f>
        <v>332</v>
      </c>
      <c r="F491" s="279">
        <v>1</v>
      </c>
      <c r="G491" s="280">
        <f>ROUND(D491*E491/F491,0)</f>
        <v>332</v>
      </c>
    </row>
    <row r="492" spans="1:8">
      <c r="A492" s="253"/>
      <c r="B492" s="1022" t="str">
        <f>'MAQUINARIA Y EQUIPOS'!$C$9</f>
        <v>ANDAMIO TUBULAR 1.50 m</v>
      </c>
      <c r="C492" s="1023"/>
      <c r="D492" s="281">
        <v>4</v>
      </c>
      <c r="E492" s="282">
        <f>'MAQUINARIA Y EQUIPOS'!$D$9</f>
        <v>754</v>
      </c>
      <c r="F492" s="283">
        <v>16</v>
      </c>
      <c r="G492" s="284">
        <f>ROUND(D492*E492/F492,0)</f>
        <v>189</v>
      </c>
    </row>
    <row r="493" spans="1:8">
      <c r="A493" s="253"/>
      <c r="B493" s="1022" t="str">
        <f>'MAQUINARIA Y EQUIPOS'!$C$47</f>
        <v>TABLONES 3m</v>
      </c>
      <c r="C493" s="1023"/>
      <c r="D493" s="281">
        <v>4</v>
      </c>
      <c r="E493" s="282">
        <f>'MAQUINARIA Y EQUIPOS'!$D$47</f>
        <v>348</v>
      </c>
      <c r="F493" s="283">
        <v>16</v>
      </c>
      <c r="G493" s="284">
        <f>ROUND(D493*E493/F493,0)</f>
        <v>87</v>
      </c>
    </row>
    <row r="494" spans="1:8">
      <c r="A494" s="253"/>
      <c r="B494" s="1022"/>
      <c r="C494" s="1023"/>
      <c r="D494" s="285"/>
      <c r="E494" s="278"/>
      <c r="F494" s="283"/>
      <c r="G494" s="284"/>
    </row>
    <row r="495" spans="1:8">
      <c r="A495" s="253"/>
      <c r="B495" s="1022" t="s">
        <v>841</v>
      </c>
      <c r="C495" s="1023"/>
      <c r="D495" s="281"/>
      <c r="E495" s="278"/>
      <c r="F495" s="283"/>
      <c r="G495" s="284"/>
    </row>
    <row r="496" spans="1:8" ht="13.5" thickBot="1">
      <c r="A496" s="253"/>
      <c r="B496" s="1044" t="s">
        <v>841</v>
      </c>
      <c r="C496" s="1045"/>
      <c r="D496" s="286"/>
      <c r="E496" s="287"/>
      <c r="F496" s="288"/>
      <c r="G496" s="289"/>
    </row>
    <row r="497" spans="1:8" ht="14.25" thickTop="1" thickBot="1">
      <c r="A497" s="253"/>
      <c r="B497" s="1015"/>
      <c r="C497" s="1015"/>
      <c r="D497" s="1015"/>
      <c r="E497" s="1016"/>
      <c r="F497" s="290" t="s">
        <v>856</v>
      </c>
      <c r="G497" s="291">
        <f>SUM(G491:G496)</f>
        <v>608</v>
      </c>
    </row>
    <row r="498" spans="1:8" ht="14.25" thickTop="1" thickBot="1">
      <c r="A498" s="253"/>
      <c r="B498" s="1025"/>
      <c r="C498" s="1025"/>
      <c r="D498" s="1025"/>
      <c r="E498" s="1025"/>
      <c r="F498" s="1025"/>
      <c r="G498" s="1025"/>
    </row>
    <row r="499" spans="1:8" ht="13.5" thickTop="1">
      <c r="A499" s="253"/>
      <c r="B499" s="1019" t="s">
        <v>311</v>
      </c>
      <c r="C499" s="1020"/>
      <c r="D499" s="1020"/>
      <c r="E499" s="1020"/>
      <c r="F499" s="1020"/>
      <c r="G499" s="1024"/>
    </row>
    <row r="500" spans="1:8">
      <c r="A500" s="253"/>
      <c r="B500" s="1009" t="s">
        <v>838</v>
      </c>
      <c r="C500" s="1010"/>
      <c r="D500" s="266" t="s">
        <v>842</v>
      </c>
      <c r="E500" s="266" t="s">
        <v>853</v>
      </c>
      <c r="F500" s="267" t="s">
        <v>1047</v>
      </c>
      <c r="G500" s="268" t="s">
        <v>840</v>
      </c>
    </row>
    <row r="501" spans="1:8">
      <c r="A501" s="253"/>
      <c r="B501" s="272"/>
      <c r="C501" s="273"/>
      <c r="D501" s="269"/>
      <c r="E501" s="269" t="s">
        <v>312</v>
      </c>
      <c r="F501" s="270" t="s">
        <v>313</v>
      </c>
      <c r="G501" s="271" t="s">
        <v>314</v>
      </c>
    </row>
    <row r="502" spans="1:8">
      <c r="A502" s="259"/>
      <c r="B502" s="1042" t="str">
        <f>MATERIALES2!$C$13</f>
        <v>CEMENTO GRIS</v>
      </c>
      <c r="C502" s="1043"/>
      <c r="D502" s="277" t="s">
        <v>925</v>
      </c>
      <c r="E502" s="279">
        <v>5.46</v>
      </c>
      <c r="F502" s="292">
        <f>MATERIALES2!$E$13</f>
        <v>420</v>
      </c>
      <c r="G502" s="280">
        <f>ROUND(E502*F502,0)</f>
        <v>2293</v>
      </c>
    </row>
    <row r="503" spans="1:8" ht="14.25">
      <c r="A503" s="293"/>
      <c r="B503" s="1030" t="str">
        <f>MATERIALES2!$C$20</f>
        <v xml:space="preserve">ARENA </v>
      </c>
      <c r="C503" s="1031"/>
      <c r="D503" s="281" t="s">
        <v>1066</v>
      </c>
      <c r="E503" s="307">
        <v>1.7000000000000001E-2</v>
      </c>
      <c r="F503" s="278">
        <f>MATERIALES2!$E$20</f>
        <v>35000</v>
      </c>
      <c r="G503" s="284">
        <f>ROUND(E503*F503,0)</f>
        <v>595</v>
      </c>
    </row>
    <row r="504" spans="1:8">
      <c r="A504" s="293"/>
      <c r="B504" s="1030" t="str">
        <f>MATERIALES2!$C$28</f>
        <v>AGUA</v>
      </c>
      <c r="C504" s="1031"/>
      <c r="D504" s="281" t="s">
        <v>1071</v>
      </c>
      <c r="E504" s="294">
        <v>3.5550000000000002</v>
      </c>
      <c r="F504" s="278">
        <f>MATERIALES2!$E$28</f>
        <v>50</v>
      </c>
      <c r="G504" s="284">
        <f>ROUND(E504*F504,0)</f>
        <v>178</v>
      </c>
    </row>
    <row r="505" spans="1:8">
      <c r="A505" s="253"/>
      <c r="B505" s="1030"/>
      <c r="C505" s="1031"/>
      <c r="D505" s="281"/>
      <c r="E505" s="294"/>
      <c r="F505" s="278"/>
      <c r="G505" s="284"/>
    </row>
    <row r="506" spans="1:8">
      <c r="A506" s="253"/>
      <c r="B506" s="1030"/>
      <c r="C506" s="1031"/>
      <c r="D506" s="281"/>
      <c r="E506" s="294"/>
      <c r="F506" s="278"/>
      <c r="G506" s="284"/>
    </row>
    <row r="507" spans="1:8">
      <c r="A507" s="253"/>
      <c r="B507" s="1030"/>
      <c r="C507" s="1031"/>
      <c r="D507" s="281"/>
      <c r="E507" s="294"/>
      <c r="F507" s="278"/>
      <c r="G507" s="284"/>
    </row>
    <row r="508" spans="1:8">
      <c r="A508" s="253"/>
      <c r="B508" s="1030"/>
      <c r="C508" s="1031"/>
      <c r="D508" s="281"/>
      <c r="E508" s="294"/>
      <c r="F508" s="278"/>
      <c r="G508" s="284"/>
    </row>
    <row r="509" spans="1:8">
      <c r="A509" s="253"/>
      <c r="B509" s="1032" t="s">
        <v>841</v>
      </c>
      <c r="C509" s="1033"/>
      <c r="D509" s="294" t="s">
        <v>841</v>
      </c>
      <c r="E509" s="294"/>
      <c r="F509" s="278"/>
      <c r="G509" s="284"/>
      <c r="H509" s="505" t="s">
        <v>1670</v>
      </c>
    </row>
    <row r="510" spans="1:8" ht="13.5" thickBot="1">
      <c r="A510" s="253"/>
      <c r="B510" s="1034" t="s">
        <v>841</v>
      </c>
      <c r="C510" s="1035"/>
      <c r="D510" s="295" t="s">
        <v>841</v>
      </c>
      <c r="E510" s="295"/>
      <c r="F510" s="296"/>
      <c r="G510" s="289"/>
    </row>
    <row r="511" spans="1:8" ht="13.5" thickTop="1">
      <c r="A511" s="253"/>
      <c r="B511" s="1015"/>
      <c r="C511" s="1016"/>
      <c r="D511" s="1038" t="s">
        <v>856</v>
      </c>
      <c r="E511" s="1039"/>
      <c r="F511" s="297"/>
      <c r="G511" s="298">
        <f>SUM(G502:G510)</f>
        <v>3066</v>
      </c>
    </row>
    <row r="512" spans="1:8">
      <c r="A512" s="253"/>
      <c r="B512" s="1036"/>
      <c r="C512" s="1037"/>
      <c r="D512" s="1038" t="s">
        <v>857</v>
      </c>
      <c r="E512" s="1039"/>
      <c r="F512" s="299">
        <v>0.08</v>
      </c>
      <c r="G512" s="298">
        <f>ROUND(G511*F512,0)</f>
        <v>245</v>
      </c>
    </row>
    <row r="513" spans="1:7" ht="13.5" thickBot="1">
      <c r="A513" s="253"/>
      <c r="B513" s="1036"/>
      <c r="C513" s="1037"/>
      <c r="D513" s="1040" t="s">
        <v>320</v>
      </c>
      <c r="E513" s="1041"/>
      <c r="F513" s="300"/>
      <c r="G513" s="291">
        <f>+G511+G512</f>
        <v>3311</v>
      </c>
    </row>
    <row r="514" spans="1:7" ht="14.25" thickTop="1" thickBot="1">
      <c r="A514" s="253"/>
      <c r="B514" s="1025"/>
      <c r="C514" s="1025"/>
      <c r="D514" s="1025"/>
      <c r="E514" s="1025"/>
      <c r="F514" s="1025"/>
      <c r="G514" s="1025"/>
    </row>
    <row r="515" spans="1:7" ht="13.5" thickTop="1">
      <c r="A515" s="253"/>
      <c r="B515" s="1019" t="s">
        <v>858</v>
      </c>
      <c r="C515" s="1020"/>
      <c r="D515" s="1020"/>
      <c r="E515" s="1020"/>
      <c r="F515" s="1020"/>
      <c r="G515" s="1024"/>
    </row>
    <row r="516" spans="1:7">
      <c r="A516" s="253"/>
      <c r="B516" s="1009"/>
      <c r="C516" s="1010"/>
      <c r="D516" s="266" t="s">
        <v>301</v>
      </c>
      <c r="E516" s="266" t="s">
        <v>859</v>
      </c>
      <c r="F516" s="267" t="s">
        <v>839</v>
      </c>
      <c r="G516" s="268" t="s">
        <v>840</v>
      </c>
    </row>
    <row r="517" spans="1:7">
      <c r="A517" s="253"/>
      <c r="B517" s="1026" t="s">
        <v>838</v>
      </c>
      <c r="C517" s="1027"/>
      <c r="D517" s="269" t="s">
        <v>316</v>
      </c>
      <c r="E517" s="269" t="s">
        <v>315</v>
      </c>
      <c r="F517" s="270" t="s">
        <v>306</v>
      </c>
      <c r="G517" s="271" t="s">
        <v>319</v>
      </c>
    </row>
    <row r="518" spans="1:7">
      <c r="A518" s="253"/>
      <c r="B518" s="272"/>
      <c r="C518" s="273"/>
      <c r="D518" s="274"/>
      <c r="E518" s="274" t="s">
        <v>317</v>
      </c>
      <c r="F518" s="275" t="s">
        <v>318</v>
      </c>
      <c r="G518" s="276"/>
    </row>
    <row r="519" spans="1:7">
      <c r="A519" s="253"/>
      <c r="B519" s="1028" t="str">
        <f>'MANO DE OBRA'!$B$10</f>
        <v>AYUDANTE CUAD. TIPO AA</v>
      </c>
      <c r="C519" s="1029"/>
      <c r="D519" s="277">
        <v>1</v>
      </c>
      <c r="E519" s="292">
        <f>'MANO DE OBRA'!$E$10</f>
        <v>34680</v>
      </c>
      <c r="F519" s="279">
        <v>16</v>
      </c>
      <c r="G519" s="280">
        <f>ROUND(D519*E519/F519,0)</f>
        <v>2168</v>
      </c>
    </row>
    <row r="520" spans="1:7">
      <c r="A520" s="253"/>
      <c r="B520" s="1022" t="str">
        <f>'MANO DE OBRA'!$B$15</f>
        <v xml:space="preserve">OFICIAL CUAD. TIPO AA </v>
      </c>
      <c r="C520" s="1023"/>
      <c r="D520" s="281">
        <v>1</v>
      </c>
      <c r="E520" s="278">
        <f>'MANO DE OBRA'!$E$15</f>
        <v>71474</v>
      </c>
      <c r="F520" s="283">
        <v>16</v>
      </c>
      <c r="G520" s="284">
        <f>ROUND(D520*E520/F520,0)</f>
        <v>4467</v>
      </c>
    </row>
    <row r="521" spans="1:7">
      <c r="A521" s="253"/>
      <c r="B521" s="1022"/>
      <c r="C521" s="1023"/>
      <c r="D521" s="285"/>
      <c r="E521" s="278" t="s">
        <v>1409</v>
      </c>
      <c r="F521" s="283"/>
      <c r="G521" s="284"/>
    </row>
    <row r="522" spans="1:7">
      <c r="A522" s="253"/>
      <c r="B522" s="1022" t="s">
        <v>841</v>
      </c>
      <c r="C522" s="1023"/>
      <c r="D522" s="281"/>
      <c r="E522" s="278"/>
      <c r="F522" s="283"/>
      <c r="G522" s="284"/>
    </row>
    <row r="523" spans="1:7" ht="13.5" thickBot="1">
      <c r="A523" s="253"/>
      <c r="B523" s="1013" t="s">
        <v>841</v>
      </c>
      <c r="C523" s="1014"/>
      <c r="D523" s="286"/>
      <c r="E523" s="278"/>
      <c r="F523" s="288"/>
      <c r="G523" s="289"/>
    </row>
    <row r="524" spans="1:7" ht="14.25" thickTop="1" thickBot="1">
      <c r="A524" s="253"/>
      <c r="B524" s="1015"/>
      <c r="C524" s="1015"/>
      <c r="D524" s="1015"/>
      <c r="E524" s="1016"/>
      <c r="F524" s="301" t="s">
        <v>856</v>
      </c>
      <c r="G524" s="291">
        <f>SUM(G519:G523)</f>
        <v>6635</v>
      </c>
    </row>
    <row r="525" spans="1:7" ht="14.25" thickTop="1" thickBot="1">
      <c r="A525" s="253"/>
      <c r="B525" s="1017"/>
      <c r="C525" s="1017"/>
      <c r="D525" s="1017"/>
      <c r="E525" s="1017"/>
      <c r="F525" s="1017"/>
      <c r="G525" s="1017"/>
    </row>
    <row r="526" spans="1:7" ht="13.5" thickTop="1">
      <c r="A526" s="253"/>
      <c r="B526" s="1019" t="s">
        <v>321</v>
      </c>
      <c r="C526" s="1020"/>
      <c r="D526" s="1020"/>
      <c r="E526" s="1020"/>
      <c r="F526" s="1020"/>
      <c r="G526" s="1024"/>
    </row>
    <row r="527" spans="1:7">
      <c r="A527" s="253"/>
      <c r="B527" s="1009" t="s">
        <v>838</v>
      </c>
      <c r="C527" s="1010"/>
      <c r="D527" s="266" t="s">
        <v>301</v>
      </c>
      <c r="E527" s="266" t="s">
        <v>297</v>
      </c>
      <c r="F527" s="267" t="s">
        <v>839</v>
      </c>
      <c r="G527" s="268" t="s">
        <v>840</v>
      </c>
    </row>
    <row r="528" spans="1:7">
      <c r="A528" s="253"/>
      <c r="B528" s="272"/>
      <c r="C528" s="273"/>
      <c r="D528" s="274" t="s">
        <v>322</v>
      </c>
      <c r="E528" s="274" t="s">
        <v>323</v>
      </c>
      <c r="F528" s="275" t="s">
        <v>324</v>
      </c>
      <c r="G528" s="276" t="s">
        <v>325</v>
      </c>
    </row>
    <row r="529" spans="1:8">
      <c r="A529" s="253"/>
      <c r="B529" s="1011"/>
      <c r="C529" s="1012"/>
      <c r="D529" s="302"/>
      <c r="E529" s="302"/>
      <c r="F529" s="302"/>
      <c r="G529" s="303"/>
    </row>
    <row r="530" spans="1:8" ht="13.5" thickBot="1">
      <c r="A530" s="253"/>
      <c r="B530" s="1013" t="s">
        <v>841</v>
      </c>
      <c r="C530" s="1014"/>
      <c r="D530" s="286"/>
      <c r="E530" s="278"/>
      <c r="F530" s="288"/>
      <c r="G530" s="289"/>
    </row>
    <row r="531" spans="1:8" ht="14.25" thickTop="1" thickBot="1">
      <c r="A531" s="253"/>
      <c r="B531" s="1015"/>
      <c r="C531" s="1015"/>
      <c r="D531" s="1015"/>
      <c r="E531" s="1016"/>
      <c r="F531" s="301" t="s">
        <v>856</v>
      </c>
      <c r="G531" s="291">
        <f>SUM(G526:G530)</f>
        <v>0</v>
      </c>
    </row>
    <row r="532" spans="1:8" ht="14.25" thickTop="1" thickBot="1">
      <c r="A532" s="253"/>
      <c r="B532" s="1017"/>
      <c r="C532" s="1017"/>
      <c r="D532" s="1017"/>
      <c r="E532" s="1017"/>
      <c r="F532" s="1017"/>
      <c r="G532" s="1018"/>
    </row>
    <row r="533" spans="1:8" ht="13.5" thickTop="1">
      <c r="A533" s="253"/>
      <c r="B533" s="1019" t="s">
        <v>326</v>
      </c>
      <c r="C533" s="1020"/>
      <c r="D533" s="1020"/>
      <c r="E533" s="1020"/>
      <c r="F533" s="1021"/>
      <c r="G533" s="304">
        <f>+G497+G513+G524</f>
        <v>10554</v>
      </c>
    </row>
    <row r="534" spans="1:8">
      <c r="A534" s="253"/>
      <c r="B534" s="1003" t="s">
        <v>861</v>
      </c>
      <c r="C534" s="1004"/>
      <c r="D534" s="1004"/>
      <c r="E534" s="1005"/>
      <c r="F534" s="305">
        <f>'MANO DE OBRA'!D59</f>
        <v>0</v>
      </c>
      <c r="G534" s="306">
        <f>ROUND(G533*F534,0)</f>
        <v>0</v>
      </c>
    </row>
    <row r="535" spans="1:8" ht="13.5" thickBot="1">
      <c r="A535" s="253"/>
      <c r="B535" s="1006" t="s">
        <v>1049</v>
      </c>
      <c r="C535" s="1007"/>
      <c r="D535" s="1007"/>
      <c r="E535" s="1007"/>
      <c r="F535" s="1008"/>
      <c r="G535" s="291">
        <f>ROUND(G533+G534,-2)</f>
        <v>10600</v>
      </c>
      <c r="H535" s="505" t="s">
        <v>1670</v>
      </c>
    </row>
    <row r="536" spans="1:8" ht="15" thickTop="1">
      <c r="A536" s="253"/>
      <c r="B536" s="254" t="s">
        <v>303</v>
      </c>
      <c r="C536" s="1046"/>
      <c r="D536" s="1046"/>
      <c r="E536" s="1046"/>
      <c r="F536" s="257" t="s">
        <v>781</v>
      </c>
      <c r="G536" s="258" t="s">
        <v>1067</v>
      </c>
    </row>
    <row r="537" spans="1:8">
      <c r="A537" s="253"/>
      <c r="B537" s="256" t="s">
        <v>834</v>
      </c>
      <c r="C537" s="1051" t="s">
        <v>398</v>
      </c>
      <c r="D537" s="1047"/>
      <c r="E537" s="1047"/>
      <c r="F537" s="260" t="s">
        <v>833</v>
      </c>
      <c r="G537" s="261" t="str">
        <f>'MANO DE OBRA'!D61</f>
        <v>Agosto de 2010</v>
      </c>
    </row>
    <row r="538" spans="1:8" ht="13.5" thickBot="1">
      <c r="A538" s="262"/>
      <c r="B538" s="263" t="s">
        <v>835</v>
      </c>
      <c r="C538" s="1048" t="s">
        <v>1426</v>
      </c>
      <c r="D538" s="1048"/>
      <c r="E538" s="1048"/>
      <c r="F538" s="1048"/>
      <c r="G538" s="1049"/>
    </row>
    <row r="539" spans="1:8" ht="14.25" thickTop="1" thickBot="1">
      <c r="A539" s="253"/>
      <c r="B539" s="1050"/>
      <c r="C539" s="1050"/>
      <c r="D539" s="1050"/>
      <c r="E539" s="1050"/>
      <c r="F539" s="1050"/>
      <c r="G539" s="1050"/>
    </row>
    <row r="540" spans="1:8" ht="13.5" thickTop="1">
      <c r="A540" s="253"/>
      <c r="B540" s="1019" t="s">
        <v>304</v>
      </c>
      <c r="C540" s="1020"/>
      <c r="D540" s="1020"/>
      <c r="E540" s="1020"/>
      <c r="F540" s="1020"/>
      <c r="G540" s="1024"/>
    </row>
    <row r="541" spans="1:8">
      <c r="A541" s="253"/>
      <c r="B541" s="264"/>
      <c r="C541" s="265"/>
      <c r="D541" s="266" t="s">
        <v>301</v>
      </c>
      <c r="E541" s="266" t="s">
        <v>1072</v>
      </c>
      <c r="F541" s="267" t="s">
        <v>839</v>
      </c>
      <c r="G541" s="268" t="s">
        <v>840</v>
      </c>
    </row>
    <row r="542" spans="1:8">
      <c r="A542" s="253"/>
      <c r="B542" s="1026" t="s">
        <v>838</v>
      </c>
      <c r="C542" s="1027"/>
      <c r="D542" s="269" t="s">
        <v>308</v>
      </c>
      <c r="E542" s="269" t="s">
        <v>305</v>
      </c>
      <c r="F542" s="270" t="s">
        <v>306</v>
      </c>
      <c r="G542" s="271" t="s">
        <v>310</v>
      </c>
    </row>
    <row r="543" spans="1:8">
      <c r="A543" s="253"/>
      <c r="B543" s="272"/>
      <c r="C543" s="273"/>
      <c r="D543" s="274"/>
      <c r="E543" s="274" t="s">
        <v>309</v>
      </c>
      <c r="F543" s="275" t="s">
        <v>307</v>
      </c>
      <c r="G543" s="276"/>
    </row>
    <row r="544" spans="1:8">
      <c r="A544" s="262"/>
      <c r="B544" s="1028" t="str">
        <f>'MAQUINARIA Y EQUIPOS'!C28</f>
        <v>HERRAMIENTAS MENORES</v>
      </c>
      <c r="C544" s="1029"/>
      <c r="D544" s="277">
        <v>1</v>
      </c>
      <c r="E544" s="278">
        <f>ROUND(G577*0.05,0)</f>
        <v>366</v>
      </c>
      <c r="F544" s="279">
        <v>1</v>
      </c>
      <c r="G544" s="280">
        <f>ROUND(D544*E544/F544,0)</f>
        <v>366</v>
      </c>
    </row>
    <row r="545" spans="1:7">
      <c r="A545" s="253"/>
      <c r="B545" s="1022" t="str">
        <f>'MAQUINARIA Y EQUIPOS'!C9</f>
        <v>ANDAMIO TUBULAR 1.50 m</v>
      </c>
      <c r="C545" s="1023"/>
      <c r="D545" s="281">
        <v>4</v>
      </c>
      <c r="E545" s="282">
        <f>'MAQUINARIA Y EQUIPOS'!D9</f>
        <v>754</v>
      </c>
      <c r="F545" s="283">
        <v>14.5</v>
      </c>
      <c r="G545" s="284">
        <f>ROUND(D545*E545/F545,0)</f>
        <v>208</v>
      </c>
    </row>
    <row r="546" spans="1:7">
      <c r="A546" s="253"/>
      <c r="B546" s="1022" t="str">
        <f>'MAQUINARIA Y EQUIPOS'!C47</f>
        <v>TABLONES 3m</v>
      </c>
      <c r="C546" s="1023"/>
      <c r="D546" s="281">
        <v>4</v>
      </c>
      <c r="E546" s="282">
        <f>'MAQUINARIA Y EQUIPOS'!D47</f>
        <v>348</v>
      </c>
      <c r="F546" s="283">
        <v>14.5</v>
      </c>
      <c r="G546" s="284">
        <f>ROUND(D546*E546/F546,0)</f>
        <v>96</v>
      </c>
    </row>
    <row r="547" spans="1:7">
      <c r="A547" s="253"/>
      <c r="B547" s="1022"/>
      <c r="C547" s="1023"/>
      <c r="D547" s="285"/>
      <c r="E547" s="278"/>
      <c r="F547" s="283"/>
      <c r="G547" s="284"/>
    </row>
    <row r="548" spans="1:7">
      <c r="A548" s="253"/>
      <c r="B548" s="1022" t="s">
        <v>841</v>
      </c>
      <c r="C548" s="1023"/>
      <c r="D548" s="281"/>
      <c r="E548" s="278"/>
      <c r="F548" s="283"/>
      <c r="G548" s="284"/>
    </row>
    <row r="549" spans="1:7" ht="13.5" thickBot="1">
      <c r="A549" s="253"/>
      <c r="B549" s="1044" t="s">
        <v>841</v>
      </c>
      <c r="C549" s="1045"/>
      <c r="D549" s="286"/>
      <c r="E549" s="287"/>
      <c r="F549" s="288"/>
      <c r="G549" s="289"/>
    </row>
    <row r="550" spans="1:7" ht="14.25" thickTop="1" thickBot="1">
      <c r="A550" s="253"/>
      <c r="B550" s="1015"/>
      <c r="C550" s="1015"/>
      <c r="D550" s="1015"/>
      <c r="E550" s="1016"/>
      <c r="F550" s="290" t="s">
        <v>856</v>
      </c>
      <c r="G550" s="291">
        <f>SUM(G544:G549)</f>
        <v>670</v>
      </c>
    </row>
    <row r="551" spans="1:7" ht="14.25" thickTop="1" thickBot="1">
      <c r="A551" s="253"/>
      <c r="B551" s="1025"/>
      <c r="C551" s="1025"/>
      <c r="D551" s="1025"/>
      <c r="E551" s="1025"/>
      <c r="F551" s="1025"/>
      <c r="G551" s="1025"/>
    </row>
    <row r="552" spans="1:7" ht="13.5" thickTop="1">
      <c r="A552" s="253"/>
      <c r="B552" s="1019" t="s">
        <v>311</v>
      </c>
      <c r="C552" s="1020"/>
      <c r="D552" s="1020"/>
      <c r="E552" s="1020"/>
      <c r="F552" s="1020"/>
      <c r="G552" s="1024"/>
    </row>
    <row r="553" spans="1:7">
      <c r="A553" s="253"/>
      <c r="B553" s="1009" t="s">
        <v>838</v>
      </c>
      <c r="C553" s="1010"/>
      <c r="D553" s="266" t="s">
        <v>842</v>
      </c>
      <c r="E553" s="266" t="s">
        <v>853</v>
      </c>
      <c r="F553" s="267" t="s">
        <v>1047</v>
      </c>
      <c r="G553" s="268" t="s">
        <v>840</v>
      </c>
    </row>
    <row r="554" spans="1:7">
      <c r="A554" s="253"/>
      <c r="B554" s="272"/>
      <c r="C554" s="273"/>
      <c r="D554" s="269"/>
      <c r="E554" s="269" t="s">
        <v>312</v>
      </c>
      <c r="F554" s="270" t="s">
        <v>313</v>
      </c>
      <c r="G554" s="271" t="s">
        <v>314</v>
      </c>
    </row>
    <row r="555" spans="1:7">
      <c r="A555" s="259"/>
      <c r="B555" s="1042" t="str">
        <f>MATERIALES2!C13</f>
        <v>CEMENTO GRIS</v>
      </c>
      <c r="C555" s="1043"/>
      <c r="D555" s="277" t="s">
        <v>925</v>
      </c>
      <c r="E555" s="279">
        <v>7.28</v>
      </c>
      <c r="F555" s="292">
        <f>MATERIALES2!E13</f>
        <v>420</v>
      </c>
      <c r="G555" s="280">
        <f>ROUND(E555*F555,0)</f>
        <v>3058</v>
      </c>
    </row>
    <row r="556" spans="1:7" ht="14.25">
      <c r="A556" s="293"/>
      <c r="B556" s="1030" t="str">
        <f>MATERIALES2!C20</f>
        <v xml:space="preserve">ARENA </v>
      </c>
      <c r="C556" s="1031"/>
      <c r="D556" s="281" t="s">
        <v>1066</v>
      </c>
      <c r="E556" s="307">
        <v>2.3E-2</v>
      </c>
      <c r="F556" s="278">
        <f>MATERIALES2!E20</f>
        <v>35000</v>
      </c>
      <c r="G556" s="284">
        <f>ROUND(E556*F556,0)</f>
        <v>805</v>
      </c>
    </row>
    <row r="557" spans="1:7">
      <c r="A557" s="293"/>
      <c r="B557" s="1030" t="str">
        <f>MATERIALES2!C28</f>
        <v>AGUA</v>
      </c>
      <c r="C557" s="1031"/>
      <c r="D557" s="281" t="s">
        <v>1071</v>
      </c>
      <c r="E557" s="294">
        <v>4.74</v>
      </c>
      <c r="F557" s="278">
        <f>MATERIALES2!E28</f>
        <v>50</v>
      </c>
      <c r="G557" s="284">
        <f>ROUND(E557*F557,0)</f>
        <v>237</v>
      </c>
    </row>
    <row r="558" spans="1:7">
      <c r="A558" s="253"/>
      <c r="B558" s="1030"/>
      <c r="C558" s="1031"/>
      <c r="D558" s="281"/>
      <c r="E558" s="294"/>
      <c r="F558" s="278"/>
      <c r="G558" s="284"/>
    </row>
    <row r="559" spans="1:7">
      <c r="A559" s="253"/>
      <c r="B559" s="1030"/>
      <c r="C559" s="1031"/>
      <c r="D559" s="281"/>
      <c r="E559" s="294"/>
      <c r="F559" s="278"/>
      <c r="G559" s="284"/>
    </row>
    <row r="560" spans="1:7">
      <c r="A560" s="253"/>
      <c r="B560" s="1030"/>
      <c r="C560" s="1031"/>
      <c r="D560" s="281"/>
      <c r="E560" s="294"/>
      <c r="F560" s="278"/>
      <c r="G560" s="284"/>
    </row>
    <row r="561" spans="1:8">
      <c r="A561" s="253"/>
      <c r="B561" s="1030"/>
      <c r="C561" s="1031"/>
      <c r="D561" s="281"/>
      <c r="E561" s="294"/>
      <c r="F561" s="278"/>
      <c r="G561" s="284"/>
    </row>
    <row r="562" spans="1:8">
      <c r="A562" s="253"/>
      <c r="B562" s="1032" t="s">
        <v>841</v>
      </c>
      <c r="C562" s="1033"/>
      <c r="D562" s="294" t="s">
        <v>841</v>
      </c>
      <c r="E562" s="294"/>
      <c r="F562" s="278"/>
      <c r="G562" s="284"/>
      <c r="H562" s="505" t="s">
        <v>1670</v>
      </c>
    </row>
    <row r="563" spans="1:8" ht="13.5" thickBot="1">
      <c r="A563" s="253"/>
      <c r="B563" s="1034" t="s">
        <v>841</v>
      </c>
      <c r="C563" s="1035"/>
      <c r="D563" s="295" t="s">
        <v>841</v>
      </c>
      <c r="E563" s="295"/>
      <c r="F563" s="296"/>
      <c r="G563" s="289"/>
    </row>
    <row r="564" spans="1:8" ht="13.5" thickTop="1">
      <c r="A564" s="253"/>
      <c r="B564" s="1015"/>
      <c r="C564" s="1016"/>
      <c r="D564" s="1038" t="s">
        <v>856</v>
      </c>
      <c r="E564" s="1039"/>
      <c r="F564" s="297"/>
      <c r="G564" s="298">
        <f>SUM(G555:G563)</f>
        <v>4100</v>
      </c>
    </row>
    <row r="565" spans="1:8">
      <c r="A565" s="253"/>
      <c r="B565" s="1036"/>
      <c r="C565" s="1037"/>
      <c r="D565" s="1038" t="s">
        <v>857</v>
      </c>
      <c r="E565" s="1039"/>
      <c r="F565" s="299">
        <v>0.08</v>
      </c>
      <c r="G565" s="298">
        <f>ROUND(G564*F565,0)</f>
        <v>328</v>
      </c>
    </row>
    <row r="566" spans="1:8" ht="13.5" thickBot="1">
      <c r="A566" s="253"/>
      <c r="B566" s="1036"/>
      <c r="C566" s="1037"/>
      <c r="D566" s="1040" t="s">
        <v>320</v>
      </c>
      <c r="E566" s="1041"/>
      <c r="F566" s="300"/>
      <c r="G566" s="291">
        <f>+G564+G565</f>
        <v>4428</v>
      </c>
    </row>
    <row r="567" spans="1:8" ht="14.25" thickTop="1" thickBot="1">
      <c r="A567" s="253"/>
      <c r="B567" s="1025"/>
      <c r="C567" s="1025"/>
      <c r="D567" s="1025"/>
      <c r="E567" s="1025"/>
      <c r="F567" s="1025"/>
      <c r="G567" s="1025"/>
    </row>
    <row r="568" spans="1:8" ht="13.5" thickTop="1">
      <c r="A568" s="253"/>
      <c r="B568" s="1019" t="s">
        <v>858</v>
      </c>
      <c r="C568" s="1020"/>
      <c r="D568" s="1020"/>
      <c r="E568" s="1020"/>
      <c r="F568" s="1020"/>
      <c r="G568" s="1024"/>
    </row>
    <row r="569" spans="1:8">
      <c r="A569" s="253"/>
      <c r="B569" s="1009"/>
      <c r="C569" s="1010"/>
      <c r="D569" s="266" t="s">
        <v>301</v>
      </c>
      <c r="E569" s="266" t="s">
        <v>859</v>
      </c>
      <c r="F569" s="267" t="s">
        <v>839</v>
      </c>
      <c r="G569" s="268" t="s">
        <v>840</v>
      </c>
    </row>
    <row r="570" spans="1:8">
      <c r="A570" s="253"/>
      <c r="B570" s="1026" t="s">
        <v>838</v>
      </c>
      <c r="C570" s="1027"/>
      <c r="D570" s="269" t="s">
        <v>316</v>
      </c>
      <c r="E570" s="269" t="s">
        <v>315</v>
      </c>
      <c r="F570" s="270" t="s">
        <v>306</v>
      </c>
      <c r="G570" s="271" t="s">
        <v>319</v>
      </c>
    </row>
    <row r="571" spans="1:8">
      <c r="A571" s="253"/>
      <c r="B571" s="272"/>
      <c r="C571" s="273"/>
      <c r="D571" s="274"/>
      <c r="E571" s="274" t="s">
        <v>317</v>
      </c>
      <c r="F571" s="275" t="s">
        <v>318</v>
      </c>
      <c r="G571" s="276"/>
    </row>
    <row r="572" spans="1:8">
      <c r="A572" s="253"/>
      <c r="B572" s="1028" t="str">
        <f>'MANO DE OBRA'!B10</f>
        <v>AYUDANTE CUAD. TIPO AA</v>
      </c>
      <c r="C572" s="1029"/>
      <c r="D572" s="277">
        <v>1</v>
      </c>
      <c r="E572" s="292">
        <f>'MANO DE OBRA'!E10</f>
        <v>34680</v>
      </c>
      <c r="F572" s="279">
        <v>14.5</v>
      </c>
      <c r="G572" s="280">
        <f>ROUND(D572*E572/F572,0)</f>
        <v>2392</v>
      </c>
    </row>
    <row r="573" spans="1:8">
      <c r="A573" s="253"/>
      <c r="B573" s="1022" t="str">
        <f>'MANO DE OBRA'!B15</f>
        <v xml:space="preserve">OFICIAL CUAD. TIPO AA </v>
      </c>
      <c r="C573" s="1023"/>
      <c r="D573" s="281">
        <v>1</v>
      </c>
      <c r="E573" s="278">
        <f>'MANO DE OBRA'!E15</f>
        <v>71474</v>
      </c>
      <c r="F573" s="283">
        <v>14.5</v>
      </c>
      <c r="G573" s="284">
        <f>ROUND(D573*E573/F573,0)</f>
        <v>4929</v>
      </c>
    </row>
    <row r="574" spans="1:8">
      <c r="A574" s="253"/>
      <c r="B574" s="1022"/>
      <c r="C574" s="1023"/>
      <c r="D574" s="285"/>
      <c r="E574" s="278" t="s">
        <v>1409</v>
      </c>
      <c r="F574" s="283"/>
      <c r="G574" s="284"/>
    </row>
    <row r="575" spans="1:8">
      <c r="A575" s="253"/>
      <c r="B575" s="1022" t="s">
        <v>841</v>
      </c>
      <c r="C575" s="1023"/>
      <c r="D575" s="281"/>
      <c r="E575" s="278"/>
      <c r="F575" s="283"/>
      <c r="G575" s="284"/>
    </row>
    <row r="576" spans="1:8" ht="13.5" thickBot="1">
      <c r="A576" s="253"/>
      <c r="B576" s="1013" t="s">
        <v>841</v>
      </c>
      <c r="C576" s="1014"/>
      <c r="D576" s="286"/>
      <c r="E576" s="278"/>
      <c r="F576" s="288"/>
      <c r="G576" s="289"/>
    </row>
    <row r="577" spans="1:8" ht="14.25" thickTop="1" thickBot="1">
      <c r="A577" s="253"/>
      <c r="B577" s="1015"/>
      <c r="C577" s="1015"/>
      <c r="D577" s="1015"/>
      <c r="E577" s="1016"/>
      <c r="F577" s="301" t="s">
        <v>856</v>
      </c>
      <c r="G577" s="291">
        <f>SUM(G572:G576)</f>
        <v>7321</v>
      </c>
    </row>
    <row r="578" spans="1:8" ht="14.25" thickTop="1" thickBot="1">
      <c r="A578" s="253"/>
      <c r="B578" s="1017"/>
      <c r="C578" s="1017"/>
      <c r="D578" s="1017"/>
      <c r="E578" s="1017"/>
      <c r="F578" s="1017"/>
      <c r="G578" s="1017"/>
    </row>
    <row r="579" spans="1:8" ht="13.5" thickTop="1">
      <c r="A579" s="253"/>
      <c r="B579" s="1019" t="s">
        <v>321</v>
      </c>
      <c r="C579" s="1020"/>
      <c r="D579" s="1020"/>
      <c r="E579" s="1020"/>
      <c r="F579" s="1020"/>
      <c r="G579" s="1024"/>
    </row>
    <row r="580" spans="1:8">
      <c r="A580" s="253"/>
      <c r="B580" s="1009" t="s">
        <v>838</v>
      </c>
      <c r="C580" s="1010"/>
      <c r="D580" s="266" t="s">
        <v>301</v>
      </c>
      <c r="E580" s="266" t="s">
        <v>297</v>
      </c>
      <c r="F580" s="267" t="s">
        <v>839</v>
      </c>
      <c r="G580" s="268" t="s">
        <v>840</v>
      </c>
    </row>
    <row r="581" spans="1:8">
      <c r="A581" s="253"/>
      <c r="B581" s="272"/>
      <c r="C581" s="273"/>
      <c r="D581" s="274" t="s">
        <v>322</v>
      </c>
      <c r="E581" s="274" t="s">
        <v>323</v>
      </c>
      <c r="F581" s="275" t="s">
        <v>324</v>
      </c>
      <c r="G581" s="276" t="s">
        <v>325</v>
      </c>
    </row>
    <row r="582" spans="1:8">
      <c r="A582" s="253"/>
      <c r="B582" s="1011"/>
      <c r="C582" s="1012"/>
      <c r="D582" s="302"/>
      <c r="E582" s="302"/>
      <c r="F582" s="302"/>
      <c r="G582" s="303"/>
    </row>
    <row r="583" spans="1:8" ht="13.5" thickBot="1">
      <c r="A583" s="253"/>
      <c r="B583" s="1013" t="s">
        <v>841</v>
      </c>
      <c r="C583" s="1014"/>
      <c r="D583" s="286"/>
      <c r="E583" s="278"/>
      <c r="F583" s="288"/>
      <c r="G583" s="289"/>
    </row>
    <row r="584" spans="1:8" ht="14.25" thickTop="1" thickBot="1">
      <c r="A584" s="253"/>
      <c r="B584" s="1015"/>
      <c r="C584" s="1015"/>
      <c r="D584" s="1015"/>
      <c r="E584" s="1016"/>
      <c r="F584" s="301" t="s">
        <v>856</v>
      </c>
      <c r="G584" s="291">
        <f>SUM(G579:G583)</f>
        <v>0</v>
      </c>
    </row>
    <row r="585" spans="1:8" ht="14.25" thickTop="1" thickBot="1">
      <c r="A585" s="253"/>
      <c r="B585" s="1017"/>
      <c r="C585" s="1017"/>
      <c r="D585" s="1017"/>
      <c r="E585" s="1017"/>
      <c r="F585" s="1017"/>
      <c r="G585" s="1018"/>
    </row>
    <row r="586" spans="1:8" ht="13.5" thickTop="1">
      <c r="A586" s="253"/>
      <c r="B586" s="1019" t="s">
        <v>326</v>
      </c>
      <c r="C586" s="1020"/>
      <c r="D586" s="1020"/>
      <c r="E586" s="1020"/>
      <c r="F586" s="1021"/>
      <c r="G586" s="304">
        <f>+G550+G566+G577</f>
        <v>12419</v>
      </c>
    </row>
    <row r="587" spans="1:8">
      <c r="A587" s="253"/>
      <c r="B587" s="1003" t="s">
        <v>861</v>
      </c>
      <c r="C587" s="1004"/>
      <c r="D587" s="1004"/>
      <c r="E587" s="1005"/>
      <c r="F587" s="305">
        <f>'MANO DE OBRA'!D59</f>
        <v>0</v>
      </c>
      <c r="G587" s="306">
        <f>ROUND(G586*F587,0)</f>
        <v>0</v>
      </c>
    </row>
    <row r="588" spans="1:8" ht="13.5" thickBot="1">
      <c r="A588" s="253"/>
      <c r="B588" s="1006" t="s">
        <v>1049</v>
      </c>
      <c r="C588" s="1007"/>
      <c r="D588" s="1007"/>
      <c r="E588" s="1007"/>
      <c r="F588" s="1008"/>
      <c r="G588" s="291">
        <f>ROUND(G586+G587,-2)</f>
        <v>12400</v>
      </c>
      <c r="H588" s="505" t="s">
        <v>1670</v>
      </c>
    </row>
    <row r="589" spans="1:8" ht="15" thickTop="1">
      <c r="A589" s="253"/>
      <c r="B589" s="254" t="s">
        <v>303</v>
      </c>
      <c r="C589" s="1046"/>
      <c r="D589" s="1046"/>
      <c r="E589" s="1046"/>
      <c r="F589" s="257" t="s">
        <v>781</v>
      </c>
      <c r="G589" s="258" t="s">
        <v>1067</v>
      </c>
    </row>
    <row r="590" spans="1:8">
      <c r="A590" s="253"/>
      <c r="B590" s="256" t="s">
        <v>834</v>
      </c>
      <c r="C590" s="1047" t="s">
        <v>1416</v>
      </c>
      <c r="D590" s="1047"/>
      <c r="E590" s="1047"/>
      <c r="F590" s="260" t="s">
        <v>833</v>
      </c>
      <c r="G590" s="261" t="str">
        <f>'MANO DE OBRA'!D61</f>
        <v>Agosto de 2010</v>
      </c>
    </row>
    <row r="591" spans="1:8" ht="13.5" thickBot="1">
      <c r="A591" s="262"/>
      <c r="B591" s="263" t="s">
        <v>835</v>
      </c>
      <c r="C591" s="1048" t="s">
        <v>1427</v>
      </c>
      <c r="D591" s="1048"/>
      <c r="E591" s="1048"/>
      <c r="F591" s="1048"/>
      <c r="G591" s="1049"/>
    </row>
    <row r="592" spans="1:8" ht="14.25" thickTop="1" thickBot="1">
      <c r="A592" s="253"/>
      <c r="B592" s="1050"/>
      <c r="C592" s="1050"/>
      <c r="D592" s="1050"/>
      <c r="E592" s="1050"/>
      <c r="F592" s="1050"/>
      <c r="G592" s="1050"/>
    </row>
    <row r="593" spans="1:7" ht="13.5" thickTop="1">
      <c r="A593" s="253"/>
      <c r="B593" s="1019" t="s">
        <v>304</v>
      </c>
      <c r="C593" s="1020"/>
      <c r="D593" s="1020"/>
      <c r="E593" s="1020"/>
      <c r="F593" s="1020"/>
      <c r="G593" s="1024"/>
    </row>
    <row r="594" spans="1:7">
      <c r="A594" s="253"/>
      <c r="B594" s="264"/>
      <c r="C594" s="265"/>
      <c r="D594" s="266" t="s">
        <v>301</v>
      </c>
      <c r="E594" s="266" t="s">
        <v>1072</v>
      </c>
      <c r="F594" s="267" t="s">
        <v>839</v>
      </c>
      <c r="G594" s="268" t="s">
        <v>840</v>
      </c>
    </row>
    <row r="595" spans="1:7">
      <c r="A595" s="253"/>
      <c r="B595" s="1026" t="s">
        <v>838</v>
      </c>
      <c r="C595" s="1027"/>
      <c r="D595" s="269" t="s">
        <v>308</v>
      </c>
      <c r="E595" s="269" t="s">
        <v>305</v>
      </c>
      <c r="F595" s="270" t="s">
        <v>306</v>
      </c>
      <c r="G595" s="271" t="s">
        <v>310</v>
      </c>
    </row>
    <row r="596" spans="1:7">
      <c r="A596" s="253"/>
      <c r="B596" s="272"/>
      <c r="C596" s="273"/>
      <c r="D596" s="274"/>
      <c r="E596" s="274" t="s">
        <v>309</v>
      </c>
      <c r="F596" s="275" t="s">
        <v>307</v>
      </c>
      <c r="G596" s="276"/>
    </row>
    <row r="597" spans="1:7">
      <c r="A597" s="262"/>
      <c r="B597" s="1028" t="str">
        <f>'MAQUINARIA Y EQUIPOS'!C28</f>
        <v>HERRAMIENTAS MENORES</v>
      </c>
      <c r="C597" s="1029"/>
      <c r="D597" s="277">
        <v>1</v>
      </c>
      <c r="E597" s="278">
        <f>ROUND(G630*0.05,0)</f>
        <v>305</v>
      </c>
      <c r="F597" s="279">
        <v>1</v>
      </c>
      <c r="G597" s="280">
        <f>ROUND(D597*E597/F597,0)</f>
        <v>305</v>
      </c>
    </row>
    <row r="598" spans="1:7">
      <c r="A598" s="253"/>
      <c r="B598" s="1022" t="str">
        <f>'MAQUINARIA Y EQUIPOS'!C9</f>
        <v>ANDAMIO TUBULAR 1.50 m</v>
      </c>
      <c r="C598" s="1023"/>
      <c r="D598" s="281">
        <v>4</v>
      </c>
      <c r="E598" s="282">
        <f>'MAQUINARIA Y EQUIPOS'!D9</f>
        <v>754</v>
      </c>
      <c r="F598" s="283">
        <v>17.39</v>
      </c>
      <c r="G598" s="284">
        <f>ROUND(D598*E598/F598,0)</f>
        <v>173</v>
      </c>
    </row>
    <row r="599" spans="1:7">
      <c r="A599" s="253"/>
      <c r="B599" s="1022" t="str">
        <f>'MAQUINARIA Y EQUIPOS'!C47</f>
        <v>TABLONES 3m</v>
      </c>
      <c r="C599" s="1023"/>
      <c r="D599" s="281">
        <v>4</v>
      </c>
      <c r="E599" s="282">
        <f>'MAQUINARIA Y EQUIPOS'!D47</f>
        <v>348</v>
      </c>
      <c r="F599" s="283">
        <v>17.39</v>
      </c>
      <c r="G599" s="284">
        <f>ROUND(D599*E599/F599,0)</f>
        <v>80</v>
      </c>
    </row>
    <row r="600" spans="1:7">
      <c r="A600" s="253"/>
      <c r="B600" s="1022"/>
      <c r="C600" s="1023"/>
      <c r="D600" s="285"/>
      <c r="E600" s="278"/>
      <c r="F600" s="283"/>
      <c r="G600" s="284"/>
    </row>
    <row r="601" spans="1:7">
      <c r="A601" s="253"/>
      <c r="B601" s="1022" t="s">
        <v>841</v>
      </c>
      <c r="C601" s="1023"/>
      <c r="D601" s="281"/>
      <c r="E601" s="278"/>
      <c r="F601" s="283"/>
      <c r="G601" s="284"/>
    </row>
    <row r="602" spans="1:7" ht="13.5" thickBot="1">
      <c r="A602" s="253"/>
      <c r="B602" s="1044" t="s">
        <v>841</v>
      </c>
      <c r="C602" s="1045"/>
      <c r="D602" s="286"/>
      <c r="E602" s="287"/>
      <c r="F602" s="288"/>
      <c r="G602" s="289"/>
    </row>
    <row r="603" spans="1:7" ht="14.25" thickTop="1" thickBot="1">
      <c r="A603" s="253"/>
      <c r="B603" s="1015"/>
      <c r="C603" s="1015"/>
      <c r="D603" s="1015"/>
      <c r="E603" s="1016"/>
      <c r="F603" s="290" t="s">
        <v>856</v>
      </c>
      <c r="G603" s="291">
        <f>SUM(G597:G602)</f>
        <v>558</v>
      </c>
    </row>
    <row r="604" spans="1:7" ht="14.25" thickTop="1" thickBot="1">
      <c r="A604" s="253"/>
      <c r="B604" s="1025"/>
      <c r="C604" s="1025"/>
      <c r="D604" s="1025"/>
      <c r="E604" s="1025"/>
      <c r="F604" s="1025"/>
      <c r="G604" s="1025"/>
    </row>
    <row r="605" spans="1:7" ht="13.5" thickTop="1">
      <c r="A605" s="253"/>
      <c r="B605" s="1019" t="s">
        <v>311</v>
      </c>
      <c r="C605" s="1020"/>
      <c r="D605" s="1020"/>
      <c r="E605" s="1020"/>
      <c r="F605" s="1020"/>
      <c r="G605" s="1024"/>
    </row>
    <row r="606" spans="1:7">
      <c r="A606" s="253"/>
      <c r="B606" s="1009" t="s">
        <v>838</v>
      </c>
      <c r="C606" s="1010"/>
      <c r="D606" s="266" t="s">
        <v>842</v>
      </c>
      <c r="E606" s="266" t="s">
        <v>853</v>
      </c>
      <c r="F606" s="267" t="s">
        <v>1047</v>
      </c>
      <c r="G606" s="268" t="s">
        <v>840</v>
      </c>
    </row>
    <row r="607" spans="1:7">
      <c r="A607" s="253"/>
      <c r="B607" s="272"/>
      <c r="C607" s="273"/>
      <c r="D607" s="269"/>
      <c r="E607" s="269" t="s">
        <v>312</v>
      </c>
      <c r="F607" s="270" t="s">
        <v>313</v>
      </c>
      <c r="G607" s="271" t="s">
        <v>314</v>
      </c>
    </row>
    <row r="608" spans="1:7">
      <c r="A608" s="259"/>
      <c r="B608" s="1042" t="str">
        <f>MATERIALES2!C13</f>
        <v>CEMENTO GRIS</v>
      </c>
      <c r="C608" s="1043"/>
      <c r="D608" s="277" t="s">
        <v>925</v>
      </c>
      <c r="E608" s="279">
        <v>4.53</v>
      </c>
      <c r="F608" s="292">
        <f>MATERIALES2!E13</f>
        <v>420</v>
      </c>
      <c r="G608" s="280">
        <f>ROUND(E608*F608,0)</f>
        <v>1903</v>
      </c>
    </row>
    <row r="609" spans="1:8" ht="14.25">
      <c r="A609" s="293"/>
      <c r="B609" s="1030" t="str">
        <f>MATERIALES2!C20</f>
        <v xml:space="preserve">ARENA </v>
      </c>
      <c r="C609" s="1031"/>
      <c r="D609" s="281" t="s">
        <v>1066</v>
      </c>
      <c r="E609" s="307">
        <v>1.7999999999999999E-2</v>
      </c>
      <c r="F609" s="278">
        <f>MATERIALES2!E20</f>
        <v>35000</v>
      </c>
      <c r="G609" s="284">
        <f>ROUND(E609*F609,0)</f>
        <v>630</v>
      </c>
    </row>
    <row r="610" spans="1:8">
      <c r="A610" s="293"/>
      <c r="B610" s="1030" t="str">
        <f>MATERIALES2!C28</f>
        <v>AGUA</v>
      </c>
      <c r="C610" s="1031"/>
      <c r="D610" s="281" t="s">
        <v>1071</v>
      </c>
      <c r="E610" s="294">
        <v>3.5550000000000002</v>
      </c>
      <c r="F610" s="278">
        <f>MATERIALES2!E28</f>
        <v>50</v>
      </c>
      <c r="G610" s="284">
        <f>ROUND(E610*F610,0)</f>
        <v>178</v>
      </c>
    </row>
    <row r="611" spans="1:8">
      <c r="A611" s="253"/>
      <c r="B611" s="1030"/>
      <c r="C611" s="1031"/>
      <c r="D611" s="281"/>
      <c r="E611" s="294"/>
      <c r="F611" s="278"/>
      <c r="G611" s="284"/>
    </row>
    <row r="612" spans="1:8">
      <c r="A612" s="253"/>
      <c r="B612" s="1030"/>
      <c r="C612" s="1031"/>
      <c r="D612" s="281"/>
      <c r="E612" s="294"/>
      <c r="F612" s="278"/>
      <c r="G612" s="284"/>
    </row>
    <row r="613" spans="1:8">
      <c r="A613" s="253"/>
      <c r="B613" s="1030"/>
      <c r="C613" s="1031"/>
      <c r="D613" s="281"/>
      <c r="E613" s="294"/>
      <c r="F613" s="278"/>
      <c r="G613" s="284"/>
    </row>
    <row r="614" spans="1:8">
      <c r="A614" s="253"/>
      <c r="B614" s="1030"/>
      <c r="C614" s="1031"/>
      <c r="D614" s="281"/>
      <c r="E614" s="294"/>
      <c r="F614" s="278"/>
      <c r="G614" s="284"/>
    </row>
    <row r="615" spans="1:8">
      <c r="A615" s="253"/>
      <c r="B615" s="1032" t="s">
        <v>841</v>
      </c>
      <c r="C615" s="1033"/>
      <c r="D615" s="294" t="s">
        <v>841</v>
      </c>
      <c r="E615" s="294"/>
      <c r="F615" s="278"/>
      <c r="G615" s="284"/>
      <c r="H615" s="505" t="s">
        <v>1670</v>
      </c>
    </row>
    <row r="616" spans="1:8" ht="13.5" thickBot="1">
      <c r="A616" s="253"/>
      <c r="B616" s="1034" t="s">
        <v>841</v>
      </c>
      <c r="C616" s="1035"/>
      <c r="D616" s="295" t="s">
        <v>841</v>
      </c>
      <c r="E616" s="295"/>
      <c r="F616" s="296"/>
      <c r="G616" s="289"/>
    </row>
    <row r="617" spans="1:8" ht="13.5" thickTop="1">
      <c r="A617" s="253"/>
      <c r="B617" s="1015"/>
      <c r="C617" s="1016"/>
      <c r="D617" s="1038" t="s">
        <v>856</v>
      </c>
      <c r="E617" s="1039"/>
      <c r="F617" s="297"/>
      <c r="G617" s="298">
        <f>SUM(G608:G616)</f>
        <v>2711</v>
      </c>
    </row>
    <row r="618" spans="1:8">
      <c r="A618" s="253"/>
      <c r="B618" s="1036"/>
      <c r="C618" s="1037"/>
      <c r="D618" s="1038" t="s">
        <v>857</v>
      </c>
      <c r="E618" s="1039"/>
      <c r="F618" s="299">
        <v>0.08</v>
      </c>
      <c r="G618" s="298">
        <f>ROUND(G617*F618,0)</f>
        <v>217</v>
      </c>
    </row>
    <row r="619" spans="1:8" ht="13.5" thickBot="1">
      <c r="A619" s="253"/>
      <c r="B619" s="1036"/>
      <c r="C619" s="1037"/>
      <c r="D619" s="1040" t="s">
        <v>320</v>
      </c>
      <c r="E619" s="1041"/>
      <c r="F619" s="300"/>
      <c r="G619" s="291">
        <f>+G617+G618</f>
        <v>2928</v>
      </c>
    </row>
    <row r="620" spans="1:8" ht="14.25" thickTop="1" thickBot="1">
      <c r="A620" s="253"/>
      <c r="B620" s="1025"/>
      <c r="C620" s="1025"/>
      <c r="D620" s="1025"/>
      <c r="E620" s="1025"/>
      <c r="F620" s="1025"/>
      <c r="G620" s="1025"/>
    </row>
    <row r="621" spans="1:8" ht="13.5" thickTop="1">
      <c r="A621" s="253"/>
      <c r="B621" s="1019" t="s">
        <v>858</v>
      </c>
      <c r="C621" s="1020"/>
      <c r="D621" s="1020"/>
      <c r="E621" s="1020"/>
      <c r="F621" s="1020"/>
      <c r="G621" s="1024"/>
    </row>
    <row r="622" spans="1:8">
      <c r="A622" s="253"/>
      <c r="B622" s="1009"/>
      <c r="C622" s="1010"/>
      <c r="D622" s="266" t="s">
        <v>301</v>
      </c>
      <c r="E622" s="266" t="s">
        <v>859</v>
      </c>
      <c r="F622" s="267" t="s">
        <v>839</v>
      </c>
      <c r="G622" s="268" t="s">
        <v>840</v>
      </c>
    </row>
    <row r="623" spans="1:8">
      <c r="A623" s="253"/>
      <c r="B623" s="1026" t="s">
        <v>838</v>
      </c>
      <c r="C623" s="1027"/>
      <c r="D623" s="269" t="s">
        <v>316</v>
      </c>
      <c r="E623" s="269" t="s">
        <v>315</v>
      </c>
      <c r="F623" s="270" t="s">
        <v>306</v>
      </c>
      <c r="G623" s="271" t="s">
        <v>319</v>
      </c>
    </row>
    <row r="624" spans="1:8">
      <c r="A624" s="253"/>
      <c r="B624" s="272"/>
      <c r="C624" s="273"/>
      <c r="D624" s="274"/>
      <c r="E624" s="274" t="s">
        <v>317</v>
      </c>
      <c r="F624" s="275" t="s">
        <v>318</v>
      </c>
      <c r="G624" s="276"/>
    </row>
    <row r="625" spans="1:7">
      <c r="A625" s="253"/>
      <c r="B625" s="1028" t="str">
        <f>'MANO DE OBRA'!B10</f>
        <v>AYUDANTE CUAD. TIPO AA</v>
      </c>
      <c r="C625" s="1029"/>
      <c r="D625" s="277">
        <v>1</v>
      </c>
      <c r="E625" s="292">
        <f>'MANO DE OBRA'!E10</f>
        <v>34680</v>
      </c>
      <c r="F625" s="279">
        <v>17.39</v>
      </c>
      <c r="G625" s="280">
        <f>ROUND(D625*E625/F625,0)</f>
        <v>1994</v>
      </c>
    </row>
    <row r="626" spans="1:7">
      <c r="A626" s="253"/>
      <c r="B626" s="1022" t="str">
        <f>'MANO DE OBRA'!B15</f>
        <v xml:space="preserve">OFICIAL CUAD. TIPO AA </v>
      </c>
      <c r="C626" s="1023"/>
      <c r="D626" s="281">
        <v>1</v>
      </c>
      <c r="E626" s="278">
        <f>'MANO DE OBRA'!E15</f>
        <v>71474</v>
      </c>
      <c r="F626" s="283">
        <v>17.39</v>
      </c>
      <c r="G626" s="284">
        <f>ROUND(D626*E626/F626,0)</f>
        <v>4110</v>
      </c>
    </row>
    <row r="627" spans="1:7">
      <c r="A627" s="253"/>
      <c r="B627" s="1022"/>
      <c r="C627" s="1023"/>
      <c r="D627" s="285"/>
      <c r="E627" s="278" t="s">
        <v>1409</v>
      </c>
      <c r="F627" s="283"/>
      <c r="G627" s="284"/>
    </row>
    <row r="628" spans="1:7">
      <c r="A628" s="253"/>
      <c r="B628" s="1022" t="s">
        <v>841</v>
      </c>
      <c r="C628" s="1023"/>
      <c r="D628" s="281"/>
      <c r="E628" s="278"/>
      <c r="F628" s="283"/>
      <c r="G628" s="284"/>
    </row>
    <row r="629" spans="1:7" ht="13.5" thickBot="1">
      <c r="A629" s="253"/>
      <c r="B629" s="1013" t="s">
        <v>841</v>
      </c>
      <c r="C629" s="1014"/>
      <c r="D629" s="286"/>
      <c r="E629" s="278"/>
      <c r="F629" s="288"/>
      <c r="G629" s="289"/>
    </row>
    <row r="630" spans="1:7" ht="14.25" thickTop="1" thickBot="1">
      <c r="A630" s="253"/>
      <c r="B630" s="1015"/>
      <c r="C630" s="1015"/>
      <c r="D630" s="1015"/>
      <c r="E630" s="1016"/>
      <c r="F630" s="301" t="s">
        <v>856</v>
      </c>
      <c r="G630" s="291">
        <f>SUM(G625:G629)</f>
        <v>6104</v>
      </c>
    </row>
    <row r="631" spans="1:7" ht="14.25" thickTop="1" thickBot="1">
      <c r="A631" s="253"/>
      <c r="B631" s="1017"/>
      <c r="C631" s="1017"/>
      <c r="D631" s="1017"/>
      <c r="E631" s="1017"/>
      <c r="F631" s="1017"/>
      <c r="G631" s="1017"/>
    </row>
    <row r="632" spans="1:7" ht="13.5" thickTop="1">
      <c r="A632" s="253"/>
      <c r="B632" s="1019" t="s">
        <v>321</v>
      </c>
      <c r="C632" s="1020"/>
      <c r="D632" s="1020"/>
      <c r="E632" s="1020"/>
      <c r="F632" s="1020"/>
      <c r="G632" s="1024"/>
    </row>
    <row r="633" spans="1:7">
      <c r="A633" s="253"/>
      <c r="B633" s="1009" t="s">
        <v>838</v>
      </c>
      <c r="C633" s="1010"/>
      <c r="D633" s="266" t="s">
        <v>301</v>
      </c>
      <c r="E633" s="266" t="s">
        <v>297</v>
      </c>
      <c r="F633" s="267" t="s">
        <v>839</v>
      </c>
      <c r="G633" s="268" t="s">
        <v>840</v>
      </c>
    </row>
    <row r="634" spans="1:7">
      <c r="A634" s="253"/>
      <c r="B634" s="272"/>
      <c r="C634" s="273"/>
      <c r="D634" s="274" t="s">
        <v>322</v>
      </c>
      <c r="E634" s="274" t="s">
        <v>323</v>
      </c>
      <c r="F634" s="275" t="s">
        <v>324</v>
      </c>
      <c r="G634" s="276" t="s">
        <v>325</v>
      </c>
    </row>
    <row r="635" spans="1:7">
      <c r="A635" s="253"/>
      <c r="B635" s="1011"/>
      <c r="C635" s="1012"/>
      <c r="D635" s="302"/>
      <c r="E635" s="302"/>
      <c r="F635" s="302"/>
      <c r="G635" s="303"/>
    </row>
    <row r="636" spans="1:7" ht="13.5" thickBot="1">
      <c r="A636" s="253"/>
      <c r="B636" s="1013" t="s">
        <v>841</v>
      </c>
      <c r="C636" s="1014"/>
      <c r="D636" s="286"/>
      <c r="E636" s="278"/>
      <c r="F636" s="288"/>
      <c r="G636" s="289"/>
    </row>
    <row r="637" spans="1:7" ht="14.25" thickTop="1" thickBot="1">
      <c r="A637" s="253"/>
      <c r="B637" s="1015"/>
      <c r="C637" s="1015"/>
      <c r="D637" s="1015"/>
      <c r="E637" s="1016"/>
      <c r="F637" s="301" t="s">
        <v>856</v>
      </c>
      <c r="G637" s="291">
        <f>SUM(G632:G636)</f>
        <v>0</v>
      </c>
    </row>
    <row r="638" spans="1:7" ht="14.25" thickTop="1" thickBot="1">
      <c r="A638" s="253"/>
      <c r="B638" s="1017"/>
      <c r="C638" s="1017"/>
      <c r="D638" s="1017"/>
      <c r="E638" s="1017"/>
      <c r="F638" s="1017"/>
      <c r="G638" s="1018"/>
    </row>
    <row r="639" spans="1:7" ht="13.5" thickTop="1">
      <c r="A639" s="253"/>
      <c r="B639" s="1019" t="s">
        <v>326</v>
      </c>
      <c r="C639" s="1020"/>
      <c r="D639" s="1020"/>
      <c r="E639" s="1020"/>
      <c r="F639" s="1021"/>
      <c r="G639" s="304">
        <f>+G603+G619+G630</f>
        <v>9590</v>
      </c>
    </row>
    <row r="640" spans="1:7">
      <c r="A640" s="253"/>
      <c r="B640" s="1003" t="s">
        <v>861</v>
      </c>
      <c r="C640" s="1004"/>
      <c r="D640" s="1004"/>
      <c r="E640" s="1005"/>
      <c r="F640" s="305">
        <f>'MANO DE OBRA'!D59</f>
        <v>0</v>
      </c>
      <c r="G640" s="306">
        <f>ROUND(G639*F640,0)</f>
        <v>0</v>
      </c>
    </row>
    <row r="641" spans="1:8" ht="13.5" thickBot="1">
      <c r="A641" s="253"/>
      <c r="B641" s="1006" t="s">
        <v>1049</v>
      </c>
      <c r="C641" s="1007"/>
      <c r="D641" s="1007"/>
      <c r="E641" s="1007"/>
      <c r="F641" s="1008"/>
      <c r="G641" s="291">
        <f>ROUND(G639+G640,-2)</f>
        <v>9600</v>
      </c>
      <c r="H641" s="505" t="s">
        <v>1670</v>
      </c>
    </row>
    <row r="642" spans="1:8" ht="15" thickTop="1">
      <c r="A642" s="253"/>
      <c r="B642" s="254" t="s">
        <v>303</v>
      </c>
      <c r="C642" s="1046"/>
      <c r="D642" s="1046"/>
      <c r="E642" s="1046"/>
      <c r="F642" s="257" t="s">
        <v>781</v>
      </c>
      <c r="G642" s="258" t="s">
        <v>1067</v>
      </c>
    </row>
    <row r="643" spans="1:8">
      <c r="A643" s="253"/>
      <c r="B643" s="256" t="s">
        <v>834</v>
      </c>
      <c r="C643" s="1047" t="s">
        <v>1416</v>
      </c>
      <c r="D643" s="1047"/>
      <c r="E643" s="1047"/>
      <c r="F643" s="260" t="s">
        <v>833</v>
      </c>
      <c r="G643" s="261" t="str">
        <f>'MANO DE OBRA'!D61</f>
        <v>Agosto de 2010</v>
      </c>
    </row>
    <row r="644" spans="1:8" ht="13.5" thickBot="1">
      <c r="A644" s="262"/>
      <c r="B644" s="263" t="s">
        <v>835</v>
      </c>
      <c r="C644" s="1048" t="s">
        <v>1428</v>
      </c>
      <c r="D644" s="1048"/>
      <c r="E644" s="1048"/>
      <c r="F644" s="1048"/>
      <c r="G644" s="1049"/>
    </row>
    <row r="645" spans="1:8" ht="14.25" thickTop="1" thickBot="1">
      <c r="A645" s="253"/>
      <c r="B645" s="1050"/>
      <c r="C645" s="1050"/>
      <c r="D645" s="1050"/>
      <c r="E645" s="1050"/>
      <c r="F645" s="1050"/>
      <c r="G645" s="1050"/>
    </row>
    <row r="646" spans="1:8" ht="13.5" thickTop="1">
      <c r="A646" s="253"/>
      <c r="B646" s="1019" t="s">
        <v>304</v>
      </c>
      <c r="C646" s="1020"/>
      <c r="D646" s="1020"/>
      <c r="E646" s="1020"/>
      <c r="F646" s="1020"/>
      <c r="G646" s="1024"/>
    </row>
    <row r="647" spans="1:8">
      <c r="A647" s="253"/>
      <c r="B647" s="264"/>
      <c r="C647" s="265"/>
      <c r="D647" s="266" t="s">
        <v>301</v>
      </c>
      <c r="E647" s="266" t="s">
        <v>1072</v>
      </c>
      <c r="F647" s="267" t="s">
        <v>839</v>
      </c>
      <c r="G647" s="268" t="s">
        <v>840</v>
      </c>
    </row>
    <row r="648" spans="1:8">
      <c r="A648" s="253"/>
      <c r="B648" s="1026" t="s">
        <v>838</v>
      </c>
      <c r="C648" s="1027"/>
      <c r="D648" s="269" t="s">
        <v>308</v>
      </c>
      <c r="E648" s="269" t="s">
        <v>305</v>
      </c>
      <c r="F648" s="270" t="s">
        <v>306</v>
      </c>
      <c r="G648" s="271" t="s">
        <v>310</v>
      </c>
    </row>
    <row r="649" spans="1:8">
      <c r="A649" s="253"/>
      <c r="B649" s="272"/>
      <c r="C649" s="273"/>
      <c r="D649" s="274"/>
      <c r="E649" s="274" t="s">
        <v>309</v>
      </c>
      <c r="F649" s="275" t="s">
        <v>307</v>
      </c>
      <c r="G649" s="276"/>
    </row>
    <row r="650" spans="1:8">
      <c r="A650" s="262"/>
      <c r="B650" s="1028" t="str">
        <f>'MAQUINARIA Y EQUIPOS'!C28</f>
        <v>HERRAMIENTAS MENORES</v>
      </c>
      <c r="C650" s="1029"/>
      <c r="D650" s="277">
        <v>1</v>
      </c>
      <c r="E650" s="278">
        <f>ROUND(G683*0.05,0)</f>
        <v>305</v>
      </c>
      <c r="F650" s="279">
        <v>1</v>
      </c>
      <c r="G650" s="280">
        <f>ROUND(D650*E650/F650,0)</f>
        <v>305</v>
      </c>
    </row>
    <row r="651" spans="1:8">
      <c r="A651" s="253"/>
      <c r="B651" s="1022" t="str">
        <f>'MAQUINARIA Y EQUIPOS'!C9</f>
        <v>ANDAMIO TUBULAR 1.50 m</v>
      </c>
      <c r="C651" s="1023"/>
      <c r="D651" s="281">
        <v>4</v>
      </c>
      <c r="E651" s="282">
        <f>'MAQUINARIA Y EQUIPOS'!D9</f>
        <v>754</v>
      </c>
      <c r="F651" s="283">
        <v>17.39</v>
      </c>
      <c r="G651" s="284">
        <f>ROUND(D651*E651/F651,0)</f>
        <v>173</v>
      </c>
    </row>
    <row r="652" spans="1:8">
      <c r="A652" s="253"/>
      <c r="B652" s="1022" t="str">
        <f>'MAQUINARIA Y EQUIPOS'!C47</f>
        <v>TABLONES 3m</v>
      </c>
      <c r="C652" s="1023"/>
      <c r="D652" s="281">
        <v>4</v>
      </c>
      <c r="E652" s="282">
        <f>'MAQUINARIA Y EQUIPOS'!D47</f>
        <v>348</v>
      </c>
      <c r="F652" s="283">
        <v>17.39</v>
      </c>
      <c r="G652" s="284">
        <f>ROUND(D652*E652/F652,0)</f>
        <v>80</v>
      </c>
    </row>
    <row r="653" spans="1:8">
      <c r="A653" s="253"/>
      <c r="B653" s="1022"/>
      <c r="C653" s="1023"/>
      <c r="D653" s="285"/>
      <c r="E653" s="278"/>
      <c r="F653" s="283"/>
      <c r="G653" s="284"/>
    </row>
    <row r="654" spans="1:8">
      <c r="A654" s="253"/>
      <c r="B654" s="1022" t="s">
        <v>841</v>
      </c>
      <c r="C654" s="1023"/>
      <c r="D654" s="281"/>
      <c r="E654" s="278"/>
      <c r="F654" s="283"/>
      <c r="G654" s="284"/>
    </row>
    <row r="655" spans="1:8" ht="13.5" thickBot="1">
      <c r="A655" s="253"/>
      <c r="B655" s="1044" t="s">
        <v>841</v>
      </c>
      <c r="C655" s="1045"/>
      <c r="D655" s="286"/>
      <c r="E655" s="287"/>
      <c r="F655" s="288"/>
      <c r="G655" s="289"/>
    </row>
    <row r="656" spans="1:8" ht="14.25" thickTop="1" thickBot="1">
      <c r="A656" s="253"/>
      <c r="B656" s="1015"/>
      <c r="C656" s="1015"/>
      <c r="D656" s="1015"/>
      <c r="E656" s="1016"/>
      <c r="F656" s="290" t="s">
        <v>856</v>
      </c>
      <c r="G656" s="291">
        <f>SUM(G650:G655)</f>
        <v>558</v>
      </c>
    </row>
    <row r="657" spans="1:8" ht="14.25" thickTop="1" thickBot="1">
      <c r="A657" s="253"/>
      <c r="B657" s="1025"/>
      <c r="C657" s="1025"/>
      <c r="D657" s="1025"/>
      <c r="E657" s="1025"/>
      <c r="F657" s="1025"/>
      <c r="G657" s="1025"/>
    </row>
    <row r="658" spans="1:8" ht="13.5" thickTop="1">
      <c r="A658" s="253"/>
      <c r="B658" s="1019" t="s">
        <v>311</v>
      </c>
      <c r="C658" s="1020"/>
      <c r="D658" s="1020"/>
      <c r="E658" s="1020"/>
      <c r="F658" s="1020"/>
      <c r="G658" s="1024"/>
    </row>
    <row r="659" spans="1:8">
      <c r="A659" s="253"/>
      <c r="B659" s="1009" t="s">
        <v>838</v>
      </c>
      <c r="C659" s="1010"/>
      <c r="D659" s="266" t="s">
        <v>842</v>
      </c>
      <c r="E659" s="266" t="s">
        <v>853</v>
      </c>
      <c r="F659" s="267" t="s">
        <v>1047</v>
      </c>
      <c r="G659" s="268" t="s">
        <v>840</v>
      </c>
    </row>
    <row r="660" spans="1:8">
      <c r="A660" s="253"/>
      <c r="B660" s="272"/>
      <c r="C660" s="273"/>
      <c r="D660" s="269"/>
      <c r="E660" s="269" t="s">
        <v>312</v>
      </c>
      <c r="F660" s="270" t="s">
        <v>313</v>
      </c>
      <c r="G660" s="271" t="s">
        <v>314</v>
      </c>
    </row>
    <row r="661" spans="1:8">
      <c r="A661" s="259"/>
      <c r="B661" s="1042" t="str">
        <f>MATERIALES2!C13</f>
        <v>CEMENTO GRIS</v>
      </c>
      <c r="C661" s="1043"/>
      <c r="D661" s="277" t="s">
        <v>925</v>
      </c>
      <c r="E661" s="279">
        <v>6.04</v>
      </c>
      <c r="F661" s="292">
        <f>MATERIALES2!E13</f>
        <v>420</v>
      </c>
      <c r="G661" s="280">
        <f>ROUND(E661*F661,0)</f>
        <v>2537</v>
      </c>
    </row>
    <row r="662" spans="1:8" ht="14.25">
      <c r="A662" s="293"/>
      <c r="B662" s="1030" t="str">
        <f>MATERIALES2!C20</f>
        <v xml:space="preserve">ARENA </v>
      </c>
      <c r="C662" s="1031"/>
      <c r="D662" s="281" t="s">
        <v>1066</v>
      </c>
      <c r="E662" s="307">
        <v>2.4E-2</v>
      </c>
      <c r="F662" s="278">
        <f>MATERIALES2!E20</f>
        <v>35000</v>
      </c>
      <c r="G662" s="284">
        <f>ROUND(E662*F662,0)</f>
        <v>840</v>
      </c>
    </row>
    <row r="663" spans="1:8">
      <c r="A663" s="293"/>
      <c r="B663" s="1030" t="str">
        <f>MATERIALES2!C28</f>
        <v>AGUA</v>
      </c>
      <c r="C663" s="1031"/>
      <c r="D663" s="281" t="s">
        <v>1071</v>
      </c>
      <c r="E663" s="294">
        <v>4.74</v>
      </c>
      <c r="F663" s="278">
        <f>MATERIALES2!E28</f>
        <v>50</v>
      </c>
      <c r="G663" s="284">
        <f>ROUND(E663*F663,0)</f>
        <v>237</v>
      </c>
    </row>
    <row r="664" spans="1:8">
      <c r="A664" s="253"/>
      <c r="B664" s="1030"/>
      <c r="C664" s="1031"/>
      <c r="D664" s="281"/>
      <c r="E664" s="294"/>
      <c r="F664" s="278"/>
      <c r="G664" s="284"/>
    </row>
    <row r="665" spans="1:8">
      <c r="A665" s="253"/>
      <c r="B665" s="1030"/>
      <c r="C665" s="1031"/>
      <c r="D665" s="281"/>
      <c r="E665" s="294"/>
      <c r="F665" s="278"/>
      <c r="G665" s="284"/>
    </row>
    <row r="666" spans="1:8">
      <c r="A666" s="253"/>
      <c r="B666" s="1030"/>
      <c r="C666" s="1031"/>
      <c r="D666" s="281"/>
      <c r="E666" s="294"/>
      <c r="F666" s="278"/>
      <c r="G666" s="284"/>
    </row>
    <row r="667" spans="1:8">
      <c r="A667" s="253"/>
      <c r="B667" s="1030"/>
      <c r="C667" s="1031"/>
      <c r="D667" s="281"/>
      <c r="E667" s="294"/>
      <c r="F667" s="278"/>
      <c r="G667" s="284"/>
    </row>
    <row r="668" spans="1:8">
      <c r="A668" s="253"/>
      <c r="B668" s="1032" t="s">
        <v>841</v>
      </c>
      <c r="C668" s="1033"/>
      <c r="D668" s="294" t="s">
        <v>841</v>
      </c>
      <c r="E668" s="294"/>
      <c r="F668" s="278"/>
      <c r="G668" s="284"/>
      <c r="H668" s="505" t="s">
        <v>1670</v>
      </c>
    </row>
    <row r="669" spans="1:8" ht="13.5" thickBot="1">
      <c r="A669" s="253"/>
      <c r="B669" s="1034" t="s">
        <v>841</v>
      </c>
      <c r="C669" s="1035"/>
      <c r="D669" s="295" t="s">
        <v>841</v>
      </c>
      <c r="E669" s="295"/>
      <c r="F669" s="296"/>
      <c r="G669" s="289"/>
    </row>
    <row r="670" spans="1:8" ht="13.5" thickTop="1">
      <c r="A670" s="253"/>
      <c r="B670" s="1015"/>
      <c r="C670" s="1016"/>
      <c r="D670" s="1038" t="s">
        <v>856</v>
      </c>
      <c r="E670" s="1039"/>
      <c r="F670" s="297"/>
      <c r="G670" s="298">
        <f>SUM(G661:G669)</f>
        <v>3614</v>
      </c>
    </row>
    <row r="671" spans="1:8">
      <c r="A671" s="253"/>
      <c r="B671" s="1036"/>
      <c r="C671" s="1037"/>
      <c r="D671" s="1038" t="s">
        <v>857</v>
      </c>
      <c r="E671" s="1039"/>
      <c r="F671" s="299">
        <v>0.08</v>
      </c>
      <c r="G671" s="298">
        <f>ROUND(G670*F671,0)</f>
        <v>289</v>
      </c>
    </row>
    <row r="672" spans="1:8" ht="13.5" thickBot="1">
      <c r="A672" s="253"/>
      <c r="B672" s="1036"/>
      <c r="C672" s="1037"/>
      <c r="D672" s="1040" t="s">
        <v>320</v>
      </c>
      <c r="E672" s="1041"/>
      <c r="F672" s="300"/>
      <c r="G672" s="291">
        <f>+G670+G671</f>
        <v>3903</v>
      </c>
    </row>
    <row r="673" spans="1:7" ht="14.25" thickTop="1" thickBot="1">
      <c r="A673" s="253"/>
      <c r="B673" s="1025"/>
      <c r="C673" s="1025"/>
      <c r="D673" s="1025"/>
      <c r="E673" s="1025"/>
      <c r="F673" s="1025"/>
      <c r="G673" s="1025"/>
    </row>
    <row r="674" spans="1:7" ht="13.5" thickTop="1">
      <c r="A674" s="253"/>
      <c r="B674" s="1019" t="s">
        <v>858</v>
      </c>
      <c r="C674" s="1020"/>
      <c r="D674" s="1020"/>
      <c r="E674" s="1020"/>
      <c r="F674" s="1020"/>
      <c r="G674" s="1024"/>
    </row>
    <row r="675" spans="1:7">
      <c r="A675" s="253"/>
      <c r="B675" s="1009"/>
      <c r="C675" s="1010"/>
      <c r="D675" s="266" t="s">
        <v>301</v>
      </c>
      <c r="E675" s="266" t="s">
        <v>859</v>
      </c>
      <c r="F675" s="267" t="s">
        <v>839</v>
      </c>
      <c r="G675" s="268" t="s">
        <v>840</v>
      </c>
    </row>
    <row r="676" spans="1:7">
      <c r="A676" s="253"/>
      <c r="B676" s="1026" t="s">
        <v>838</v>
      </c>
      <c r="C676" s="1027"/>
      <c r="D676" s="269" t="s">
        <v>316</v>
      </c>
      <c r="E676" s="269" t="s">
        <v>315</v>
      </c>
      <c r="F676" s="270" t="s">
        <v>306</v>
      </c>
      <c r="G676" s="271" t="s">
        <v>319</v>
      </c>
    </row>
    <row r="677" spans="1:7">
      <c r="A677" s="253"/>
      <c r="B677" s="272"/>
      <c r="C677" s="273"/>
      <c r="D677" s="274"/>
      <c r="E677" s="274" t="s">
        <v>317</v>
      </c>
      <c r="F677" s="275" t="s">
        <v>318</v>
      </c>
      <c r="G677" s="276"/>
    </row>
    <row r="678" spans="1:7">
      <c r="A678" s="253"/>
      <c r="B678" s="1028" t="str">
        <f>'MANO DE OBRA'!B10</f>
        <v>AYUDANTE CUAD. TIPO AA</v>
      </c>
      <c r="C678" s="1029"/>
      <c r="D678" s="277">
        <v>1</v>
      </c>
      <c r="E678" s="292">
        <f>'MANO DE OBRA'!E10</f>
        <v>34680</v>
      </c>
      <c r="F678" s="279">
        <v>17.39</v>
      </c>
      <c r="G678" s="280">
        <f>ROUND(D678*E678/F678,0)</f>
        <v>1994</v>
      </c>
    </row>
    <row r="679" spans="1:7">
      <c r="A679" s="253"/>
      <c r="B679" s="1022" t="str">
        <f>'MANO DE OBRA'!B15</f>
        <v xml:space="preserve">OFICIAL CUAD. TIPO AA </v>
      </c>
      <c r="C679" s="1023"/>
      <c r="D679" s="281">
        <v>1</v>
      </c>
      <c r="E679" s="278">
        <f>'MANO DE OBRA'!E15</f>
        <v>71474</v>
      </c>
      <c r="F679" s="283">
        <v>17.39</v>
      </c>
      <c r="G679" s="284">
        <f>ROUND(D679*E679/F679,0)</f>
        <v>4110</v>
      </c>
    </row>
    <row r="680" spans="1:7">
      <c r="A680" s="253"/>
      <c r="B680" s="1022"/>
      <c r="C680" s="1023"/>
      <c r="D680" s="285"/>
      <c r="E680" s="278" t="s">
        <v>1409</v>
      </c>
      <c r="F680" s="283"/>
      <c r="G680" s="284"/>
    </row>
    <row r="681" spans="1:7">
      <c r="A681" s="253"/>
      <c r="B681" s="1022" t="s">
        <v>841</v>
      </c>
      <c r="C681" s="1023"/>
      <c r="D681" s="281"/>
      <c r="E681" s="278"/>
      <c r="F681" s="283"/>
      <c r="G681" s="284"/>
    </row>
    <row r="682" spans="1:7" ht="13.5" thickBot="1">
      <c r="A682" s="253"/>
      <c r="B682" s="1013" t="s">
        <v>841</v>
      </c>
      <c r="C682" s="1014"/>
      <c r="D682" s="286"/>
      <c r="E682" s="278"/>
      <c r="F682" s="288"/>
      <c r="G682" s="289"/>
    </row>
    <row r="683" spans="1:7" ht="14.25" thickTop="1" thickBot="1">
      <c r="A683" s="253"/>
      <c r="B683" s="1015"/>
      <c r="C683" s="1015"/>
      <c r="D683" s="1015"/>
      <c r="E683" s="1016"/>
      <c r="F683" s="301" t="s">
        <v>856</v>
      </c>
      <c r="G683" s="291">
        <f>SUM(G678:G682)</f>
        <v>6104</v>
      </c>
    </row>
    <row r="684" spans="1:7" ht="14.25" thickTop="1" thickBot="1">
      <c r="A684" s="253"/>
      <c r="B684" s="1017"/>
      <c r="C684" s="1017"/>
      <c r="D684" s="1017"/>
      <c r="E684" s="1017"/>
      <c r="F684" s="1017"/>
      <c r="G684" s="1017"/>
    </row>
    <row r="685" spans="1:7" ht="13.5" thickTop="1">
      <c r="A685" s="253"/>
      <c r="B685" s="1019" t="s">
        <v>321</v>
      </c>
      <c r="C685" s="1020"/>
      <c r="D685" s="1020"/>
      <c r="E685" s="1020"/>
      <c r="F685" s="1020"/>
      <c r="G685" s="1024"/>
    </row>
    <row r="686" spans="1:7">
      <c r="A686" s="253"/>
      <c r="B686" s="1009" t="s">
        <v>838</v>
      </c>
      <c r="C686" s="1010"/>
      <c r="D686" s="266" t="s">
        <v>301</v>
      </c>
      <c r="E686" s="266" t="s">
        <v>297</v>
      </c>
      <c r="F686" s="267" t="s">
        <v>839</v>
      </c>
      <c r="G686" s="268" t="s">
        <v>840</v>
      </c>
    </row>
    <row r="687" spans="1:7">
      <c r="A687" s="253"/>
      <c r="B687" s="272"/>
      <c r="C687" s="273"/>
      <c r="D687" s="274" t="s">
        <v>322</v>
      </c>
      <c r="E687" s="274" t="s">
        <v>323</v>
      </c>
      <c r="F687" s="275" t="s">
        <v>324</v>
      </c>
      <c r="G687" s="276" t="s">
        <v>325</v>
      </c>
    </row>
    <row r="688" spans="1:7">
      <c r="A688" s="253"/>
      <c r="B688" s="1011"/>
      <c r="C688" s="1012"/>
      <c r="D688" s="302"/>
      <c r="E688" s="302"/>
      <c r="F688" s="302"/>
      <c r="G688" s="303"/>
    </row>
    <row r="689" spans="1:8" ht="13.5" thickBot="1">
      <c r="A689" s="253"/>
      <c r="B689" s="1013" t="s">
        <v>841</v>
      </c>
      <c r="C689" s="1014"/>
      <c r="D689" s="286"/>
      <c r="E689" s="278"/>
      <c r="F689" s="288"/>
      <c r="G689" s="289"/>
    </row>
    <row r="690" spans="1:8" ht="14.25" thickTop="1" thickBot="1">
      <c r="A690" s="253"/>
      <c r="B690" s="1015"/>
      <c r="C690" s="1015"/>
      <c r="D690" s="1015"/>
      <c r="E690" s="1016"/>
      <c r="F690" s="301" t="s">
        <v>856</v>
      </c>
      <c r="G690" s="291">
        <f>SUM(G685:G689)</f>
        <v>0</v>
      </c>
    </row>
    <row r="691" spans="1:8" ht="14.25" thickTop="1" thickBot="1">
      <c r="A691" s="253"/>
      <c r="B691" s="1017"/>
      <c r="C691" s="1017"/>
      <c r="D691" s="1017"/>
      <c r="E691" s="1017"/>
      <c r="F691" s="1017"/>
      <c r="G691" s="1018"/>
    </row>
    <row r="692" spans="1:8" ht="13.5" thickTop="1">
      <c r="A692" s="253"/>
      <c r="B692" s="1019" t="s">
        <v>326</v>
      </c>
      <c r="C692" s="1020"/>
      <c r="D692" s="1020"/>
      <c r="E692" s="1020"/>
      <c r="F692" s="1021"/>
      <c r="G692" s="304">
        <f>+G656+G672+G683</f>
        <v>10565</v>
      </c>
    </row>
    <row r="693" spans="1:8">
      <c r="A693" s="253"/>
      <c r="B693" s="1003" t="s">
        <v>861</v>
      </c>
      <c r="C693" s="1004"/>
      <c r="D693" s="1004"/>
      <c r="E693" s="1005"/>
      <c r="F693" s="305">
        <f>'MANO DE OBRA'!D59</f>
        <v>0</v>
      </c>
      <c r="G693" s="306">
        <f>ROUND(G692*F693,0)</f>
        <v>0</v>
      </c>
    </row>
    <row r="694" spans="1:8" ht="13.5" thickBot="1">
      <c r="A694" s="253"/>
      <c r="B694" s="1006" t="s">
        <v>1049</v>
      </c>
      <c r="C694" s="1007"/>
      <c r="D694" s="1007"/>
      <c r="E694" s="1007"/>
      <c r="F694" s="1008"/>
      <c r="G694" s="291">
        <f>ROUND(G692+G693,-2)</f>
        <v>10600</v>
      </c>
      <c r="H694" s="505" t="s">
        <v>1670</v>
      </c>
    </row>
    <row r="695" spans="1:8" ht="15" thickTop="1">
      <c r="A695" s="253"/>
      <c r="B695" s="254" t="s">
        <v>303</v>
      </c>
      <c r="C695" s="1046"/>
      <c r="D695" s="1046"/>
      <c r="E695" s="1046"/>
      <c r="F695" s="257" t="s">
        <v>781</v>
      </c>
      <c r="G695" s="258" t="s">
        <v>1067</v>
      </c>
    </row>
    <row r="696" spans="1:8">
      <c r="A696" s="253"/>
      <c r="B696" s="256" t="s">
        <v>834</v>
      </c>
      <c r="C696" s="1047" t="s">
        <v>1416</v>
      </c>
      <c r="D696" s="1047"/>
      <c r="E696" s="1047"/>
      <c r="F696" s="260" t="s">
        <v>833</v>
      </c>
      <c r="G696" s="261" t="str">
        <f>'MANO DE OBRA'!D61</f>
        <v>Agosto de 2010</v>
      </c>
    </row>
    <row r="697" spans="1:8" ht="13.5" thickBot="1">
      <c r="A697" s="262"/>
      <c r="B697" s="263" t="s">
        <v>835</v>
      </c>
      <c r="C697" s="1048" t="s">
        <v>1429</v>
      </c>
      <c r="D697" s="1048"/>
      <c r="E697" s="1048"/>
      <c r="F697" s="1048"/>
      <c r="G697" s="1049"/>
    </row>
    <row r="698" spans="1:8" ht="14.25" thickTop="1" thickBot="1">
      <c r="A698" s="253"/>
      <c r="B698" s="1050"/>
      <c r="C698" s="1050"/>
      <c r="D698" s="1050"/>
      <c r="E698" s="1050"/>
      <c r="F698" s="1050"/>
      <c r="G698" s="1050"/>
    </row>
    <row r="699" spans="1:8" ht="13.5" thickTop="1">
      <c r="A699" s="253"/>
      <c r="B699" s="1019" t="s">
        <v>304</v>
      </c>
      <c r="C699" s="1020"/>
      <c r="D699" s="1020"/>
      <c r="E699" s="1020"/>
      <c r="F699" s="1020"/>
      <c r="G699" s="1024"/>
    </row>
    <row r="700" spans="1:8">
      <c r="A700" s="253"/>
      <c r="B700" s="264"/>
      <c r="C700" s="265"/>
      <c r="D700" s="266" t="s">
        <v>301</v>
      </c>
      <c r="E700" s="266" t="s">
        <v>1072</v>
      </c>
      <c r="F700" s="267" t="s">
        <v>839</v>
      </c>
      <c r="G700" s="268" t="s">
        <v>840</v>
      </c>
    </row>
    <row r="701" spans="1:8">
      <c r="A701" s="253"/>
      <c r="B701" s="1026" t="s">
        <v>838</v>
      </c>
      <c r="C701" s="1027"/>
      <c r="D701" s="269" t="s">
        <v>308</v>
      </c>
      <c r="E701" s="269" t="s">
        <v>305</v>
      </c>
      <c r="F701" s="270" t="s">
        <v>306</v>
      </c>
      <c r="G701" s="271" t="s">
        <v>310</v>
      </c>
    </row>
    <row r="702" spans="1:8">
      <c r="A702" s="253"/>
      <c r="B702" s="272"/>
      <c r="C702" s="273"/>
      <c r="D702" s="274"/>
      <c r="E702" s="274" t="s">
        <v>309</v>
      </c>
      <c r="F702" s="275" t="s">
        <v>307</v>
      </c>
      <c r="G702" s="276"/>
    </row>
    <row r="703" spans="1:8">
      <c r="A703" s="262"/>
      <c r="B703" s="1028" t="str">
        <f>'MAQUINARIA Y EQUIPOS'!C28</f>
        <v>HERRAMIENTAS MENORES</v>
      </c>
      <c r="C703" s="1029"/>
      <c r="D703" s="277">
        <v>1</v>
      </c>
      <c r="E703" s="278">
        <f>ROUND(G736*0.05,0)</f>
        <v>318</v>
      </c>
      <c r="F703" s="279">
        <v>1</v>
      </c>
      <c r="G703" s="280">
        <f>ROUND(D703*E703/F703,0)</f>
        <v>318</v>
      </c>
    </row>
    <row r="704" spans="1:8">
      <c r="A704" s="253"/>
      <c r="B704" s="1022" t="str">
        <f>'MAQUINARIA Y EQUIPOS'!C9</f>
        <v>ANDAMIO TUBULAR 1.50 m</v>
      </c>
      <c r="C704" s="1023"/>
      <c r="D704" s="281">
        <v>4</v>
      </c>
      <c r="E704" s="282">
        <f>'MAQUINARIA Y EQUIPOS'!D9</f>
        <v>754</v>
      </c>
      <c r="F704" s="283">
        <v>16.670000000000002</v>
      </c>
      <c r="G704" s="284">
        <f>ROUND(D704*E704/F704,0)</f>
        <v>181</v>
      </c>
    </row>
    <row r="705" spans="1:7">
      <c r="A705" s="253"/>
      <c r="B705" s="1022" t="str">
        <f>'MAQUINARIA Y EQUIPOS'!C47</f>
        <v>TABLONES 3m</v>
      </c>
      <c r="C705" s="1023"/>
      <c r="D705" s="281">
        <v>4</v>
      </c>
      <c r="E705" s="282">
        <f>'MAQUINARIA Y EQUIPOS'!D47</f>
        <v>348</v>
      </c>
      <c r="F705" s="283">
        <v>16.670000000000002</v>
      </c>
      <c r="G705" s="284">
        <f>ROUND(D705*E705/F705,0)</f>
        <v>84</v>
      </c>
    </row>
    <row r="706" spans="1:7">
      <c r="A706" s="253"/>
      <c r="B706" s="1022"/>
      <c r="C706" s="1023"/>
      <c r="D706" s="285"/>
      <c r="E706" s="278"/>
      <c r="F706" s="283"/>
      <c r="G706" s="284"/>
    </row>
    <row r="707" spans="1:7">
      <c r="A707" s="253"/>
      <c r="B707" s="1022" t="s">
        <v>841</v>
      </c>
      <c r="C707" s="1023"/>
      <c r="D707" s="281"/>
      <c r="E707" s="278"/>
      <c r="F707" s="283"/>
      <c r="G707" s="284"/>
    </row>
    <row r="708" spans="1:7" ht="13.5" thickBot="1">
      <c r="A708" s="253"/>
      <c r="B708" s="1044" t="s">
        <v>841</v>
      </c>
      <c r="C708" s="1045"/>
      <c r="D708" s="286"/>
      <c r="E708" s="287"/>
      <c r="F708" s="288"/>
      <c r="G708" s="289"/>
    </row>
    <row r="709" spans="1:7" ht="14.25" thickTop="1" thickBot="1">
      <c r="A709" s="253"/>
      <c r="B709" s="1015"/>
      <c r="C709" s="1015"/>
      <c r="D709" s="1015"/>
      <c r="E709" s="1016"/>
      <c r="F709" s="290" t="s">
        <v>856</v>
      </c>
      <c r="G709" s="291">
        <f>SUM(G703:G708)</f>
        <v>583</v>
      </c>
    </row>
    <row r="710" spans="1:7" ht="14.25" thickTop="1" thickBot="1">
      <c r="A710" s="253"/>
      <c r="B710" s="1025"/>
      <c r="C710" s="1025"/>
      <c r="D710" s="1025"/>
      <c r="E710" s="1025"/>
      <c r="F710" s="1025"/>
      <c r="G710" s="1025"/>
    </row>
    <row r="711" spans="1:7" ht="13.5" thickTop="1">
      <c r="A711" s="253"/>
      <c r="B711" s="1019" t="s">
        <v>311</v>
      </c>
      <c r="C711" s="1020"/>
      <c r="D711" s="1020"/>
      <c r="E711" s="1020"/>
      <c r="F711" s="1020"/>
      <c r="G711" s="1024"/>
    </row>
    <row r="712" spans="1:7">
      <c r="A712" s="253"/>
      <c r="B712" s="1009" t="s">
        <v>838</v>
      </c>
      <c r="C712" s="1010"/>
      <c r="D712" s="266" t="s">
        <v>842</v>
      </c>
      <c r="E712" s="266" t="s">
        <v>853</v>
      </c>
      <c r="F712" s="267" t="s">
        <v>1047</v>
      </c>
      <c r="G712" s="268" t="s">
        <v>840</v>
      </c>
    </row>
    <row r="713" spans="1:7">
      <c r="A713" s="253"/>
      <c r="B713" s="272"/>
      <c r="C713" s="273"/>
      <c r="D713" s="269"/>
      <c r="E713" s="269" t="s">
        <v>312</v>
      </c>
      <c r="F713" s="270" t="s">
        <v>313</v>
      </c>
      <c r="G713" s="271" t="s">
        <v>314</v>
      </c>
    </row>
    <row r="714" spans="1:7">
      <c r="A714" s="259"/>
      <c r="B714" s="1042" t="str">
        <f>MATERIALES2!C13</f>
        <v>CEMENTO GRIS</v>
      </c>
      <c r="C714" s="1043"/>
      <c r="D714" s="277" t="s">
        <v>925</v>
      </c>
      <c r="E714" s="279">
        <v>7.28</v>
      </c>
      <c r="F714" s="292">
        <f>MATERIALES2!E13</f>
        <v>420</v>
      </c>
      <c r="G714" s="280">
        <f>ROUND(E714*F714,0)</f>
        <v>3058</v>
      </c>
    </row>
    <row r="715" spans="1:7" ht="14.25">
      <c r="A715" s="293"/>
      <c r="B715" s="1030" t="str">
        <f>MATERIALES2!C20</f>
        <v xml:space="preserve">ARENA </v>
      </c>
      <c r="C715" s="1031"/>
      <c r="D715" s="281" t="s">
        <v>1066</v>
      </c>
      <c r="E715" s="307">
        <v>2.3E-2</v>
      </c>
      <c r="F715" s="278">
        <f>MATERIALES2!E20</f>
        <v>35000</v>
      </c>
      <c r="G715" s="284">
        <f>ROUND(E715*F715,0)</f>
        <v>805</v>
      </c>
    </row>
    <row r="716" spans="1:7">
      <c r="A716" s="293"/>
      <c r="B716" s="1030" t="str">
        <f>MATERIALES2!C28</f>
        <v>AGUA</v>
      </c>
      <c r="C716" s="1031"/>
      <c r="D716" s="281" t="s">
        <v>1071</v>
      </c>
      <c r="E716" s="294">
        <v>4.74</v>
      </c>
      <c r="F716" s="278">
        <f>MATERIALES2!E28</f>
        <v>50</v>
      </c>
      <c r="G716" s="284">
        <f>ROUND(E716*F716,0)</f>
        <v>237</v>
      </c>
    </row>
    <row r="717" spans="1:7">
      <c r="A717" s="253"/>
      <c r="B717" s="1030"/>
      <c r="C717" s="1031"/>
      <c r="D717" s="281"/>
      <c r="E717" s="294"/>
      <c r="F717" s="278"/>
      <c r="G717" s="284"/>
    </row>
    <row r="718" spans="1:7">
      <c r="A718" s="253"/>
      <c r="B718" s="1030"/>
      <c r="C718" s="1031"/>
      <c r="D718" s="281"/>
      <c r="E718" s="294"/>
      <c r="F718" s="278"/>
      <c r="G718" s="284"/>
    </row>
    <row r="719" spans="1:7">
      <c r="A719" s="253"/>
      <c r="B719" s="1030"/>
      <c r="C719" s="1031"/>
      <c r="D719" s="281"/>
      <c r="E719" s="294"/>
      <c r="F719" s="278"/>
      <c r="G719" s="284"/>
    </row>
    <row r="720" spans="1:7">
      <c r="A720" s="253"/>
      <c r="B720" s="1030"/>
      <c r="C720" s="1031"/>
      <c r="D720" s="281"/>
      <c r="E720" s="294"/>
      <c r="F720" s="278"/>
      <c r="G720" s="284"/>
    </row>
    <row r="721" spans="1:8">
      <c r="A721" s="253"/>
      <c r="B721" s="1032" t="s">
        <v>841</v>
      </c>
      <c r="C721" s="1033"/>
      <c r="D721" s="294" t="s">
        <v>841</v>
      </c>
      <c r="E721" s="294"/>
      <c r="F721" s="278"/>
      <c r="G721" s="284"/>
      <c r="H721" s="505" t="s">
        <v>1670</v>
      </c>
    </row>
    <row r="722" spans="1:8" ht="13.5" thickBot="1">
      <c r="A722" s="253"/>
      <c r="B722" s="1034" t="s">
        <v>841</v>
      </c>
      <c r="C722" s="1035"/>
      <c r="D722" s="295" t="s">
        <v>841</v>
      </c>
      <c r="E722" s="295"/>
      <c r="F722" s="296"/>
      <c r="G722" s="289"/>
    </row>
    <row r="723" spans="1:8" ht="13.5" thickTop="1">
      <c r="A723" s="253"/>
      <c r="B723" s="1015"/>
      <c r="C723" s="1016"/>
      <c r="D723" s="1038" t="s">
        <v>856</v>
      </c>
      <c r="E723" s="1039"/>
      <c r="F723" s="297"/>
      <c r="G723" s="298">
        <f>SUM(G714:G722)</f>
        <v>4100</v>
      </c>
    </row>
    <row r="724" spans="1:8">
      <c r="A724" s="253"/>
      <c r="B724" s="1036"/>
      <c r="C724" s="1037"/>
      <c r="D724" s="1038" t="s">
        <v>857</v>
      </c>
      <c r="E724" s="1039"/>
      <c r="F724" s="299">
        <v>0.1</v>
      </c>
      <c r="G724" s="298">
        <f>ROUND(G723*F724,0)</f>
        <v>410</v>
      </c>
    </row>
    <row r="725" spans="1:8" ht="13.5" thickBot="1">
      <c r="A725" s="253"/>
      <c r="B725" s="1036"/>
      <c r="C725" s="1037"/>
      <c r="D725" s="1040" t="s">
        <v>320</v>
      </c>
      <c r="E725" s="1041"/>
      <c r="F725" s="300"/>
      <c r="G725" s="291">
        <f>+G723+G724</f>
        <v>4510</v>
      </c>
    </row>
    <row r="726" spans="1:8" ht="14.25" thickTop="1" thickBot="1">
      <c r="A726" s="253"/>
      <c r="B726" s="1025"/>
      <c r="C726" s="1025"/>
      <c r="D726" s="1025"/>
      <c r="E726" s="1025"/>
      <c r="F726" s="1025"/>
      <c r="G726" s="1025"/>
    </row>
    <row r="727" spans="1:8" ht="13.5" thickTop="1">
      <c r="A727" s="253"/>
      <c r="B727" s="1019" t="s">
        <v>858</v>
      </c>
      <c r="C727" s="1020"/>
      <c r="D727" s="1020"/>
      <c r="E727" s="1020"/>
      <c r="F727" s="1020"/>
      <c r="G727" s="1024"/>
    </row>
    <row r="728" spans="1:8">
      <c r="A728" s="253"/>
      <c r="B728" s="1009"/>
      <c r="C728" s="1010"/>
      <c r="D728" s="266" t="s">
        <v>301</v>
      </c>
      <c r="E728" s="266" t="s">
        <v>859</v>
      </c>
      <c r="F728" s="267" t="s">
        <v>839</v>
      </c>
      <c r="G728" s="268" t="s">
        <v>840</v>
      </c>
    </row>
    <row r="729" spans="1:8">
      <c r="A729" s="253"/>
      <c r="B729" s="1026" t="s">
        <v>838</v>
      </c>
      <c r="C729" s="1027"/>
      <c r="D729" s="269" t="s">
        <v>316</v>
      </c>
      <c r="E729" s="269" t="s">
        <v>315</v>
      </c>
      <c r="F729" s="270" t="s">
        <v>306</v>
      </c>
      <c r="G729" s="271" t="s">
        <v>319</v>
      </c>
    </row>
    <row r="730" spans="1:8">
      <c r="A730" s="253"/>
      <c r="B730" s="272"/>
      <c r="C730" s="273"/>
      <c r="D730" s="274"/>
      <c r="E730" s="274" t="s">
        <v>317</v>
      </c>
      <c r="F730" s="275" t="s">
        <v>318</v>
      </c>
      <c r="G730" s="276"/>
    </row>
    <row r="731" spans="1:8">
      <c r="A731" s="253"/>
      <c r="B731" s="1028" t="str">
        <f>'MANO DE OBRA'!B10</f>
        <v>AYUDANTE CUAD. TIPO AA</v>
      </c>
      <c r="C731" s="1029"/>
      <c r="D731" s="277">
        <v>1</v>
      </c>
      <c r="E731" s="292">
        <f>'MANO DE OBRA'!E10</f>
        <v>34680</v>
      </c>
      <c r="F731" s="279">
        <v>16.670000000000002</v>
      </c>
      <c r="G731" s="280">
        <f>ROUND(D731*E731/F731,0)</f>
        <v>2080</v>
      </c>
    </row>
    <row r="732" spans="1:8">
      <c r="A732" s="253"/>
      <c r="B732" s="1022" t="str">
        <f>'MANO DE OBRA'!B15</f>
        <v xml:space="preserve">OFICIAL CUAD. TIPO AA </v>
      </c>
      <c r="C732" s="1023"/>
      <c r="D732" s="281">
        <v>1</v>
      </c>
      <c r="E732" s="278">
        <f>'MANO DE OBRA'!E15</f>
        <v>71474</v>
      </c>
      <c r="F732" s="283">
        <v>16.670000000000002</v>
      </c>
      <c r="G732" s="284">
        <f>ROUND(D732*E732/F732,0)</f>
        <v>4288</v>
      </c>
    </row>
    <row r="733" spans="1:8">
      <c r="A733" s="253"/>
      <c r="B733" s="1022"/>
      <c r="C733" s="1023"/>
      <c r="D733" s="285"/>
      <c r="E733" s="278" t="s">
        <v>1409</v>
      </c>
      <c r="F733" s="283"/>
      <c r="G733" s="284"/>
    </row>
    <row r="734" spans="1:8">
      <c r="A734" s="253"/>
      <c r="B734" s="1022" t="s">
        <v>841</v>
      </c>
      <c r="C734" s="1023"/>
      <c r="D734" s="281"/>
      <c r="E734" s="278"/>
      <c r="F734" s="283"/>
      <c r="G734" s="284"/>
    </row>
    <row r="735" spans="1:8" ht="13.5" thickBot="1">
      <c r="A735" s="253"/>
      <c r="B735" s="1013" t="s">
        <v>841</v>
      </c>
      <c r="C735" s="1014"/>
      <c r="D735" s="286"/>
      <c r="E735" s="278"/>
      <c r="F735" s="288"/>
      <c r="G735" s="289"/>
    </row>
    <row r="736" spans="1:8" ht="14.25" thickTop="1" thickBot="1">
      <c r="A736" s="253"/>
      <c r="B736" s="1015"/>
      <c r="C736" s="1015"/>
      <c r="D736" s="1015"/>
      <c r="E736" s="1016"/>
      <c r="F736" s="301" t="s">
        <v>856</v>
      </c>
      <c r="G736" s="291">
        <f>SUM(G731:G735)</f>
        <v>6368</v>
      </c>
    </row>
    <row r="737" spans="1:8" ht="14.25" thickTop="1" thickBot="1">
      <c r="A737" s="253"/>
      <c r="B737" s="1017"/>
      <c r="C737" s="1017"/>
      <c r="D737" s="1017"/>
      <c r="E737" s="1017"/>
      <c r="F737" s="1017"/>
      <c r="G737" s="1017"/>
    </row>
    <row r="738" spans="1:8" ht="13.5" thickTop="1">
      <c r="A738" s="253"/>
      <c r="B738" s="1019" t="s">
        <v>321</v>
      </c>
      <c r="C738" s="1020"/>
      <c r="D738" s="1020"/>
      <c r="E738" s="1020"/>
      <c r="F738" s="1020"/>
      <c r="G738" s="1024"/>
    </row>
    <row r="739" spans="1:8">
      <c r="A739" s="253"/>
      <c r="B739" s="1009" t="s">
        <v>838</v>
      </c>
      <c r="C739" s="1010"/>
      <c r="D739" s="266" t="s">
        <v>301</v>
      </c>
      <c r="E739" s="266" t="s">
        <v>297</v>
      </c>
      <c r="F739" s="267" t="s">
        <v>839</v>
      </c>
      <c r="G739" s="268" t="s">
        <v>840</v>
      </c>
    </row>
    <row r="740" spans="1:8">
      <c r="A740" s="253"/>
      <c r="B740" s="272"/>
      <c r="C740" s="273"/>
      <c r="D740" s="274" t="s">
        <v>322</v>
      </c>
      <c r="E740" s="274" t="s">
        <v>323</v>
      </c>
      <c r="F740" s="275" t="s">
        <v>324</v>
      </c>
      <c r="G740" s="276" t="s">
        <v>325</v>
      </c>
    </row>
    <row r="741" spans="1:8">
      <c r="A741" s="253"/>
      <c r="B741" s="1011"/>
      <c r="C741" s="1012"/>
      <c r="D741" s="302"/>
      <c r="E741" s="302"/>
      <c r="F741" s="302"/>
      <c r="G741" s="303"/>
    </row>
    <row r="742" spans="1:8" ht="13.5" thickBot="1">
      <c r="A742" s="253"/>
      <c r="B742" s="1013" t="s">
        <v>841</v>
      </c>
      <c r="C742" s="1014"/>
      <c r="D742" s="286"/>
      <c r="E742" s="278"/>
      <c r="F742" s="288"/>
      <c r="G742" s="289"/>
    </row>
    <row r="743" spans="1:8" ht="14.25" thickTop="1" thickBot="1">
      <c r="A743" s="253"/>
      <c r="B743" s="1015"/>
      <c r="C743" s="1015"/>
      <c r="D743" s="1015"/>
      <c r="E743" s="1016"/>
      <c r="F743" s="301" t="s">
        <v>856</v>
      </c>
      <c r="G743" s="291">
        <f>SUM(G738:G742)</f>
        <v>0</v>
      </c>
    </row>
    <row r="744" spans="1:8" ht="14.25" thickTop="1" thickBot="1">
      <c r="A744" s="253"/>
      <c r="B744" s="1017"/>
      <c r="C744" s="1017"/>
      <c r="D744" s="1017"/>
      <c r="E744" s="1017"/>
      <c r="F744" s="1017"/>
      <c r="G744" s="1018"/>
    </row>
    <row r="745" spans="1:8" ht="13.5" thickTop="1">
      <c r="A745" s="253"/>
      <c r="B745" s="1019" t="s">
        <v>326</v>
      </c>
      <c r="C745" s="1020"/>
      <c r="D745" s="1020"/>
      <c r="E745" s="1020"/>
      <c r="F745" s="1021"/>
      <c r="G745" s="304">
        <f>+G709+G725+G736</f>
        <v>11461</v>
      </c>
    </row>
    <row r="746" spans="1:8">
      <c r="A746" s="253"/>
      <c r="B746" s="1003" t="s">
        <v>861</v>
      </c>
      <c r="C746" s="1004"/>
      <c r="D746" s="1004"/>
      <c r="E746" s="1005"/>
      <c r="F746" s="305">
        <f>'MANO DE OBRA'!D59</f>
        <v>0</v>
      </c>
      <c r="G746" s="306">
        <f>ROUND(G745*F746,0)</f>
        <v>0</v>
      </c>
    </row>
    <row r="747" spans="1:8" ht="13.5" thickBot="1">
      <c r="A747" s="253"/>
      <c r="B747" s="1006" t="s">
        <v>1049</v>
      </c>
      <c r="C747" s="1007"/>
      <c r="D747" s="1007"/>
      <c r="E747" s="1007"/>
      <c r="F747" s="1008"/>
      <c r="G747" s="291">
        <f>ROUND(G745+G746,-2)</f>
        <v>11500</v>
      </c>
      <c r="H747" s="505" t="s">
        <v>1670</v>
      </c>
    </row>
    <row r="748" spans="1:8" ht="15" thickTop="1">
      <c r="A748" s="253"/>
      <c r="B748" s="254" t="s">
        <v>303</v>
      </c>
      <c r="C748" s="1046"/>
      <c r="D748" s="1046"/>
      <c r="E748" s="1046"/>
      <c r="F748" s="257" t="s">
        <v>781</v>
      </c>
      <c r="G748" s="258" t="s">
        <v>1067</v>
      </c>
    </row>
    <row r="749" spans="1:8">
      <c r="A749" s="253"/>
      <c r="B749" s="256" t="s">
        <v>834</v>
      </c>
      <c r="C749" s="1047" t="s">
        <v>1416</v>
      </c>
      <c r="D749" s="1047"/>
      <c r="E749" s="1047"/>
      <c r="F749" s="260" t="s">
        <v>833</v>
      </c>
      <c r="G749" s="261" t="str">
        <f>'MANO DE OBRA'!D61</f>
        <v>Agosto de 2010</v>
      </c>
    </row>
    <row r="750" spans="1:8" ht="13.5" thickBot="1">
      <c r="A750" s="262"/>
      <c r="B750" s="263" t="s">
        <v>835</v>
      </c>
      <c r="C750" s="1048" t="s">
        <v>1430</v>
      </c>
      <c r="D750" s="1048"/>
      <c r="E750" s="1048"/>
      <c r="F750" s="1048"/>
      <c r="G750" s="1049"/>
    </row>
    <row r="751" spans="1:8" ht="14.25" thickTop="1" thickBot="1">
      <c r="A751" s="253"/>
      <c r="B751" s="1050"/>
      <c r="C751" s="1050"/>
      <c r="D751" s="1050"/>
      <c r="E751" s="1050"/>
      <c r="F751" s="1050"/>
      <c r="G751" s="1050"/>
    </row>
    <row r="752" spans="1:8" ht="13.5" thickTop="1">
      <c r="A752" s="253"/>
      <c r="B752" s="1019" t="s">
        <v>304</v>
      </c>
      <c r="C752" s="1020"/>
      <c r="D752" s="1020"/>
      <c r="E752" s="1020"/>
      <c r="F752" s="1020"/>
      <c r="G752" s="1024"/>
    </row>
    <row r="753" spans="1:7">
      <c r="A753" s="253"/>
      <c r="B753" s="264"/>
      <c r="C753" s="265"/>
      <c r="D753" s="266" t="s">
        <v>301</v>
      </c>
      <c r="E753" s="266" t="s">
        <v>1072</v>
      </c>
      <c r="F753" s="267" t="s">
        <v>839</v>
      </c>
      <c r="G753" s="268" t="s">
        <v>840</v>
      </c>
    </row>
    <row r="754" spans="1:7">
      <c r="A754" s="253"/>
      <c r="B754" s="1026" t="s">
        <v>838</v>
      </c>
      <c r="C754" s="1027"/>
      <c r="D754" s="269" t="s">
        <v>308</v>
      </c>
      <c r="E754" s="269" t="s">
        <v>305</v>
      </c>
      <c r="F754" s="270" t="s">
        <v>306</v>
      </c>
      <c r="G754" s="271" t="s">
        <v>310</v>
      </c>
    </row>
    <row r="755" spans="1:7">
      <c r="A755" s="253"/>
      <c r="B755" s="272"/>
      <c r="C755" s="273"/>
      <c r="D755" s="274"/>
      <c r="E755" s="274" t="s">
        <v>309</v>
      </c>
      <c r="F755" s="275" t="s">
        <v>307</v>
      </c>
      <c r="G755" s="276"/>
    </row>
    <row r="756" spans="1:7">
      <c r="A756" s="262"/>
      <c r="B756" s="1028" t="str">
        <f>'MAQUINARIA Y EQUIPOS'!C28</f>
        <v>HERRAMIENTAS MENORES</v>
      </c>
      <c r="C756" s="1029"/>
      <c r="D756" s="277">
        <v>1</v>
      </c>
      <c r="E756" s="278">
        <f>ROUND(G789*0.05,0)</f>
        <v>318</v>
      </c>
      <c r="F756" s="279">
        <v>1</v>
      </c>
      <c r="G756" s="280">
        <f>ROUND(D756*E756/F756,0)</f>
        <v>318</v>
      </c>
    </row>
    <row r="757" spans="1:7">
      <c r="A757" s="253"/>
      <c r="B757" s="1022" t="str">
        <f>'MAQUINARIA Y EQUIPOS'!C9</f>
        <v>ANDAMIO TUBULAR 1.50 m</v>
      </c>
      <c r="C757" s="1023"/>
      <c r="D757" s="281">
        <v>4</v>
      </c>
      <c r="E757" s="282">
        <f>'MAQUINARIA Y EQUIPOS'!D9</f>
        <v>754</v>
      </c>
      <c r="F757" s="283">
        <v>16.670000000000002</v>
      </c>
      <c r="G757" s="284">
        <f>ROUND(D757*E757/F757,0)</f>
        <v>181</v>
      </c>
    </row>
    <row r="758" spans="1:7">
      <c r="A758" s="253"/>
      <c r="B758" s="1022" t="str">
        <f>'MAQUINARIA Y EQUIPOS'!C47</f>
        <v>TABLONES 3m</v>
      </c>
      <c r="C758" s="1023"/>
      <c r="D758" s="281">
        <v>4</v>
      </c>
      <c r="E758" s="282">
        <f>'MAQUINARIA Y EQUIPOS'!D47</f>
        <v>348</v>
      </c>
      <c r="F758" s="283">
        <v>16.670000000000002</v>
      </c>
      <c r="G758" s="284">
        <f>ROUND(D758*E758/F758,0)</f>
        <v>84</v>
      </c>
    </row>
    <row r="759" spans="1:7">
      <c r="A759" s="253"/>
      <c r="B759" s="1022"/>
      <c r="C759" s="1023"/>
      <c r="D759" s="285"/>
      <c r="E759" s="278"/>
      <c r="F759" s="283"/>
      <c r="G759" s="284"/>
    </row>
    <row r="760" spans="1:7">
      <c r="A760" s="253"/>
      <c r="B760" s="1022" t="s">
        <v>841</v>
      </c>
      <c r="C760" s="1023"/>
      <c r="D760" s="281"/>
      <c r="E760" s="278"/>
      <c r="F760" s="283"/>
      <c r="G760" s="284"/>
    </row>
    <row r="761" spans="1:7" ht="13.5" thickBot="1">
      <c r="A761" s="253"/>
      <c r="B761" s="1044" t="s">
        <v>841</v>
      </c>
      <c r="C761" s="1045"/>
      <c r="D761" s="286"/>
      <c r="E761" s="287"/>
      <c r="F761" s="288"/>
      <c r="G761" s="289"/>
    </row>
    <row r="762" spans="1:7" ht="14.25" thickTop="1" thickBot="1">
      <c r="A762" s="253"/>
      <c r="B762" s="1015"/>
      <c r="C762" s="1015"/>
      <c r="D762" s="1015"/>
      <c r="E762" s="1016"/>
      <c r="F762" s="290" t="s">
        <v>856</v>
      </c>
      <c r="G762" s="291">
        <f>SUM(G756:G761)</f>
        <v>583</v>
      </c>
    </row>
    <row r="763" spans="1:7" ht="14.25" thickTop="1" thickBot="1">
      <c r="A763" s="253"/>
      <c r="B763" s="1025"/>
      <c r="C763" s="1025"/>
      <c r="D763" s="1025"/>
      <c r="E763" s="1025"/>
      <c r="F763" s="1025"/>
      <c r="G763" s="1025"/>
    </row>
    <row r="764" spans="1:7" ht="13.5" thickTop="1">
      <c r="A764" s="253"/>
      <c r="B764" s="1019" t="s">
        <v>311</v>
      </c>
      <c r="C764" s="1020"/>
      <c r="D764" s="1020"/>
      <c r="E764" s="1020"/>
      <c r="F764" s="1020"/>
      <c r="G764" s="1024"/>
    </row>
    <row r="765" spans="1:7">
      <c r="A765" s="253"/>
      <c r="B765" s="1009" t="s">
        <v>838</v>
      </c>
      <c r="C765" s="1010"/>
      <c r="D765" s="266" t="s">
        <v>842</v>
      </c>
      <c r="E765" s="266" t="s">
        <v>853</v>
      </c>
      <c r="F765" s="267" t="s">
        <v>1047</v>
      </c>
      <c r="G765" s="268" t="s">
        <v>840</v>
      </c>
    </row>
    <row r="766" spans="1:7">
      <c r="A766" s="253"/>
      <c r="B766" s="272"/>
      <c r="C766" s="273"/>
      <c r="D766" s="269"/>
      <c r="E766" s="269" t="s">
        <v>312</v>
      </c>
      <c r="F766" s="270" t="s">
        <v>313</v>
      </c>
      <c r="G766" s="271" t="s">
        <v>314</v>
      </c>
    </row>
    <row r="767" spans="1:7">
      <c r="A767" s="259"/>
      <c r="B767" s="1042" t="str">
        <f>MATERIALES2!C13</f>
        <v>CEMENTO GRIS</v>
      </c>
      <c r="C767" s="1043"/>
      <c r="D767" s="277" t="s">
        <v>925</v>
      </c>
      <c r="E767" s="279">
        <v>6.04</v>
      </c>
      <c r="F767" s="292">
        <f>MATERIALES2!E13</f>
        <v>420</v>
      </c>
      <c r="G767" s="280">
        <f>ROUND(E767*F767,0)</f>
        <v>2537</v>
      </c>
    </row>
    <row r="768" spans="1:7" ht="14.25">
      <c r="A768" s="293"/>
      <c r="B768" s="1030" t="str">
        <f>MATERIALES2!C20</f>
        <v xml:space="preserve">ARENA </v>
      </c>
      <c r="C768" s="1031"/>
      <c r="D768" s="281" t="s">
        <v>1066</v>
      </c>
      <c r="E768" s="307">
        <v>2.4E-2</v>
      </c>
      <c r="F768" s="278">
        <f>MATERIALES2!E20</f>
        <v>35000</v>
      </c>
      <c r="G768" s="284">
        <f>ROUND(E768*F768,0)</f>
        <v>840</v>
      </c>
    </row>
    <row r="769" spans="1:8">
      <c r="A769" s="293"/>
      <c r="B769" s="1030" t="str">
        <f>MATERIALES2!C28</f>
        <v>AGUA</v>
      </c>
      <c r="C769" s="1031"/>
      <c r="D769" s="281" t="s">
        <v>1071</v>
      </c>
      <c r="E769" s="294">
        <v>4.74</v>
      </c>
      <c r="F769" s="278">
        <f>MATERIALES2!E28</f>
        <v>50</v>
      </c>
      <c r="G769" s="284">
        <f>ROUND(E769*F769,0)</f>
        <v>237</v>
      </c>
    </row>
    <row r="770" spans="1:8">
      <c r="A770" s="253"/>
      <c r="B770" s="1030"/>
      <c r="C770" s="1031"/>
      <c r="D770" s="281"/>
      <c r="E770" s="294"/>
      <c r="F770" s="278"/>
      <c r="G770" s="284"/>
    </row>
    <row r="771" spans="1:8">
      <c r="A771" s="253"/>
      <c r="B771" s="1030"/>
      <c r="C771" s="1031"/>
      <c r="D771" s="281"/>
      <c r="E771" s="294"/>
      <c r="F771" s="278"/>
      <c r="G771" s="284"/>
    </row>
    <row r="772" spans="1:8">
      <c r="A772" s="253"/>
      <c r="B772" s="1030"/>
      <c r="C772" s="1031"/>
      <c r="D772" s="281"/>
      <c r="E772" s="294"/>
      <c r="F772" s="278"/>
      <c r="G772" s="284"/>
    </row>
    <row r="773" spans="1:8">
      <c r="A773" s="253"/>
      <c r="B773" s="1030"/>
      <c r="C773" s="1031"/>
      <c r="D773" s="281"/>
      <c r="E773" s="294"/>
      <c r="F773" s="278"/>
      <c r="G773" s="284"/>
    </row>
    <row r="774" spans="1:8">
      <c r="A774" s="253"/>
      <c r="B774" s="1032" t="s">
        <v>841</v>
      </c>
      <c r="C774" s="1033"/>
      <c r="D774" s="294" t="s">
        <v>841</v>
      </c>
      <c r="E774" s="294"/>
      <c r="F774" s="278"/>
      <c r="G774" s="284"/>
      <c r="H774" s="505" t="s">
        <v>1670</v>
      </c>
    </row>
    <row r="775" spans="1:8" ht="13.5" thickBot="1">
      <c r="A775" s="253"/>
      <c r="B775" s="1034" t="s">
        <v>841</v>
      </c>
      <c r="C775" s="1035"/>
      <c r="D775" s="295" t="s">
        <v>841</v>
      </c>
      <c r="E775" s="295"/>
      <c r="F775" s="296"/>
      <c r="G775" s="289"/>
    </row>
    <row r="776" spans="1:8" ht="13.5" thickTop="1">
      <c r="A776" s="253"/>
      <c r="B776" s="1015"/>
      <c r="C776" s="1016"/>
      <c r="D776" s="1038" t="s">
        <v>856</v>
      </c>
      <c r="E776" s="1039"/>
      <c r="F776" s="297"/>
      <c r="G776" s="298">
        <f>SUM(G767:G775)</f>
        <v>3614</v>
      </c>
    </row>
    <row r="777" spans="1:8">
      <c r="A777" s="253"/>
      <c r="B777" s="1036"/>
      <c r="C777" s="1037"/>
      <c r="D777" s="1038" t="s">
        <v>857</v>
      </c>
      <c r="E777" s="1039"/>
      <c r="F777" s="299">
        <v>0.1</v>
      </c>
      <c r="G777" s="298">
        <f>ROUND(G776*F777,0)</f>
        <v>361</v>
      </c>
    </row>
    <row r="778" spans="1:8" ht="13.5" thickBot="1">
      <c r="A778" s="253"/>
      <c r="B778" s="1036"/>
      <c r="C778" s="1037"/>
      <c r="D778" s="1040" t="s">
        <v>320</v>
      </c>
      <c r="E778" s="1041"/>
      <c r="F778" s="300"/>
      <c r="G778" s="291">
        <f>+G776+G777</f>
        <v>3975</v>
      </c>
    </row>
    <row r="779" spans="1:8" ht="14.25" thickTop="1" thickBot="1">
      <c r="A779" s="253"/>
      <c r="B779" s="1025"/>
      <c r="C779" s="1025"/>
      <c r="D779" s="1025"/>
      <c r="E779" s="1025"/>
      <c r="F779" s="1025"/>
      <c r="G779" s="1025"/>
    </row>
    <row r="780" spans="1:8" ht="13.5" thickTop="1">
      <c r="A780" s="253"/>
      <c r="B780" s="1019" t="s">
        <v>858</v>
      </c>
      <c r="C780" s="1020"/>
      <c r="D780" s="1020"/>
      <c r="E780" s="1020"/>
      <c r="F780" s="1020"/>
      <c r="G780" s="1024"/>
    </row>
    <row r="781" spans="1:8">
      <c r="A781" s="253"/>
      <c r="B781" s="1009"/>
      <c r="C781" s="1010"/>
      <c r="D781" s="266" t="s">
        <v>301</v>
      </c>
      <c r="E781" s="266" t="s">
        <v>859</v>
      </c>
      <c r="F781" s="267" t="s">
        <v>839</v>
      </c>
      <c r="G781" s="268" t="s">
        <v>840</v>
      </c>
    </row>
    <row r="782" spans="1:8">
      <c r="A782" s="253"/>
      <c r="B782" s="1026" t="s">
        <v>838</v>
      </c>
      <c r="C782" s="1027"/>
      <c r="D782" s="269" t="s">
        <v>316</v>
      </c>
      <c r="E782" s="269" t="s">
        <v>315</v>
      </c>
      <c r="F782" s="270" t="s">
        <v>306</v>
      </c>
      <c r="G782" s="271" t="s">
        <v>319</v>
      </c>
    </row>
    <row r="783" spans="1:8">
      <c r="A783" s="253"/>
      <c r="B783" s="272"/>
      <c r="C783" s="273"/>
      <c r="D783" s="274"/>
      <c r="E783" s="274" t="s">
        <v>317</v>
      </c>
      <c r="F783" s="275" t="s">
        <v>318</v>
      </c>
      <c r="G783" s="276"/>
    </row>
    <row r="784" spans="1:8">
      <c r="A784" s="253"/>
      <c r="B784" s="1028" t="str">
        <f>'MANO DE OBRA'!B10</f>
        <v>AYUDANTE CUAD. TIPO AA</v>
      </c>
      <c r="C784" s="1029"/>
      <c r="D784" s="277">
        <v>1</v>
      </c>
      <c r="E784" s="292">
        <f>'MANO DE OBRA'!E10</f>
        <v>34680</v>
      </c>
      <c r="F784" s="279">
        <v>16.670000000000002</v>
      </c>
      <c r="G784" s="280">
        <f>ROUND(D784*E784/F784,0)</f>
        <v>2080</v>
      </c>
    </row>
    <row r="785" spans="1:8">
      <c r="A785" s="253"/>
      <c r="B785" s="1022" t="str">
        <f>'MANO DE OBRA'!B15</f>
        <v xml:space="preserve">OFICIAL CUAD. TIPO AA </v>
      </c>
      <c r="C785" s="1023"/>
      <c r="D785" s="281">
        <v>1</v>
      </c>
      <c r="E785" s="278">
        <f>'MANO DE OBRA'!E15</f>
        <v>71474</v>
      </c>
      <c r="F785" s="283">
        <v>16.670000000000002</v>
      </c>
      <c r="G785" s="284">
        <f>ROUND(D785*E785/F785,0)</f>
        <v>4288</v>
      </c>
    </row>
    <row r="786" spans="1:8">
      <c r="A786" s="253"/>
      <c r="B786" s="1022"/>
      <c r="C786" s="1023"/>
      <c r="D786" s="285"/>
      <c r="E786" s="278" t="s">
        <v>1409</v>
      </c>
      <c r="F786" s="283"/>
      <c r="G786" s="284"/>
    </row>
    <row r="787" spans="1:8">
      <c r="A787" s="253"/>
      <c r="B787" s="1022" t="s">
        <v>841</v>
      </c>
      <c r="C787" s="1023"/>
      <c r="D787" s="281"/>
      <c r="E787" s="278"/>
      <c r="F787" s="283"/>
      <c r="G787" s="284"/>
    </row>
    <row r="788" spans="1:8" ht="13.5" thickBot="1">
      <c r="A788" s="253"/>
      <c r="B788" s="1013" t="s">
        <v>841</v>
      </c>
      <c r="C788" s="1014"/>
      <c r="D788" s="286"/>
      <c r="E788" s="278"/>
      <c r="F788" s="288"/>
      <c r="G788" s="289"/>
    </row>
    <row r="789" spans="1:8" ht="14.25" thickTop="1" thickBot="1">
      <c r="A789" s="253"/>
      <c r="B789" s="1015"/>
      <c r="C789" s="1015"/>
      <c r="D789" s="1015"/>
      <c r="E789" s="1016"/>
      <c r="F789" s="301" t="s">
        <v>856</v>
      </c>
      <c r="G789" s="291">
        <f>SUM(G784:G788)</f>
        <v>6368</v>
      </c>
    </row>
    <row r="790" spans="1:8" ht="14.25" thickTop="1" thickBot="1">
      <c r="A790" s="253"/>
      <c r="B790" s="1017"/>
      <c r="C790" s="1017"/>
      <c r="D790" s="1017"/>
      <c r="E790" s="1017"/>
      <c r="F790" s="1017"/>
      <c r="G790" s="1017"/>
    </row>
    <row r="791" spans="1:8" ht="13.5" thickTop="1">
      <c r="A791" s="253"/>
      <c r="B791" s="1019" t="s">
        <v>321</v>
      </c>
      <c r="C791" s="1020"/>
      <c r="D791" s="1020"/>
      <c r="E791" s="1020"/>
      <c r="F791" s="1020"/>
      <c r="G791" s="1024"/>
    </row>
    <row r="792" spans="1:8">
      <c r="A792" s="253"/>
      <c r="B792" s="1009" t="s">
        <v>838</v>
      </c>
      <c r="C792" s="1010"/>
      <c r="D792" s="266" t="s">
        <v>301</v>
      </c>
      <c r="E792" s="266" t="s">
        <v>297</v>
      </c>
      <c r="F792" s="267" t="s">
        <v>839</v>
      </c>
      <c r="G792" s="268" t="s">
        <v>840</v>
      </c>
    </row>
    <row r="793" spans="1:8">
      <c r="A793" s="253"/>
      <c r="B793" s="272"/>
      <c r="C793" s="273"/>
      <c r="D793" s="274" t="s">
        <v>322</v>
      </c>
      <c r="E793" s="274" t="s">
        <v>323</v>
      </c>
      <c r="F793" s="275" t="s">
        <v>324</v>
      </c>
      <c r="G793" s="276" t="s">
        <v>325</v>
      </c>
    </row>
    <row r="794" spans="1:8">
      <c r="A794" s="253"/>
      <c r="B794" s="1011"/>
      <c r="C794" s="1012"/>
      <c r="D794" s="302"/>
      <c r="E794" s="302"/>
      <c r="F794" s="302"/>
      <c r="G794" s="303"/>
    </row>
    <row r="795" spans="1:8" ht="13.5" thickBot="1">
      <c r="A795" s="253"/>
      <c r="B795" s="1013" t="s">
        <v>841</v>
      </c>
      <c r="C795" s="1014"/>
      <c r="D795" s="286"/>
      <c r="E795" s="278"/>
      <c r="F795" s="288"/>
      <c r="G795" s="289"/>
    </row>
    <row r="796" spans="1:8" ht="14.25" thickTop="1" thickBot="1">
      <c r="A796" s="253"/>
      <c r="B796" s="1015"/>
      <c r="C796" s="1015"/>
      <c r="D796" s="1015"/>
      <c r="E796" s="1016"/>
      <c r="F796" s="301" t="s">
        <v>856</v>
      </c>
      <c r="G796" s="291">
        <f>SUM(G791:G795)</f>
        <v>0</v>
      </c>
    </row>
    <row r="797" spans="1:8" ht="14.25" thickTop="1" thickBot="1">
      <c r="A797" s="253"/>
      <c r="B797" s="1017"/>
      <c r="C797" s="1017"/>
      <c r="D797" s="1017"/>
      <c r="E797" s="1017"/>
      <c r="F797" s="1017"/>
      <c r="G797" s="1018"/>
    </row>
    <row r="798" spans="1:8" ht="13.5" thickTop="1">
      <c r="A798" s="253"/>
      <c r="B798" s="1019" t="s">
        <v>326</v>
      </c>
      <c r="C798" s="1020"/>
      <c r="D798" s="1020"/>
      <c r="E798" s="1020"/>
      <c r="F798" s="1021"/>
      <c r="G798" s="304">
        <f>+G762+G778+G789</f>
        <v>10926</v>
      </c>
    </row>
    <row r="799" spans="1:8">
      <c r="A799" s="253"/>
      <c r="B799" s="1003" t="s">
        <v>861</v>
      </c>
      <c r="C799" s="1004"/>
      <c r="D799" s="1004"/>
      <c r="E799" s="1005"/>
      <c r="F799" s="305">
        <f>'MANO DE OBRA'!D59</f>
        <v>0</v>
      </c>
      <c r="G799" s="306">
        <f>ROUND(G798*F799,0)</f>
        <v>0</v>
      </c>
    </row>
    <row r="800" spans="1:8" ht="13.5" thickBot="1">
      <c r="A800" s="253"/>
      <c r="B800" s="1006" t="s">
        <v>1049</v>
      </c>
      <c r="C800" s="1007"/>
      <c r="D800" s="1007"/>
      <c r="E800" s="1007"/>
      <c r="F800" s="1008"/>
      <c r="G800" s="291">
        <f>ROUND(G798+G799,-2)</f>
        <v>10900</v>
      </c>
      <c r="H800" s="505" t="s">
        <v>1670</v>
      </c>
    </row>
    <row r="801" spans="1:7" ht="15" thickTop="1">
      <c r="A801" s="253"/>
      <c r="B801" s="254" t="s">
        <v>303</v>
      </c>
      <c r="C801" s="1046"/>
      <c r="D801" s="1046"/>
      <c r="E801" s="1046"/>
      <c r="F801" s="257" t="s">
        <v>781</v>
      </c>
      <c r="G801" s="258" t="s">
        <v>1067</v>
      </c>
    </row>
    <row r="802" spans="1:7">
      <c r="A802" s="253"/>
      <c r="B802" s="256" t="s">
        <v>834</v>
      </c>
      <c r="C802" s="1047" t="s">
        <v>1416</v>
      </c>
      <c r="D802" s="1047"/>
      <c r="E802" s="1047"/>
      <c r="F802" s="260" t="s">
        <v>833</v>
      </c>
      <c r="G802" s="261" t="str">
        <f>'MANO DE OBRA'!D61</f>
        <v>Agosto de 2010</v>
      </c>
    </row>
    <row r="803" spans="1:7" ht="13.5" thickBot="1">
      <c r="A803" s="262"/>
      <c r="B803" s="263" t="s">
        <v>835</v>
      </c>
      <c r="C803" s="1048" t="s">
        <v>1431</v>
      </c>
      <c r="D803" s="1048"/>
      <c r="E803" s="1048"/>
      <c r="F803" s="1048"/>
      <c r="G803" s="1049"/>
    </row>
    <row r="804" spans="1:7" ht="14.25" thickTop="1" thickBot="1">
      <c r="A804" s="253"/>
      <c r="B804" s="1050"/>
      <c r="C804" s="1050"/>
      <c r="D804" s="1050"/>
      <c r="E804" s="1050"/>
      <c r="F804" s="1050"/>
      <c r="G804" s="1050"/>
    </row>
    <row r="805" spans="1:7" ht="13.5" thickTop="1">
      <c r="A805" s="253"/>
      <c r="B805" s="1019" t="s">
        <v>304</v>
      </c>
      <c r="C805" s="1020"/>
      <c r="D805" s="1020"/>
      <c r="E805" s="1020"/>
      <c r="F805" s="1020"/>
      <c r="G805" s="1024"/>
    </row>
    <row r="806" spans="1:7">
      <c r="A806" s="253"/>
      <c r="B806" s="264"/>
      <c r="C806" s="265"/>
      <c r="D806" s="266" t="s">
        <v>301</v>
      </c>
      <c r="E806" s="266" t="s">
        <v>1072</v>
      </c>
      <c r="F806" s="267" t="s">
        <v>839</v>
      </c>
      <c r="G806" s="268" t="s">
        <v>840</v>
      </c>
    </row>
    <row r="807" spans="1:7">
      <c r="A807" s="253"/>
      <c r="B807" s="1026" t="s">
        <v>838</v>
      </c>
      <c r="C807" s="1027"/>
      <c r="D807" s="269" t="s">
        <v>308</v>
      </c>
      <c r="E807" s="269" t="s">
        <v>305</v>
      </c>
      <c r="F807" s="270" t="s">
        <v>306</v>
      </c>
      <c r="G807" s="271" t="s">
        <v>310</v>
      </c>
    </row>
    <row r="808" spans="1:7">
      <c r="A808" s="253"/>
      <c r="B808" s="272"/>
      <c r="C808" s="273"/>
      <c r="D808" s="274"/>
      <c r="E808" s="274" t="s">
        <v>309</v>
      </c>
      <c r="F808" s="275" t="s">
        <v>307</v>
      </c>
      <c r="G808" s="276"/>
    </row>
    <row r="809" spans="1:7">
      <c r="A809" s="262"/>
      <c r="B809" s="1028" t="str">
        <f>'MAQUINARIA Y EQUIPOS'!C28</f>
        <v>HERRAMIENTAS MENORES</v>
      </c>
      <c r="C809" s="1029"/>
      <c r="D809" s="277">
        <v>1</v>
      </c>
      <c r="E809" s="278">
        <f>ROUND(G842*0.05,0)</f>
        <v>371</v>
      </c>
      <c r="F809" s="279">
        <v>1</v>
      </c>
      <c r="G809" s="280">
        <f>ROUND(D809*E809/F809,0)</f>
        <v>371</v>
      </c>
    </row>
    <row r="810" spans="1:7">
      <c r="A810" s="253"/>
      <c r="B810" s="1022" t="str">
        <f>'MAQUINARIA Y EQUIPOS'!C9</f>
        <v>ANDAMIO TUBULAR 1.50 m</v>
      </c>
      <c r="C810" s="1023"/>
      <c r="D810" s="281">
        <v>4</v>
      </c>
      <c r="E810" s="282">
        <f>'MAQUINARIA Y EQUIPOS'!D9</f>
        <v>754</v>
      </c>
      <c r="F810" s="283">
        <v>14.29</v>
      </c>
      <c r="G810" s="284">
        <f>ROUND(D810*E810/F810,0)</f>
        <v>211</v>
      </c>
    </row>
    <row r="811" spans="1:7">
      <c r="A811" s="253"/>
      <c r="B811" s="1022" t="str">
        <f>'MAQUINARIA Y EQUIPOS'!C47</f>
        <v>TABLONES 3m</v>
      </c>
      <c r="C811" s="1023"/>
      <c r="D811" s="281">
        <v>4</v>
      </c>
      <c r="E811" s="282">
        <f>'MAQUINARIA Y EQUIPOS'!D47</f>
        <v>348</v>
      </c>
      <c r="F811" s="283">
        <v>14.29</v>
      </c>
      <c r="G811" s="284">
        <f>ROUND(D811*E811/F811,0)</f>
        <v>97</v>
      </c>
    </row>
    <row r="812" spans="1:7">
      <c r="A812" s="253"/>
      <c r="B812" s="1022"/>
      <c r="C812" s="1023"/>
      <c r="D812" s="285"/>
      <c r="E812" s="278"/>
      <c r="F812" s="283"/>
      <c r="G812" s="284"/>
    </row>
    <row r="813" spans="1:7">
      <c r="A813" s="253"/>
      <c r="B813" s="1022" t="s">
        <v>841</v>
      </c>
      <c r="C813" s="1023"/>
      <c r="D813" s="281"/>
      <c r="E813" s="278"/>
      <c r="F813" s="283"/>
      <c r="G813" s="284"/>
    </row>
    <row r="814" spans="1:7" ht="13.5" thickBot="1">
      <c r="A814" s="253"/>
      <c r="B814" s="1044" t="s">
        <v>841</v>
      </c>
      <c r="C814" s="1045"/>
      <c r="D814" s="286"/>
      <c r="E814" s="287"/>
      <c r="F814" s="288"/>
      <c r="G814" s="289"/>
    </row>
    <row r="815" spans="1:7" ht="14.25" thickTop="1" thickBot="1">
      <c r="A815" s="253"/>
      <c r="B815" s="1015"/>
      <c r="C815" s="1015"/>
      <c r="D815" s="1015"/>
      <c r="E815" s="1016"/>
      <c r="F815" s="290" t="s">
        <v>856</v>
      </c>
      <c r="G815" s="291">
        <f>SUM(G809:G814)</f>
        <v>679</v>
      </c>
    </row>
    <row r="816" spans="1:7" ht="14.25" thickTop="1" thickBot="1">
      <c r="A816" s="253"/>
      <c r="B816" s="1025"/>
      <c r="C816" s="1025"/>
      <c r="D816" s="1025"/>
      <c r="E816" s="1025"/>
      <c r="F816" s="1025"/>
      <c r="G816" s="1025"/>
    </row>
    <row r="817" spans="1:8" ht="13.5" thickTop="1">
      <c r="A817" s="253"/>
      <c r="B817" s="1019" t="s">
        <v>311</v>
      </c>
      <c r="C817" s="1020"/>
      <c r="D817" s="1020"/>
      <c r="E817" s="1020"/>
      <c r="F817" s="1020"/>
      <c r="G817" s="1024"/>
    </row>
    <row r="818" spans="1:8">
      <c r="A818" s="253"/>
      <c r="B818" s="1009" t="s">
        <v>838</v>
      </c>
      <c r="C818" s="1010"/>
      <c r="D818" s="266" t="s">
        <v>842</v>
      </c>
      <c r="E818" s="266" t="s">
        <v>853</v>
      </c>
      <c r="F818" s="267" t="s">
        <v>1047</v>
      </c>
      <c r="G818" s="268" t="s">
        <v>840</v>
      </c>
    </row>
    <row r="819" spans="1:8">
      <c r="A819" s="253"/>
      <c r="B819" s="272"/>
      <c r="C819" s="273"/>
      <c r="D819" s="269"/>
      <c r="E819" s="269" t="s">
        <v>312</v>
      </c>
      <c r="F819" s="270" t="s">
        <v>313</v>
      </c>
      <c r="G819" s="271" t="s">
        <v>314</v>
      </c>
    </row>
    <row r="820" spans="1:8">
      <c r="A820" s="259"/>
      <c r="B820" s="1042" t="str">
        <f>MATERIALES2!C13</f>
        <v>CEMENTO GRIS</v>
      </c>
      <c r="C820" s="1043"/>
      <c r="D820" s="277" t="s">
        <v>925</v>
      </c>
      <c r="E820" s="279">
        <v>6.04</v>
      </c>
      <c r="F820" s="292">
        <f>MATERIALES2!E13</f>
        <v>420</v>
      </c>
      <c r="G820" s="280">
        <f>ROUND(E820*F820,0)</f>
        <v>2537</v>
      </c>
    </row>
    <row r="821" spans="1:8" ht="14.25">
      <c r="A821" s="293"/>
      <c r="B821" s="1030" t="str">
        <f>MATERIALES2!C20</f>
        <v xml:space="preserve">ARENA </v>
      </c>
      <c r="C821" s="1031"/>
      <c r="D821" s="281" t="s">
        <v>1066</v>
      </c>
      <c r="E821" s="307">
        <v>2.4E-2</v>
      </c>
      <c r="F821" s="278">
        <f>MATERIALES2!E20</f>
        <v>35000</v>
      </c>
      <c r="G821" s="284">
        <f>ROUND(E821*F821,0)</f>
        <v>840</v>
      </c>
    </row>
    <row r="822" spans="1:8">
      <c r="A822" s="293"/>
      <c r="B822" s="1030" t="str">
        <f>MATERIALES2!C28</f>
        <v>AGUA</v>
      </c>
      <c r="C822" s="1031"/>
      <c r="D822" s="281" t="s">
        <v>1071</v>
      </c>
      <c r="E822" s="294">
        <v>4.74</v>
      </c>
      <c r="F822" s="278">
        <f>MATERIALES2!E28</f>
        <v>50</v>
      </c>
      <c r="G822" s="284">
        <f>ROUND(E822*F822,0)</f>
        <v>237</v>
      </c>
    </row>
    <row r="823" spans="1:8">
      <c r="A823" s="253"/>
      <c r="B823" s="1030"/>
      <c r="C823" s="1031"/>
      <c r="D823" s="281"/>
      <c r="E823" s="294"/>
      <c r="F823" s="278"/>
      <c r="G823" s="284"/>
    </row>
    <row r="824" spans="1:8">
      <c r="A824" s="253"/>
      <c r="B824" s="1030"/>
      <c r="C824" s="1031"/>
      <c r="D824" s="281"/>
      <c r="E824" s="294"/>
      <c r="F824" s="278"/>
      <c r="G824" s="284"/>
    </row>
    <row r="825" spans="1:8">
      <c r="A825" s="253"/>
      <c r="B825" s="1030"/>
      <c r="C825" s="1031"/>
      <c r="D825" s="281"/>
      <c r="E825" s="294"/>
      <c r="F825" s="278"/>
      <c r="G825" s="284"/>
    </row>
    <row r="826" spans="1:8">
      <c r="A826" s="253"/>
      <c r="B826" s="1030"/>
      <c r="C826" s="1031"/>
      <c r="D826" s="281"/>
      <c r="E826" s="294"/>
      <c r="F826" s="278"/>
      <c r="G826" s="284"/>
    </row>
    <row r="827" spans="1:8">
      <c r="A827" s="253"/>
      <c r="B827" s="1032" t="s">
        <v>841</v>
      </c>
      <c r="C827" s="1033"/>
      <c r="D827" s="294" t="s">
        <v>841</v>
      </c>
      <c r="E827" s="294"/>
      <c r="F827" s="278"/>
      <c r="G827" s="284"/>
      <c r="H827" s="505" t="s">
        <v>1670</v>
      </c>
    </row>
    <row r="828" spans="1:8" ht="13.5" thickBot="1">
      <c r="A828" s="253"/>
      <c r="B828" s="1034" t="s">
        <v>841</v>
      </c>
      <c r="C828" s="1035"/>
      <c r="D828" s="295" t="s">
        <v>841</v>
      </c>
      <c r="E828" s="295"/>
      <c r="F828" s="296"/>
      <c r="G828" s="289"/>
    </row>
    <row r="829" spans="1:8" ht="13.5" thickTop="1">
      <c r="A829" s="253"/>
      <c r="B829" s="1015"/>
      <c r="C829" s="1016"/>
      <c r="D829" s="1038" t="s">
        <v>856</v>
      </c>
      <c r="E829" s="1039"/>
      <c r="F829" s="297"/>
      <c r="G829" s="298">
        <f>SUM(G820:G828)</f>
        <v>3614</v>
      </c>
    </row>
    <row r="830" spans="1:8">
      <c r="A830" s="253"/>
      <c r="B830" s="1036"/>
      <c r="C830" s="1037"/>
      <c r="D830" s="1038" t="s">
        <v>857</v>
      </c>
      <c r="E830" s="1039"/>
      <c r="F830" s="299">
        <v>0.08</v>
      </c>
      <c r="G830" s="298">
        <f>ROUND(G829*F830,0)</f>
        <v>289</v>
      </c>
    </row>
    <row r="831" spans="1:8" ht="13.5" thickBot="1">
      <c r="A831" s="253"/>
      <c r="B831" s="1036"/>
      <c r="C831" s="1037"/>
      <c r="D831" s="1040" t="s">
        <v>320</v>
      </c>
      <c r="E831" s="1041"/>
      <c r="F831" s="300"/>
      <c r="G831" s="291">
        <f>+G829+G830</f>
        <v>3903</v>
      </c>
    </row>
    <row r="832" spans="1:8" ht="14.25" thickTop="1" thickBot="1">
      <c r="A832" s="253"/>
      <c r="B832" s="1025"/>
      <c r="C832" s="1025"/>
      <c r="D832" s="1025"/>
      <c r="E832" s="1025"/>
      <c r="F832" s="1025"/>
      <c r="G832" s="1025"/>
    </row>
    <row r="833" spans="1:7" ht="13.5" thickTop="1">
      <c r="A833" s="253"/>
      <c r="B833" s="1019" t="s">
        <v>858</v>
      </c>
      <c r="C833" s="1020"/>
      <c r="D833" s="1020"/>
      <c r="E833" s="1020"/>
      <c r="F833" s="1020"/>
      <c r="G833" s="1024"/>
    </row>
    <row r="834" spans="1:7">
      <c r="A834" s="253"/>
      <c r="B834" s="1009"/>
      <c r="C834" s="1010"/>
      <c r="D834" s="266" t="s">
        <v>301</v>
      </c>
      <c r="E834" s="266" t="s">
        <v>859</v>
      </c>
      <c r="F834" s="267" t="s">
        <v>839</v>
      </c>
      <c r="G834" s="268" t="s">
        <v>840</v>
      </c>
    </row>
    <row r="835" spans="1:7">
      <c r="A835" s="253"/>
      <c r="B835" s="1026" t="s">
        <v>838</v>
      </c>
      <c r="C835" s="1027"/>
      <c r="D835" s="269" t="s">
        <v>316</v>
      </c>
      <c r="E835" s="269" t="s">
        <v>315</v>
      </c>
      <c r="F835" s="270" t="s">
        <v>306</v>
      </c>
      <c r="G835" s="271" t="s">
        <v>319</v>
      </c>
    </row>
    <row r="836" spans="1:7">
      <c r="A836" s="253"/>
      <c r="B836" s="272"/>
      <c r="C836" s="273"/>
      <c r="D836" s="274"/>
      <c r="E836" s="274" t="s">
        <v>317</v>
      </c>
      <c r="F836" s="275" t="s">
        <v>318</v>
      </c>
      <c r="G836" s="276"/>
    </row>
    <row r="837" spans="1:7">
      <c r="A837" s="253"/>
      <c r="B837" s="1028" t="str">
        <f>'MANO DE OBRA'!B10</f>
        <v>AYUDANTE CUAD. TIPO AA</v>
      </c>
      <c r="C837" s="1029"/>
      <c r="D837" s="277">
        <v>1</v>
      </c>
      <c r="E837" s="292">
        <f>'MANO DE OBRA'!E10</f>
        <v>34680</v>
      </c>
      <c r="F837" s="279">
        <v>14.29</v>
      </c>
      <c r="G837" s="280">
        <f>ROUND(D837*E837/F837,0)</f>
        <v>2427</v>
      </c>
    </row>
    <row r="838" spans="1:7">
      <c r="A838" s="253"/>
      <c r="B838" s="1022" t="str">
        <f>'MANO DE OBRA'!B15</f>
        <v xml:space="preserve">OFICIAL CUAD. TIPO AA </v>
      </c>
      <c r="C838" s="1023"/>
      <c r="D838" s="281">
        <v>1</v>
      </c>
      <c r="E838" s="278">
        <f>'MANO DE OBRA'!E15</f>
        <v>71474</v>
      </c>
      <c r="F838" s="283">
        <v>14.29</v>
      </c>
      <c r="G838" s="284">
        <f>ROUND(D838*E838/F838,0)</f>
        <v>5002</v>
      </c>
    </row>
    <row r="839" spans="1:7">
      <c r="A839" s="253"/>
      <c r="B839" s="1022"/>
      <c r="C839" s="1023"/>
      <c r="D839" s="285"/>
      <c r="E839" s="278" t="s">
        <v>1409</v>
      </c>
      <c r="F839" s="283"/>
      <c r="G839" s="284"/>
    </row>
    <row r="840" spans="1:7">
      <c r="A840" s="253"/>
      <c r="B840" s="1022" t="s">
        <v>841</v>
      </c>
      <c r="C840" s="1023"/>
      <c r="D840" s="281"/>
      <c r="E840" s="278"/>
      <c r="F840" s="283"/>
      <c r="G840" s="284"/>
    </row>
    <row r="841" spans="1:7" ht="13.5" thickBot="1">
      <c r="A841" s="253"/>
      <c r="B841" s="1013" t="s">
        <v>841</v>
      </c>
      <c r="C841" s="1014"/>
      <c r="D841" s="286"/>
      <c r="E841" s="278"/>
      <c r="F841" s="288"/>
      <c r="G841" s="289"/>
    </row>
    <row r="842" spans="1:7" ht="14.25" thickTop="1" thickBot="1">
      <c r="A842" s="253"/>
      <c r="B842" s="1015"/>
      <c r="C842" s="1015"/>
      <c r="D842" s="1015"/>
      <c r="E842" s="1016"/>
      <c r="F842" s="301" t="s">
        <v>856</v>
      </c>
      <c r="G842" s="291">
        <f>SUM(G837:G841)</f>
        <v>7429</v>
      </c>
    </row>
    <row r="843" spans="1:7" ht="14.25" thickTop="1" thickBot="1">
      <c r="A843" s="253"/>
      <c r="B843" s="1017"/>
      <c r="C843" s="1017"/>
      <c r="D843" s="1017"/>
      <c r="E843" s="1017"/>
      <c r="F843" s="1017"/>
      <c r="G843" s="1017"/>
    </row>
    <row r="844" spans="1:7" ht="13.5" thickTop="1">
      <c r="A844" s="253"/>
      <c r="B844" s="1019" t="s">
        <v>321</v>
      </c>
      <c r="C844" s="1020"/>
      <c r="D844" s="1020"/>
      <c r="E844" s="1020"/>
      <c r="F844" s="1020"/>
      <c r="G844" s="1024"/>
    </row>
    <row r="845" spans="1:7">
      <c r="A845" s="253"/>
      <c r="B845" s="1009" t="s">
        <v>838</v>
      </c>
      <c r="C845" s="1010"/>
      <c r="D845" s="266" t="s">
        <v>301</v>
      </c>
      <c r="E845" s="266" t="s">
        <v>297</v>
      </c>
      <c r="F845" s="267" t="s">
        <v>839</v>
      </c>
      <c r="G845" s="268" t="s">
        <v>840</v>
      </c>
    </row>
    <row r="846" spans="1:7">
      <c r="A846" s="253"/>
      <c r="B846" s="272"/>
      <c r="C846" s="273"/>
      <c r="D846" s="274" t="s">
        <v>322</v>
      </c>
      <c r="E846" s="274" t="s">
        <v>323</v>
      </c>
      <c r="F846" s="275" t="s">
        <v>324</v>
      </c>
      <c r="G846" s="276" t="s">
        <v>325</v>
      </c>
    </row>
    <row r="847" spans="1:7">
      <c r="A847" s="253"/>
      <c r="B847" s="1011"/>
      <c r="C847" s="1012"/>
      <c r="D847" s="302"/>
      <c r="E847" s="302"/>
      <c r="F847" s="302"/>
      <c r="G847" s="303"/>
    </row>
    <row r="848" spans="1:7" ht="13.5" thickBot="1">
      <c r="A848" s="253"/>
      <c r="B848" s="1013" t="s">
        <v>841</v>
      </c>
      <c r="C848" s="1014"/>
      <c r="D848" s="286"/>
      <c r="E848" s="278"/>
      <c r="F848" s="288"/>
      <c r="G848" s="289"/>
    </row>
    <row r="849" spans="1:8" ht="14.25" thickTop="1" thickBot="1">
      <c r="A849" s="253"/>
      <c r="B849" s="1015"/>
      <c r="C849" s="1015"/>
      <c r="D849" s="1015"/>
      <c r="E849" s="1016"/>
      <c r="F849" s="301" t="s">
        <v>856</v>
      </c>
      <c r="G849" s="291">
        <f>SUM(G844:G848)</f>
        <v>0</v>
      </c>
    </row>
    <row r="850" spans="1:8" ht="14.25" thickTop="1" thickBot="1">
      <c r="A850" s="253"/>
      <c r="B850" s="1017"/>
      <c r="C850" s="1017"/>
      <c r="D850" s="1017"/>
      <c r="E850" s="1017"/>
      <c r="F850" s="1017"/>
      <c r="G850" s="1018"/>
    </row>
    <row r="851" spans="1:8" ht="13.5" thickTop="1">
      <c r="A851" s="253"/>
      <c r="B851" s="1019" t="s">
        <v>326</v>
      </c>
      <c r="C851" s="1020"/>
      <c r="D851" s="1020"/>
      <c r="E851" s="1020"/>
      <c r="F851" s="1021"/>
      <c r="G851" s="304">
        <f>+G815+G831+G842</f>
        <v>12011</v>
      </c>
    </row>
    <row r="852" spans="1:8">
      <c r="A852" s="253"/>
      <c r="B852" s="1003" t="s">
        <v>861</v>
      </c>
      <c r="C852" s="1004"/>
      <c r="D852" s="1004"/>
      <c r="E852" s="1005"/>
      <c r="F852" s="305">
        <f>'MANO DE OBRA'!D59</f>
        <v>0</v>
      </c>
      <c r="G852" s="306">
        <f>ROUND(G851*F852,0)</f>
        <v>0</v>
      </c>
    </row>
    <row r="853" spans="1:8" ht="13.5" thickBot="1">
      <c r="A853" s="253"/>
      <c r="B853" s="1006" t="s">
        <v>1049</v>
      </c>
      <c r="C853" s="1007"/>
      <c r="D853" s="1007"/>
      <c r="E853" s="1007"/>
      <c r="F853" s="1008"/>
      <c r="G853" s="291">
        <f>ROUND(G851+G852,-2)</f>
        <v>12000</v>
      </c>
      <c r="H853" s="505" t="s">
        <v>1670</v>
      </c>
    </row>
    <row r="854" spans="1:8" ht="15" thickTop="1">
      <c r="A854" s="253"/>
      <c r="B854" s="254" t="s">
        <v>303</v>
      </c>
      <c r="C854" s="1046"/>
      <c r="D854" s="1046"/>
      <c r="E854" s="1046"/>
      <c r="F854" s="257" t="s">
        <v>781</v>
      </c>
      <c r="G854" s="258" t="s">
        <v>1067</v>
      </c>
    </row>
    <row r="855" spans="1:8">
      <c r="A855" s="253"/>
      <c r="B855" s="256" t="s">
        <v>834</v>
      </c>
      <c r="C855" s="1047" t="s">
        <v>1416</v>
      </c>
      <c r="D855" s="1047"/>
      <c r="E855" s="1047"/>
      <c r="F855" s="260" t="s">
        <v>833</v>
      </c>
      <c r="G855" s="261" t="str">
        <f>'MANO DE OBRA'!D61</f>
        <v>Agosto de 2010</v>
      </c>
    </row>
    <row r="856" spans="1:8" ht="13.5" thickBot="1">
      <c r="A856" s="262"/>
      <c r="B856" s="263" t="s">
        <v>835</v>
      </c>
      <c r="C856" s="1048" t="s">
        <v>1432</v>
      </c>
      <c r="D856" s="1048"/>
      <c r="E856" s="1048"/>
      <c r="F856" s="1048"/>
      <c r="G856" s="1049"/>
    </row>
    <row r="857" spans="1:8" ht="14.25" thickTop="1" thickBot="1">
      <c r="A857" s="253"/>
      <c r="B857" s="1050"/>
      <c r="C857" s="1050"/>
      <c r="D857" s="1050"/>
      <c r="E857" s="1050"/>
      <c r="F857" s="1050"/>
      <c r="G857" s="1050"/>
    </row>
    <row r="858" spans="1:8" ht="13.5" thickTop="1">
      <c r="A858" s="253"/>
      <c r="B858" s="1019" t="s">
        <v>304</v>
      </c>
      <c r="C858" s="1020"/>
      <c r="D858" s="1020"/>
      <c r="E858" s="1020"/>
      <c r="F858" s="1020"/>
      <c r="G858" s="1024"/>
    </row>
    <row r="859" spans="1:8">
      <c r="A859" s="253"/>
      <c r="B859" s="264"/>
      <c r="C859" s="265"/>
      <c r="D859" s="266" t="s">
        <v>301</v>
      </c>
      <c r="E859" s="266" t="s">
        <v>1072</v>
      </c>
      <c r="F859" s="267" t="s">
        <v>839</v>
      </c>
      <c r="G859" s="268" t="s">
        <v>840</v>
      </c>
    </row>
    <row r="860" spans="1:8">
      <c r="A860" s="253"/>
      <c r="B860" s="1026" t="s">
        <v>838</v>
      </c>
      <c r="C860" s="1027"/>
      <c r="D860" s="269" t="s">
        <v>308</v>
      </c>
      <c r="E860" s="269" t="s">
        <v>305</v>
      </c>
      <c r="F860" s="270" t="s">
        <v>306</v>
      </c>
      <c r="G860" s="271" t="s">
        <v>310</v>
      </c>
    </row>
    <row r="861" spans="1:8">
      <c r="A861" s="253"/>
      <c r="B861" s="272"/>
      <c r="C861" s="273"/>
      <c r="D861" s="274"/>
      <c r="E861" s="274" t="s">
        <v>309</v>
      </c>
      <c r="F861" s="275" t="s">
        <v>307</v>
      </c>
      <c r="G861" s="276"/>
    </row>
    <row r="862" spans="1:8">
      <c r="A862" s="262"/>
      <c r="B862" s="1028" t="str">
        <f>'MAQUINARIA Y EQUIPOS'!C28</f>
        <v>HERRAMIENTAS MENORES</v>
      </c>
      <c r="C862" s="1029"/>
      <c r="D862" s="277">
        <v>1</v>
      </c>
      <c r="E862" s="278">
        <f>ROUND(G895*0.05,0)</f>
        <v>405</v>
      </c>
      <c r="F862" s="279">
        <v>1</v>
      </c>
      <c r="G862" s="280">
        <f>ROUND(D862*E862/F862,0)</f>
        <v>405</v>
      </c>
    </row>
    <row r="863" spans="1:8">
      <c r="A863" s="253"/>
      <c r="B863" s="1022" t="str">
        <f>'MAQUINARIA Y EQUIPOS'!C9</f>
        <v>ANDAMIO TUBULAR 1.50 m</v>
      </c>
      <c r="C863" s="1023"/>
      <c r="D863" s="281">
        <v>4</v>
      </c>
      <c r="E863" s="282">
        <f>'MAQUINARIA Y EQUIPOS'!D9</f>
        <v>754</v>
      </c>
      <c r="F863" s="283">
        <v>13.11</v>
      </c>
      <c r="G863" s="284">
        <f>ROUND(D863*E863/F863,0)</f>
        <v>230</v>
      </c>
    </row>
    <row r="864" spans="1:8">
      <c r="A864" s="253"/>
      <c r="B864" s="1022" t="str">
        <f>'MAQUINARIA Y EQUIPOS'!C47</f>
        <v>TABLONES 3m</v>
      </c>
      <c r="C864" s="1023"/>
      <c r="D864" s="281">
        <v>4</v>
      </c>
      <c r="E864" s="282">
        <f>'MAQUINARIA Y EQUIPOS'!D47</f>
        <v>348</v>
      </c>
      <c r="F864" s="283">
        <v>13.11</v>
      </c>
      <c r="G864" s="284">
        <f>ROUND(D864*E864/F864,0)</f>
        <v>106</v>
      </c>
    </row>
    <row r="865" spans="1:8">
      <c r="A865" s="253"/>
      <c r="B865" s="1022"/>
      <c r="C865" s="1023"/>
      <c r="D865" s="285"/>
      <c r="E865" s="278"/>
      <c r="F865" s="283"/>
      <c r="G865" s="284"/>
    </row>
    <row r="866" spans="1:8">
      <c r="A866" s="253"/>
      <c r="B866" s="1022" t="s">
        <v>841</v>
      </c>
      <c r="C866" s="1023"/>
      <c r="D866" s="281"/>
      <c r="E866" s="278"/>
      <c r="F866" s="283"/>
      <c r="G866" s="284"/>
    </row>
    <row r="867" spans="1:8" ht="13.5" thickBot="1">
      <c r="A867" s="253"/>
      <c r="B867" s="1044" t="s">
        <v>841</v>
      </c>
      <c r="C867" s="1045"/>
      <c r="D867" s="286"/>
      <c r="E867" s="287"/>
      <c r="F867" s="288"/>
      <c r="G867" s="289"/>
    </row>
    <row r="868" spans="1:8" ht="14.25" thickTop="1" thickBot="1">
      <c r="A868" s="253"/>
      <c r="B868" s="1015"/>
      <c r="C868" s="1015"/>
      <c r="D868" s="1015"/>
      <c r="E868" s="1016"/>
      <c r="F868" s="290" t="s">
        <v>856</v>
      </c>
      <c r="G868" s="291">
        <f>SUM(G862:G867)</f>
        <v>741</v>
      </c>
    </row>
    <row r="869" spans="1:8" ht="14.25" thickTop="1" thickBot="1">
      <c r="A869" s="253"/>
      <c r="B869" s="1025"/>
      <c r="C869" s="1025"/>
      <c r="D869" s="1025"/>
      <c r="E869" s="1025"/>
      <c r="F869" s="1025"/>
      <c r="G869" s="1025"/>
    </row>
    <row r="870" spans="1:8" ht="13.5" thickTop="1">
      <c r="A870" s="253"/>
      <c r="B870" s="1019" t="s">
        <v>311</v>
      </c>
      <c r="C870" s="1020"/>
      <c r="D870" s="1020"/>
      <c r="E870" s="1020"/>
      <c r="F870" s="1020"/>
      <c r="G870" s="1024"/>
    </row>
    <row r="871" spans="1:8">
      <c r="A871" s="253"/>
      <c r="B871" s="1009" t="s">
        <v>838</v>
      </c>
      <c r="C871" s="1010"/>
      <c r="D871" s="266" t="s">
        <v>842</v>
      </c>
      <c r="E871" s="266" t="s">
        <v>853</v>
      </c>
      <c r="F871" s="267" t="s">
        <v>1047</v>
      </c>
      <c r="G871" s="268" t="s">
        <v>840</v>
      </c>
    </row>
    <row r="872" spans="1:8">
      <c r="A872" s="253"/>
      <c r="B872" s="272"/>
      <c r="C872" s="273"/>
      <c r="D872" s="269"/>
      <c r="E872" s="269" t="s">
        <v>312</v>
      </c>
      <c r="F872" s="270" t="s">
        <v>313</v>
      </c>
      <c r="G872" s="271" t="s">
        <v>314</v>
      </c>
    </row>
    <row r="873" spans="1:8">
      <c r="A873" s="259"/>
      <c r="B873" s="1042" t="str">
        <f>MATERIALES2!C13</f>
        <v>CEMENTO GRIS</v>
      </c>
      <c r="C873" s="1043"/>
      <c r="D873" s="277" t="s">
        <v>925</v>
      </c>
      <c r="E873" s="279">
        <v>7.55</v>
      </c>
      <c r="F873" s="292">
        <f>MATERIALES2!E13</f>
        <v>420</v>
      </c>
      <c r="G873" s="280">
        <f>ROUND(E873*F873,0)</f>
        <v>3171</v>
      </c>
    </row>
    <row r="874" spans="1:8" ht="14.25">
      <c r="A874" s="293"/>
      <c r="B874" s="1030" t="str">
        <f>MATERIALES2!C20</f>
        <v xml:space="preserve">ARENA </v>
      </c>
      <c r="C874" s="1031"/>
      <c r="D874" s="281" t="s">
        <v>1066</v>
      </c>
      <c r="E874" s="307">
        <v>0.03</v>
      </c>
      <c r="F874" s="278">
        <f>MATERIALES2!E20</f>
        <v>35000</v>
      </c>
      <c r="G874" s="284">
        <f>ROUND(E874*F874,0)</f>
        <v>1050</v>
      </c>
    </row>
    <row r="875" spans="1:8">
      <c r="A875" s="293"/>
      <c r="B875" s="1030" t="str">
        <f>MATERIALES2!C28</f>
        <v>AGUA</v>
      </c>
      <c r="C875" s="1031"/>
      <c r="D875" s="281" t="s">
        <v>1071</v>
      </c>
      <c r="E875" s="294">
        <v>5.923</v>
      </c>
      <c r="F875" s="278">
        <f>MATERIALES2!E28</f>
        <v>50</v>
      </c>
      <c r="G875" s="284">
        <f>ROUND(E875*F875,0)</f>
        <v>296</v>
      </c>
    </row>
    <row r="876" spans="1:8">
      <c r="A876" s="253"/>
      <c r="B876" s="1030"/>
      <c r="C876" s="1031"/>
      <c r="D876" s="281"/>
      <c r="E876" s="294"/>
      <c r="F876" s="278"/>
      <c r="G876" s="284"/>
    </row>
    <row r="877" spans="1:8">
      <c r="A877" s="253"/>
      <c r="B877" s="1030"/>
      <c r="C877" s="1031"/>
      <c r="D877" s="281"/>
      <c r="E877" s="294"/>
      <c r="F877" s="278"/>
      <c r="G877" s="284"/>
    </row>
    <row r="878" spans="1:8">
      <c r="A878" s="253"/>
      <c r="B878" s="1030"/>
      <c r="C878" s="1031"/>
      <c r="D878" s="281"/>
      <c r="E878" s="294"/>
      <c r="F878" s="278"/>
      <c r="G878" s="284"/>
    </row>
    <row r="879" spans="1:8">
      <c r="A879" s="253"/>
      <c r="B879" s="1030"/>
      <c r="C879" s="1031"/>
      <c r="D879" s="281"/>
      <c r="E879" s="294"/>
      <c r="F879" s="278"/>
      <c r="G879" s="284"/>
    </row>
    <row r="880" spans="1:8">
      <c r="A880" s="253"/>
      <c r="B880" s="1032" t="s">
        <v>841</v>
      </c>
      <c r="C880" s="1033"/>
      <c r="D880" s="294" t="s">
        <v>841</v>
      </c>
      <c r="E880" s="294"/>
      <c r="F880" s="278"/>
      <c r="G880" s="284"/>
      <c r="H880" s="505" t="s">
        <v>1670</v>
      </c>
    </row>
    <row r="881" spans="1:7" ht="13.5" thickBot="1">
      <c r="A881" s="253"/>
      <c r="B881" s="1034" t="s">
        <v>841</v>
      </c>
      <c r="C881" s="1035"/>
      <c r="D881" s="295" t="s">
        <v>841</v>
      </c>
      <c r="E881" s="295"/>
      <c r="F881" s="296"/>
      <c r="G881" s="289"/>
    </row>
    <row r="882" spans="1:7" ht="13.5" thickTop="1">
      <c r="A882" s="253"/>
      <c r="B882" s="1015"/>
      <c r="C882" s="1016"/>
      <c r="D882" s="1038" t="s">
        <v>856</v>
      </c>
      <c r="E882" s="1039"/>
      <c r="F882" s="297"/>
      <c r="G882" s="298">
        <f>SUM(G873:G881)</f>
        <v>4517</v>
      </c>
    </row>
    <row r="883" spans="1:7">
      <c r="A883" s="253"/>
      <c r="B883" s="1036"/>
      <c r="C883" s="1037"/>
      <c r="D883" s="1038" t="s">
        <v>857</v>
      </c>
      <c r="E883" s="1039"/>
      <c r="F883" s="299">
        <v>0.2</v>
      </c>
      <c r="G883" s="298">
        <f>ROUND(G882*F883,0)</f>
        <v>903</v>
      </c>
    </row>
    <row r="884" spans="1:7" ht="13.5" thickBot="1">
      <c r="A884" s="253"/>
      <c r="B884" s="1036"/>
      <c r="C884" s="1037"/>
      <c r="D884" s="1040" t="s">
        <v>320</v>
      </c>
      <c r="E884" s="1041"/>
      <c r="F884" s="300"/>
      <c r="G884" s="291">
        <f>+G882+G883</f>
        <v>5420</v>
      </c>
    </row>
    <row r="885" spans="1:7" ht="14.25" thickTop="1" thickBot="1">
      <c r="A885" s="253"/>
      <c r="B885" s="1025"/>
      <c r="C885" s="1025"/>
      <c r="D885" s="1025"/>
      <c r="E885" s="1025"/>
      <c r="F885" s="1025"/>
      <c r="G885" s="1025"/>
    </row>
    <row r="886" spans="1:7" ht="13.5" thickTop="1">
      <c r="A886" s="253"/>
      <c r="B886" s="1019" t="s">
        <v>858</v>
      </c>
      <c r="C886" s="1020"/>
      <c r="D886" s="1020"/>
      <c r="E886" s="1020"/>
      <c r="F886" s="1020"/>
      <c r="G886" s="1024"/>
    </row>
    <row r="887" spans="1:7">
      <c r="A887" s="253"/>
      <c r="B887" s="1009"/>
      <c r="C887" s="1010"/>
      <c r="D887" s="266" t="s">
        <v>301</v>
      </c>
      <c r="E887" s="266" t="s">
        <v>859</v>
      </c>
      <c r="F887" s="267" t="s">
        <v>839</v>
      </c>
      <c r="G887" s="268" t="s">
        <v>840</v>
      </c>
    </row>
    <row r="888" spans="1:7">
      <c r="A888" s="253"/>
      <c r="B888" s="1026" t="s">
        <v>838</v>
      </c>
      <c r="C888" s="1027"/>
      <c r="D888" s="269" t="s">
        <v>316</v>
      </c>
      <c r="E888" s="269" t="s">
        <v>315</v>
      </c>
      <c r="F888" s="270" t="s">
        <v>306</v>
      </c>
      <c r="G888" s="271" t="s">
        <v>319</v>
      </c>
    </row>
    <row r="889" spans="1:7">
      <c r="A889" s="253"/>
      <c r="B889" s="272"/>
      <c r="C889" s="273"/>
      <c r="D889" s="274"/>
      <c r="E889" s="274" t="s">
        <v>317</v>
      </c>
      <c r="F889" s="275" t="s">
        <v>318</v>
      </c>
      <c r="G889" s="276"/>
    </row>
    <row r="890" spans="1:7">
      <c r="A890" s="253"/>
      <c r="B890" s="1028" t="str">
        <f>'MANO DE OBRA'!B10</f>
        <v>AYUDANTE CUAD. TIPO AA</v>
      </c>
      <c r="C890" s="1029"/>
      <c r="D890" s="277">
        <v>1</v>
      </c>
      <c r="E890" s="292">
        <f>'MANO DE OBRA'!E10</f>
        <v>34680</v>
      </c>
      <c r="F890" s="279">
        <v>13.11</v>
      </c>
      <c r="G890" s="280">
        <f>ROUND(D890*E890/F890,0)</f>
        <v>2645</v>
      </c>
    </row>
    <row r="891" spans="1:7">
      <c r="A891" s="253"/>
      <c r="B891" s="1022" t="str">
        <f>'MANO DE OBRA'!B15</f>
        <v xml:space="preserve">OFICIAL CUAD. TIPO AA </v>
      </c>
      <c r="C891" s="1023"/>
      <c r="D891" s="281">
        <v>1</v>
      </c>
      <c r="E891" s="278">
        <f>'MANO DE OBRA'!E15</f>
        <v>71474</v>
      </c>
      <c r="F891" s="283">
        <v>13.11</v>
      </c>
      <c r="G891" s="284">
        <f>ROUND(D891*E891/F891,0)</f>
        <v>5452</v>
      </c>
    </row>
    <row r="892" spans="1:7">
      <c r="A892" s="253"/>
      <c r="B892" s="1022"/>
      <c r="C892" s="1023"/>
      <c r="D892" s="285"/>
      <c r="E892" s="278" t="s">
        <v>1409</v>
      </c>
      <c r="F892" s="283"/>
      <c r="G892" s="284"/>
    </row>
    <row r="893" spans="1:7">
      <c r="A893" s="253"/>
      <c r="B893" s="1022" t="s">
        <v>841</v>
      </c>
      <c r="C893" s="1023"/>
      <c r="D893" s="281"/>
      <c r="E893" s="278"/>
      <c r="F893" s="283"/>
      <c r="G893" s="284"/>
    </row>
    <row r="894" spans="1:7" ht="13.5" thickBot="1">
      <c r="A894" s="253"/>
      <c r="B894" s="1013" t="s">
        <v>841</v>
      </c>
      <c r="C894" s="1014"/>
      <c r="D894" s="286"/>
      <c r="E894" s="278"/>
      <c r="F894" s="288"/>
      <c r="G894" s="289"/>
    </row>
    <row r="895" spans="1:7" ht="14.25" thickTop="1" thickBot="1">
      <c r="A895" s="253"/>
      <c r="B895" s="1015"/>
      <c r="C895" s="1015"/>
      <c r="D895" s="1015"/>
      <c r="E895" s="1016"/>
      <c r="F895" s="301" t="s">
        <v>856</v>
      </c>
      <c r="G895" s="291">
        <f>SUM(G890:G894)</f>
        <v>8097</v>
      </c>
    </row>
    <row r="896" spans="1:7" ht="14.25" thickTop="1" thickBot="1">
      <c r="A896" s="253"/>
      <c r="B896" s="1017"/>
      <c r="C896" s="1017"/>
      <c r="D896" s="1017"/>
      <c r="E896" s="1017"/>
      <c r="F896" s="1017"/>
      <c r="G896" s="1017"/>
    </row>
    <row r="897" spans="1:8" ht="13.5" thickTop="1">
      <c r="A897" s="253"/>
      <c r="B897" s="1019" t="s">
        <v>321</v>
      </c>
      <c r="C897" s="1020"/>
      <c r="D897" s="1020"/>
      <c r="E897" s="1020"/>
      <c r="F897" s="1020"/>
      <c r="G897" s="1024"/>
    </row>
    <row r="898" spans="1:8">
      <c r="A898" s="253"/>
      <c r="B898" s="1009" t="s">
        <v>838</v>
      </c>
      <c r="C898" s="1010"/>
      <c r="D898" s="266" t="s">
        <v>301</v>
      </c>
      <c r="E898" s="266" t="s">
        <v>297</v>
      </c>
      <c r="F898" s="267" t="s">
        <v>839</v>
      </c>
      <c r="G898" s="268" t="s">
        <v>840</v>
      </c>
    </row>
    <row r="899" spans="1:8">
      <c r="A899" s="253"/>
      <c r="B899" s="272"/>
      <c r="C899" s="273"/>
      <c r="D899" s="274" t="s">
        <v>322</v>
      </c>
      <c r="E899" s="274" t="s">
        <v>323</v>
      </c>
      <c r="F899" s="275" t="s">
        <v>324</v>
      </c>
      <c r="G899" s="276" t="s">
        <v>325</v>
      </c>
    </row>
    <row r="900" spans="1:8">
      <c r="A900" s="253"/>
      <c r="B900" s="1011"/>
      <c r="C900" s="1012"/>
      <c r="D900" s="302"/>
      <c r="E900" s="302"/>
      <c r="F900" s="302"/>
      <c r="G900" s="303"/>
    </row>
    <row r="901" spans="1:8" ht="13.5" thickBot="1">
      <c r="A901" s="253"/>
      <c r="B901" s="1013" t="s">
        <v>841</v>
      </c>
      <c r="C901" s="1014"/>
      <c r="D901" s="286"/>
      <c r="E901" s="278"/>
      <c r="F901" s="288"/>
      <c r="G901" s="289"/>
    </row>
    <row r="902" spans="1:8" ht="14.25" thickTop="1" thickBot="1">
      <c r="A902" s="253"/>
      <c r="B902" s="1015"/>
      <c r="C902" s="1015"/>
      <c r="D902" s="1015"/>
      <c r="E902" s="1016"/>
      <c r="F902" s="301" t="s">
        <v>856</v>
      </c>
      <c r="G902" s="291">
        <f>SUM(G897:G901)</f>
        <v>0</v>
      </c>
    </row>
    <row r="903" spans="1:8" ht="14.25" thickTop="1" thickBot="1">
      <c r="A903" s="253"/>
      <c r="B903" s="1017"/>
      <c r="C903" s="1017"/>
      <c r="D903" s="1017"/>
      <c r="E903" s="1017"/>
      <c r="F903" s="1017"/>
      <c r="G903" s="1018"/>
    </row>
    <row r="904" spans="1:8" ht="13.5" thickTop="1">
      <c r="A904" s="253"/>
      <c r="B904" s="1019" t="s">
        <v>326</v>
      </c>
      <c r="C904" s="1020"/>
      <c r="D904" s="1020"/>
      <c r="E904" s="1020"/>
      <c r="F904" s="1021"/>
      <c r="G904" s="304">
        <f>+G868+G884+G895</f>
        <v>14258</v>
      </c>
    </row>
    <row r="905" spans="1:8">
      <c r="A905" s="253"/>
      <c r="B905" s="1003" t="s">
        <v>861</v>
      </c>
      <c r="C905" s="1004"/>
      <c r="D905" s="1004"/>
      <c r="E905" s="1005"/>
      <c r="F905" s="305">
        <f>'MANO DE OBRA'!D59</f>
        <v>0</v>
      </c>
      <c r="G905" s="306">
        <f>ROUND(G904*F905,0)</f>
        <v>0</v>
      </c>
    </row>
    <row r="906" spans="1:8" ht="13.5" thickBot="1">
      <c r="A906" s="253"/>
      <c r="B906" s="1006" t="s">
        <v>1049</v>
      </c>
      <c r="C906" s="1007"/>
      <c r="D906" s="1007"/>
      <c r="E906" s="1007"/>
      <c r="F906" s="1008"/>
      <c r="G906" s="291">
        <f>ROUND(G904+G905,-2)</f>
        <v>14300</v>
      </c>
      <c r="H906" s="505" t="s">
        <v>1670</v>
      </c>
    </row>
    <row r="907" spans="1:8" ht="13.5" thickTop="1"/>
  </sheetData>
  <mergeCells count="837">
    <mergeCell ref="B9:G9"/>
    <mergeCell ref="B10:G10"/>
    <mergeCell ref="B15:C15"/>
    <mergeCell ref="B16:C16"/>
    <mergeCell ref="B17:C17"/>
    <mergeCell ref="B18:C18"/>
    <mergeCell ref="C3:G3"/>
    <mergeCell ref="B4:G4"/>
    <mergeCell ref="C1:G1"/>
    <mergeCell ref="C2:G2"/>
    <mergeCell ref="B12:C12"/>
    <mergeCell ref="B14:C14"/>
    <mergeCell ref="C5:G5"/>
    <mergeCell ref="C6:E6"/>
    <mergeCell ref="C7:E7"/>
    <mergeCell ref="C8:G8"/>
    <mergeCell ref="B26:C26"/>
    <mergeCell ref="B27:C27"/>
    <mergeCell ref="B28:C28"/>
    <mergeCell ref="B29:C29"/>
    <mergeCell ref="B30:C30"/>
    <mergeCell ref="B31:C31"/>
    <mergeCell ref="B19:C19"/>
    <mergeCell ref="B20:E20"/>
    <mergeCell ref="B21:G21"/>
    <mergeCell ref="B22:G22"/>
    <mergeCell ref="B23:C23"/>
    <mergeCell ref="B25:C25"/>
    <mergeCell ref="B37:G37"/>
    <mergeCell ref="B38:G38"/>
    <mergeCell ref="B39:C39"/>
    <mergeCell ref="B40:C40"/>
    <mergeCell ref="B42:C42"/>
    <mergeCell ref="B43:C43"/>
    <mergeCell ref="B32:C32"/>
    <mergeCell ref="B33:C33"/>
    <mergeCell ref="B34:C36"/>
    <mergeCell ref="D34:E34"/>
    <mergeCell ref="D35:E35"/>
    <mergeCell ref="D36:E36"/>
    <mergeCell ref="B50:C50"/>
    <mergeCell ref="B52:C52"/>
    <mergeCell ref="B53:C53"/>
    <mergeCell ref="B54:E54"/>
    <mergeCell ref="B55:G55"/>
    <mergeCell ref="B56:F56"/>
    <mergeCell ref="B44:C44"/>
    <mergeCell ref="B45:C45"/>
    <mergeCell ref="B46:C46"/>
    <mergeCell ref="B47:E47"/>
    <mergeCell ref="B48:G48"/>
    <mergeCell ref="B49:G49"/>
    <mergeCell ref="B63:G63"/>
    <mergeCell ref="B65:C65"/>
    <mergeCell ref="B67:C67"/>
    <mergeCell ref="B68:C68"/>
    <mergeCell ref="B69:C69"/>
    <mergeCell ref="B70:C70"/>
    <mergeCell ref="B57:E57"/>
    <mergeCell ref="B58:F58"/>
    <mergeCell ref="C59:E59"/>
    <mergeCell ref="C60:E60"/>
    <mergeCell ref="C61:G61"/>
    <mergeCell ref="B62:G62"/>
    <mergeCell ref="B78:C78"/>
    <mergeCell ref="B79:C79"/>
    <mergeCell ref="B80:C80"/>
    <mergeCell ref="B81:C81"/>
    <mergeCell ref="B82:C82"/>
    <mergeCell ref="B83:C83"/>
    <mergeCell ref="B71:C71"/>
    <mergeCell ref="B72:C72"/>
    <mergeCell ref="B73:E73"/>
    <mergeCell ref="B74:G74"/>
    <mergeCell ref="B75:G75"/>
    <mergeCell ref="B76:C76"/>
    <mergeCell ref="B90:G90"/>
    <mergeCell ref="B91:G91"/>
    <mergeCell ref="B92:C92"/>
    <mergeCell ref="B93:C93"/>
    <mergeCell ref="B95:C95"/>
    <mergeCell ref="B96:C96"/>
    <mergeCell ref="B84:C84"/>
    <mergeCell ref="B85:C85"/>
    <mergeCell ref="B86:C86"/>
    <mergeCell ref="B87:C89"/>
    <mergeCell ref="D87:E87"/>
    <mergeCell ref="D88:E88"/>
    <mergeCell ref="D89:E89"/>
    <mergeCell ref="B103:C103"/>
    <mergeCell ref="B105:C105"/>
    <mergeCell ref="B106:C106"/>
    <mergeCell ref="B107:E107"/>
    <mergeCell ref="B108:G108"/>
    <mergeCell ref="B109:F109"/>
    <mergeCell ref="B97:C97"/>
    <mergeCell ref="B98:C98"/>
    <mergeCell ref="B99:C99"/>
    <mergeCell ref="B100:E100"/>
    <mergeCell ref="B101:G101"/>
    <mergeCell ref="B102:G102"/>
    <mergeCell ref="B116:G116"/>
    <mergeCell ref="B118:C118"/>
    <mergeCell ref="B120:C120"/>
    <mergeCell ref="B121:C121"/>
    <mergeCell ref="B122:C122"/>
    <mergeCell ref="B123:C123"/>
    <mergeCell ref="B110:E110"/>
    <mergeCell ref="B111:F111"/>
    <mergeCell ref="C112:E112"/>
    <mergeCell ref="C113:E113"/>
    <mergeCell ref="C114:G114"/>
    <mergeCell ref="B115:G115"/>
    <mergeCell ref="B131:C131"/>
    <mergeCell ref="B132:C132"/>
    <mergeCell ref="B133:C133"/>
    <mergeCell ref="B134:C134"/>
    <mergeCell ref="B135:C135"/>
    <mergeCell ref="B136:C136"/>
    <mergeCell ref="B124:C124"/>
    <mergeCell ref="B125:C125"/>
    <mergeCell ref="B126:E126"/>
    <mergeCell ref="B127:G127"/>
    <mergeCell ref="B128:G128"/>
    <mergeCell ref="B129:C129"/>
    <mergeCell ref="B143:G143"/>
    <mergeCell ref="B144:G144"/>
    <mergeCell ref="B145:C145"/>
    <mergeCell ref="B146:C146"/>
    <mergeCell ref="B148:C148"/>
    <mergeCell ref="B149:C149"/>
    <mergeCell ref="B137:C137"/>
    <mergeCell ref="B138:C138"/>
    <mergeCell ref="B139:C139"/>
    <mergeCell ref="B140:C142"/>
    <mergeCell ref="D140:E140"/>
    <mergeCell ref="D141:E141"/>
    <mergeCell ref="D142:E142"/>
    <mergeCell ref="B156:C156"/>
    <mergeCell ref="B158:C158"/>
    <mergeCell ref="B159:C159"/>
    <mergeCell ref="B160:E160"/>
    <mergeCell ref="B161:G161"/>
    <mergeCell ref="B162:F162"/>
    <mergeCell ref="B150:C150"/>
    <mergeCell ref="B151:C151"/>
    <mergeCell ref="B152:C152"/>
    <mergeCell ref="B153:E153"/>
    <mergeCell ref="B154:G154"/>
    <mergeCell ref="B155:G155"/>
    <mergeCell ref="B169:G169"/>
    <mergeCell ref="B171:C171"/>
    <mergeCell ref="B173:C173"/>
    <mergeCell ref="B174:C174"/>
    <mergeCell ref="B175:C175"/>
    <mergeCell ref="B176:C176"/>
    <mergeCell ref="B163:E163"/>
    <mergeCell ref="B164:F164"/>
    <mergeCell ref="C165:E165"/>
    <mergeCell ref="C166:E166"/>
    <mergeCell ref="C167:G167"/>
    <mergeCell ref="B168:G168"/>
    <mergeCell ref="B184:C184"/>
    <mergeCell ref="B185:C185"/>
    <mergeCell ref="B186:C186"/>
    <mergeCell ref="B187:C187"/>
    <mergeCell ref="B188:C188"/>
    <mergeCell ref="B189:C189"/>
    <mergeCell ref="B177:C177"/>
    <mergeCell ref="B178:C178"/>
    <mergeCell ref="B179:E179"/>
    <mergeCell ref="B180:G180"/>
    <mergeCell ref="B181:G181"/>
    <mergeCell ref="B182:C182"/>
    <mergeCell ref="B196:G196"/>
    <mergeCell ref="B197:G197"/>
    <mergeCell ref="B198:C198"/>
    <mergeCell ref="B199:C199"/>
    <mergeCell ref="B201:C201"/>
    <mergeCell ref="B202:C202"/>
    <mergeCell ref="B190:C190"/>
    <mergeCell ref="B191:C191"/>
    <mergeCell ref="B192:C192"/>
    <mergeCell ref="B193:C195"/>
    <mergeCell ref="D193:E193"/>
    <mergeCell ref="D194:E194"/>
    <mergeCell ref="D195:E195"/>
    <mergeCell ref="B209:C209"/>
    <mergeCell ref="B211:C211"/>
    <mergeCell ref="B212:C212"/>
    <mergeCell ref="B213:E213"/>
    <mergeCell ref="B214:G214"/>
    <mergeCell ref="B215:F215"/>
    <mergeCell ref="B203:C203"/>
    <mergeCell ref="B204:C204"/>
    <mergeCell ref="B205:C205"/>
    <mergeCell ref="B206:E206"/>
    <mergeCell ref="B207:G207"/>
    <mergeCell ref="B208:G208"/>
    <mergeCell ref="B222:G222"/>
    <mergeCell ref="B224:C224"/>
    <mergeCell ref="B226:C226"/>
    <mergeCell ref="B227:C227"/>
    <mergeCell ref="B228:C228"/>
    <mergeCell ref="B229:C229"/>
    <mergeCell ref="B216:E216"/>
    <mergeCell ref="B217:F217"/>
    <mergeCell ref="C218:E218"/>
    <mergeCell ref="C219:E219"/>
    <mergeCell ref="C220:G220"/>
    <mergeCell ref="B221:G221"/>
    <mergeCell ref="B237:C237"/>
    <mergeCell ref="B238:C238"/>
    <mergeCell ref="B239:C239"/>
    <mergeCell ref="B240:C240"/>
    <mergeCell ref="B241:C241"/>
    <mergeCell ref="B242:C242"/>
    <mergeCell ref="B230:C230"/>
    <mergeCell ref="B231:C231"/>
    <mergeCell ref="B232:E232"/>
    <mergeCell ref="B233:G233"/>
    <mergeCell ref="B234:G234"/>
    <mergeCell ref="B235:C235"/>
    <mergeCell ref="B249:G249"/>
    <mergeCell ref="B250:G250"/>
    <mergeCell ref="B251:C251"/>
    <mergeCell ref="B252:C252"/>
    <mergeCell ref="B254:C254"/>
    <mergeCell ref="B255:C255"/>
    <mergeCell ref="B243:C243"/>
    <mergeCell ref="B244:C244"/>
    <mergeCell ref="B245:C245"/>
    <mergeCell ref="B246:C248"/>
    <mergeCell ref="D246:E246"/>
    <mergeCell ref="D247:E247"/>
    <mergeCell ref="D248:E248"/>
    <mergeCell ref="B262:C262"/>
    <mergeCell ref="B264:C264"/>
    <mergeCell ref="B265:C265"/>
    <mergeCell ref="B266:E266"/>
    <mergeCell ref="B267:G267"/>
    <mergeCell ref="B268:F268"/>
    <mergeCell ref="B256:C256"/>
    <mergeCell ref="B257:C257"/>
    <mergeCell ref="B258:C258"/>
    <mergeCell ref="B259:E259"/>
    <mergeCell ref="B260:G260"/>
    <mergeCell ref="B261:G261"/>
    <mergeCell ref="B275:G275"/>
    <mergeCell ref="B277:C277"/>
    <mergeCell ref="B279:C279"/>
    <mergeCell ref="B280:C280"/>
    <mergeCell ref="B281:C281"/>
    <mergeCell ref="B282:C282"/>
    <mergeCell ref="B269:E269"/>
    <mergeCell ref="B270:F270"/>
    <mergeCell ref="C271:E271"/>
    <mergeCell ref="C272:E272"/>
    <mergeCell ref="C273:G273"/>
    <mergeCell ref="B274:G274"/>
    <mergeCell ref="B290:C290"/>
    <mergeCell ref="B291:C291"/>
    <mergeCell ref="B292:C292"/>
    <mergeCell ref="B293:C293"/>
    <mergeCell ref="B294:C294"/>
    <mergeCell ref="B295:C295"/>
    <mergeCell ref="B283:C283"/>
    <mergeCell ref="B284:C284"/>
    <mergeCell ref="B285:E285"/>
    <mergeCell ref="B286:G286"/>
    <mergeCell ref="B287:G287"/>
    <mergeCell ref="B288:C288"/>
    <mergeCell ref="B302:G302"/>
    <mergeCell ref="B303:G303"/>
    <mergeCell ref="B304:C304"/>
    <mergeCell ref="B305:C305"/>
    <mergeCell ref="B307:C307"/>
    <mergeCell ref="B308:C308"/>
    <mergeCell ref="B296:C296"/>
    <mergeCell ref="B297:C297"/>
    <mergeCell ref="B298:C298"/>
    <mergeCell ref="B299:C301"/>
    <mergeCell ref="D299:E299"/>
    <mergeCell ref="D300:E300"/>
    <mergeCell ref="D301:E301"/>
    <mergeCell ref="B315:C315"/>
    <mergeCell ref="B317:C317"/>
    <mergeCell ref="B318:C318"/>
    <mergeCell ref="B319:E319"/>
    <mergeCell ref="B320:G320"/>
    <mergeCell ref="B321:F321"/>
    <mergeCell ref="B309:C309"/>
    <mergeCell ref="B310:C310"/>
    <mergeCell ref="B311:C311"/>
    <mergeCell ref="B312:E312"/>
    <mergeCell ref="B313:G313"/>
    <mergeCell ref="B314:G314"/>
    <mergeCell ref="B328:G328"/>
    <mergeCell ref="B330:C330"/>
    <mergeCell ref="B332:C332"/>
    <mergeCell ref="B333:C333"/>
    <mergeCell ref="B334:C334"/>
    <mergeCell ref="B335:C335"/>
    <mergeCell ref="B322:E322"/>
    <mergeCell ref="B323:F323"/>
    <mergeCell ref="C324:E324"/>
    <mergeCell ref="C325:E325"/>
    <mergeCell ref="C326:G326"/>
    <mergeCell ref="B327:G327"/>
    <mergeCell ref="B343:C343"/>
    <mergeCell ref="B344:C344"/>
    <mergeCell ref="B345:C345"/>
    <mergeCell ref="B346:C346"/>
    <mergeCell ref="B347:C347"/>
    <mergeCell ref="B348:C348"/>
    <mergeCell ref="B336:C336"/>
    <mergeCell ref="B337:C337"/>
    <mergeCell ref="B338:E338"/>
    <mergeCell ref="B339:G339"/>
    <mergeCell ref="B340:G340"/>
    <mergeCell ref="B341:C341"/>
    <mergeCell ref="B355:G355"/>
    <mergeCell ref="B356:G356"/>
    <mergeCell ref="B357:C357"/>
    <mergeCell ref="B358:C358"/>
    <mergeCell ref="B360:C360"/>
    <mergeCell ref="B361:C361"/>
    <mergeCell ref="B349:C349"/>
    <mergeCell ref="B350:C350"/>
    <mergeCell ref="B351:C351"/>
    <mergeCell ref="B352:C354"/>
    <mergeCell ref="D352:E352"/>
    <mergeCell ref="D353:E353"/>
    <mergeCell ref="D354:E354"/>
    <mergeCell ref="B368:C368"/>
    <mergeCell ref="B370:C370"/>
    <mergeCell ref="B371:C371"/>
    <mergeCell ref="B372:E372"/>
    <mergeCell ref="B373:G373"/>
    <mergeCell ref="B374:F374"/>
    <mergeCell ref="B362:C362"/>
    <mergeCell ref="B363:C363"/>
    <mergeCell ref="B364:C364"/>
    <mergeCell ref="B365:E365"/>
    <mergeCell ref="B366:G366"/>
    <mergeCell ref="B367:G367"/>
    <mergeCell ref="B381:G381"/>
    <mergeCell ref="B383:C383"/>
    <mergeCell ref="B385:C385"/>
    <mergeCell ref="B386:C386"/>
    <mergeCell ref="B387:C387"/>
    <mergeCell ref="B388:C388"/>
    <mergeCell ref="B375:E375"/>
    <mergeCell ref="B376:F376"/>
    <mergeCell ref="C377:E377"/>
    <mergeCell ref="C378:E378"/>
    <mergeCell ref="C379:G379"/>
    <mergeCell ref="B380:G380"/>
    <mergeCell ref="B396:C396"/>
    <mergeCell ref="B397:C397"/>
    <mergeCell ref="B398:C398"/>
    <mergeCell ref="B399:C399"/>
    <mergeCell ref="B400:C400"/>
    <mergeCell ref="B401:C401"/>
    <mergeCell ref="B389:C389"/>
    <mergeCell ref="B390:C390"/>
    <mergeCell ref="B391:E391"/>
    <mergeCell ref="B392:G392"/>
    <mergeCell ref="B393:G393"/>
    <mergeCell ref="B394:C394"/>
    <mergeCell ref="B408:G408"/>
    <mergeCell ref="B409:G409"/>
    <mergeCell ref="B410:C410"/>
    <mergeCell ref="B411:C411"/>
    <mergeCell ref="B413:C413"/>
    <mergeCell ref="B414:C414"/>
    <mergeCell ref="B402:C402"/>
    <mergeCell ref="B403:C403"/>
    <mergeCell ref="B404:C404"/>
    <mergeCell ref="B405:C407"/>
    <mergeCell ref="D405:E405"/>
    <mergeCell ref="D406:E406"/>
    <mergeCell ref="D407:E407"/>
    <mergeCell ref="B421:C421"/>
    <mergeCell ref="B423:C423"/>
    <mergeCell ref="B424:C424"/>
    <mergeCell ref="B425:E425"/>
    <mergeCell ref="B426:G426"/>
    <mergeCell ref="B427:F427"/>
    <mergeCell ref="B415:C415"/>
    <mergeCell ref="B416:C416"/>
    <mergeCell ref="B417:C417"/>
    <mergeCell ref="B418:E418"/>
    <mergeCell ref="B419:G419"/>
    <mergeCell ref="B420:G420"/>
    <mergeCell ref="B434:G434"/>
    <mergeCell ref="B436:C436"/>
    <mergeCell ref="B438:C438"/>
    <mergeCell ref="B439:C439"/>
    <mergeCell ref="B440:C440"/>
    <mergeCell ref="B441:C441"/>
    <mergeCell ref="B428:E428"/>
    <mergeCell ref="B429:F429"/>
    <mergeCell ref="C430:E430"/>
    <mergeCell ref="C431:E431"/>
    <mergeCell ref="C432:G432"/>
    <mergeCell ref="B433:G433"/>
    <mergeCell ref="B449:C449"/>
    <mergeCell ref="B450:C450"/>
    <mergeCell ref="B451:C451"/>
    <mergeCell ref="B452:C452"/>
    <mergeCell ref="B454:C454"/>
    <mergeCell ref="B455:C455"/>
    <mergeCell ref="B442:C442"/>
    <mergeCell ref="B443:C443"/>
    <mergeCell ref="B444:E444"/>
    <mergeCell ref="B445:G445"/>
    <mergeCell ref="B446:G446"/>
    <mergeCell ref="B447:C447"/>
    <mergeCell ref="B461:G461"/>
    <mergeCell ref="B462:G462"/>
    <mergeCell ref="B463:C463"/>
    <mergeCell ref="B464:C464"/>
    <mergeCell ref="B466:C466"/>
    <mergeCell ref="B467:C467"/>
    <mergeCell ref="B456:C456"/>
    <mergeCell ref="B457:C457"/>
    <mergeCell ref="B458:C460"/>
    <mergeCell ref="D458:E458"/>
    <mergeCell ref="D459:E459"/>
    <mergeCell ref="D460:E460"/>
    <mergeCell ref="B474:C474"/>
    <mergeCell ref="B476:C476"/>
    <mergeCell ref="B477:C477"/>
    <mergeCell ref="B478:E478"/>
    <mergeCell ref="B479:G479"/>
    <mergeCell ref="B480:F480"/>
    <mergeCell ref="B468:C468"/>
    <mergeCell ref="B469:C469"/>
    <mergeCell ref="B470:C470"/>
    <mergeCell ref="B471:E471"/>
    <mergeCell ref="B472:G472"/>
    <mergeCell ref="B473:G473"/>
    <mergeCell ref="B487:G487"/>
    <mergeCell ref="B489:C489"/>
    <mergeCell ref="B491:C491"/>
    <mergeCell ref="B492:C492"/>
    <mergeCell ref="B493:C493"/>
    <mergeCell ref="B494:C494"/>
    <mergeCell ref="B481:E481"/>
    <mergeCell ref="B482:F482"/>
    <mergeCell ref="C483:E483"/>
    <mergeCell ref="C484:E484"/>
    <mergeCell ref="C485:G485"/>
    <mergeCell ref="B486:G486"/>
    <mergeCell ref="B502:C502"/>
    <mergeCell ref="B503:C503"/>
    <mergeCell ref="B504:C504"/>
    <mergeCell ref="B505:C505"/>
    <mergeCell ref="B506:C506"/>
    <mergeCell ref="B507:C507"/>
    <mergeCell ref="B495:C495"/>
    <mergeCell ref="B496:C496"/>
    <mergeCell ref="B497:E497"/>
    <mergeCell ref="B498:G498"/>
    <mergeCell ref="B499:G499"/>
    <mergeCell ref="B500:C500"/>
    <mergeCell ref="B514:G514"/>
    <mergeCell ref="B515:G515"/>
    <mergeCell ref="B516:C516"/>
    <mergeCell ref="B517:C517"/>
    <mergeCell ref="B519:C519"/>
    <mergeCell ref="B520:C520"/>
    <mergeCell ref="B508:C508"/>
    <mergeCell ref="B509:C509"/>
    <mergeCell ref="B510:C510"/>
    <mergeCell ref="B511:C513"/>
    <mergeCell ref="D511:E511"/>
    <mergeCell ref="D512:E512"/>
    <mergeCell ref="D513:E513"/>
    <mergeCell ref="B527:C527"/>
    <mergeCell ref="B529:C529"/>
    <mergeCell ref="B530:C530"/>
    <mergeCell ref="B531:E531"/>
    <mergeCell ref="B532:G532"/>
    <mergeCell ref="B533:F533"/>
    <mergeCell ref="B521:C521"/>
    <mergeCell ref="B522:C522"/>
    <mergeCell ref="B523:C523"/>
    <mergeCell ref="B524:E524"/>
    <mergeCell ref="B525:G525"/>
    <mergeCell ref="B526:G526"/>
    <mergeCell ref="B540:G540"/>
    <mergeCell ref="B542:C542"/>
    <mergeCell ref="B544:C544"/>
    <mergeCell ref="B545:C545"/>
    <mergeCell ref="B546:C546"/>
    <mergeCell ref="B547:C547"/>
    <mergeCell ref="B534:E534"/>
    <mergeCell ref="B535:F535"/>
    <mergeCell ref="C536:E536"/>
    <mergeCell ref="C537:E537"/>
    <mergeCell ref="C538:G538"/>
    <mergeCell ref="B539:G539"/>
    <mergeCell ref="B555:C555"/>
    <mergeCell ref="B556:C556"/>
    <mergeCell ref="B557:C557"/>
    <mergeCell ref="B558:C558"/>
    <mergeCell ref="B559:C559"/>
    <mergeCell ref="B560:C560"/>
    <mergeCell ref="B548:C548"/>
    <mergeCell ref="B549:C549"/>
    <mergeCell ref="B550:E550"/>
    <mergeCell ref="B551:G551"/>
    <mergeCell ref="B552:G552"/>
    <mergeCell ref="B553:C553"/>
    <mergeCell ref="B567:G567"/>
    <mergeCell ref="B568:G568"/>
    <mergeCell ref="B569:C569"/>
    <mergeCell ref="B570:C570"/>
    <mergeCell ref="B572:C572"/>
    <mergeCell ref="B573:C573"/>
    <mergeCell ref="B561:C561"/>
    <mergeCell ref="B562:C562"/>
    <mergeCell ref="B563:C563"/>
    <mergeCell ref="B564:C566"/>
    <mergeCell ref="D564:E564"/>
    <mergeCell ref="D565:E565"/>
    <mergeCell ref="D566:E566"/>
    <mergeCell ref="B580:C580"/>
    <mergeCell ref="B582:C582"/>
    <mergeCell ref="B583:C583"/>
    <mergeCell ref="B584:E584"/>
    <mergeCell ref="B585:G585"/>
    <mergeCell ref="B586:F586"/>
    <mergeCell ref="B574:C574"/>
    <mergeCell ref="B575:C575"/>
    <mergeCell ref="B576:C576"/>
    <mergeCell ref="B577:E577"/>
    <mergeCell ref="B578:G578"/>
    <mergeCell ref="B579:G579"/>
    <mergeCell ref="B593:G593"/>
    <mergeCell ref="B595:C595"/>
    <mergeCell ref="B597:C597"/>
    <mergeCell ref="B598:C598"/>
    <mergeCell ref="B599:C599"/>
    <mergeCell ref="B600:C600"/>
    <mergeCell ref="B587:E587"/>
    <mergeCell ref="B588:F588"/>
    <mergeCell ref="C589:E589"/>
    <mergeCell ref="C590:E590"/>
    <mergeCell ref="C591:G591"/>
    <mergeCell ref="B592:G592"/>
    <mergeCell ref="B608:C608"/>
    <mergeCell ref="B609:C609"/>
    <mergeCell ref="B610:C610"/>
    <mergeCell ref="B611:C611"/>
    <mergeCell ref="B612:C612"/>
    <mergeCell ref="B613:C613"/>
    <mergeCell ref="B601:C601"/>
    <mergeCell ref="B602:C602"/>
    <mergeCell ref="B603:E603"/>
    <mergeCell ref="B604:G604"/>
    <mergeCell ref="B605:G605"/>
    <mergeCell ref="B606:C606"/>
    <mergeCell ref="B620:G620"/>
    <mergeCell ref="B621:G621"/>
    <mergeCell ref="B622:C622"/>
    <mergeCell ref="B623:C623"/>
    <mergeCell ref="B625:C625"/>
    <mergeCell ref="B626:C626"/>
    <mergeCell ref="B614:C614"/>
    <mergeCell ref="B615:C615"/>
    <mergeCell ref="B616:C616"/>
    <mergeCell ref="B617:C619"/>
    <mergeCell ref="D617:E617"/>
    <mergeCell ref="D618:E618"/>
    <mergeCell ref="D619:E619"/>
    <mergeCell ref="B633:C633"/>
    <mergeCell ref="B635:C635"/>
    <mergeCell ref="B636:C636"/>
    <mergeCell ref="B637:E637"/>
    <mergeCell ref="B638:G638"/>
    <mergeCell ref="B639:F639"/>
    <mergeCell ref="B627:C627"/>
    <mergeCell ref="B628:C628"/>
    <mergeCell ref="B629:C629"/>
    <mergeCell ref="B630:E630"/>
    <mergeCell ref="B631:G631"/>
    <mergeCell ref="B632:G632"/>
    <mergeCell ref="B646:G646"/>
    <mergeCell ref="B648:C648"/>
    <mergeCell ref="B650:C650"/>
    <mergeCell ref="B651:C651"/>
    <mergeCell ref="B652:C652"/>
    <mergeCell ref="B653:C653"/>
    <mergeCell ref="B640:E640"/>
    <mergeCell ref="B641:F641"/>
    <mergeCell ref="C642:E642"/>
    <mergeCell ref="C643:E643"/>
    <mergeCell ref="C644:G644"/>
    <mergeCell ref="B645:G645"/>
    <mergeCell ref="B661:C661"/>
    <mergeCell ref="B662:C662"/>
    <mergeCell ref="B663:C663"/>
    <mergeCell ref="B664:C664"/>
    <mergeCell ref="B665:C665"/>
    <mergeCell ref="B666:C666"/>
    <mergeCell ref="B654:C654"/>
    <mergeCell ref="B655:C655"/>
    <mergeCell ref="B656:E656"/>
    <mergeCell ref="B657:G657"/>
    <mergeCell ref="B658:G658"/>
    <mergeCell ref="B659:C659"/>
    <mergeCell ref="B673:G673"/>
    <mergeCell ref="B674:G674"/>
    <mergeCell ref="B675:C675"/>
    <mergeCell ref="B676:C676"/>
    <mergeCell ref="B678:C678"/>
    <mergeCell ref="B679:C679"/>
    <mergeCell ref="B667:C667"/>
    <mergeCell ref="B668:C668"/>
    <mergeCell ref="B669:C669"/>
    <mergeCell ref="B670:C672"/>
    <mergeCell ref="D670:E670"/>
    <mergeCell ref="D671:E671"/>
    <mergeCell ref="D672:E672"/>
    <mergeCell ref="B686:C686"/>
    <mergeCell ref="B688:C688"/>
    <mergeCell ref="B689:C689"/>
    <mergeCell ref="B690:E690"/>
    <mergeCell ref="B691:G691"/>
    <mergeCell ref="B692:F692"/>
    <mergeCell ref="B680:C680"/>
    <mergeCell ref="B681:C681"/>
    <mergeCell ref="B682:C682"/>
    <mergeCell ref="B683:E683"/>
    <mergeCell ref="B684:G684"/>
    <mergeCell ref="B685:G685"/>
    <mergeCell ref="B699:G699"/>
    <mergeCell ref="B701:C701"/>
    <mergeCell ref="B703:C703"/>
    <mergeCell ref="B704:C704"/>
    <mergeCell ref="B705:C705"/>
    <mergeCell ref="B706:C706"/>
    <mergeCell ref="B693:E693"/>
    <mergeCell ref="B694:F694"/>
    <mergeCell ref="C695:E695"/>
    <mergeCell ref="C696:E696"/>
    <mergeCell ref="C697:G697"/>
    <mergeCell ref="B698:G698"/>
    <mergeCell ref="B714:C714"/>
    <mergeCell ref="B715:C715"/>
    <mergeCell ref="B716:C716"/>
    <mergeCell ref="B717:C717"/>
    <mergeCell ref="B718:C718"/>
    <mergeCell ref="B719:C719"/>
    <mergeCell ref="B707:C707"/>
    <mergeCell ref="B708:C708"/>
    <mergeCell ref="B709:E709"/>
    <mergeCell ref="B710:G710"/>
    <mergeCell ref="B711:G711"/>
    <mergeCell ref="B712:C712"/>
    <mergeCell ref="B726:G726"/>
    <mergeCell ref="B727:G727"/>
    <mergeCell ref="B728:C728"/>
    <mergeCell ref="B729:C729"/>
    <mergeCell ref="B731:C731"/>
    <mergeCell ref="B732:C732"/>
    <mergeCell ref="B720:C720"/>
    <mergeCell ref="B721:C721"/>
    <mergeCell ref="B722:C722"/>
    <mergeCell ref="B723:C725"/>
    <mergeCell ref="D723:E723"/>
    <mergeCell ref="D724:E724"/>
    <mergeCell ref="D725:E725"/>
    <mergeCell ref="B739:C739"/>
    <mergeCell ref="B741:C741"/>
    <mergeCell ref="B742:C742"/>
    <mergeCell ref="B743:E743"/>
    <mergeCell ref="B744:G744"/>
    <mergeCell ref="B745:F745"/>
    <mergeCell ref="B733:C733"/>
    <mergeCell ref="B734:C734"/>
    <mergeCell ref="B735:C735"/>
    <mergeCell ref="B736:E736"/>
    <mergeCell ref="B737:G737"/>
    <mergeCell ref="B738:G738"/>
    <mergeCell ref="B752:G752"/>
    <mergeCell ref="B754:C754"/>
    <mergeCell ref="B756:C756"/>
    <mergeCell ref="B757:C757"/>
    <mergeCell ref="B758:C758"/>
    <mergeCell ref="B759:C759"/>
    <mergeCell ref="B746:E746"/>
    <mergeCell ref="B747:F747"/>
    <mergeCell ref="C748:E748"/>
    <mergeCell ref="C749:E749"/>
    <mergeCell ref="C750:G750"/>
    <mergeCell ref="B751:G751"/>
    <mergeCell ref="B767:C767"/>
    <mergeCell ref="B768:C768"/>
    <mergeCell ref="B769:C769"/>
    <mergeCell ref="B770:C770"/>
    <mergeCell ref="B771:C771"/>
    <mergeCell ref="B772:C772"/>
    <mergeCell ref="B760:C760"/>
    <mergeCell ref="B761:C761"/>
    <mergeCell ref="B762:E762"/>
    <mergeCell ref="B763:G763"/>
    <mergeCell ref="B764:G764"/>
    <mergeCell ref="B765:C765"/>
    <mergeCell ref="B779:G779"/>
    <mergeCell ref="B780:G780"/>
    <mergeCell ref="B781:C781"/>
    <mergeCell ref="B782:C782"/>
    <mergeCell ref="B784:C784"/>
    <mergeCell ref="B785:C785"/>
    <mergeCell ref="B773:C773"/>
    <mergeCell ref="B774:C774"/>
    <mergeCell ref="B775:C775"/>
    <mergeCell ref="B776:C778"/>
    <mergeCell ref="D776:E776"/>
    <mergeCell ref="D777:E777"/>
    <mergeCell ref="D778:E778"/>
    <mergeCell ref="B792:C792"/>
    <mergeCell ref="B794:C794"/>
    <mergeCell ref="B795:C795"/>
    <mergeCell ref="B796:E796"/>
    <mergeCell ref="B797:G797"/>
    <mergeCell ref="B798:F798"/>
    <mergeCell ref="B786:C786"/>
    <mergeCell ref="B787:C787"/>
    <mergeCell ref="B788:C788"/>
    <mergeCell ref="B789:E789"/>
    <mergeCell ref="B790:G790"/>
    <mergeCell ref="B791:G791"/>
    <mergeCell ref="B805:G805"/>
    <mergeCell ref="B807:C807"/>
    <mergeCell ref="B809:C809"/>
    <mergeCell ref="B810:C810"/>
    <mergeCell ref="B811:C811"/>
    <mergeCell ref="B812:C812"/>
    <mergeCell ref="B799:E799"/>
    <mergeCell ref="B800:F800"/>
    <mergeCell ref="C801:E801"/>
    <mergeCell ref="C802:E802"/>
    <mergeCell ref="C803:G803"/>
    <mergeCell ref="B804:G804"/>
    <mergeCell ref="B820:C820"/>
    <mergeCell ref="B821:C821"/>
    <mergeCell ref="B822:C822"/>
    <mergeCell ref="B823:C823"/>
    <mergeCell ref="B824:C824"/>
    <mergeCell ref="B825:C825"/>
    <mergeCell ref="B813:C813"/>
    <mergeCell ref="B814:C814"/>
    <mergeCell ref="B815:E815"/>
    <mergeCell ref="B816:G816"/>
    <mergeCell ref="B817:G817"/>
    <mergeCell ref="B818:C818"/>
    <mergeCell ref="B832:G832"/>
    <mergeCell ref="B833:G833"/>
    <mergeCell ref="B834:C834"/>
    <mergeCell ref="B835:C835"/>
    <mergeCell ref="B837:C837"/>
    <mergeCell ref="B838:C838"/>
    <mergeCell ref="B826:C826"/>
    <mergeCell ref="B827:C827"/>
    <mergeCell ref="B828:C828"/>
    <mergeCell ref="B829:C831"/>
    <mergeCell ref="D829:E829"/>
    <mergeCell ref="D830:E830"/>
    <mergeCell ref="D831:E831"/>
    <mergeCell ref="B845:C845"/>
    <mergeCell ref="B847:C847"/>
    <mergeCell ref="B848:C848"/>
    <mergeCell ref="B849:E849"/>
    <mergeCell ref="B850:G850"/>
    <mergeCell ref="B851:F851"/>
    <mergeCell ref="B839:C839"/>
    <mergeCell ref="B840:C840"/>
    <mergeCell ref="B841:C841"/>
    <mergeCell ref="B842:E842"/>
    <mergeCell ref="B843:G843"/>
    <mergeCell ref="B844:G844"/>
    <mergeCell ref="B858:G858"/>
    <mergeCell ref="B860:C860"/>
    <mergeCell ref="B862:C862"/>
    <mergeCell ref="B863:C863"/>
    <mergeCell ref="B864:C864"/>
    <mergeCell ref="B865:C865"/>
    <mergeCell ref="B852:E852"/>
    <mergeCell ref="B853:F853"/>
    <mergeCell ref="C854:E854"/>
    <mergeCell ref="C855:E855"/>
    <mergeCell ref="C856:G856"/>
    <mergeCell ref="B857:G857"/>
    <mergeCell ref="B873:C873"/>
    <mergeCell ref="B874:C874"/>
    <mergeCell ref="B875:C875"/>
    <mergeCell ref="B876:C876"/>
    <mergeCell ref="B877:C877"/>
    <mergeCell ref="B878:C878"/>
    <mergeCell ref="B866:C866"/>
    <mergeCell ref="B867:C867"/>
    <mergeCell ref="B868:E868"/>
    <mergeCell ref="B869:G869"/>
    <mergeCell ref="B870:G870"/>
    <mergeCell ref="B871:C871"/>
    <mergeCell ref="B885:G885"/>
    <mergeCell ref="B886:G886"/>
    <mergeCell ref="B887:C887"/>
    <mergeCell ref="B888:C888"/>
    <mergeCell ref="B890:C890"/>
    <mergeCell ref="B891:C891"/>
    <mergeCell ref="B879:C879"/>
    <mergeCell ref="B880:C880"/>
    <mergeCell ref="B881:C881"/>
    <mergeCell ref="B882:C884"/>
    <mergeCell ref="D882:E882"/>
    <mergeCell ref="D883:E883"/>
    <mergeCell ref="D884:E884"/>
    <mergeCell ref="B905:E905"/>
    <mergeCell ref="B906:F906"/>
    <mergeCell ref="B898:C898"/>
    <mergeCell ref="B900:C900"/>
    <mergeCell ref="B901:C901"/>
    <mergeCell ref="B902:E902"/>
    <mergeCell ref="B903:G903"/>
    <mergeCell ref="B904:F904"/>
    <mergeCell ref="B892:C892"/>
    <mergeCell ref="B893:C893"/>
    <mergeCell ref="B894:C894"/>
    <mergeCell ref="B895:E895"/>
    <mergeCell ref="B896:G896"/>
    <mergeCell ref="B897:G897"/>
  </mergeCells>
  <phoneticPr fontId="0" type="noConversion"/>
  <hyperlinks>
    <hyperlink ref="H6" location="'ITEMS RESUMEN'!PAÑETES" display="volver"/>
    <hyperlink ref="H32" location="'ITEMS RESUMEN'!PAÑETES" display="volver"/>
    <hyperlink ref="H58" location="'ITEMS RESUMEN'!PAÑETES" display="volver"/>
    <hyperlink ref="H85" location="'ITEMS RESUMEN'!PAÑETES" display="volver"/>
    <hyperlink ref="H111" location="'ITEMS RESUMEN'!PAÑETES" display="volver"/>
    <hyperlink ref="H138" location="'ITEMS RESUMEN'!PAÑETES" display="volver"/>
    <hyperlink ref="H164" location="'ITEMS RESUMEN'!PAÑETES" display="volver"/>
    <hyperlink ref="H191" location="'ITEMS RESUMEN'!PAÑETES" display="volver"/>
    <hyperlink ref="H217" location="'ITEMS RESUMEN'!PAÑETES" display="volver"/>
    <hyperlink ref="H244" location="'ITEMS RESUMEN'!PAÑETES" display="volver"/>
    <hyperlink ref="H270" location="'ITEMS RESUMEN'!PAÑETES" display="volver"/>
    <hyperlink ref="H297" location="'ITEMS RESUMEN'!PAÑETES" display="volver"/>
    <hyperlink ref="H323" location="'ITEMS RESUMEN'!PAÑETES" display="volver"/>
    <hyperlink ref="H350" location="'ITEMS RESUMEN'!PAÑETES" display="volver"/>
    <hyperlink ref="H376" location="'ITEMS RESUMEN'!PAÑETES" display="volver"/>
    <hyperlink ref="H403" location="'ITEMS RESUMEN'!PAÑETES" display="volver"/>
    <hyperlink ref="H429" location="'ITEMS RESUMEN'!PAÑETES" display="volver"/>
    <hyperlink ref="H456" location="'ITEMS RESUMEN'!PAÑETES" display="volver"/>
    <hyperlink ref="H482" location="'ITEMS RESUMEN'!PAÑETES" display="volver"/>
    <hyperlink ref="H509" location="'ITEMS RESUMEN'!PAÑETES" display="volver"/>
    <hyperlink ref="H535" location="'ITEMS RESUMEN'!PAÑETES" display="volver"/>
    <hyperlink ref="H562" location="'ITEMS RESUMEN'!PAÑETES" display="volver"/>
    <hyperlink ref="H588" location="'ITEMS RESUMEN'!PAÑETES" display="volver"/>
    <hyperlink ref="H615" location="'ITEMS RESUMEN'!PAÑETES" display="volver"/>
    <hyperlink ref="H641" location="'ITEMS RESUMEN'!PAÑETES" display="volver"/>
    <hyperlink ref="H668" location="'ITEMS RESUMEN'!PAÑETES" display="volver"/>
    <hyperlink ref="H694" location="'ITEMS RESUMEN'!PAÑETES" display="volver"/>
    <hyperlink ref="H721" location="'ITEMS RESUMEN'!PAÑETES" display="volver"/>
    <hyperlink ref="H747" location="'ITEMS RESUMEN'!PAÑETES" display="volver"/>
    <hyperlink ref="H774" location="'ITEMS RESUMEN'!PAÑETES" display="volver"/>
    <hyperlink ref="H800" location="'ITEMS RESUMEN'!PAÑETES" display="volver"/>
    <hyperlink ref="H827" location="'ITEMS RESUMEN'!PAÑETES" display="volver"/>
    <hyperlink ref="H853" location="'ITEMS RESUMEN'!PAÑETES" display="volver"/>
    <hyperlink ref="H880" location="'ITEMS RESUMEN'!PAÑETES" display="volver"/>
    <hyperlink ref="H906" location="'ITEMS RESUMEN'!PAÑETES" display="volver"/>
  </hyperlinks>
  <printOptions horizontalCentered="1" verticalCentered="1"/>
  <pageMargins left="0" right="0" top="0" bottom="0" header="0" footer="0"/>
  <pageSetup scale="85" orientation="portrait" r:id="rId1"/>
  <headerFooter alignWithMargins="0"/>
  <rowBreaks count="16" manualBreakCount="16">
    <brk id="58" min="1" max="6" man="1"/>
    <brk id="111" min="1" max="6" man="1"/>
    <brk id="164" min="1" max="6" man="1"/>
    <brk id="217" min="1" max="6" man="1"/>
    <brk id="270" min="1" max="6" man="1"/>
    <brk id="323" min="1" max="6" man="1"/>
    <brk id="376" min="1" max="6" man="1"/>
    <brk id="429" min="1" max="6" man="1"/>
    <brk id="482" min="1" max="6" man="1"/>
    <brk id="535" min="1" max="6" man="1"/>
    <brk id="588" min="1" max="6" man="1"/>
    <brk id="641" min="1" max="6" man="1"/>
    <brk id="694" min="1" max="6" man="1"/>
    <brk id="747" min="1" max="6" man="1"/>
    <brk id="800" min="1" max="6" man="1"/>
    <brk id="853" min="1" max="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8">
    <tabColor indexed="29"/>
  </sheetPr>
  <dimension ref="A1:H1825"/>
  <sheetViews>
    <sheetView topLeftCell="A836" zoomScale="85" zoomScaleNormal="85" zoomScaleSheetLayoutView="115" workbookViewId="0">
      <selection activeCell="H853" sqref="H853"/>
    </sheetView>
  </sheetViews>
  <sheetFormatPr baseColWidth="10" defaultRowHeight="12.75"/>
  <cols>
    <col min="2" max="2" width="12.7109375" customWidth="1"/>
    <col min="3" max="3" width="25.7109375" customWidth="1"/>
    <col min="4" max="4" width="12.7109375" customWidth="1"/>
    <col min="5" max="5" width="13.7109375" customWidth="1"/>
    <col min="6" max="6" width="14.7109375" customWidth="1"/>
    <col min="7" max="7" width="16.7109375" customWidth="1"/>
  </cols>
  <sheetData>
    <row r="1" spans="1:8" ht="19.5" thickTop="1">
      <c r="A1" s="95"/>
      <c r="B1" s="225"/>
      <c r="C1" s="848" t="s">
        <v>1054</v>
      </c>
      <c r="D1" s="848"/>
      <c r="E1" s="848"/>
      <c r="F1" s="848"/>
      <c r="G1" s="849"/>
    </row>
    <row r="2" spans="1:8" ht="18.75">
      <c r="A2" s="95"/>
      <c r="B2" s="226"/>
      <c r="C2" s="780" t="s">
        <v>1381</v>
      </c>
      <c r="D2" s="780"/>
      <c r="E2" s="780"/>
      <c r="F2" s="780"/>
      <c r="G2" s="850"/>
    </row>
    <row r="3" spans="1:8" ht="18.75">
      <c r="A3" s="95"/>
      <c r="B3" s="226"/>
      <c r="C3" s="781"/>
      <c r="D3" s="781"/>
      <c r="E3" s="781"/>
      <c r="F3" s="781"/>
      <c r="G3" s="851"/>
    </row>
    <row r="4" spans="1:8" ht="15.75">
      <c r="A4" s="95"/>
      <c r="B4" s="881" t="s">
        <v>780</v>
      </c>
      <c r="C4" s="852"/>
      <c r="D4" s="852"/>
      <c r="E4" s="852"/>
      <c r="F4" s="852"/>
      <c r="G4" s="853"/>
    </row>
    <row r="5" spans="1:8" ht="15.75" thickBot="1">
      <c r="A5" s="95"/>
      <c r="B5" s="227"/>
      <c r="C5" s="856"/>
      <c r="D5" s="856"/>
      <c r="E5" s="856"/>
      <c r="F5" s="856"/>
      <c r="G5" s="857"/>
    </row>
    <row r="6" spans="1:8" ht="15" thickTop="1">
      <c r="A6" s="95"/>
      <c r="B6" s="90" t="s">
        <v>303</v>
      </c>
      <c r="C6" s="843"/>
      <c r="D6" s="843"/>
      <c r="E6" s="843"/>
      <c r="F6" s="92" t="s">
        <v>781</v>
      </c>
      <c r="G6" s="93" t="s">
        <v>1067</v>
      </c>
      <c r="H6" s="505" t="s">
        <v>1670</v>
      </c>
    </row>
    <row r="7" spans="1:8">
      <c r="A7" s="95"/>
      <c r="B7" s="91" t="s">
        <v>834</v>
      </c>
      <c r="C7" s="844" t="s">
        <v>400</v>
      </c>
      <c r="D7" s="844"/>
      <c r="E7" s="844"/>
      <c r="F7" s="15" t="s">
        <v>833</v>
      </c>
      <c r="G7" s="165" t="str">
        <f>'MANO DE OBRA'!D61</f>
        <v>Agosto de 2010</v>
      </c>
    </row>
    <row r="8" spans="1:8" ht="13.5" thickBot="1">
      <c r="A8" s="127"/>
      <c r="B8" s="94" t="s">
        <v>835</v>
      </c>
      <c r="C8" s="845" t="s">
        <v>399</v>
      </c>
      <c r="D8" s="845"/>
      <c r="E8" s="845"/>
      <c r="F8" s="845"/>
      <c r="G8" s="846"/>
    </row>
    <row r="9" spans="1:8" ht="14.25" thickTop="1" thickBot="1">
      <c r="A9" s="95"/>
      <c r="B9" s="847"/>
      <c r="C9" s="847"/>
      <c r="D9" s="847"/>
      <c r="E9" s="847"/>
      <c r="F9" s="847"/>
      <c r="G9" s="847"/>
    </row>
    <row r="10" spans="1:8" ht="13.5" thickTop="1">
      <c r="A10" s="95"/>
      <c r="B10" s="811" t="s">
        <v>304</v>
      </c>
      <c r="C10" s="812"/>
      <c r="D10" s="812"/>
      <c r="E10" s="812"/>
      <c r="F10" s="812"/>
      <c r="G10" s="825"/>
    </row>
    <row r="11" spans="1:8">
      <c r="A11" s="95"/>
      <c r="B11" s="105"/>
      <c r="C11" s="97"/>
      <c r="D11" s="98" t="s">
        <v>301</v>
      </c>
      <c r="E11" s="98" t="s">
        <v>1072</v>
      </c>
      <c r="F11" s="99" t="s">
        <v>839</v>
      </c>
      <c r="G11" s="107" t="s">
        <v>840</v>
      </c>
    </row>
    <row r="12" spans="1:8">
      <c r="A12" s="95"/>
      <c r="B12" s="821" t="s">
        <v>838</v>
      </c>
      <c r="C12" s="822"/>
      <c r="D12" s="100" t="s">
        <v>308</v>
      </c>
      <c r="E12" s="100" t="s">
        <v>305</v>
      </c>
      <c r="F12" s="101" t="s">
        <v>306</v>
      </c>
      <c r="G12" s="108" t="s">
        <v>310</v>
      </c>
    </row>
    <row r="13" spans="1:8">
      <c r="A13" s="95"/>
      <c r="B13" s="115"/>
      <c r="C13" s="102"/>
      <c r="D13" s="103"/>
      <c r="E13" s="103" t="s">
        <v>309</v>
      </c>
      <c r="F13" s="104" t="s">
        <v>307</v>
      </c>
      <c r="G13" s="109"/>
    </row>
    <row r="14" spans="1:8">
      <c r="A14" s="127"/>
      <c r="B14" s="823" t="str">
        <f>'MAQUINARIA Y EQUIPOS'!C28</f>
        <v>HERRAMIENTAS MENORES</v>
      </c>
      <c r="C14" s="824"/>
      <c r="D14" s="87">
        <v>1</v>
      </c>
      <c r="E14" s="82">
        <f>ROUND(G47*0.05,0)</f>
        <v>265</v>
      </c>
      <c r="F14" s="81">
        <v>1</v>
      </c>
      <c r="G14" s="110">
        <f>ROUND(D14*E14/F14,0)</f>
        <v>265</v>
      </c>
    </row>
    <row r="15" spans="1:8">
      <c r="A15" s="95"/>
      <c r="B15" s="835"/>
      <c r="C15" s="836"/>
      <c r="D15" s="37"/>
      <c r="E15" s="129"/>
      <c r="F15" s="83"/>
      <c r="G15" s="111"/>
    </row>
    <row r="16" spans="1:8">
      <c r="A16" s="95"/>
      <c r="B16" s="835"/>
      <c r="C16" s="836"/>
      <c r="D16" s="37"/>
      <c r="E16" s="129"/>
      <c r="F16" s="83"/>
      <c r="G16" s="111"/>
    </row>
    <row r="17" spans="1:8">
      <c r="A17" s="95"/>
      <c r="B17" s="835"/>
      <c r="C17" s="836"/>
      <c r="D17" s="89"/>
      <c r="E17" s="82"/>
      <c r="F17" s="83"/>
      <c r="G17" s="111"/>
    </row>
    <row r="18" spans="1:8">
      <c r="A18" s="95"/>
      <c r="B18" s="835" t="s">
        <v>841</v>
      </c>
      <c r="C18" s="836"/>
      <c r="D18" s="37"/>
      <c r="E18" s="82"/>
      <c r="F18" s="83"/>
      <c r="G18" s="111"/>
    </row>
    <row r="19" spans="1:8" ht="13.5" thickBot="1">
      <c r="A19" s="95"/>
      <c r="B19" s="839" t="s">
        <v>841</v>
      </c>
      <c r="C19" s="840"/>
      <c r="D19" s="77"/>
      <c r="E19" s="106"/>
      <c r="F19" s="86"/>
      <c r="G19" s="112"/>
    </row>
    <row r="20" spans="1:8" ht="14.25" thickTop="1" thickBot="1">
      <c r="A20" s="95"/>
      <c r="B20" s="808"/>
      <c r="C20" s="808"/>
      <c r="D20" s="808"/>
      <c r="E20" s="809"/>
      <c r="F20" s="119" t="s">
        <v>856</v>
      </c>
      <c r="G20" s="118">
        <f>SUM(G14:G19)</f>
        <v>265</v>
      </c>
    </row>
    <row r="21" spans="1:8" ht="14.25" thickTop="1" thickBot="1">
      <c r="A21" s="95"/>
      <c r="B21" s="830"/>
      <c r="C21" s="830"/>
      <c r="D21" s="830"/>
      <c r="E21" s="830"/>
      <c r="F21" s="830"/>
      <c r="G21" s="830"/>
    </row>
    <row r="22" spans="1:8" ht="13.5" thickTop="1">
      <c r="A22" s="95"/>
      <c r="B22" s="811" t="s">
        <v>311</v>
      </c>
      <c r="C22" s="812"/>
      <c r="D22" s="812"/>
      <c r="E22" s="812"/>
      <c r="F22" s="812"/>
      <c r="G22" s="825"/>
    </row>
    <row r="23" spans="1:8">
      <c r="A23" s="95"/>
      <c r="B23" s="817" t="s">
        <v>838</v>
      </c>
      <c r="C23" s="818"/>
      <c r="D23" s="98" t="s">
        <v>842</v>
      </c>
      <c r="E23" s="98" t="s">
        <v>853</v>
      </c>
      <c r="F23" s="99" t="s">
        <v>1047</v>
      </c>
      <c r="G23" s="107" t="s">
        <v>840</v>
      </c>
    </row>
    <row r="24" spans="1:8">
      <c r="A24" s="95"/>
      <c r="B24" s="115"/>
      <c r="C24" s="102"/>
      <c r="D24" s="100"/>
      <c r="E24" s="100" t="s">
        <v>312</v>
      </c>
      <c r="F24" s="101" t="s">
        <v>313</v>
      </c>
      <c r="G24" s="108" t="s">
        <v>314</v>
      </c>
    </row>
    <row r="25" spans="1:8">
      <c r="A25" s="125"/>
      <c r="B25" s="841" t="str">
        <f>MATERIALES2!C13</f>
        <v>CEMENTO GRIS</v>
      </c>
      <c r="C25" s="842"/>
      <c r="D25" s="87" t="s">
        <v>925</v>
      </c>
      <c r="E25" s="81">
        <v>13.62</v>
      </c>
      <c r="F25" s="80">
        <f>MATERIALES2!E13</f>
        <v>420</v>
      </c>
      <c r="G25" s="110">
        <f>ROUND(E25*F25,0)</f>
        <v>5720</v>
      </c>
    </row>
    <row r="26" spans="1:8" ht="14.25">
      <c r="A26" s="123"/>
      <c r="B26" s="854" t="str">
        <f>MATERIALES2!C20</f>
        <v xml:space="preserve">ARENA </v>
      </c>
      <c r="C26" s="855"/>
      <c r="D26" s="37" t="s">
        <v>1066</v>
      </c>
      <c r="E26" s="141">
        <v>3.2000000000000001E-2</v>
      </c>
      <c r="F26" s="82">
        <f>MATERIALES2!E20</f>
        <v>35000</v>
      </c>
      <c r="G26" s="111">
        <f>ROUND(E26*F26,0)</f>
        <v>1120</v>
      </c>
    </row>
    <row r="27" spans="1:8">
      <c r="A27" s="123"/>
      <c r="B27" s="854" t="str">
        <f>MATERIALES2!C28</f>
        <v>AGUA</v>
      </c>
      <c r="C27" s="855"/>
      <c r="D27" s="37" t="s">
        <v>1071</v>
      </c>
      <c r="E27" s="83">
        <v>12.6</v>
      </c>
      <c r="F27" s="82">
        <f>MATERIALES2!E28</f>
        <v>50</v>
      </c>
      <c r="G27" s="111">
        <f>ROUND(E27*F27,0)</f>
        <v>630</v>
      </c>
    </row>
    <row r="28" spans="1:8">
      <c r="A28" s="123"/>
      <c r="B28" s="854" t="str">
        <f>MATERIALES2!C303</f>
        <v>TOKENET 1  IMPERMEABIL.1 KILO</v>
      </c>
      <c r="C28" s="855"/>
      <c r="D28" s="37" t="s">
        <v>865</v>
      </c>
      <c r="E28" s="83">
        <v>1.4</v>
      </c>
      <c r="F28" s="82">
        <f>MATERIALES2!E303</f>
        <v>4142.5</v>
      </c>
      <c r="G28" s="111">
        <f>ROUND(E28*F28,0)</f>
        <v>5800</v>
      </c>
    </row>
    <row r="29" spans="1:8">
      <c r="A29" s="95"/>
      <c r="B29" s="854"/>
      <c r="C29" s="855"/>
      <c r="D29" s="37"/>
      <c r="E29" s="53"/>
      <c r="F29" s="82"/>
      <c r="G29" s="111"/>
    </row>
    <row r="30" spans="1:8">
      <c r="A30" s="95"/>
      <c r="B30" s="854"/>
      <c r="C30" s="855"/>
      <c r="D30" s="37"/>
      <c r="E30" s="53"/>
      <c r="F30" s="82"/>
      <c r="G30" s="111"/>
    </row>
    <row r="31" spans="1:8">
      <c r="A31" s="95"/>
      <c r="B31" s="854"/>
      <c r="C31" s="855"/>
      <c r="D31" s="37"/>
      <c r="E31" s="53"/>
      <c r="F31" s="82"/>
      <c r="G31" s="111"/>
    </row>
    <row r="32" spans="1:8">
      <c r="A32" s="95"/>
      <c r="B32" s="938" t="s">
        <v>841</v>
      </c>
      <c r="C32" s="939"/>
      <c r="D32" s="53" t="s">
        <v>841</v>
      </c>
      <c r="E32" s="53"/>
      <c r="F32" s="82"/>
      <c r="G32" s="111"/>
      <c r="H32" s="505" t="s">
        <v>1670</v>
      </c>
    </row>
    <row r="33" spans="1:7" ht="13.5" thickBot="1">
      <c r="A33" s="95"/>
      <c r="B33" s="942" t="s">
        <v>841</v>
      </c>
      <c r="C33" s="943"/>
      <c r="D33" s="84" t="s">
        <v>841</v>
      </c>
      <c r="E33" s="84"/>
      <c r="F33" s="85"/>
      <c r="G33" s="112"/>
    </row>
    <row r="34" spans="1:7" ht="13.5" thickTop="1">
      <c r="A34" s="95"/>
      <c r="B34" s="808"/>
      <c r="C34" s="809"/>
      <c r="D34" s="801" t="s">
        <v>856</v>
      </c>
      <c r="E34" s="802"/>
      <c r="F34" s="9"/>
      <c r="G34" s="113">
        <f>SUM(G25:G33)</f>
        <v>13270</v>
      </c>
    </row>
    <row r="35" spans="1:7">
      <c r="A35" s="95"/>
      <c r="B35" s="819"/>
      <c r="C35" s="820"/>
      <c r="D35" s="801" t="s">
        <v>857</v>
      </c>
      <c r="E35" s="802"/>
      <c r="F35" s="79">
        <f>'MANO DE OBRA'!D60</f>
        <v>0.05</v>
      </c>
      <c r="G35" s="113">
        <f>ROUND(G34*F35,0)</f>
        <v>664</v>
      </c>
    </row>
    <row r="36" spans="1:7" ht="13.5" thickBot="1">
      <c r="A36" s="95"/>
      <c r="B36" s="819"/>
      <c r="C36" s="820"/>
      <c r="D36" s="803" t="s">
        <v>320</v>
      </c>
      <c r="E36" s="804"/>
      <c r="F36" s="114"/>
      <c r="G36" s="118">
        <f>+G34+G35</f>
        <v>13934</v>
      </c>
    </row>
    <row r="37" spans="1:7" ht="14.25" thickTop="1" thickBot="1">
      <c r="A37" s="95"/>
      <c r="B37" s="830"/>
      <c r="C37" s="830"/>
      <c r="D37" s="830"/>
      <c r="E37" s="830"/>
      <c r="F37" s="830"/>
      <c r="G37" s="830"/>
    </row>
    <row r="38" spans="1:7" ht="13.5" thickTop="1">
      <c r="A38" s="95"/>
      <c r="B38" s="811" t="s">
        <v>858</v>
      </c>
      <c r="C38" s="812"/>
      <c r="D38" s="812"/>
      <c r="E38" s="812"/>
      <c r="F38" s="812"/>
      <c r="G38" s="825"/>
    </row>
    <row r="39" spans="1:7">
      <c r="A39" s="95"/>
      <c r="B39" s="817"/>
      <c r="C39" s="818"/>
      <c r="D39" s="98" t="s">
        <v>301</v>
      </c>
      <c r="E39" s="98" t="s">
        <v>859</v>
      </c>
      <c r="F39" s="99" t="s">
        <v>839</v>
      </c>
      <c r="G39" s="107" t="s">
        <v>840</v>
      </c>
    </row>
    <row r="40" spans="1:7">
      <c r="A40" s="95"/>
      <c r="B40" s="821" t="s">
        <v>838</v>
      </c>
      <c r="C40" s="822"/>
      <c r="D40" s="100" t="s">
        <v>316</v>
      </c>
      <c r="E40" s="100" t="s">
        <v>315</v>
      </c>
      <c r="F40" s="101" t="s">
        <v>306</v>
      </c>
      <c r="G40" s="108" t="s">
        <v>319</v>
      </c>
    </row>
    <row r="41" spans="1:7">
      <c r="A41" s="95"/>
      <c r="B41" s="115"/>
      <c r="C41" s="102"/>
      <c r="D41" s="103"/>
      <c r="E41" s="103" t="s">
        <v>317</v>
      </c>
      <c r="F41" s="104" t="s">
        <v>318</v>
      </c>
      <c r="G41" s="109"/>
    </row>
    <row r="42" spans="1:7">
      <c r="A42" s="95"/>
      <c r="B42" s="823" t="str">
        <f>'MANO DE OBRA'!B10</f>
        <v>AYUDANTE CUAD. TIPO AA</v>
      </c>
      <c r="C42" s="824"/>
      <c r="D42" s="87">
        <v>1</v>
      </c>
      <c r="E42" s="80">
        <f>'MANO DE OBRA'!E10</f>
        <v>34680</v>
      </c>
      <c r="F42" s="81">
        <v>20</v>
      </c>
      <c r="G42" s="110">
        <f>ROUND(D42*E42/F42,0)</f>
        <v>1734</v>
      </c>
    </row>
    <row r="43" spans="1:7">
      <c r="A43" s="95"/>
      <c r="B43" s="835" t="str">
        <f>'MANO DE OBRA'!B15</f>
        <v xml:space="preserve">OFICIAL CUAD. TIPO AA </v>
      </c>
      <c r="C43" s="836"/>
      <c r="D43" s="37">
        <v>1</v>
      </c>
      <c r="E43" s="82">
        <f>'MANO DE OBRA'!E15</f>
        <v>71474</v>
      </c>
      <c r="F43" s="83">
        <v>20</v>
      </c>
      <c r="G43" s="111">
        <f>ROUND(D43*E43/F43,0)</f>
        <v>3574</v>
      </c>
    </row>
    <row r="44" spans="1:7">
      <c r="A44" s="95"/>
      <c r="B44" s="835"/>
      <c r="C44" s="836"/>
      <c r="D44" s="89"/>
      <c r="E44" s="82"/>
      <c r="F44" s="83"/>
      <c r="G44" s="111"/>
    </row>
    <row r="45" spans="1:7">
      <c r="A45" s="95"/>
      <c r="B45" s="835" t="s">
        <v>841</v>
      </c>
      <c r="C45" s="836"/>
      <c r="D45" s="37"/>
      <c r="E45" s="82"/>
      <c r="F45" s="83"/>
      <c r="G45" s="111"/>
    </row>
    <row r="46" spans="1:7" ht="13.5" thickBot="1">
      <c r="A46" s="95"/>
      <c r="B46" s="828" t="s">
        <v>841</v>
      </c>
      <c r="C46" s="829"/>
      <c r="D46" s="77"/>
      <c r="E46" s="82"/>
      <c r="F46" s="86"/>
      <c r="G46" s="112"/>
    </row>
    <row r="47" spans="1:7" ht="14.25" thickTop="1" thickBot="1">
      <c r="A47" s="95"/>
      <c r="B47" s="808"/>
      <c r="C47" s="808"/>
      <c r="D47" s="808"/>
      <c r="E47" s="809"/>
      <c r="F47" s="120" t="s">
        <v>856</v>
      </c>
      <c r="G47" s="118">
        <f>SUM(G42:G46)</f>
        <v>5308</v>
      </c>
    </row>
    <row r="48" spans="1:7" ht="14.25" thickTop="1" thickBot="1">
      <c r="A48" s="95"/>
      <c r="B48" s="810"/>
      <c r="C48" s="810"/>
      <c r="D48" s="810"/>
      <c r="E48" s="810"/>
      <c r="F48" s="810"/>
      <c r="G48" s="810"/>
    </row>
    <row r="49" spans="1:8" ht="13.5" thickTop="1">
      <c r="A49" s="95"/>
      <c r="B49" s="811" t="s">
        <v>321</v>
      </c>
      <c r="C49" s="812"/>
      <c r="D49" s="812"/>
      <c r="E49" s="812"/>
      <c r="F49" s="812"/>
      <c r="G49" s="825"/>
    </row>
    <row r="50" spans="1:8">
      <c r="A50" s="95"/>
      <c r="B50" s="817" t="s">
        <v>838</v>
      </c>
      <c r="C50" s="818"/>
      <c r="D50" s="98" t="s">
        <v>301</v>
      </c>
      <c r="E50" s="98" t="s">
        <v>297</v>
      </c>
      <c r="F50" s="99" t="s">
        <v>839</v>
      </c>
      <c r="G50" s="107" t="s">
        <v>840</v>
      </c>
    </row>
    <row r="51" spans="1:8">
      <c r="A51" s="95"/>
      <c r="B51" s="115"/>
      <c r="C51" s="102"/>
      <c r="D51" s="103" t="s">
        <v>322</v>
      </c>
      <c r="E51" s="103" t="s">
        <v>323</v>
      </c>
      <c r="F51" s="104" t="s">
        <v>324</v>
      </c>
      <c r="G51" s="109" t="s">
        <v>325</v>
      </c>
    </row>
    <row r="52" spans="1:8">
      <c r="A52" s="95"/>
      <c r="B52" s="826"/>
      <c r="C52" s="827"/>
      <c r="D52" s="96"/>
      <c r="E52" s="96"/>
      <c r="F52" s="96"/>
      <c r="G52" s="116"/>
    </row>
    <row r="53" spans="1:8" ht="13.5" thickBot="1">
      <c r="A53" s="95"/>
      <c r="B53" s="828" t="s">
        <v>841</v>
      </c>
      <c r="C53" s="829"/>
      <c r="D53" s="77"/>
      <c r="E53" s="82"/>
      <c r="F53" s="86"/>
      <c r="G53" s="112"/>
    </row>
    <row r="54" spans="1:8" ht="14.25" thickTop="1" thickBot="1">
      <c r="A54" s="95"/>
      <c r="B54" s="808"/>
      <c r="C54" s="808"/>
      <c r="D54" s="808"/>
      <c r="E54" s="809"/>
      <c r="F54" s="120" t="s">
        <v>856</v>
      </c>
      <c r="G54" s="118">
        <f>SUM(G49:G53)</f>
        <v>0</v>
      </c>
    </row>
    <row r="55" spans="1:8" ht="14.25" thickTop="1" thickBot="1">
      <c r="A55" s="95"/>
      <c r="B55" s="810"/>
      <c r="C55" s="810"/>
      <c r="D55" s="810"/>
      <c r="E55" s="810"/>
      <c r="F55" s="810"/>
      <c r="G55" s="834"/>
    </row>
    <row r="56" spans="1:8" ht="13.5" thickTop="1">
      <c r="A56" s="95"/>
      <c r="B56" s="811" t="s">
        <v>326</v>
      </c>
      <c r="C56" s="812"/>
      <c r="D56" s="812"/>
      <c r="E56" s="812"/>
      <c r="F56" s="813"/>
      <c r="G56" s="121">
        <f>+G20+G36+G47</f>
        <v>19507</v>
      </c>
    </row>
    <row r="57" spans="1:8">
      <c r="A57" s="95"/>
      <c r="B57" s="814" t="s">
        <v>861</v>
      </c>
      <c r="C57" s="815"/>
      <c r="D57" s="815"/>
      <c r="E57" s="816"/>
      <c r="F57" s="128">
        <f>'MANO DE OBRA'!D59</f>
        <v>0</v>
      </c>
      <c r="G57" s="122">
        <f>ROUND(G56*F57,0)</f>
        <v>0</v>
      </c>
    </row>
    <row r="58" spans="1:8" ht="13.5" thickBot="1">
      <c r="A58" s="95"/>
      <c r="B58" s="805" t="s">
        <v>1049</v>
      </c>
      <c r="C58" s="806"/>
      <c r="D58" s="806"/>
      <c r="E58" s="806"/>
      <c r="F58" s="807"/>
      <c r="G58" s="118">
        <f>ROUND(G56+G57,-2)</f>
        <v>19500</v>
      </c>
      <c r="H58" s="505" t="s">
        <v>1670</v>
      </c>
    </row>
    <row r="59" spans="1:8" ht="15" thickTop="1">
      <c r="A59" s="95"/>
      <c r="B59" s="90" t="s">
        <v>303</v>
      </c>
      <c r="C59" s="843"/>
      <c r="D59" s="843"/>
      <c r="E59" s="843"/>
      <c r="F59" s="92" t="s">
        <v>781</v>
      </c>
      <c r="G59" s="93" t="s">
        <v>1067</v>
      </c>
    </row>
    <row r="60" spans="1:8">
      <c r="A60" s="95"/>
      <c r="B60" s="91" t="s">
        <v>834</v>
      </c>
      <c r="C60" s="844" t="s">
        <v>400</v>
      </c>
      <c r="D60" s="844"/>
      <c r="E60" s="844"/>
      <c r="F60" s="15" t="s">
        <v>833</v>
      </c>
      <c r="G60" s="165" t="str">
        <f>'MANO DE OBRA'!D61</f>
        <v>Agosto de 2010</v>
      </c>
    </row>
    <row r="61" spans="1:8" ht="13.5" thickBot="1">
      <c r="A61" s="127"/>
      <c r="B61" s="94" t="s">
        <v>835</v>
      </c>
      <c r="C61" s="845" t="s">
        <v>401</v>
      </c>
      <c r="D61" s="845"/>
      <c r="E61" s="845"/>
      <c r="F61" s="845"/>
      <c r="G61" s="846"/>
    </row>
    <row r="62" spans="1:8" ht="14.25" thickTop="1" thickBot="1">
      <c r="A62" s="95"/>
      <c r="B62" s="847"/>
      <c r="C62" s="847"/>
      <c r="D62" s="847"/>
      <c r="E62" s="847"/>
      <c r="F62" s="847"/>
      <c r="G62" s="847"/>
    </row>
    <row r="63" spans="1:8" ht="13.5" thickTop="1">
      <c r="A63" s="95"/>
      <c r="B63" s="811" t="s">
        <v>304</v>
      </c>
      <c r="C63" s="812"/>
      <c r="D63" s="812"/>
      <c r="E63" s="812"/>
      <c r="F63" s="812"/>
      <c r="G63" s="825"/>
    </row>
    <row r="64" spans="1:8">
      <c r="A64" s="95"/>
      <c r="B64" s="105"/>
      <c r="C64" s="97"/>
      <c r="D64" s="98" t="s">
        <v>301</v>
      </c>
      <c r="E64" s="98" t="s">
        <v>1072</v>
      </c>
      <c r="F64" s="99" t="s">
        <v>839</v>
      </c>
      <c r="G64" s="107" t="s">
        <v>840</v>
      </c>
    </row>
    <row r="65" spans="1:7">
      <c r="A65" s="95"/>
      <c r="B65" s="821" t="s">
        <v>838</v>
      </c>
      <c r="C65" s="822"/>
      <c r="D65" s="100" t="s">
        <v>308</v>
      </c>
      <c r="E65" s="100" t="s">
        <v>305</v>
      </c>
      <c r="F65" s="101" t="s">
        <v>306</v>
      </c>
      <c r="G65" s="108" t="s">
        <v>310</v>
      </c>
    </row>
    <row r="66" spans="1:7">
      <c r="A66" s="95"/>
      <c r="B66" s="115"/>
      <c r="C66" s="102"/>
      <c r="D66" s="103"/>
      <c r="E66" s="103" t="s">
        <v>309</v>
      </c>
      <c r="F66" s="104" t="s">
        <v>307</v>
      </c>
      <c r="G66" s="109"/>
    </row>
    <row r="67" spans="1:7">
      <c r="A67" s="127"/>
      <c r="B67" s="823" t="str">
        <f>'MAQUINARIA Y EQUIPOS'!C28</f>
        <v>HERRAMIENTAS MENORES</v>
      </c>
      <c r="C67" s="824"/>
      <c r="D67" s="87">
        <v>1</v>
      </c>
      <c r="E67" s="82">
        <f>ROUND(G100*0.05,0)</f>
        <v>241</v>
      </c>
      <c r="F67" s="81">
        <v>1</v>
      </c>
      <c r="G67" s="110">
        <f>ROUND(D67*E67/F67,0)</f>
        <v>241</v>
      </c>
    </row>
    <row r="68" spans="1:7">
      <c r="A68" s="95"/>
      <c r="B68" s="835"/>
      <c r="C68" s="836"/>
      <c r="D68" s="37"/>
      <c r="E68" s="129"/>
      <c r="F68" s="83"/>
      <c r="G68" s="111"/>
    </row>
    <row r="69" spans="1:7">
      <c r="A69" s="95"/>
      <c r="B69" s="835"/>
      <c r="C69" s="836"/>
      <c r="D69" s="37"/>
      <c r="E69" s="129"/>
      <c r="F69" s="83"/>
      <c r="G69" s="111"/>
    </row>
    <row r="70" spans="1:7">
      <c r="A70" s="95"/>
      <c r="B70" s="835"/>
      <c r="C70" s="836"/>
      <c r="D70" s="89"/>
      <c r="E70" s="82"/>
      <c r="F70" s="83"/>
      <c r="G70" s="111"/>
    </row>
    <row r="71" spans="1:7">
      <c r="A71" s="95"/>
      <c r="B71" s="835" t="s">
        <v>841</v>
      </c>
      <c r="C71" s="836"/>
      <c r="D71" s="37"/>
      <c r="E71" s="82"/>
      <c r="F71" s="83"/>
      <c r="G71" s="111"/>
    </row>
    <row r="72" spans="1:7" ht="13.5" thickBot="1">
      <c r="A72" s="95"/>
      <c r="B72" s="839" t="s">
        <v>841</v>
      </c>
      <c r="C72" s="840"/>
      <c r="D72" s="77"/>
      <c r="E72" s="106"/>
      <c r="F72" s="86"/>
      <c r="G72" s="112"/>
    </row>
    <row r="73" spans="1:7" ht="14.25" thickTop="1" thickBot="1">
      <c r="A73" s="95"/>
      <c r="B73" s="808"/>
      <c r="C73" s="808"/>
      <c r="D73" s="808"/>
      <c r="E73" s="809"/>
      <c r="F73" s="119" t="s">
        <v>856</v>
      </c>
      <c r="G73" s="118">
        <f>SUM(G67:G72)</f>
        <v>241</v>
      </c>
    </row>
    <row r="74" spans="1:7" ht="14.25" thickTop="1" thickBot="1">
      <c r="A74" s="95"/>
      <c r="B74" s="830"/>
      <c r="C74" s="830"/>
      <c r="D74" s="830"/>
      <c r="E74" s="830"/>
      <c r="F74" s="830"/>
      <c r="G74" s="830"/>
    </row>
    <row r="75" spans="1:7" ht="13.5" thickTop="1">
      <c r="A75" s="95"/>
      <c r="B75" s="811" t="s">
        <v>311</v>
      </c>
      <c r="C75" s="812"/>
      <c r="D75" s="812"/>
      <c r="E75" s="812"/>
      <c r="F75" s="812"/>
      <c r="G75" s="825"/>
    </row>
    <row r="76" spans="1:7">
      <c r="A76" s="95"/>
      <c r="B76" s="817" t="s">
        <v>838</v>
      </c>
      <c r="C76" s="818"/>
      <c r="D76" s="98" t="s">
        <v>842</v>
      </c>
      <c r="E76" s="98" t="s">
        <v>853</v>
      </c>
      <c r="F76" s="99" t="s">
        <v>1047</v>
      </c>
      <c r="G76" s="107" t="s">
        <v>840</v>
      </c>
    </row>
    <row r="77" spans="1:7">
      <c r="A77" s="95"/>
      <c r="B77" s="115"/>
      <c r="C77" s="102"/>
      <c r="D77" s="100"/>
      <c r="E77" s="100" t="s">
        <v>312</v>
      </c>
      <c r="F77" s="101" t="s">
        <v>313</v>
      </c>
      <c r="G77" s="108" t="s">
        <v>314</v>
      </c>
    </row>
    <row r="78" spans="1:7">
      <c r="A78" s="125"/>
      <c r="B78" s="841" t="str">
        <f>MATERIALES2!C13</f>
        <v>CEMENTO GRIS</v>
      </c>
      <c r="C78" s="842"/>
      <c r="D78" s="87" t="s">
        <v>925</v>
      </c>
      <c r="E78" s="81">
        <v>13.62</v>
      </c>
      <c r="F78" s="80">
        <f>MATERIALES2!E13</f>
        <v>420</v>
      </c>
      <c r="G78" s="110">
        <f>ROUND(E78*F78,0)</f>
        <v>5720</v>
      </c>
    </row>
    <row r="79" spans="1:7" ht="14.25">
      <c r="A79" s="123"/>
      <c r="B79" s="854" t="str">
        <f>MATERIALES2!C20</f>
        <v xml:space="preserve">ARENA </v>
      </c>
      <c r="C79" s="855"/>
      <c r="D79" s="37" t="s">
        <v>1066</v>
      </c>
      <c r="E79" s="141">
        <v>3.2000000000000001E-2</v>
      </c>
      <c r="F79" s="82">
        <f>MATERIALES2!E20</f>
        <v>35000</v>
      </c>
      <c r="G79" s="111">
        <f>ROUND(E79*F79,0)</f>
        <v>1120</v>
      </c>
    </row>
    <row r="80" spans="1:7">
      <c r="A80" s="123"/>
      <c r="B80" s="854" t="str">
        <f>MATERIALES2!C28</f>
        <v>AGUA</v>
      </c>
      <c r="C80" s="855"/>
      <c r="D80" s="37" t="s">
        <v>1071</v>
      </c>
      <c r="E80" s="83">
        <v>12.6</v>
      </c>
      <c r="F80" s="82">
        <f>MATERIALES2!E28</f>
        <v>50</v>
      </c>
      <c r="G80" s="111">
        <f>ROUND(E80*F80,0)</f>
        <v>630</v>
      </c>
    </row>
    <row r="81" spans="1:8">
      <c r="A81" s="123"/>
      <c r="B81" s="854"/>
      <c r="C81" s="855"/>
      <c r="D81" s="37"/>
      <c r="E81" s="83"/>
      <c r="F81" s="82"/>
      <c r="G81" s="111"/>
    </row>
    <row r="82" spans="1:8">
      <c r="A82" s="95"/>
      <c r="B82" s="854"/>
      <c r="C82" s="855"/>
      <c r="D82" s="37"/>
      <c r="E82" s="53"/>
      <c r="F82" s="82"/>
      <c r="G82" s="111"/>
    </row>
    <row r="83" spans="1:8">
      <c r="A83" s="95"/>
      <c r="B83" s="854"/>
      <c r="C83" s="855"/>
      <c r="D83" s="37"/>
      <c r="E83" s="53"/>
      <c r="F83" s="82"/>
      <c r="G83" s="111"/>
    </row>
    <row r="84" spans="1:8">
      <c r="A84" s="95"/>
      <c r="B84" s="854"/>
      <c r="C84" s="855"/>
      <c r="D84" s="37"/>
      <c r="E84" s="53"/>
      <c r="F84" s="82"/>
      <c r="G84" s="111"/>
    </row>
    <row r="85" spans="1:8">
      <c r="A85" s="95"/>
      <c r="B85" s="938" t="s">
        <v>841</v>
      </c>
      <c r="C85" s="939"/>
      <c r="D85" s="53" t="s">
        <v>841</v>
      </c>
      <c r="E85" s="53"/>
      <c r="F85" s="82"/>
      <c r="G85" s="111"/>
      <c r="H85" s="505" t="s">
        <v>1670</v>
      </c>
    </row>
    <row r="86" spans="1:8" ht="13.5" thickBot="1">
      <c r="A86" s="95"/>
      <c r="B86" s="942" t="s">
        <v>841</v>
      </c>
      <c r="C86" s="943"/>
      <c r="D86" s="84" t="s">
        <v>841</v>
      </c>
      <c r="E86" s="84"/>
      <c r="F86" s="85"/>
      <c r="G86" s="112"/>
    </row>
    <row r="87" spans="1:8" ht="13.5" thickTop="1">
      <c r="A87" s="95"/>
      <c r="B87" s="808"/>
      <c r="C87" s="809"/>
      <c r="D87" s="801" t="s">
        <v>856</v>
      </c>
      <c r="E87" s="802"/>
      <c r="F87" s="9"/>
      <c r="G87" s="113">
        <f>SUM(G78:G86)</f>
        <v>7470</v>
      </c>
    </row>
    <row r="88" spans="1:8">
      <c r="A88" s="95"/>
      <c r="B88" s="819"/>
      <c r="C88" s="820"/>
      <c r="D88" s="801" t="s">
        <v>857</v>
      </c>
      <c r="E88" s="802"/>
      <c r="F88" s="79">
        <f>'MANO DE OBRA'!D60</f>
        <v>0.05</v>
      </c>
      <c r="G88" s="113">
        <f>ROUND(G87*F88,0)</f>
        <v>374</v>
      </c>
    </row>
    <row r="89" spans="1:8" ht="13.5" thickBot="1">
      <c r="A89" s="95"/>
      <c r="B89" s="819"/>
      <c r="C89" s="820"/>
      <c r="D89" s="803" t="s">
        <v>320</v>
      </c>
      <c r="E89" s="804"/>
      <c r="F89" s="114"/>
      <c r="G89" s="118">
        <f>+G87+G88</f>
        <v>7844</v>
      </c>
    </row>
    <row r="90" spans="1:8" ht="14.25" thickTop="1" thickBot="1">
      <c r="A90" s="95"/>
      <c r="B90" s="830"/>
      <c r="C90" s="830"/>
      <c r="D90" s="830"/>
      <c r="E90" s="830"/>
      <c r="F90" s="830"/>
      <c r="G90" s="830"/>
    </row>
    <row r="91" spans="1:8" ht="13.5" thickTop="1">
      <c r="A91" s="95"/>
      <c r="B91" s="811" t="s">
        <v>858</v>
      </c>
      <c r="C91" s="812"/>
      <c r="D91" s="812"/>
      <c r="E91" s="812"/>
      <c r="F91" s="812"/>
      <c r="G91" s="825"/>
    </row>
    <row r="92" spans="1:8">
      <c r="A92" s="95"/>
      <c r="B92" s="817"/>
      <c r="C92" s="818"/>
      <c r="D92" s="98" t="s">
        <v>301</v>
      </c>
      <c r="E92" s="98" t="s">
        <v>859</v>
      </c>
      <c r="F92" s="99" t="s">
        <v>839</v>
      </c>
      <c r="G92" s="107" t="s">
        <v>840</v>
      </c>
    </row>
    <row r="93" spans="1:8">
      <c r="A93" s="95"/>
      <c r="B93" s="821" t="s">
        <v>838</v>
      </c>
      <c r="C93" s="822"/>
      <c r="D93" s="100" t="s">
        <v>316</v>
      </c>
      <c r="E93" s="100" t="s">
        <v>315</v>
      </c>
      <c r="F93" s="101" t="s">
        <v>306</v>
      </c>
      <c r="G93" s="108" t="s">
        <v>319</v>
      </c>
    </row>
    <row r="94" spans="1:8">
      <c r="A94" s="95"/>
      <c r="B94" s="115"/>
      <c r="C94" s="102"/>
      <c r="D94" s="103"/>
      <c r="E94" s="103" t="s">
        <v>317</v>
      </c>
      <c r="F94" s="104" t="s">
        <v>318</v>
      </c>
      <c r="G94" s="109"/>
    </row>
    <row r="95" spans="1:8">
      <c r="A95" s="95"/>
      <c r="B95" s="823" t="str">
        <f>'MANO DE OBRA'!B10</f>
        <v>AYUDANTE CUAD. TIPO AA</v>
      </c>
      <c r="C95" s="824"/>
      <c r="D95" s="87">
        <v>1</v>
      </c>
      <c r="E95" s="80">
        <f>'MANO DE OBRA'!E10</f>
        <v>34680</v>
      </c>
      <c r="F95" s="81">
        <v>22</v>
      </c>
      <c r="G95" s="110">
        <f>ROUND(D95*E95/F95,0)</f>
        <v>1576</v>
      </c>
    </row>
    <row r="96" spans="1:8">
      <c r="A96" s="95"/>
      <c r="B96" s="835" t="str">
        <f>'MANO DE OBRA'!B15</f>
        <v xml:space="preserve">OFICIAL CUAD. TIPO AA </v>
      </c>
      <c r="C96" s="836"/>
      <c r="D96" s="37">
        <v>1</v>
      </c>
      <c r="E96" s="82">
        <f>'MANO DE OBRA'!E15</f>
        <v>71474</v>
      </c>
      <c r="F96" s="83">
        <v>22</v>
      </c>
      <c r="G96" s="111">
        <f>ROUND(D96*E96/F96,0)</f>
        <v>3249</v>
      </c>
    </row>
    <row r="97" spans="1:8">
      <c r="A97" s="95"/>
      <c r="B97" s="835"/>
      <c r="C97" s="836"/>
      <c r="D97" s="89"/>
      <c r="E97" s="82"/>
      <c r="F97" s="83"/>
      <c r="G97" s="111"/>
    </row>
    <row r="98" spans="1:8">
      <c r="A98" s="95"/>
      <c r="B98" s="835" t="s">
        <v>841</v>
      </c>
      <c r="C98" s="836"/>
      <c r="D98" s="37"/>
      <c r="E98" s="82"/>
      <c r="F98" s="83"/>
      <c r="G98" s="111"/>
    </row>
    <row r="99" spans="1:8" ht="13.5" thickBot="1">
      <c r="A99" s="95"/>
      <c r="B99" s="828" t="s">
        <v>841</v>
      </c>
      <c r="C99" s="829"/>
      <c r="D99" s="77"/>
      <c r="E99" s="82"/>
      <c r="F99" s="86"/>
      <c r="G99" s="112"/>
    </row>
    <row r="100" spans="1:8" ht="14.25" thickTop="1" thickBot="1">
      <c r="A100" s="95"/>
      <c r="B100" s="808"/>
      <c r="C100" s="808"/>
      <c r="D100" s="808"/>
      <c r="E100" s="809"/>
      <c r="F100" s="120" t="s">
        <v>856</v>
      </c>
      <c r="G100" s="118">
        <f>SUM(G95:G99)</f>
        <v>4825</v>
      </c>
    </row>
    <row r="101" spans="1:8" ht="14.25" thickTop="1" thickBot="1">
      <c r="A101" s="95"/>
      <c r="B101" s="810"/>
      <c r="C101" s="810"/>
      <c r="D101" s="810"/>
      <c r="E101" s="810"/>
      <c r="F101" s="810"/>
      <c r="G101" s="810"/>
    </row>
    <row r="102" spans="1:8" ht="13.5" thickTop="1">
      <c r="A102" s="95"/>
      <c r="B102" s="811" t="s">
        <v>321</v>
      </c>
      <c r="C102" s="812"/>
      <c r="D102" s="812"/>
      <c r="E102" s="812"/>
      <c r="F102" s="812"/>
      <c r="G102" s="825"/>
    </row>
    <row r="103" spans="1:8">
      <c r="A103" s="95"/>
      <c r="B103" s="817" t="s">
        <v>838</v>
      </c>
      <c r="C103" s="818"/>
      <c r="D103" s="98" t="s">
        <v>301</v>
      </c>
      <c r="E103" s="98" t="s">
        <v>297</v>
      </c>
      <c r="F103" s="99" t="s">
        <v>839</v>
      </c>
      <c r="G103" s="107" t="s">
        <v>840</v>
      </c>
    </row>
    <row r="104" spans="1:8">
      <c r="A104" s="95"/>
      <c r="B104" s="115"/>
      <c r="C104" s="102"/>
      <c r="D104" s="103" t="s">
        <v>322</v>
      </c>
      <c r="E104" s="103" t="s">
        <v>323</v>
      </c>
      <c r="F104" s="104" t="s">
        <v>324</v>
      </c>
      <c r="G104" s="109" t="s">
        <v>325</v>
      </c>
    </row>
    <row r="105" spans="1:8">
      <c r="A105" s="95"/>
      <c r="B105" s="826"/>
      <c r="C105" s="827"/>
      <c r="D105" s="96"/>
      <c r="E105" s="96"/>
      <c r="F105" s="96"/>
      <c r="G105" s="116"/>
    </row>
    <row r="106" spans="1:8" ht="13.5" thickBot="1">
      <c r="A106" s="95"/>
      <c r="B106" s="828" t="s">
        <v>841</v>
      </c>
      <c r="C106" s="829"/>
      <c r="D106" s="77"/>
      <c r="E106" s="82"/>
      <c r="F106" s="86"/>
      <c r="G106" s="112"/>
    </row>
    <row r="107" spans="1:8" ht="14.25" thickTop="1" thickBot="1">
      <c r="A107" s="95"/>
      <c r="B107" s="808"/>
      <c r="C107" s="808"/>
      <c r="D107" s="808"/>
      <c r="E107" s="809"/>
      <c r="F107" s="120" t="s">
        <v>856</v>
      </c>
      <c r="G107" s="118">
        <f>SUM(G102:G106)</f>
        <v>0</v>
      </c>
    </row>
    <row r="108" spans="1:8" ht="14.25" thickTop="1" thickBot="1">
      <c r="A108" s="95"/>
      <c r="B108" s="810"/>
      <c r="C108" s="810"/>
      <c r="D108" s="810"/>
      <c r="E108" s="810"/>
      <c r="F108" s="810"/>
      <c r="G108" s="834"/>
    </row>
    <row r="109" spans="1:8" ht="13.5" thickTop="1">
      <c r="A109" s="95"/>
      <c r="B109" s="811" t="s">
        <v>326</v>
      </c>
      <c r="C109" s="812"/>
      <c r="D109" s="812"/>
      <c r="E109" s="812"/>
      <c r="F109" s="813"/>
      <c r="G109" s="121">
        <f>+G73+G89+G100</f>
        <v>12910</v>
      </c>
    </row>
    <row r="110" spans="1:8">
      <c r="A110" s="95"/>
      <c r="B110" s="814" t="s">
        <v>861</v>
      </c>
      <c r="C110" s="815"/>
      <c r="D110" s="815"/>
      <c r="E110" s="816"/>
      <c r="F110" s="128">
        <f>'MANO DE OBRA'!D59</f>
        <v>0</v>
      </c>
      <c r="G110" s="122">
        <f>ROUND(G109*F110,0)</f>
        <v>0</v>
      </c>
    </row>
    <row r="111" spans="1:8" ht="13.5" thickBot="1">
      <c r="A111" s="95"/>
      <c r="B111" s="805" t="s">
        <v>1049</v>
      </c>
      <c r="C111" s="806"/>
      <c r="D111" s="806"/>
      <c r="E111" s="806"/>
      <c r="F111" s="807"/>
      <c r="G111" s="118">
        <f>ROUND(G109+G110,-2)</f>
        <v>12900</v>
      </c>
      <c r="H111" s="505" t="s">
        <v>1670</v>
      </c>
    </row>
    <row r="112" spans="1:8" ht="15" thickTop="1">
      <c r="A112" s="95"/>
      <c r="B112" s="90" t="s">
        <v>303</v>
      </c>
      <c r="C112" s="843"/>
      <c r="D112" s="843"/>
      <c r="E112" s="843"/>
      <c r="F112" s="92" t="s">
        <v>781</v>
      </c>
      <c r="G112" s="93" t="s">
        <v>1067</v>
      </c>
    </row>
    <row r="113" spans="1:7">
      <c r="A113" s="95"/>
      <c r="B113" s="91" t="s">
        <v>834</v>
      </c>
      <c r="C113" s="844" t="s">
        <v>1433</v>
      </c>
      <c r="D113" s="844"/>
      <c r="E113" s="844"/>
      <c r="F113" s="15" t="s">
        <v>833</v>
      </c>
      <c r="G113" s="165" t="str">
        <f>'MANO DE OBRA'!D61</f>
        <v>Agosto de 2010</v>
      </c>
    </row>
    <row r="114" spans="1:7" ht="13.5" thickBot="1">
      <c r="A114" s="127"/>
      <c r="B114" s="94" t="s">
        <v>835</v>
      </c>
      <c r="C114" s="845" t="s">
        <v>1435</v>
      </c>
      <c r="D114" s="845"/>
      <c r="E114" s="845"/>
      <c r="F114" s="845"/>
      <c r="G114" s="846"/>
    </row>
    <row r="115" spans="1:7" ht="14.25" thickTop="1" thickBot="1">
      <c r="A115" s="95"/>
      <c r="B115" s="847"/>
      <c r="C115" s="847"/>
      <c r="D115" s="847"/>
      <c r="E115" s="847"/>
      <c r="F115" s="847"/>
      <c r="G115" s="847"/>
    </row>
    <row r="116" spans="1:7" ht="13.5" thickTop="1">
      <c r="A116" s="95"/>
      <c r="B116" s="811" t="s">
        <v>304</v>
      </c>
      <c r="C116" s="812"/>
      <c r="D116" s="812"/>
      <c r="E116" s="812"/>
      <c r="F116" s="812"/>
      <c r="G116" s="825"/>
    </row>
    <row r="117" spans="1:7">
      <c r="A117" s="95"/>
      <c r="B117" s="105"/>
      <c r="C117" s="97"/>
      <c r="D117" s="98" t="s">
        <v>301</v>
      </c>
      <c r="E117" s="98" t="s">
        <v>1072</v>
      </c>
      <c r="F117" s="99" t="s">
        <v>839</v>
      </c>
      <c r="G117" s="107" t="s">
        <v>840</v>
      </c>
    </row>
    <row r="118" spans="1:7">
      <c r="A118" s="95"/>
      <c r="B118" s="821" t="s">
        <v>838</v>
      </c>
      <c r="C118" s="822"/>
      <c r="D118" s="100" t="s">
        <v>308</v>
      </c>
      <c r="E118" s="100" t="s">
        <v>305</v>
      </c>
      <c r="F118" s="101" t="s">
        <v>306</v>
      </c>
      <c r="G118" s="108" t="s">
        <v>310</v>
      </c>
    </row>
    <row r="119" spans="1:7">
      <c r="A119" s="95"/>
      <c r="B119" s="115"/>
      <c r="C119" s="102"/>
      <c r="D119" s="103"/>
      <c r="E119" s="103" t="s">
        <v>309</v>
      </c>
      <c r="F119" s="104" t="s">
        <v>307</v>
      </c>
      <c r="G119" s="109"/>
    </row>
    <row r="120" spans="1:7">
      <c r="A120" s="127"/>
      <c r="B120" s="823" t="str">
        <f>'MAQUINARIA Y EQUIPOS'!C28</f>
        <v>HERRAMIENTAS MENORES</v>
      </c>
      <c r="C120" s="824"/>
      <c r="D120" s="87">
        <v>1</v>
      </c>
      <c r="E120" s="82">
        <f>ROUND(G153*0.05,0)</f>
        <v>398</v>
      </c>
      <c r="F120" s="81">
        <v>1</v>
      </c>
      <c r="G120" s="110">
        <f>ROUND(D120*E120/F120,0)</f>
        <v>398</v>
      </c>
    </row>
    <row r="121" spans="1:7">
      <c r="A121" s="95"/>
      <c r="B121" s="835"/>
      <c r="C121" s="836"/>
      <c r="D121" s="37"/>
      <c r="E121" s="129"/>
      <c r="F121" s="83"/>
      <c r="G121" s="111"/>
    </row>
    <row r="122" spans="1:7">
      <c r="A122" s="95"/>
      <c r="B122" s="835"/>
      <c r="C122" s="836"/>
      <c r="D122" s="37"/>
      <c r="E122" s="129"/>
      <c r="F122" s="83"/>
      <c r="G122" s="111"/>
    </row>
    <row r="123" spans="1:7">
      <c r="A123" s="95"/>
      <c r="B123" s="835"/>
      <c r="C123" s="836"/>
      <c r="D123" s="89"/>
      <c r="E123" s="82"/>
      <c r="F123" s="83"/>
      <c r="G123" s="111"/>
    </row>
    <row r="124" spans="1:7">
      <c r="A124" s="95"/>
      <c r="B124" s="835" t="s">
        <v>841</v>
      </c>
      <c r="C124" s="836"/>
      <c r="D124" s="37"/>
      <c r="E124" s="82"/>
      <c r="F124" s="83"/>
      <c r="G124" s="111"/>
    </row>
    <row r="125" spans="1:7" ht="13.5" thickBot="1">
      <c r="A125" s="95"/>
      <c r="B125" s="839" t="s">
        <v>841</v>
      </c>
      <c r="C125" s="840"/>
      <c r="D125" s="77"/>
      <c r="E125" s="106"/>
      <c r="F125" s="86"/>
      <c r="G125" s="112"/>
    </row>
    <row r="126" spans="1:7" ht="14.25" thickTop="1" thickBot="1">
      <c r="A126" s="95"/>
      <c r="B126" s="808"/>
      <c r="C126" s="808"/>
      <c r="D126" s="808"/>
      <c r="E126" s="809"/>
      <c r="F126" s="119" t="s">
        <v>856</v>
      </c>
      <c r="G126" s="118">
        <f>SUM(G120:G125)</f>
        <v>398</v>
      </c>
    </row>
    <row r="127" spans="1:7" ht="14.25" thickTop="1" thickBot="1">
      <c r="A127" s="95"/>
      <c r="B127" s="830"/>
      <c r="C127" s="830"/>
      <c r="D127" s="830"/>
      <c r="E127" s="830"/>
      <c r="F127" s="830"/>
      <c r="G127" s="830"/>
    </row>
    <row r="128" spans="1:7" ht="13.5" thickTop="1">
      <c r="A128" s="95"/>
      <c r="B128" s="811" t="s">
        <v>311</v>
      </c>
      <c r="C128" s="812"/>
      <c r="D128" s="812"/>
      <c r="E128" s="812"/>
      <c r="F128" s="812"/>
      <c r="G128" s="825"/>
    </row>
    <row r="129" spans="1:8">
      <c r="A129" s="95"/>
      <c r="B129" s="817" t="s">
        <v>838</v>
      </c>
      <c r="C129" s="818"/>
      <c r="D129" s="98" t="s">
        <v>842</v>
      </c>
      <c r="E129" s="98" t="s">
        <v>853</v>
      </c>
      <c r="F129" s="99" t="s">
        <v>1047</v>
      </c>
      <c r="G129" s="107" t="s">
        <v>840</v>
      </c>
    </row>
    <row r="130" spans="1:8">
      <c r="A130" s="95"/>
      <c r="B130" s="115"/>
      <c r="C130" s="102"/>
      <c r="D130" s="100"/>
      <c r="E130" s="100" t="s">
        <v>312</v>
      </c>
      <c r="F130" s="101" t="s">
        <v>313</v>
      </c>
      <c r="G130" s="108" t="s">
        <v>314</v>
      </c>
    </row>
    <row r="131" spans="1:8">
      <c r="A131" s="125"/>
      <c r="B131" s="841" t="str">
        <f>MATERIALES2!C13</f>
        <v>CEMENTO GRIS</v>
      </c>
      <c r="C131" s="842"/>
      <c r="D131" s="87" t="s">
        <v>925</v>
      </c>
      <c r="E131" s="81">
        <v>24.16</v>
      </c>
      <c r="F131" s="80">
        <f>MATERIALES2!E13</f>
        <v>420</v>
      </c>
      <c r="G131" s="110">
        <f>ROUND(E131*F131,0)</f>
        <v>10147</v>
      </c>
    </row>
    <row r="132" spans="1:8" ht="14.25">
      <c r="A132" s="123"/>
      <c r="B132" s="854" t="str">
        <f>MATERIALES2!C20</f>
        <v xml:space="preserve">ARENA </v>
      </c>
      <c r="C132" s="855"/>
      <c r="D132" s="37" t="s">
        <v>1066</v>
      </c>
      <c r="E132" s="141">
        <v>9.6000000000000002E-2</v>
      </c>
      <c r="F132" s="82">
        <f>MATERIALES2!E20</f>
        <v>35000</v>
      </c>
      <c r="G132" s="111">
        <f>ROUND(E132*F132,0)</f>
        <v>3360</v>
      </c>
    </row>
    <row r="133" spans="1:8">
      <c r="A133" s="123"/>
      <c r="B133" s="854" t="str">
        <f>MATERIALES2!C28</f>
        <v>AGUA</v>
      </c>
      <c r="C133" s="855"/>
      <c r="D133" s="37" t="s">
        <v>1071</v>
      </c>
      <c r="E133" s="83">
        <v>18.96</v>
      </c>
      <c r="F133" s="82">
        <f>MATERIALES2!E28</f>
        <v>50</v>
      </c>
      <c r="G133" s="111">
        <f>ROUND(E133*F133,0)</f>
        <v>948</v>
      </c>
    </row>
    <row r="134" spans="1:8">
      <c r="A134" s="123"/>
      <c r="B134" s="854"/>
      <c r="C134" s="855"/>
      <c r="D134" s="37"/>
      <c r="E134" s="83"/>
      <c r="F134" s="82"/>
      <c r="G134" s="111"/>
    </row>
    <row r="135" spans="1:8">
      <c r="A135" s="95"/>
      <c r="B135" s="854"/>
      <c r="C135" s="855"/>
      <c r="D135" s="37"/>
      <c r="E135" s="53"/>
      <c r="F135" s="82"/>
      <c r="G135" s="111"/>
    </row>
    <row r="136" spans="1:8">
      <c r="A136" s="95"/>
      <c r="B136" s="854"/>
      <c r="C136" s="855"/>
      <c r="D136" s="37"/>
      <c r="E136" s="53"/>
      <c r="F136" s="82"/>
      <c r="G136" s="111"/>
    </row>
    <row r="137" spans="1:8">
      <c r="A137" s="95"/>
      <c r="B137" s="854"/>
      <c r="C137" s="855"/>
      <c r="D137" s="37"/>
      <c r="E137" s="53"/>
      <c r="F137" s="82"/>
      <c r="G137" s="111"/>
    </row>
    <row r="138" spans="1:8">
      <c r="A138" s="95"/>
      <c r="B138" s="938" t="s">
        <v>841</v>
      </c>
      <c r="C138" s="939"/>
      <c r="D138" s="53" t="s">
        <v>841</v>
      </c>
      <c r="E138" s="53"/>
      <c r="F138" s="82"/>
      <c r="G138" s="111"/>
      <c r="H138" s="505" t="s">
        <v>1670</v>
      </c>
    </row>
    <row r="139" spans="1:8" ht="13.5" thickBot="1">
      <c r="A139" s="95"/>
      <c r="B139" s="942" t="s">
        <v>841</v>
      </c>
      <c r="C139" s="943"/>
      <c r="D139" s="84" t="s">
        <v>841</v>
      </c>
      <c r="E139" s="84"/>
      <c r="F139" s="85"/>
      <c r="G139" s="112"/>
    </row>
    <row r="140" spans="1:8" ht="13.5" thickTop="1">
      <c r="A140" s="95"/>
      <c r="B140" s="808"/>
      <c r="C140" s="809"/>
      <c r="D140" s="801" t="s">
        <v>856</v>
      </c>
      <c r="E140" s="802"/>
      <c r="F140" s="9"/>
      <c r="G140" s="113">
        <f>SUM(G131:G139)</f>
        <v>14455</v>
      </c>
    </row>
    <row r="141" spans="1:8">
      <c r="A141" s="95"/>
      <c r="B141" s="819"/>
      <c r="C141" s="820"/>
      <c r="D141" s="801" t="s">
        <v>857</v>
      </c>
      <c r="E141" s="802"/>
      <c r="F141" s="79">
        <f>'MANO DE OBRA'!D60</f>
        <v>0.05</v>
      </c>
      <c r="G141" s="113">
        <f>ROUND(G140*F141,0)</f>
        <v>723</v>
      </c>
    </row>
    <row r="142" spans="1:8" ht="13.5" thickBot="1">
      <c r="A142" s="95"/>
      <c r="B142" s="819"/>
      <c r="C142" s="820"/>
      <c r="D142" s="803" t="s">
        <v>320</v>
      </c>
      <c r="E142" s="804"/>
      <c r="F142" s="114"/>
      <c r="G142" s="118">
        <f>+G140+G141</f>
        <v>15178</v>
      </c>
    </row>
    <row r="143" spans="1:8" ht="14.25" thickTop="1" thickBot="1">
      <c r="A143" s="95"/>
      <c r="B143" s="830"/>
      <c r="C143" s="830"/>
      <c r="D143" s="830"/>
      <c r="E143" s="830"/>
      <c r="F143" s="830"/>
      <c r="G143" s="830"/>
    </row>
    <row r="144" spans="1:8" ht="13.5" thickTop="1">
      <c r="A144" s="95"/>
      <c r="B144" s="811" t="s">
        <v>858</v>
      </c>
      <c r="C144" s="812"/>
      <c r="D144" s="812"/>
      <c r="E144" s="812"/>
      <c r="F144" s="812"/>
      <c r="G144" s="825"/>
    </row>
    <row r="145" spans="1:7">
      <c r="A145" s="95"/>
      <c r="B145" s="817"/>
      <c r="C145" s="818"/>
      <c r="D145" s="98" t="s">
        <v>301</v>
      </c>
      <c r="E145" s="98" t="s">
        <v>859</v>
      </c>
      <c r="F145" s="99" t="s">
        <v>839</v>
      </c>
      <c r="G145" s="107" t="s">
        <v>840</v>
      </c>
    </row>
    <row r="146" spans="1:7">
      <c r="A146" s="95"/>
      <c r="B146" s="821" t="s">
        <v>838</v>
      </c>
      <c r="C146" s="822"/>
      <c r="D146" s="100" t="s">
        <v>316</v>
      </c>
      <c r="E146" s="100" t="s">
        <v>315</v>
      </c>
      <c r="F146" s="101" t="s">
        <v>306</v>
      </c>
      <c r="G146" s="108" t="s">
        <v>319</v>
      </c>
    </row>
    <row r="147" spans="1:7">
      <c r="A147" s="95"/>
      <c r="B147" s="115"/>
      <c r="C147" s="102"/>
      <c r="D147" s="103"/>
      <c r="E147" s="103" t="s">
        <v>317</v>
      </c>
      <c r="F147" s="104" t="s">
        <v>318</v>
      </c>
      <c r="G147" s="109"/>
    </row>
    <row r="148" spans="1:7">
      <c r="A148" s="95"/>
      <c r="B148" s="823" t="str">
        <f>'MANO DE OBRA'!B10</f>
        <v>AYUDANTE CUAD. TIPO AA</v>
      </c>
      <c r="C148" s="824"/>
      <c r="D148" s="87">
        <v>1</v>
      </c>
      <c r="E148" s="80">
        <f>'MANO DE OBRA'!E10</f>
        <v>34680</v>
      </c>
      <c r="F148" s="81">
        <v>13.33</v>
      </c>
      <c r="G148" s="110">
        <f>ROUND(D148*E148/F148,0)</f>
        <v>2602</v>
      </c>
    </row>
    <row r="149" spans="1:7">
      <c r="A149" s="95"/>
      <c r="B149" s="835" t="str">
        <f>'MANO DE OBRA'!B15</f>
        <v xml:space="preserve">OFICIAL CUAD. TIPO AA </v>
      </c>
      <c r="C149" s="836"/>
      <c r="D149" s="37">
        <v>1</v>
      </c>
      <c r="E149" s="82">
        <f>'MANO DE OBRA'!E15</f>
        <v>71474</v>
      </c>
      <c r="F149" s="83">
        <v>13.33</v>
      </c>
      <c r="G149" s="111">
        <f>ROUND(D149*E149/F149,0)</f>
        <v>5362</v>
      </c>
    </row>
    <row r="150" spans="1:7">
      <c r="A150" s="95"/>
      <c r="B150" s="835"/>
      <c r="C150" s="836"/>
      <c r="D150" s="89"/>
      <c r="E150" s="82"/>
      <c r="F150" s="83"/>
      <c r="G150" s="111"/>
    </row>
    <row r="151" spans="1:7">
      <c r="A151" s="95"/>
      <c r="B151" s="835" t="s">
        <v>841</v>
      </c>
      <c r="C151" s="836"/>
      <c r="D151" s="37"/>
      <c r="E151" s="82"/>
      <c r="F151" s="83"/>
      <c r="G151" s="111"/>
    </row>
    <row r="152" spans="1:7" ht="13.5" thickBot="1">
      <c r="A152" s="95"/>
      <c r="B152" s="828" t="s">
        <v>841</v>
      </c>
      <c r="C152" s="829"/>
      <c r="D152" s="77"/>
      <c r="E152" s="82"/>
      <c r="F152" s="86"/>
      <c r="G152" s="112"/>
    </row>
    <row r="153" spans="1:7" ht="14.25" thickTop="1" thickBot="1">
      <c r="A153" s="95"/>
      <c r="B153" s="808"/>
      <c r="C153" s="808"/>
      <c r="D153" s="808"/>
      <c r="E153" s="809"/>
      <c r="F153" s="120" t="s">
        <v>856</v>
      </c>
      <c r="G153" s="118">
        <f>SUM(G148:G152)</f>
        <v>7964</v>
      </c>
    </row>
    <row r="154" spans="1:7" ht="14.25" thickTop="1" thickBot="1">
      <c r="A154" s="95"/>
      <c r="B154" s="810"/>
      <c r="C154" s="810"/>
      <c r="D154" s="810"/>
      <c r="E154" s="810"/>
      <c r="F154" s="810"/>
      <c r="G154" s="810"/>
    </row>
    <row r="155" spans="1:7" ht="13.5" thickTop="1">
      <c r="A155" s="95"/>
      <c r="B155" s="811" t="s">
        <v>321</v>
      </c>
      <c r="C155" s="812"/>
      <c r="D155" s="812"/>
      <c r="E155" s="812"/>
      <c r="F155" s="812"/>
      <c r="G155" s="825"/>
    </row>
    <row r="156" spans="1:7">
      <c r="A156" s="95"/>
      <c r="B156" s="817" t="s">
        <v>838</v>
      </c>
      <c r="C156" s="818"/>
      <c r="D156" s="98" t="s">
        <v>301</v>
      </c>
      <c r="E156" s="98" t="s">
        <v>297</v>
      </c>
      <c r="F156" s="99" t="s">
        <v>839</v>
      </c>
      <c r="G156" s="107" t="s">
        <v>840</v>
      </c>
    </row>
    <row r="157" spans="1:7">
      <c r="A157" s="95"/>
      <c r="B157" s="115"/>
      <c r="C157" s="102"/>
      <c r="D157" s="103" t="s">
        <v>322</v>
      </c>
      <c r="E157" s="103" t="s">
        <v>323</v>
      </c>
      <c r="F157" s="104" t="s">
        <v>324</v>
      </c>
      <c r="G157" s="109" t="s">
        <v>325</v>
      </c>
    </row>
    <row r="158" spans="1:7">
      <c r="A158" s="95"/>
      <c r="B158" s="826"/>
      <c r="C158" s="827"/>
      <c r="D158" s="96"/>
      <c r="E158" s="96"/>
      <c r="F158" s="96"/>
      <c r="G158" s="116"/>
    </row>
    <row r="159" spans="1:7" ht="13.5" thickBot="1">
      <c r="A159" s="95"/>
      <c r="B159" s="828" t="s">
        <v>841</v>
      </c>
      <c r="C159" s="829"/>
      <c r="D159" s="77"/>
      <c r="E159" s="82"/>
      <c r="F159" s="86"/>
      <c r="G159" s="112"/>
    </row>
    <row r="160" spans="1:7" ht="14.25" thickTop="1" thickBot="1">
      <c r="A160" s="95"/>
      <c r="B160" s="808"/>
      <c r="C160" s="808"/>
      <c r="D160" s="808"/>
      <c r="E160" s="809"/>
      <c r="F160" s="120" t="s">
        <v>856</v>
      </c>
      <c r="G160" s="118">
        <f>SUM(G155:G159)</f>
        <v>0</v>
      </c>
    </row>
    <row r="161" spans="1:8" ht="14.25" thickTop="1" thickBot="1">
      <c r="A161" s="95"/>
      <c r="B161" s="810"/>
      <c r="C161" s="810"/>
      <c r="D161" s="810"/>
      <c r="E161" s="810"/>
      <c r="F161" s="810"/>
      <c r="G161" s="834"/>
    </row>
    <row r="162" spans="1:8" ht="13.5" thickTop="1">
      <c r="A162" s="95"/>
      <c r="B162" s="811" t="s">
        <v>326</v>
      </c>
      <c r="C162" s="812"/>
      <c r="D162" s="812"/>
      <c r="E162" s="812"/>
      <c r="F162" s="813"/>
      <c r="G162" s="121">
        <f>+G126+G142+G153</f>
        <v>23540</v>
      </c>
    </row>
    <row r="163" spans="1:8">
      <c r="A163" s="95"/>
      <c r="B163" s="814" t="s">
        <v>861</v>
      </c>
      <c r="C163" s="815"/>
      <c r="D163" s="815"/>
      <c r="E163" s="816"/>
      <c r="F163" s="128">
        <f>'MANO DE OBRA'!D59</f>
        <v>0</v>
      </c>
      <c r="G163" s="122">
        <f>ROUND(G162*F163,0)</f>
        <v>0</v>
      </c>
    </row>
    <row r="164" spans="1:8" ht="13.5" thickBot="1">
      <c r="A164" s="95"/>
      <c r="B164" s="805" t="s">
        <v>1049</v>
      </c>
      <c r="C164" s="806"/>
      <c r="D164" s="806"/>
      <c r="E164" s="806"/>
      <c r="F164" s="807"/>
      <c r="G164" s="118">
        <f>ROUND(G162+G163,-2)</f>
        <v>23500</v>
      </c>
      <c r="H164" s="505" t="s">
        <v>1670</v>
      </c>
    </row>
    <row r="165" spans="1:8" ht="15" thickTop="1">
      <c r="A165" s="95"/>
      <c r="B165" s="90" t="s">
        <v>303</v>
      </c>
      <c r="C165" s="843"/>
      <c r="D165" s="843"/>
      <c r="E165" s="843"/>
      <c r="F165" s="92" t="s">
        <v>781</v>
      </c>
      <c r="G165" s="93" t="s">
        <v>1067</v>
      </c>
    </row>
    <row r="166" spans="1:8">
      <c r="A166" s="95"/>
      <c r="B166" s="91" t="s">
        <v>834</v>
      </c>
      <c r="C166" s="844" t="s">
        <v>1433</v>
      </c>
      <c r="D166" s="844"/>
      <c r="E166" s="844"/>
      <c r="F166" s="15" t="s">
        <v>833</v>
      </c>
      <c r="G166" s="165" t="str">
        <f>'MANO DE OBRA'!D61</f>
        <v>Agosto de 2010</v>
      </c>
    </row>
    <row r="167" spans="1:8" ht="13.5" thickBot="1">
      <c r="A167" s="127"/>
      <c r="B167" s="94" t="s">
        <v>835</v>
      </c>
      <c r="C167" s="845" t="s">
        <v>1436</v>
      </c>
      <c r="D167" s="845"/>
      <c r="E167" s="845"/>
      <c r="F167" s="845"/>
      <c r="G167" s="846"/>
    </row>
    <row r="168" spans="1:8" ht="14.25" thickTop="1" thickBot="1">
      <c r="A168" s="95"/>
      <c r="B168" s="847"/>
      <c r="C168" s="847"/>
      <c r="D168" s="847"/>
      <c r="E168" s="847"/>
      <c r="F168" s="847"/>
      <c r="G168" s="847"/>
    </row>
    <row r="169" spans="1:8" ht="13.5" thickTop="1">
      <c r="A169" s="95"/>
      <c r="B169" s="811" t="s">
        <v>304</v>
      </c>
      <c r="C169" s="812"/>
      <c r="D169" s="812"/>
      <c r="E169" s="812"/>
      <c r="F169" s="812"/>
      <c r="G169" s="825"/>
    </row>
    <row r="170" spans="1:8">
      <c r="A170" s="95"/>
      <c r="B170" s="105"/>
      <c r="C170" s="97"/>
      <c r="D170" s="98" t="s">
        <v>301</v>
      </c>
      <c r="E170" s="98" t="s">
        <v>1072</v>
      </c>
      <c r="F170" s="99" t="s">
        <v>839</v>
      </c>
      <c r="G170" s="107" t="s">
        <v>840</v>
      </c>
    </row>
    <row r="171" spans="1:8">
      <c r="A171" s="95"/>
      <c r="B171" s="821" t="s">
        <v>838</v>
      </c>
      <c r="C171" s="822"/>
      <c r="D171" s="100" t="s">
        <v>308</v>
      </c>
      <c r="E171" s="100" t="s">
        <v>305</v>
      </c>
      <c r="F171" s="101" t="s">
        <v>306</v>
      </c>
      <c r="G171" s="108" t="s">
        <v>310</v>
      </c>
    </row>
    <row r="172" spans="1:8">
      <c r="A172" s="95"/>
      <c r="B172" s="115"/>
      <c r="C172" s="102"/>
      <c r="D172" s="103"/>
      <c r="E172" s="103" t="s">
        <v>309</v>
      </c>
      <c r="F172" s="104" t="s">
        <v>307</v>
      </c>
      <c r="G172" s="109"/>
    </row>
    <row r="173" spans="1:8">
      <c r="A173" s="127"/>
      <c r="B173" s="823" t="str">
        <f>'MAQUINARIA Y EQUIPOS'!C28</f>
        <v>HERRAMIENTAS MENORES</v>
      </c>
      <c r="C173" s="824"/>
      <c r="D173" s="87">
        <v>1</v>
      </c>
      <c r="E173" s="82">
        <f>ROUND(G206*0.05,0)</f>
        <v>531</v>
      </c>
      <c r="F173" s="81">
        <v>1</v>
      </c>
      <c r="G173" s="110">
        <f>ROUND(D173*E173/F173,0)</f>
        <v>531</v>
      </c>
    </row>
    <row r="174" spans="1:8">
      <c r="A174" s="95"/>
      <c r="B174" s="835"/>
      <c r="C174" s="836"/>
      <c r="D174" s="37"/>
      <c r="E174" s="129"/>
      <c r="F174" s="83"/>
      <c r="G174" s="111"/>
    </row>
    <row r="175" spans="1:8">
      <c r="A175" s="95"/>
      <c r="B175" s="835"/>
      <c r="C175" s="836"/>
      <c r="D175" s="37"/>
      <c r="E175" s="129"/>
      <c r="F175" s="83"/>
      <c r="G175" s="111"/>
    </row>
    <row r="176" spans="1:8">
      <c r="A176" s="95"/>
      <c r="B176" s="835"/>
      <c r="C176" s="836"/>
      <c r="D176" s="89"/>
      <c r="E176" s="82"/>
      <c r="F176" s="83"/>
      <c r="G176" s="111"/>
    </row>
    <row r="177" spans="1:8">
      <c r="A177" s="95"/>
      <c r="B177" s="835" t="s">
        <v>841</v>
      </c>
      <c r="C177" s="836"/>
      <c r="D177" s="37"/>
      <c r="E177" s="82"/>
      <c r="F177" s="83"/>
      <c r="G177" s="111"/>
    </row>
    <row r="178" spans="1:8" ht="13.5" thickBot="1">
      <c r="A178" s="95"/>
      <c r="B178" s="839" t="s">
        <v>841</v>
      </c>
      <c r="C178" s="840"/>
      <c r="D178" s="77"/>
      <c r="E178" s="106"/>
      <c r="F178" s="86"/>
      <c r="G178" s="112"/>
    </row>
    <row r="179" spans="1:8" ht="14.25" thickTop="1" thickBot="1">
      <c r="A179" s="95"/>
      <c r="B179" s="808"/>
      <c r="C179" s="808"/>
      <c r="D179" s="808"/>
      <c r="E179" s="809"/>
      <c r="F179" s="119" t="s">
        <v>856</v>
      </c>
      <c r="G179" s="118">
        <f>SUM(G173:G178)</f>
        <v>531</v>
      </c>
    </row>
    <row r="180" spans="1:8" ht="14.25" thickTop="1" thickBot="1">
      <c r="A180" s="95"/>
      <c r="B180" s="830"/>
      <c r="C180" s="830"/>
      <c r="D180" s="830"/>
      <c r="E180" s="830"/>
      <c r="F180" s="830"/>
      <c r="G180" s="830"/>
    </row>
    <row r="181" spans="1:8" ht="13.5" thickTop="1">
      <c r="A181" s="95"/>
      <c r="B181" s="811" t="s">
        <v>311</v>
      </c>
      <c r="C181" s="812"/>
      <c r="D181" s="812"/>
      <c r="E181" s="812"/>
      <c r="F181" s="812"/>
      <c r="G181" s="825"/>
    </row>
    <row r="182" spans="1:8">
      <c r="A182" s="95"/>
      <c r="B182" s="817" t="s">
        <v>838</v>
      </c>
      <c r="C182" s="818"/>
      <c r="D182" s="98" t="s">
        <v>842</v>
      </c>
      <c r="E182" s="98" t="s">
        <v>853</v>
      </c>
      <c r="F182" s="99" t="s">
        <v>1047</v>
      </c>
      <c r="G182" s="107" t="s">
        <v>840</v>
      </c>
    </row>
    <row r="183" spans="1:8">
      <c r="A183" s="95"/>
      <c r="B183" s="115"/>
      <c r="C183" s="102"/>
      <c r="D183" s="103"/>
      <c r="E183" s="100" t="s">
        <v>312</v>
      </c>
      <c r="F183" s="101" t="s">
        <v>313</v>
      </c>
      <c r="G183" s="108" t="s">
        <v>314</v>
      </c>
    </row>
    <row r="184" spans="1:8" ht="14.25">
      <c r="A184" s="125"/>
      <c r="B184" s="841" t="str">
        <f>MATERIALES2!C38</f>
        <v>CONCRETO 1:2:4-2500 psi(MATERIALES)</v>
      </c>
      <c r="C184" s="842"/>
      <c r="D184" s="37" t="s">
        <v>1066</v>
      </c>
      <c r="E184" s="81">
        <v>0.1</v>
      </c>
      <c r="F184" s="80">
        <f>MATERIALES2!E38</f>
        <v>351700</v>
      </c>
      <c r="G184" s="110">
        <f>ROUND(E184*F184,0)</f>
        <v>35170</v>
      </c>
    </row>
    <row r="185" spans="1:8">
      <c r="A185" s="123"/>
      <c r="B185" s="854" t="s">
        <v>873</v>
      </c>
      <c r="C185" s="855"/>
      <c r="D185" s="37" t="s">
        <v>865</v>
      </c>
      <c r="E185" s="141">
        <v>0.15</v>
      </c>
      <c r="F185" s="82">
        <v>8000</v>
      </c>
      <c r="G185" s="111">
        <f>ROUND(E185*F185,0)</f>
        <v>1200</v>
      </c>
    </row>
    <row r="186" spans="1:8">
      <c r="A186" s="123"/>
      <c r="B186" s="854"/>
      <c r="C186" s="855"/>
      <c r="D186" s="37"/>
      <c r="E186" s="83"/>
      <c r="F186" s="82"/>
      <c r="G186" s="111"/>
    </row>
    <row r="187" spans="1:8">
      <c r="A187" s="123"/>
      <c r="B187" s="854"/>
      <c r="C187" s="855"/>
      <c r="D187" s="37"/>
      <c r="E187" s="83"/>
      <c r="F187" s="82"/>
      <c r="G187" s="111"/>
    </row>
    <row r="188" spans="1:8">
      <c r="A188" s="95"/>
      <c r="B188" s="854"/>
      <c r="C188" s="855"/>
      <c r="D188" s="37"/>
      <c r="E188" s="53"/>
      <c r="F188" s="82"/>
      <c r="G188" s="111"/>
    </row>
    <row r="189" spans="1:8">
      <c r="A189" s="95"/>
      <c r="B189" s="854"/>
      <c r="C189" s="855"/>
      <c r="D189" s="37"/>
      <c r="E189" s="53"/>
      <c r="F189" s="82"/>
      <c r="G189" s="111"/>
    </row>
    <row r="190" spans="1:8">
      <c r="A190" s="95"/>
      <c r="B190" s="854"/>
      <c r="C190" s="855"/>
      <c r="D190" s="37"/>
      <c r="E190" s="53"/>
      <c r="F190" s="82"/>
      <c r="G190" s="111"/>
    </row>
    <row r="191" spans="1:8">
      <c r="A191" s="95"/>
      <c r="B191" s="938" t="s">
        <v>841</v>
      </c>
      <c r="C191" s="939"/>
      <c r="D191" s="53" t="s">
        <v>841</v>
      </c>
      <c r="E191" s="53"/>
      <c r="F191" s="82"/>
      <c r="G191" s="111"/>
      <c r="H191" s="505" t="s">
        <v>1670</v>
      </c>
    </row>
    <row r="192" spans="1:8" ht="13.5" thickBot="1">
      <c r="A192" s="95"/>
      <c r="B192" s="942" t="s">
        <v>841</v>
      </c>
      <c r="C192" s="943"/>
      <c r="D192" s="84" t="s">
        <v>841</v>
      </c>
      <c r="E192" s="84"/>
      <c r="F192" s="85"/>
      <c r="G192" s="112"/>
    </row>
    <row r="193" spans="1:7" ht="13.5" thickTop="1">
      <c r="A193" s="95"/>
      <c r="B193" s="808"/>
      <c r="C193" s="809"/>
      <c r="D193" s="801" t="s">
        <v>856</v>
      </c>
      <c r="E193" s="802"/>
      <c r="F193" s="9"/>
      <c r="G193" s="113">
        <f>SUM(G184:G192)</f>
        <v>36370</v>
      </c>
    </row>
    <row r="194" spans="1:7">
      <c r="A194" s="95"/>
      <c r="B194" s="819"/>
      <c r="C194" s="820"/>
      <c r="D194" s="801" t="s">
        <v>857</v>
      </c>
      <c r="E194" s="802"/>
      <c r="F194" s="79">
        <f>'MANO DE OBRA'!D60</f>
        <v>0.05</v>
      </c>
      <c r="G194" s="113">
        <f>ROUND(G193*F194,0)</f>
        <v>1819</v>
      </c>
    </row>
    <row r="195" spans="1:7" ht="13.5" thickBot="1">
      <c r="A195" s="95"/>
      <c r="B195" s="819"/>
      <c r="C195" s="820"/>
      <c r="D195" s="803" t="s">
        <v>320</v>
      </c>
      <c r="E195" s="804"/>
      <c r="F195" s="114"/>
      <c r="G195" s="118">
        <f>+G193+G194</f>
        <v>38189</v>
      </c>
    </row>
    <row r="196" spans="1:7" ht="14.25" thickTop="1" thickBot="1">
      <c r="A196" s="95"/>
      <c r="B196" s="830"/>
      <c r="C196" s="830"/>
      <c r="D196" s="830"/>
      <c r="E196" s="830"/>
      <c r="F196" s="830"/>
      <c r="G196" s="830"/>
    </row>
    <row r="197" spans="1:7" ht="13.5" thickTop="1">
      <c r="A197" s="95"/>
      <c r="B197" s="811" t="s">
        <v>858</v>
      </c>
      <c r="C197" s="812"/>
      <c r="D197" s="812"/>
      <c r="E197" s="812"/>
      <c r="F197" s="812"/>
      <c r="G197" s="825"/>
    </row>
    <row r="198" spans="1:7">
      <c r="A198" s="95"/>
      <c r="B198" s="817"/>
      <c r="C198" s="818"/>
      <c r="D198" s="98" t="s">
        <v>301</v>
      </c>
      <c r="E198" s="98" t="s">
        <v>859</v>
      </c>
      <c r="F198" s="99" t="s">
        <v>839</v>
      </c>
      <c r="G198" s="107" t="s">
        <v>840</v>
      </c>
    </row>
    <row r="199" spans="1:7">
      <c r="A199" s="95"/>
      <c r="B199" s="821" t="s">
        <v>838</v>
      </c>
      <c r="C199" s="822"/>
      <c r="D199" s="100" t="s">
        <v>316</v>
      </c>
      <c r="E199" s="100" t="s">
        <v>315</v>
      </c>
      <c r="F199" s="101" t="s">
        <v>306</v>
      </c>
      <c r="G199" s="108" t="s">
        <v>319</v>
      </c>
    </row>
    <row r="200" spans="1:7">
      <c r="A200" s="95"/>
      <c r="B200" s="115"/>
      <c r="C200" s="102"/>
      <c r="D200" s="103"/>
      <c r="E200" s="103" t="s">
        <v>317</v>
      </c>
      <c r="F200" s="104" t="s">
        <v>318</v>
      </c>
      <c r="G200" s="109"/>
    </row>
    <row r="201" spans="1:7">
      <c r="A201" s="95"/>
      <c r="B201" s="823" t="str">
        <f>'MANO DE OBRA'!B10</f>
        <v>AYUDANTE CUAD. TIPO AA</v>
      </c>
      <c r="C201" s="824"/>
      <c r="D201" s="87">
        <v>1</v>
      </c>
      <c r="E201" s="80">
        <f>'MANO DE OBRA'!E10</f>
        <v>34680</v>
      </c>
      <c r="F201" s="81">
        <v>10</v>
      </c>
      <c r="G201" s="110">
        <f>ROUND(D201*E201/F201,0)</f>
        <v>3468</v>
      </c>
    </row>
    <row r="202" spans="1:7">
      <c r="A202" s="95"/>
      <c r="B202" s="835" t="str">
        <f>'MANO DE OBRA'!B15</f>
        <v xml:space="preserve">OFICIAL CUAD. TIPO AA </v>
      </c>
      <c r="C202" s="836"/>
      <c r="D202" s="37">
        <v>1</v>
      </c>
      <c r="E202" s="82">
        <f>'MANO DE OBRA'!E15</f>
        <v>71474</v>
      </c>
      <c r="F202" s="83">
        <v>10</v>
      </c>
      <c r="G202" s="111">
        <f>ROUND(D202*E202/F202,0)</f>
        <v>7147</v>
      </c>
    </row>
    <row r="203" spans="1:7">
      <c r="A203" s="95"/>
      <c r="B203" s="835"/>
      <c r="C203" s="836"/>
      <c r="D203" s="89"/>
      <c r="E203" s="82"/>
      <c r="F203" s="83"/>
      <c r="G203" s="111"/>
    </row>
    <row r="204" spans="1:7">
      <c r="A204" s="95"/>
      <c r="B204" s="835" t="s">
        <v>841</v>
      </c>
      <c r="C204" s="836"/>
      <c r="D204" s="37"/>
      <c r="E204" s="82"/>
      <c r="F204" s="83"/>
      <c r="G204" s="111"/>
    </row>
    <row r="205" spans="1:7" ht="13.5" thickBot="1">
      <c r="A205" s="95"/>
      <c r="B205" s="828" t="s">
        <v>841</v>
      </c>
      <c r="C205" s="829"/>
      <c r="D205" s="77"/>
      <c r="E205" s="82"/>
      <c r="F205" s="86"/>
      <c r="G205" s="112"/>
    </row>
    <row r="206" spans="1:7" ht="14.25" thickTop="1" thickBot="1">
      <c r="A206" s="95"/>
      <c r="B206" s="808"/>
      <c r="C206" s="808"/>
      <c r="D206" s="808"/>
      <c r="E206" s="809"/>
      <c r="F206" s="120" t="s">
        <v>856</v>
      </c>
      <c r="G206" s="118">
        <f>SUM(G201:G205)</f>
        <v>10615</v>
      </c>
    </row>
    <row r="207" spans="1:7" ht="14.25" thickTop="1" thickBot="1">
      <c r="A207" s="95"/>
      <c r="B207" s="810"/>
      <c r="C207" s="810"/>
      <c r="D207" s="810"/>
      <c r="E207" s="810"/>
      <c r="F207" s="810"/>
      <c r="G207" s="810"/>
    </row>
    <row r="208" spans="1:7" ht="13.5" thickTop="1">
      <c r="A208" s="95"/>
      <c r="B208" s="811" t="s">
        <v>321</v>
      </c>
      <c r="C208" s="812"/>
      <c r="D208" s="812"/>
      <c r="E208" s="812"/>
      <c r="F208" s="812"/>
      <c r="G208" s="825"/>
    </row>
    <row r="209" spans="1:8">
      <c r="A209" s="95"/>
      <c r="B209" s="817" t="s">
        <v>838</v>
      </c>
      <c r="C209" s="818"/>
      <c r="D209" s="98" t="s">
        <v>301</v>
      </c>
      <c r="E209" s="98" t="s">
        <v>297</v>
      </c>
      <c r="F209" s="99" t="s">
        <v>839</v>
      </c>
      <c r="G209" s="107" t="s">
        <v>840</v>
      </c>
    </row>
    <row r="210" spans="1:8">
      <c r="A210" s="95"/>
      <c r="B210" s="115"/>
      <c r="C210" s="102"/>
      <c r="D210" s="103" t="s">
        <v>322</v>
      </c>
      <c r="E210" s="103" t="s">
        <v>323</v>
      </c>
      <c r="F210" s="104" t="s">
        <v>324</v>
      </c>
      <c r="G210" s="109" t="s">
        <v>325</v>
      </c>
    </row>
    <row r="211" spans="1:8">
      <c r="A211" s="95"/>
      <c r="B211" s="826"/>
      <c r="C211" s="827"/>
      <c r="D211" s="96"/>
      <c r="E211" s="96"/>
      <c r="F211" s="96"/>
      <c r="G211" s="116"/>
    </row>
    <row r="212" spans="1:8" ht="13.5" thickBot="1">
      <c r="A212" s="95"/>
      <c r="B212" s="828" t="s">
        <v>841</v>
      </c>
      <c r="C212" s="829"/>
      <c r="D212" s="77"/>
      <c r="E212" s="82"/>
      <c r="F212" s="86"/>
      <c r="G212" s="112"/>
    </row>
    <row r="213" spans="1:8" ht="14.25" thickTop="1" thickBot="1">
      <c r="A213" s="95"/>
      <c r="B213" s="808"/>
      <c r="C213" s="808"/>
      <c r="D213" s="808"/>
      <c r="E213" s="809"/>
      <c r="F213" s="120" t="s">
        <v>856</v>
      </c>
      <c r="G213" s="118">
        <f>SUM(G208:G212)</f>
        <v>0</v>
      </c>
    </row>
    <row r="214" spans="1:8" ht="14.25" thickTop="1" thickBot="1">
      <c r="A214" s="95"/>
      <c r="B214" s="810"/>
      <c r="C214" s="810"/>
      <c r="D214" s="810"/>
      <c r="E214" s="810"/>
      <c r="F214" s="810"/>
      <c r="G214" s="834"/>
    </row>
    <row r="215" spans="1:8" ht="13.5" thickTop="1">
      <c r="A215" s="95"/>
      <c r="B215" s="811" t="s">
        <v>326</v>
      </c>
      <c r="C215" s="812"/>
      <c r="D215" s="812"/>
      <c r="E215" s="812"/>
      <c r="F215" s="813"/>
      <c r="G215" s="121">
        <f>+G179+G195+G206</f>
        <v>49335</v>
      </c>
    </row>
    <row r="216" spans="1:8">
      <c r="A216" s="95"/>
      <c r="B216" s="814" t="s">
        <v>861</v>
      </c>
      <c r="C216" s="815"/>
      <c r="D216" s="815"/>
      <c r="E216" s="816"/>
      <c r="F216" s="128">
        <f>'MANO DE OBRA'!D59</f>
        <v>0</v>
      </c>
      <c r="G216" s="122">
        <f>ROUND(G215*F216,0)</f>
        <v>0</v>
      </c>
    </row>
    <row r="217" spans="1:8" ht="13.5" thickBot="1">
      <c r="A217" s="95"/>
      <c r="B217" s="805" t="s">
        <v>1049</v>
      </c>
      <c r="C217" s="806"/>
      <c r="D217" s="806"/>
      <c r="E217" s="806"/>
      <c r="F217" s="807"/>
      <c r="G217" s="118">
        <f>ROUND(G215+G216,-2)</f>
        <v>49300</v>
      </c>
      <c r="H217" s="505" t="s">
        <v>1670</v>
      </c>
    </row>
    <row r="218" spans="1:8" ht="15" thickTop="1">
      <c r="A218" s="95"/>
      <c r="B218" s="90" t="s">
        <v>303</v>
      </c>
      <c r="C218" s="843"/>
      <c r="D218" s="843"/>
      <c r="E218" s="843"/>
      <c r="F218" s="92" t="s">
        <v>781</v>
      </c>
      <c r="G218" s="93" t="s">
        <v>1067</v>
      </c>
    </row>
    <row r="219" spans="1:8">
      <c r="A219" s="95"/>
      <c r="B219" s="91" t="s">
        <v>834</v>
      </c>
      <c r="C219" s="844" t="s">
        <v>1433</v>
      </c>
      <c r="D219" s="844"/>
      <c r="E219" s="844"/>
      <c r="F219" s="15" t="s">
        <v>833</v>
      </c>
      <c r="G219" s="165" t="str">
        <f>'MANO DE OBRA'!D61</f>
        <v>Agosto de 2010</v>
      </c>
    </row>
    <row r="220" spans="1:8" ht="13.5" thickBot="1">
      <c r="A220" s="127"/>
      <c r="B220" s="94" t="s">
        <v>835</v>
      </c>
      <c r="C220" s="845" t="s">
        <v>1437</v>
      </c>
      <c r="D220" s="845"/>
      <c r="E220" s="845"/>
      <c r="F220" s="845"/>
      <c r="G220" s="846"/>
    </row>
    <row r="221" spans="1:8" ht="14.25" thickTop="1" thickBot="1">
      <c r="A221" s="95"/>
      <c r="B221" s="847"/>
      <c r="C221" s="847"/>
      <c r="D221" s="847"/>
      <c r="E221" s="847"/>
      <c r="F221" s="847"/>
      <c r="G221" s="847"/>
    </row>
    <row r="222" spans="1:8" ht="13.5" thickTop="1">
      <c r="A222" s="95"/>
      <c r="B222" s="811" t="s">
        <v>304</v>
      </c>
      <c r="C222" s="812"/>
      <c r="D222" s="812"/>
      <c r="E222" s="812"/>
      <c r="F222" s="812"/>
      <c r="G222" s="825"/>
    </row>
    <row r="223" spans="1:8">
      <c r="A223" s="95"/>
      <c r="B223" s="105"/>
      <c r="C223" s="97"/>
      <c r="D223" s="98" t="s">
        <v>301</v>
      </c>
      <c r="E223" s="98" t="s">
        <v>1072</v>
      </c>
      <c r="F223" s="99" t="s">
        <v>839</v>
      </c>
      <c r="G223" s="107" t="s">
        <v>840</v>
      </c>
    </row>
    <row r="224" spans="1:8">
      <c r="A224" s="95"/>
      <c r="B224" s="821" t="s">
        <v>838</v>
      </c>
      <c r="C224" s="822"/>
      <c r="D224" s="100" t="s">
        <v>308</v>
      </c>
      <c r="E224" s="100" t="s">
        <v>305</v>
      </c>
      <c r="F224" s="101" t="s">
        <v>306</v>
      </c>
      <c r="G224" s="108" t="s">
        <v>310</v>
      </c>
    </row>
    <row r="225" spans="1:7">
      <c r="A225" s="95"/>
      <c r="B225" s="115"/>
      <c r="C225" s="102"/>
      <c r="D225" s="103"/>
      <c r="E225" s="103" t="s">
        <v>309</v>
      </c>
      <c r="F225" s="104" t="s">
        <v>307</v>
      </c>
      <c r="G225" s="109"/>
    </row>
    <row r="226" spans="1:7">
      <c r="A226" s="127"/>
      <c r="B226" s="823" t="str">
        <f>'MAQUINARIA Y EQUIPOS'!C28</f>
        <v>HERRAMIENTAS MENORES</v>
      </c>
      <c r="C226" s="824"/>
      <c r="D226" s="87">
        <v>1</v>
      </c>
      <c r="E226" s="82">
        <f>ROUND(G259*0.05,0)</f>
        <v>584</v>
      </c>
      <c r="F226" s="81">
        <v>1</v>
      </c>
      <c r="G226" s="110">
        <f>ROUND(D226*E226/F226,0)</f>
        <v>584</v>
      </c>
    </row>
    <row r="227" spans="1:7">
      <c r="A227" s="95"/>
      <c r="B227" s="835"/>
      <c r="C227" s="836"/>
      <c r="D227" s="37"/>
      <c r="E227" s="129"/>
      <c r="F227" s="83"/>
      <c r="G227" s="111"/>
    </row>
    <row r="228" spans="1:7">
      <c r="A228" s="95"/>
      <c r="B228" s="835"/>
      <c r="C228" s="836"/>
      <c r="D228" s="37"/>
      <c r="E228" s="129"/>
      <c r="F228" s="83"/>
      <c r="G228" s="111"/>
    </row>
    <row r="229" spans="1:7">
      <c r="A229" s="95"/>
      <c r="B229" s="835"/>
      <c r="C229" s="836"/>
      <c r="D229" s="89"/>
      <c r="E229" s="82"/>
      <c r="F229" s="83"/>
      <c r="G229" s="111"/>
    </row>
    <row r="230" spans="1:7">
      <c r="A230" s="95"/>
      <c r="B230" s="835" t="s">
        <v>841</v>
      </c>
      <c r="C230" s="836"/>
      <c r="D230" s="37"/>
      <c r="E230" s="82"/>
      <c r="F230" s="83"/>
      <c r="G230" s="111"/>
    </row>
    <row r="231" spans="1:7" ht="13.5" thickBot="1">
      <c r="A231" s="95"/>
      <c r="B231" s="839" t="s">
        <v>841</v>
      </c>
      <c r="C231" s="840"/>
      <c r="D231" s="77"/>
      <c r="E231" s="106"/>
      <c r="F231" s="86"/>
      <c r="G231" s="112"/>
    </row>
    <row r="232" spans="1:7" ht="14.25" thickTop="1" thickBot="1">
      <c r="A232" s="95"/>
      <c r="B232" s="808"/>
      <c r="C232" s="808"/>
      <c r="D232" s="808"/>
      <c r="E232" s="809"/>
      <c r="F232" s="119" t="s">
        <v>856</v>
      </c>
      <c r="G232" s="118">
        <f>SUM(G226:G231)</f>
        <v>584</v>
      </c>
    </row>
    <row r="233" spans="1:7" ht="14.25" thickTop="1" thickBot="1">
      <c r="A233" s="95"/>
      <c r="B233" s="830"/>
      <c r="C233" s="830"/>
      <c r="D233" s="830"/>
      <c r="E233" s="830"/>
      <c r="F233" s="830"/>
      <c r="G233" s="830"/>
    </row>
    <row r="234" spans="1:7" ht="13.5" thickTop="1">
      <c r="A234" s="95"/>
      <c r="B234" s="811" t="s">
        <v>311</v>
      </c>
      <c r="C234" s="812"/>
      <c r="D234" s="812"/>
      <c r="E234" s="812"/>
      <c r="F234" s="812"/>
      <c r="G234" s="825"/>
    </row>
    <row r="235" spans="1:7">
      <c r="A235" s="95"/>
      <c r="B235" s="817" t="s">
        <v>838</v>
      </c>
      <c r="C235" s="818"/>
      <c r="D235" s="98" t="s">
        <v>842</v>
      </c>
      <c r="E235" s="98" t="s">
        <v>853</v>
      </c>
      <c r="F235" s="99" t="s">
        <v>1047</v>
      </c>
      <c r="G235" s="107" t="s">
        <v>840</v>
      </c>
    </row>
    <row r="236" spans="1:7">
      <c r="A236" s="95"/>
      <c r="B236" s="115"/>
      <c r="C236" s="102"/>
      <c r="D236" s="103"/>
      <c r="E236" s="100" t="s">
        <v>312</v>
      </c>
      <c r="F236" s="101" t="s">
        <v>313</v>
      </c>
      <c r="G236" s="108" t="s">
        <v>314</v>
      </c>
    </row>
    <row r="237" spans="1:7" ht="14.25">
      <c r="A237" s="125"/>
      <c r="B237" s="841" t="str">
        <f>MATERIALES2!C38</f>
        <v>CONCRETO 1:2:4-2500 psi(MATERIALES)</v>
      </c>
      <c r="C237" s="842"/>
      <c r="D237" s="37" t="s">
        <v>1066</v>
      </c>
      <c r="E237" s="81">
        <v>0.1</v>
      </c>
      <c r="F237" s="80">
        <f>MATERIALES2!E38</f>
        <v>351700</v>
      </c>
      <c r="G237" s="110">
        <f>ROUND(E237*F237,0)</f>
        <v>35170</v>
      </c>
    </row>
    <row r="238" spans="1:7">
      <c r="A238" s="123"/>
      <c r="B238" s="854" t="str">
        <f>MATERIALES2!C156</f>
        <v>TABLA 1X4X10</v>
      </c>
      <c r="C238" s="855"/>
      <c r="D238" s="37" t="s">
        <v>865</v>
      </c>
      <c r="E238" s="141">
        <v>0.33300000000000002</v>
      </c>
      <c r="F238" s="82">
        <f>MATERIALES2!E156</f>
        <v>3400</v>
      </c>
      <c r="G238" s="111">
        <f>ROUND(E238*F238,0)</f>
        <v>1132</v>
      </c>
    </row>
    <row r="239" spans="1:7">
      <c r="A239" s="123"/>
      <c r="B239" s="854"/>
      <c r="C239" s="855"/>
      <c r="D239" s="37"/>
      <c r="E239" s="83"/>
      <c r="F239" s="82"/>
      <c r="G239" s="111"/>
    </row>
    <row r="240" spans="1:7">
      <c r="A240" s="123"/>
      <c r="B240" s="854"/>
      <c r="C240" s="855"/>
      <c r="D240" s="37"/>
      <c r="E240" s="83"/>
      <c r="F240" s="82"/>
      <c r="G240" s="111"/>
    </row>
    <row r="241" spans="1:8">
      <c r="A241" s="95"/>
      <c r="B241" s="854"/>
      <c r="C241" s="855"/>
      <c r="D241" s="37"/>
      <c r="E241" s="53"/>
      <c r="F241" s="82"/>
      <c r="G241" s="111"/>
    </row>
    <row r="242" spans="1:8">
      <c r="A242" s="95"/>
      <c r="B242" s="854"/>
      <c r="C242" s="855"/>
      <c r="D242" s="37"/>
      <c r="E242" s="53"/>
      <c r="F242" s="82"/>
      <c r="G242" s="111"/>
    </row>
    <row r="243" spans="1:8">
      <c r="A243" s="95"/>
      <c r="B243" s="854"/>
      <c r="C243" s="855"/>
      <c r="D243" s="37"/>
      <c r="E243" s="53"/>
      <c r="F243" s="82"/>
      <c r="G243" s="111"/>
    </row>
    <row r="244" spans="1:8">
      <c r="A244" s="95"/>
      <c r="B244" s="837" t="s">
        <v>841</v>
      </c>
      <c r="C244" s="838"/>
      <c r="D244" s="53" t="s">
        <v>841</v>
      </c>
      <c r="E244" s="53"/>
      <c r="F244" s="82"/>
      <c r="G244" s="111"/>
      <c r="H244" s="505" t="s">
        <v>1670</v>
      </c>
    </row>
    <row r="245" spans="1:8" ht="13.5" thickBot="1">
      <c r="A245" s="95"/>
      <c r="B245" s="839" t="s">
        <v>841</v>
      </c>
      <c r="C245" s="840"/>
      <c r="D245" s="84" t="s">
        <v>841</v>
      </c>
      <c r="E245" s="84"/>
      <c r="F245" s="85"/>
      <c r="G245" s="112"/>
    </row>
    <row r="246" spans="1:8" ht="13.5" thickTop="1">
      <c r="A246" s="95"/>
      <c r="B246" s="808"/>
      <c r="C246" s="809"/>
      <c r="D246" s="801" t="s">
        <v>856</v>
      </c>
      <c r="E246" s="802"/>
      <c r="F246" s="9"/>
      <c r="G246" s="113">
        <f>SUM(G237:G245)</f>
        <v>36302</v>
      </c>
    </row>
    <row r="247" spans="1:8">
      <c r="A247" s="95"/>
      <c r="B247" s="819"/>
      <c r="C247" s="820"/>
      <c r="D247" s="801" t="s">
        <v>857</v>
      </c>
      <c r="E247" s="802"/>
      <c r="F247" s="79">
        <f>'MANO DE OBRA'!D60</f>
        <v>0.05</v>
      </c>
      <c r="G247" s="113">
        <f>ROUND(G246*F247,0)</f>
        <v>1815</v>
      </c>
    </row>
    <row r="248" spans="1:8" ht="13.5" thickBot="1">
      <c r="A248" s="95"/>
      <c r="B248" s="819"/>
      <c r="C248" s="820"/>
      <c r="D248" s="803" t="s">
        <v>320</v>
      </c>
      <c r="E248" s="804"/>
      <c r="F248" s="114"/>
      <c r="G248" s="118">
        <f>+G246+G247</f>
        <v>38117</v>
      </c>
    </row>
    <row r="249" spans="1:8" ht="14.25" thickTop="1" thickBot="1">
      <c r="A249" s="95"/>
      <c r="B249" s="830"/>
      <c r="C249" s="830"/>
      <c r="D249" s="830"/>
      <c r="E249" s="830"/>
      <c r="F249" s="830"/>
      <c r="G249" s="830"/>
    </row>
    <row r="250" spans="1:8" ht="13.5" thickTop="1">
      <c r="A250" s="95"/>
      <c r="B250" s="811" t="s">
        <v>858</v>
      </c>
      <c r="C250" s="812"/>
      <c r="D250" s="812"/>
      <c r="E250" s="812"/>
      <c r="F250" s="812"/>
      <c r="G250" s="825"/>
    </row>
    <row r="251" spans="1:8">
      <c r="A251" s="95"/>
      <c r="B251" s="817"/>
      <c r="C251" s="818"/>
      <c r="D251" s="98" t="s">
        <v>301</v>
      </c>
      <c r="E251" s="98" t="s">
        <v>859</v>
      </c>
      <c r="F251" s="99" t="s">
        <v>839</v>
      </c>
      <c r="G251" s="107" t="s">
        <v>840</v>
      </c>
    </row>
    <row r="252" spans="1:8">
      <c r="A252" s="95"/>
      <c r="B252" s="821" t="s">
        <v>838</v>
      </c>
      <c r="C252" s="822"/>
      <c r="D252" s="100" t="s">
        <v>316</v>
      </c>
      <c r="E252" s="100" t="s">
        <v>315</v>
      </c>
      <c r="F252" s="101" t="s">
        <v>306</v>
      </c>
      <c r="G252" s="108" t="s">
        <v>319</v>
      </c>
    </row>
    <row r="253" spans="1:8">
      <c r="A253" s="95"/>
      <c r="B253" s="115"/>
      <c r="C253" s="102"/>
      <c r="D253" s="103"/>
      <c r="E253" s="103" t="s">
        <v>317</v>
      </c>
      <c r="F253" s="104" t="s">
        <v>318</v>
      </c>
      <c r="G253" s="109"/>
    </row>
    <row r="254" spans="1:8">
      <c r="A254" s="95"/>
      <c r="B254" s="823" t="str">
        <f>'MANO DE OBRA'!B10</f>
        <v>AYUDANTE CUAD. TIPO AA</v>
      </c>
      <c r="C254" s="824"/>
      <c r="D254" s="87">
        <v>1</v>
      </c>
      <c r="E254" s="80">
        <f>'MANO DE OBRA'!E10</f>
        <v>34680</v>
      </c>
      <c r="F254" s="81">
        <v>9.09</v>
      </c>
      <c r="G254" s="110">
        <f>ROUND(D254*E254/F254,0)</f>
        <v>3815</v>
      </c>
    </row>
    <row r="255" spans="1:8">
      <c r="A255" s="95"/>
      <c r="B255" s="835" t="str">
        <f>'MANO DE OBRA'!B15</f>
        <v xml:space="preserve">OFICIAL CUAD. TIPO AA </v>
      </c>
      <c r="C255" s="836"/>
      <c r="D255" s="37">
        <v>1</v>
      </c>
      <c r="E255" s="82">
        <f>'MANO DE OBRA'!E15</f>
        <v>71474</v>
      </c>
      <c r="F255" s="83">
        <v>9.09</v>
      </c>
      <c r="G255" s="111">
        <f>ROUND(D255*E255/F255,0)</f>
        <v>7863</v>
      </c>
    </row>
    <row r="256" spans="1:8">
      <c r="A256" s="95"/>
      <c r="B256" s="835"/>
      <c r="C256" s="836"/>
      <c r="D256" s="89"/>
      <c r="E256" s="82"/>
      <c r="F256" s="83"/>
      <c r="G256" s="111"/>
    </row>
    <row r="257" spans="1:8">
      <c r="A257" s="95"/>
      <c r="B257" s="835" t="s">
        <v>841</v>
      </c>
      <c r="C257" s="836"/>
      <c r="D257" s="37"/>
      <c r="E257" s="82"/>
      <c r="F257" s="83"/>
      <c r="G257" s="111"/>
    </row>
    <row r="258" spans="1:8" ht="13.5" thickBot="1">
      <c r="A258" s="95"/>
      <c r="B258" s="828" t="s">
        <v>841</v>
      </c>
      <c r="C258" s="829"/>
      <c r="D258" s="77"/>
      <c r="E258" s="82"/>
      <c r="F258" s="86"/>
      <c r="G258" s="112"/>
    </row>
    <row r="259" spans="1:8" ht="14.25" thickTop="1" thickBot="1">
      <c r="A259" s="95"/>
      <c r="B259" s="808"/>
      <c r="C259" s="808"/>
      <c r="D259" s="808"/>
      <c r="E259" s="809"/>
      <c r="F259" s="120" t="s">
        <v>856</v>
      </c>
      <c r="G259" s="118">
        <f>SUM(G254:G258)</f>
        <v>11678</v>
      </c>
    </row>
    <row r="260" spans="1:8" ht="14.25" thickTop="1" thickBot="1">
      <c r="A260" s="95"/>
      <c r="B260" s="810"/>
      <c r="C260" s="810"/>
      <c r="D260" s="810"/>
      <c r="E260" s="810"/>
      <c r="F260" s="810"/>
      <c r="G260" s="810"/>
    </row>
    <row r="261" spans="1:8" ht="13.5" thickTop="1">
      <c r="A261" s="95"/>
      <c r="B261" s="811" t="s">
        <v>321</v>
      </c>
      <c r="C261" s="812"/>
      <c r="D261" s="812"/>
      <c r="E261" s="812"/>
      <c r="F261" s="812"/>
      <c r="G261" s="825"/>
    </row>
    <row r="262" spans="1:8">
      <c r="A262" s="95"/>
      <c r="B262" s="817" t="s">
        <v>838</v>
      </c>
      <c r="C262" s="818"/>
      <c r="D262" s="98" t="s">
        <v>301</v>
      </c>
      <c r="E262" s="98" t="s">
        <v>297</v>
      </c>
      <c r="F262" s="99" t="s">
        <v>839</v>
      </c>
      <c r="G262" s="107" t="s">
        <v>840</v>
      </c>
    </row>
    <row r="263" spans="1:8">
      <c r="A263" s="95"/>
      <c r="B263" s="115"/>
      <c r="C263" s="102"/>
      <c r="D263" s="103" t="s">
        <v>322</v>
      </c>
      <c r="E263" s="103" t="s">
        <v>323</v>
      </c>
      <c r="F263" s="104" t="s">
        <v>324</v>
      </c>
      <c r="G263" s="109" t="s">
        <v>325</v>
      </c>
    </row>
    <row r="264" spans="1:8">
      <c r="A264" s="95"/>
      <c r="B264" s="826"/>
      <c r="C264" s="827"/>
      <c r="D264" s="96"/>
      <c r="E264" s="96"/>
      <c r="F264" s="96"/>
      <c r="G264" s="116"/>
    </row>
    <row r="265" spans="1:8" ht="13.5" thickBot="1">
      <c r="A265" s="95"/>
      <c r="B265" s="828" t="s">
        <v>841</v>
      </c>
      <c r="C265" s="829"/>
      <c r="D265" s="77"/>
      <c r="E265" s="82"/>
      <c r="F265" s="86"/>
      <c r="G265" s="112"/>
    </row>
    <row r="266" spans="1:8" ht="14.25" thickTop="1" thickBot="1">
      <c r="A266" s="95"/>
      <c r="B266" s="808"/>
      <c r="C266" s="808"/>
      <c r="D266" s="808"/>
      <c r="E266" s="809"/>
      <c r="F266" s="120" t="s">
        <v>856</v>
      </c>
      <c r="G266" s="118">
        <f>SUM(G261:G265)</f>
        <v>0</v>
      </c>
    </row>
    <row r="267" spans="1:8" ht="14.25" thickTop="1" thickBot="1">
      <c r="A267" s="95"/>
      <c r="B267" s="810"/>
      <c r="C267" s="810"/>
      <c r="D267" s="810"/>
      <c r="E267" s="810"/>
      <c r="F267" s="810"/>
      <c r="G267" s="834"/>
    </row>
    <row r="268" spans="1:8" ht="13.5" thickTop="1">
      <c r="A268" s="95"/>
      <c r="B268" s="811" t="s">
        <v>326</v>
      </c>
      <c r="C268" s="812"/>
      <c r="D268" s="812"/>
      <c r="E268" s="812"/>
      <c r="F268" s="813"/>
      <c r="G268" s="121">
        <f>+G232+G248+G259</f>
        <v>50379</v>
      </c>
    </row>
    <row r="269" spans="1:8">
      <c r="A269" s="95"/>
      <c r="B269" s="814" t="s">
        <v>861</v>
      </c>
      <c r="C269" s="815"/>
      <c r="D269" s="815"/>
      <c r="E269" s="816"/>
      <c r="F269" s="128">
        <f>'MANO DE OBRA'!D59</f>
        <v>0</v>
      </c>
      <c r="G269" s="122">
        <f>ROUND(G268*F269,0)</f>
        <v>0</v>
      </c>
    </row>
    <row r="270" spans="1:8" ht="13.5" thickBot="1">
      <c r="A270" s="95"/>
      <c r="B270" s="805" t="s">
        <v>1049</v>
      </c>
      <c r="C270" s="806"/>
      <c r="D270" s="806"/>
      <c r="E270" s="806"/>
      <c r="F270" s="807"/>
      <c r="G270" s="118">
        <f>ROUND(G268+G269,-2)</f>
        <v>50400</v>
      </c>
      <c r="H270" s="505" t="s">
        <v>1670</v>
      </c>
    </row>
    <row r="271" spans="1:8" ht="15" thickTop="1">
      <c r="A271" s="95"/>
      <c r="B271" s="90" t="s">
        <v>303</v>
      </c>
      <c r="C271" s="843"/>
      <c r="D271" s="843"/>
      <c r="E271" s="843"/>
      <c r="F271" s="92" t="s">
        <v>781</v>
      </c>
      <c r="G271" s="93" t="s">
        <v>1067</v>
      </c>
    </row>
    <row r="272" spans="1:8">
      <c r="A272" s="95"/>
      <c r="B272" s="91" t="s">
        <v>834</v>
      </c>
      <c r="C272" s="844" t="s">
        <v>1433</v>
      </c>
      <c r="D272" s="844"/>
      <c r="E272" s="844"/>
      <c r="F272" s="15" t="s">
        <v>833</v>
      </c>
      <c r="G272" s="165" t="str">
        <f>'MANO DE OBRA'!D61</f>
        <v>Agosto de 2010</v>
      </c>
    </row>
    <row r="273" spans="1:7" ht="13.5" thickBot="1">
      <c r="A273" s="127"/>
      <c r="B273" s="94" t="s">
        <v>835</v>
      </c>
      <c r="C273" s="845" t="s">
        <v>1438</v>
      </c>
      <c r="D273" s="845"/>
      <c r="E273" s="845"/>
      <c r="F273" s="845"/>
      <c r="G273" s="846"/>
    </row>
    <row r="274" spans="1:7" ht="14.25" thickTop="1" thickBot="1">
      <c r="A274" s="95"/>
      <c r="B274" s="847"/>
      <c r="C274" s="847"/>
      <c r="D274" s="847"/>
      <c r="E274" s="847"/>
      <c r="F274" s="847"/>
      <c r="G274" s="847"/>
    </row>
    <row r="275" spans="1:7" ht="13.5" thickTop="1">
      <c r="A275" s="95"/>
      <c r="B275" s="811" t="s">
        <v>304</v>
      </c>
      <c r="C275" s="812"/>
      <c r="D275" s="812"/>
      <c r="E275" s="812"/>
      <c r="F275" s="812"/>
      <c r="G275" s="825"/>
    </row>
    <row r="276" spans="1:7">
      <c r="A276" s="95"/>
      <c r="B276" s="105"/>
      <c r="C276" s="97"/>
      <c r="D276" s="98" t="s">
        <v>301</v>
      </c>
      <c r="E276" s="98" t="s">
        <v>1072</v>
      </c>
      <c r="F276" s="99" t="s">
        <v>839</v>
      </c>
      <c r="G276" s="107" t="s">
        <v>840</v>
      </c>
    </row>
    <row r="277" spans="1:7">
      <c r="A277" s="95"/>
      <c r="B277" s="821" t="s">
        <v>838</v>
      </c>
      <c r="C277" s="822"/>
      <c r="D277" s="100" t="s">
        <v>308</v>
      </c>
      <c r="E277" s="100" t="s">
        <v>305</v>
      </c>
      <c r="F277" s="101" t="s">
        <v>306</v>
      </c>
      <c r="G277" s="108" t="s">
        <v>310</v>
      </c>
    </row>
    <row r="278" spans="1:7">
      <c r="A278" s="95"/>
      <c r="B278" s="115"/>
      <c r="C278" s="102"/>
      <c r="D278" s="103"/>
      <c r="E278" s="103" t="s">
        <v>309</v>
      </c>
      <c r="F278" s="104" t="s">
        <v>307</v>
      </c>
      <c r="G278" s="109"/>
    </row>
    <row r="279" spans="1:7">
      <c r="A279" s="127"/>
      <c r="B279" s="823" t="str">
        <f>'MAQUINARIA Y EQUIPOS'!C28</f>
        <v>HERRAMIENTAS MENORES</v>
      </c>
      <c r="C279" s="824"/>
      <c r="D279" s="87">
        <v>1</v>
      </c>
      <c r="E279" s="82">
        <f>ROUND(G312*0.05,0)</f>
        <v>590</v>
      </c>
      <c r="F279" s="81">
        <v>1</v>
      </c>
      <c r="G279" s="110">
        <f>ROUND(D279*E279/F279,0)</f>
        <v>590</v>
      </c>
    </row>
    <row r="280" spans="1:7">
      <c r="A280" s="95"/>
      <c r="B280" s="835"/>
      <c r="C280" s="836"/>
      <c r="D280" s="37"/>
      <c r="E280" s="129"/>
      <c r="F280" s="83"/>
      <c r="G280" s="111"/>
    </row>
    <row r="281" spans="1:7">
      <c r="A281" s="95"/>
      <c r="B281" s="835"/>
      <c r="C281" s="836"/>
      <c r="D281" s="37"/>
      <c r="E281" s="129"/>
      <c r="F281" s="83"/>
      <c r="G281" s="111"/>
    </row>
    <row r="282" spans="1:7">
      <c r="A282" s="95"/>
      <c r="B282" s="835"/>
      <c r="C282" s="836"/>
      <c r="D282" s="89"/>
      <c r="E282" s="82"/>
      <c r="F282" s="83"/>
      <c r="G282" s="111"/>
    </row>
    <row r="283" spans="1:7">
      <c r="A283" s="95"/>
      <c r="B283" s="835" t="s">
        <v>841</v>
      </c>
      <c r="C283" s="836"/>
      <c r="D283" s="37"/>
      <c r="E283" s="82"/>
      <c r="F283" s="83"/>
      <c r="G283" s="111"/>
    </row>
    <row r="284" spans="1:7" ht="13.5" thickBot="1">
      <c r="A284" s="95"/>
      <c r="B284" s="839" t="s">
        <v>841</v>
      </c>
      <c r="C284" s="840"/>
      <c r="D284" s="77"/>
      <c r="E284" s="106"/>
      <c r="F284" s="86"/>
      <c r="G284" s="112"/>
    </row>
    <row r="285" spans="1:7" ht="14.25" thickTop="1" thickBot="1">
      <c r="A285" s="95"/>
      <c r="B285" s="808"/>
      <c r="C285" s="808"/>
      <c r="D285" s="808"/>
      <c r="E285" s="809"/>
      <c r="F285" s="119" t="s">
        <v>856</v>
      </c>
      <c r="G285" s="118">
        <f>SUM(G279:G284)</f>
        <v>590</v>
      </c>
    </row>
    <row r="286" spans="1:7" ht="14.25" thickTop="1" thickBot="1">
      <c r="A286" s="95"/>
      <c r="B286" s="830"/>
      <c r="C286" s="830"/>
      <c r="D286" s="830"/>
      <c r="E286" s="830"/>
      <c r="F286" s="830"/>
      <c r="G286" s="830"/>
    </row>
    <row r="287" spans="1:7" ht="13.5" thickTop="1">
      <c r="A287" s="95"/>
      <c r="B287" s="811" t="s">
        <v>311</v>
      </c>
      <c r="C287" s="812"/>
      <c r="D287" s="812"/>
      <c r="E287" s="812"/>
      <c r="F287" s="812"/>
      <c r="G287" s="825"/>
    </row>
    <row r="288" spans="1:7">
      <c r="A288" s="95"/>
      <c r="B288" s="817" t="s">
        <v>838</v>
      </c>
      <c r="C288" s="818"/>
      <c r="D288" s="98" t="s">
        <v>842</v>
      </c>
      <c r="E288" s="98" t="s">
        <v>853</v>
      </c>
      <c r="F288" s="99" t="s">
        <v>1047</v>
      </c>
      <c r="G288" s="107" t="s">
        <v>840</v>
      </c>
    </row>
    <row r="289" spans="1:8">
      <c r="A289" s="95"/>
      <c r="B289" s="115"/>
      <c r="C289" s="102"/>
      <c r="D289" s="103"/>
      <c r="E289" s="100" t="s">
        <v>312</v>
      </c>
      <c r="F289" s="101" t="s">
        <v>313</v>
      </c>
      <c r="G289" s="108" t="s">
        <v>314</v>
      </c>
    </row>
    <row r="290" spans="1:8" ht="14.25">
      <c r="A290" s="125"/>
      <c r="B290" s="841" t="str">
        <f>MATERIALES2!C35</f>
        <v>CONCRETO 1:2:3-3000 psi(MATERIALES)</v>
      </c>
      <c r="C290" s="842"/>
      <c r="D290" s="37" t="s">
        <v>1066</v>
      </c>
      <c r="E290" s="81">
        <v>0.16</v>
      </c>
      <c r="F290" s="80">
        <f>MATERIALES2!E35</f>
        <v>367600</v>
      </c>
      <c r="G290" s="110">
        <f>ROUND(E290*F290,0)</f>
        <v>58816</v>
      </c>
    </row>
    <row r="291" spans="1:8">
      <c r="A291" s="123"/>
      <c r="B291" s="854" t="str">
        <f>MATERIALES2!C156</f>
        <v>TABLA 1X4X10</v>
      </c>
      <c r="C291" s="855"/>
      <c r="D291" s="37" t="s">
        <v>865</v>
      </c>
      <c r="E291" s="141">
        <v>3.5</v>
      </c>
      <c r="F291" s="82">
        <f>MATERIALES2!E156</f>
        <v>3400</v>
      </c>
      <c r="G291" s="111">
        <f>ROUND(E291*F291,0)</f>
        <v>11900</v>
      </c>
    </row>
    <row r="292" spans="1:8">
      <c r="A292" s="123"/>
      <c r="B292" s="854"/>
      <c r="C292" s="855"/>
      <c r="D292" s="37"/>
      <c r="E292" s="83"/>
      <c r="F292" s="82"/>
      <c r="G292" s="111"/>
    </row>
    <row r="293" spans="1:8">
      <c r="A293" s="123"/>
      <c r="B293" s="854"/>
      <c r="C293" s="855"/>
      <c r="D293" s="37"/>
      <c r="E293" s="83"/>
      <c r="F293" s="82"/>
      <c r="G293" s="111"/>
    </row>
    <row r="294" spans="1:8">
      <c r="A294" s="95"/>
      <c r="B294" s="854"/>
      <c r="C294" s="855"/>
      <c r="D294" s="37"/>
      <c r="E294" s="53"/>
      <c r="F294" s="82"/>
      <c r="G294" s="111"/>
    </row>
    <row r="295" spans="1:8">
      <c r="A295" s="95"/>
      <c r="B295" s="854"/>
      <c r="C295" s="855"/>
      <c r="D295" s="37"/>
      <c r="E295" s="53"/>
      <c r="F295" s="82"/>
      <c r="G295" s="111"/>
    </row>
    <row r="296" spans="1:8">
      <c r="A296" s="95"/>
      <c r="B296" s="854"/>
      <c r="C296" s="855"/>
      <c r="D296" s="37"/>
      <c r="E296" s="53"/>
      <c r="F296" s="82"/>
      <c r="G296" s="111"/>
    </row>
    <row r="297" spans="1:8">
      <c r="A297" s="95"/>
      <c r="B297" s="938" t="s">
        <v>841</v>
      </c>
      <c r="C297" s="939"/>
      <c r="D297" s="53" t="s">
        <v>841</v>
      </c>
      <c r="E297" s="53"/>
      <c r="F297" s="82"/>
      <c r="G297" s="111"/>
      <c r="H297" s="505" t="s">
        <v>1670</v>
      </c>
    </row>
    <row r="298" spans="1:8" ht="13.5" thickBot="1">
      <c r="A298" s="95"/>
      <c r="B298" s="942" t="s">
        <v>841</v>
      </c>
      <c r="C298" s="943"/>
      <c r="D298" s="84" t="s">
        <v>841</v>
      </c>
      <c r="E298" s="84"/>
      <c r="F298" s="85"/>
      <c r="G298" s="112"/>
    </row>
    <row r="299" spans="1:8" ht="13.5" thickTop="1">
      <c r="A299" s="95"/>
      <c r="B299" s="808"/>
      <c r="C299" s="809"/>
      <c r="D299" s="801" t="s">
        <v>856</v>
      </c>
      <c r="E299" s="802"/>
      <c r="F299" s="9"/>
      <c r="G299" s="113">
        <f>SUM(G290:G298)</f>
        <v>70716</v>
      </c>
    </row>
    <row r="300" spans="1:8">
      <c r="A300" s="95"/>
      <c r="B300" s="819"/>
      <c r="C300" s="820"/>
      <c r="D300" s="801" t="s">
        <v>857</v>
      </c>
      <c r="E300" s="802"/>
      <c r="F300" s="79">
        <f>'MANO DE OBRA'!D60</f>
        <v>0.05</v>
      </c>
      <c r="G300" s="113">
        <f>ROUND(G299*F300,0)</f>
        <v>3536</v>
      </c>
    </row>
    <row r="301" spans="1:8" ht="13.5" thickBot="1">
      <c r="A301" s="95"/>
      <c r="B301" s="819"/>
      <c r="C301" s="820"/>
      <c r="D301" s="803" t="s">
        <v>320</v>
      </c>
      <c r="E301" s="804"/>
      <c r="F301" s="114"/>
      <c r="G301" s="118">
        <f>+G299+G300</f>
        <v>74252</v>
      </c>
    </row>
    <row r="302" spans="1:8" ht="14.25" thickTop="1" thickBot="1">
      <c r="A302" s="95"/>
      <c r="B302" s="830"/>
      <c r="C302" s="830"/>
      <c r="D302" s="830"/>
      <c r="E302" s="830"/>
      <c r="F302" s="830"/>
      <c r="G302" s="830"/>
    </row>
    <row r="303" spans="1:8" ht="13.5" thickTop="1">
      <c r="A303" s="95"/>
      <c r="B303" s="811" t="s">
        <v>858</v>
      </c>
      <c r="C303" s="812"/>
      <c r="D303" s="812"/>
      <c r="E303" s="812"/>
      <c r="F303" s="812"/>
      <c r="G303" s="825"/>
    </row>
    <row r="304" spans="1:8">
      <c r="A304" s="95"/>
      <c r="B304" s="817"/>
      <c r="C304" s="818"/>
      <c r="D304" s="98" t="s">
        <v>301</v>
      </c>
      <c r="E304" s="98" t="s">
        <v>859</v>
      </c>
      <c r="F304" s="99" t="s">
        <v>839</v>
      </c>
      <c r="G304" s="107" t="s">
        <v>840</v>
      </c>
    </row>
    <row r="305" spans="1:7">
      <c r="A305" s="95"/>
      <c r="B305" s="821" t="s">
        <v>838</v>
      </c>
      <c r="C305" s="822"/>
      <c r="D305" s="100" t="s">
        <v>316</v>
      </c>
      <c r="E305" s="100" t="s">
        <v>315</v>
      </c>
      <c r="F305" s="101" t="s">
        <v>306</v>
      </c>
      <c r="G305" s="108" t="s">
        <v>319</v>
      </c>
    </row>
    <row r="306" spans="1:7">
      <c r="A306" s="95"/>
      <c r="B306" s="115"/>
      <c r="C306" s="102"/>
      <c r="D306" s="103"/>
      <c r="E306" s="103" t="s">
        <v>317</v>
      </c>
      <c r="F306" s="104" t="s">
        <v>318</v>
      </c>
      <c r="G306" s="109"/>
    </row>
    <row r="307" spans="1:7">
      <c r="A307" s="95"/>
      <c r="B307" s="823" t="str">
        <f>'MANO DE OBRA'!B10</f>
        <v>AYUDANTE CUAD. TIPO AA</v>
      </c>
      <c r="C307" s="824"/>
      <c r="D307" s="87">
        <v>1</v>
      </c>
      <c r="E307" s="80">
        <f>'MANO DE OBRA'!E10</f>
        <v>34680</v>
      </c>
      <c r="F307" s="81">
        <v>9</v>
      </c>
      <c r="G307" s="110">
        <f>ROUND(D307*E307/F307,0)</f>
        <v>3853</v>
      </c>
    </row>
    <row r="308" spans="1:7">
      <c r="A308" s="95"/>
      <c r="B308" s="835" t="str">
        <f>'MANO DE OBRA'!B15</f>
        <v xml:space="preserve">OFICIAL CUAD. TIPO AA </v>
      </c>
      <c r="C308" s="836"/>
      <c r="D308" s="37">
        <v>1</v>
      </c>
      <c r="E308" s="82">
        <f>'MANO DE OBRA'!E15</f>
        <v>71474</v>
      </c>
      <c r="F308" s="83">
        <v>9</v>
      </c>
      <c r="G308" s="111">
        <f>ROUND(D308*E308/F308,0)</f>
        <v>7942</v>
      </c>
    </row>
    <row r="309" spans="1:7">
      <c r="A309" s="95"/>
      <c r="B309" s="835"/>
      <c r="C309" s="836"/>
      <c r="D309" s="89"/>
      <c r="E309" s="82"/>
      <c r="F309" s="83"/>
      <c r="G309" s="111"/>
    </row>
    <row r="310" spans="1:7">
      <c r="A310" s="95"/>
      <c r="B310" s="835" t="s">
        <v>841</v>
      </c>
      <c r="C310" s="836"/>
      <c r="D310" s="37"/>
      <c r="E310" s="82"/>
      <c r="F310" s="83"/>
      <c r="G310" s="111"/>
    </row>
    <row r="311" spans="1:7" ht="13.5" thickBot="1">
      <c r="A311" s="95"/>
      <c r="B311" s="828" t="s">
        <v>841</v>
      </c>
      <c r="C311" s="829"/>
      <c r="D311" s="77"/>
      <c r="E311" s="82"/>
      <c r="F311" s="86"/>
      <c r="G311" s="112"/>
    </row>
    <row r="312" spans="1:7" ht="14.25" thickTop="1" thickBot="1">
      <c r="A312" s="95"/>
      <c r="B312" s="808"/>
      <c r="C312" s="808"/>
      <c r="D312" s="808"/>
      <c r="E312" s="809"/>
      <c r="F312" s="120" t="s">
        <v>856</v>
      </c>
      <c r="G312" s="118">
        <f>SUM(G307:G311)</f>
        <v>11795</v>
      </c>
    </row>
    <row r="313" spans="1:7" ht="14.25" thickTop="1" thickBot="1">
      <c r="A313" s="95"/>
      <c r="B313" s="810"/>
      <c r="C313" s="810"/>
      <c r="D313" s="810"/>
      <c r="E313" s="810"/>
      <c r="F313" s="810"/>
      <c r="G313" s="810"/>
    </row>
    <row r="314" spans="1:7" ht="13.5" thickTop="1">
      <c r="A314" s="95"/>
      <c r="B314" s="811" t="s">
        <v>321</v>
      </c>
      <c r="C314" s="812"/>
      <c r="D314" s="812"/>
      <c r="E314" s="812"/>
      <c r="F314" s="812"/>
      <c r="G314" s="825"/>
    </row>
    <row r="315" spans="1:7">
      <c r="A315" s="95"/>
      <c r="B315" s="817" t="s">
        <v>838</v>
      </c>
      <c r="C315" s="818"/>
      <c r="D315" s="98" t="s">
        <v>301</v>
      </c>
      <c r="E315" s="98" t="s">
        <v>297</v>
      </c>
      <c r="F315" s="99" t="s">
        <v>839</v>
      </c>
      <c r="G315" s="107" t="s">
        <v>840</v>
      </c>
    </row>
    <row r="316" spans="1:7">
      <c r="A316" s="95"/>
      <c r="B316" s="115"/>
      <c r="C316" s="102"/>
      <c r="D316" s="103" t="s">
        <v>322</v>
      </c>
      <c r="E316" s="103" t="s">
        <v>323</v>
      </c>
      <c r="F316" s="104" t="s">
        <v>324</v>
      </c>
      <c r="G316" s="109" t="s">
        <v>325</v>
      </c>
    </row>
    <row r="317" spans="1:7">
      <c r="A317" s="95"/>
      <c r="B317" s="826"/>
      <c r="C317" s="827"/>
      <c r="D317" s="96"/>
      <c r="E317" s="96"/>
      <c r="F317" s="96"/>
      <c r="G317" s="116"/>
    </row>
    <row r="318" spans="1:7" ht="13.5" thickBot="1">
      <c r="A318" s="95"/>
      <c r="B318" s="828" t="s">
        <v>841</v>
      </c>
      <c r="C318" s="829"/>
      <c r="D318" s="77"/>
      <c r="E318" s="82"/>
      <c r="F318" s="86"/>
      <c r="G318" s="112"/>
    </row>
    <row r="319" spans="1:7" ht="14.25" thickTop="1" thickBot="1">
      <c r="A319" s="95"/>
      <c r="B319" s="808"/>
      <c r="C319" s="808"/>
      <c r="D319" s="808"/>
      <c r="E319" s="809"/>
      <c r="F319" s="120" t="s">
        <v>856</v>
      </c>
      <c r="G319" s="118">
        <f>SUM(G314:G318)</f>
        <v>0</v>
      </c>
    </row>
    <row r="320" spans="1:7" ht="14.25" thickTop="1" thickBot="1">
      <c r="A320" s="95"/>
      <c r="B320" s="810"/>
      <c r="C320" s="810"/>
      <c r="D320" s="810"/>
      <c r="E320" s="810"/>
      <c r="F320" s="810"/>
      <c r="G320" s="834"/>
    </row>
    <row r="321" spans="1:8" ht="13.5" thickTop="1">
      <c r="A321" s="95"/>
      <c r="B321" s="811" t="s">
        <v>326</v>
      </c>
      <c r="C321" s="812"/>
      <c r="D321" s="812"/>
      <c r="E321" s="812"/>
      <c r="F321" s="813"/>
      <c r="G321" s="121">
        <f>+G285+G301+G312</f>
        <v>86637</v>
      </c>
    </row>
    <row r="322" spans="1:8">
      <c r="A322" s="95"/>
      <c r="B322" s="814" t="s">
        <v>861</v>
      </c>
      <c r="C322" s="815"/>
      <c r="D322" s="815"/>
      <c r="E322" s="816"/>
      <c r="F322" s="128">
        <f>'MANO DE OBRA'!D59</f>
        <v>0</v>
      </c>
      <c r="G322" s="122">
        <f>ROUND(G321*F322,0)</f>
        <v>0</v>
      </c>
    </row>
    <row r="323" spans="1:8" ht="13.5" thickBot="1">
      <c r="A323" s="95"/>
      <c r="B323" s="805" t="s">
        <v>1049</v>
      </c>
      <c r="C323" s="806"/>
      <c r="D323" s="806"/>
      <c r="E323" s="806"/>
      <c r="F323" s="807"/>
      <c r="G323" s="118">
        <f>ROUND(G321+G322,-2)</f>
        <v>86600</v>
      </c>
      <c r="H323" s="505" t="s">
        <v>1670</v>
      </c>
    </row>
    <row r="324" spans="1:8" ht="13.5" thickTop="1">
      <c r="A324" s="95"/>
      <c r="B324" s="90" t="s">
        <v>303</v>
      </c>
      <c r="C324" s="843"/>
      <c r="D324" s="843"/>
      <c r="E324" s="843"/>
      <c r="F324" s="92" t="s">
        <v>781</v>
      </c>
      <c r="G324" s="93" t="s">
        <v>831</v>
      </c>
    </row>
    <row r="325" spans="1:8">
      <c r="A325" s="95"/>
      <c r="B325" s="91" t="s">
        <v>834</v>
      </c>
      <c r="C325" s="844" t="s">
        <v>1433</v>
      </c>
      <c r="D325" s="844"/>
      <c r="E325" s="844"/>
      <c r="F325" s="15" t="s">
        <v>833</v>
      </c>
      <c r="G325" s="165" t="str">
        <f>'MANO DE OBRA'!D61</f>
        <v>Agosto de 2010</v>
      </c>
    </row>
    <row r="326" spans="1:8" ht="13.5" thickBot="1">
      <c r="A326" s="127"/>
      <c r="B326" s="94" t="s">
        <v>835</v>
      </c>
      <c r="C326" s="845" t="s">
        <v>1439</v>
      </c>
      <c r="D326" s="845"/>
      <c r="E326" s="845"/>
      <c r="F326" s="845"/>
      <c r="G326" s="846"/>
    </row>
    <row r="327" spans="1:8" ht="14.25" thickTop="1" thickBot="1">
      <c r="A327" s="95"/>
      <c r="B327" s="847"/>
      <c r="C327" s="847"/>
      <c r="D327" s="847"/>
      <c r="E327" s="847"/>
      <c r="F327" s="847"/>
      <c r="G327" s="847"/>
    </row>
    <row r="328" spans="1:8" ht="13.5" thickTop="1">
      <c r="A328" s="95"/>
      <c r="B328" s="811" t="s">
        <v>304</v>
      </c>
      <c r="C328" s="812"/>
      <c r="D328" s="812"/>
      <c r="E328" s="812"/>
      <c r="F328" s="812"/>
      <c r="G328" s="825"/>
    </row>
    <row r="329" spans="1:8">
      <c r="A329" s="95"/>
      <c r="B329" s="105"/>
      <c r="C329" s="97"/>
      <c r="D329" s="98" t="s">
        <v>301</v>
      </c>
      <c r="E329" s="98" t="s">
        <v>1072</v>
      </c>
      <c r="F329" s="99" t="s">
        <v>839</v>
      </c>
      <c r="G329" s="107" t="s">
        <v>840</v>
      </c>
    </row>
    <row r="330" spans="1:8">
      <c r="A330" s="95"/>
      <c r="B330" s="821" t="s">
        <v>838</v>
      </c>
      <c r="C330" s="822"/>
      <c r="D330" s="100" t="s">
        <v>308</v>
      </c>
      <c r="E330" s="100" t="s">
        <v>305</v>
      </c>
      <c r="F330" s="101" t="s">
        <v>306</v>
      </c>
      <c r="G330" s="108" t="s">
        <v>310</v>
      </c>
    </row>
    <row r="331" spans="1:8">
      <c r="A331" s="95"/>
      <c r="B331" s="115"/>
      <c r="C331" s="102"/>
      <c r="D331" s="103"/>
      <c r="E331" s="103" t="s">
        <v>309</v>
      </c>
      <c r="F331" s="104" t="s">
        <v>307</v>
      </c>
      <c r="G331" s="109"/>
    </row>
    <row r="332" spans="1:8">
      <c r="A332" s="127"/>
      <c r="B332" s="823" t="str">
        <f>'MAQUINARIA Y EQUIPOS'!C28</f>
        <v>HERRAMIENTAS MENORES</v>
      </c>
      <c r="C332" s="824"/>
      <c r="D332" s="87">
        <v>1</v>
      </c>
      <c r="E332" s="82">
        <f>ROUND(G365*0.05,0)</f>
        <v>438</v>
      </c>
      <c r="F332" s="81">
        <v>1</v>
      </c>
      <c r="G332" s="110">
        <f>ROUND(D332*E332/F332,0)</f>
        <v>438</v>
      </c>
    </row>
    <row r="333" spans="1:8">
      <c r="A333" s="95"/>
      <c r="B333" s="835" t="str">
        <f>'MAQUINARIA Y EQUIPOS'!C31</f>
        <v>LAMINA SARDINEL 2.40 x 0.50</v>
      </c>
      <c r="C333" s="836"/>
      <c r="D333" s="37">
        <v>10</v>
      </c>
      <c r="E333" s="129">
        <f>'MAQUINARIA Y EQUIPOS'!D31</f>
        <v>684</v>
      </c>
      <c r="F333" s="83">
        <v>12.12</v>
      </c>
      <c r="G333" s="111">
        <f>ROUND(D333*E333/F333,0)</f>
        <v>564</v>
      </c>
    </row>
    <row r="334" spans="1:8">
      <c r="A334" s="95"/>
      <c r="B334" s="835" t="str">
        <f>'MAQUINARIA Y EQUIPOS'!C53</f>
        <v>VIBRADOR A GASOLINA</v>
      </c>
      <c r="C334" s="836"/>
      <c r="D334" s="37">
        <v>0.25</v>
      </c>
      <c r="E334" s="129">
        <f>'MAQUINARIA Y EQUIPOS'!D53</f>
        <v>51040</v>
      </c>
      <c r="F334" s="83">
        <v>12.12</v>
      </c>
      <c r="G334" s="111">
        <f>ROUND(D334*E334/F334,0)</f>
        <v>1053</v>
      </c>
    </row>
    <row r="335" spans="1:8">
      <c r="A335" s="95"/>
      <c r="B335" s="835"/>
      <c r="C335" s="836"/>
      <c r="D335" s="89"/>
      <c r="E335" s="82"/>
      <c r="F335" s="83"/>
      <c r="G335" s="111"/>
    </row>
    <row r="336" spans="1:8">
      <c r="A336" s="95"/>
      <c r="B336" s="835" t="s">
        <v>841</v>
      </c>
      <c r="C336" s="836"/>
      <c r="D336" s="37"/>
      <c r="E336" s="82"/>
      <c r="F336" s="83"/>
      <c r="G336" s="111"/>
    </row>
    <row r="337" spans="1:8" ht="13.5" thickBot="1">
      <c r="A337" s="95"/>
      <c r="B337" s="839" t="s">
        <v>841</v>
      </c>
      <c r="C337" s="840"/>
      <c r="D337" s="77"/>
      <c r="E337" s="106"/>
      <c r="F337" s="86"/>
      <c r="G337" s="112"/>
    </row>
    <row r="338" spans="1:8" ht="14.25" thickTop="1" thickBot="1">
      <c r="A338" s="95"/>
      <c r="B338" s="808"/>
      <c r="C338" s="808"/>
      <c r="D338" s="808"/>
      <c r="E338" s="809"/>
      <c r="F338" s="119" t="s">
        <v>856</v>
      </c>
      <c r="G338" s="118">
        <f>SUM(G332:G337)</f>
        <v>2055</v>
      </c>
    </row>
    <row r="339" spans="1:8" ht="14.25" thickTop="1" thickBot="1">
      <c r="A339" s="95"/>
      <c r="B339" s="830"/>
      <c r="C339" s="830"/>
      <c r="D339" s="830"/>
      <c r="E339" s="830"/>
      <c r="F339" s="830"/>
      <c r="G339" s="830"/>
    </row>
    <row r="340" spans="1:8" ht="13.5" thickTop="1">
      <c r="A340" s="95"/>
      <c r="B340" s="811" t="s">
        <v>311</v>
      </c>
      <c r="C340" s="812"/>
      <c r="D340" s="812"/>
      <c r="E340" s="812"/>
      <c r="F340" s="812"/>
      <c r="G340" s="825"/>
    </row>
    <row r="341" spans="1:8">
      <c r="A341" s="95"/>
      <c r="B341" s="817" t="s">
        <v>838</v>
      </c>
      <c r="C341" s="818"/>
      <c r="D341" s="98" t="s">
        <v>842</v>
      </c>
      <c r="E341" s="98" t="s">
        <v>853</v>
      </c>
      <c r="F341" s="99" t="s">
        <v>1047</v>
      </c>
      <c r="G341" s="107" t="s">
        <v>840</v>
      </c>
    </row>
    <row r="342" spans="1:8">
      <c r="A342" s="95"/>
      <c r="B342" s="115"/>
      <c r="C342" s="102"/>
      <c r="D342" s="103"/>
      <c r="E342" s="100" t="s">
        <v>312</v>
      </c>
      <c r="F342" s="101" t="s">
        <v>313</v>
      </c>
      <c r="G342" s="108" t="s">
        <v>314</v>
      </c>
    </row>
    <row r="343" spans="1:8" ht="14.25">
      <c r="A343" s="125"/>
      <c r="B343" s="841" t="str">
        <f>MATERIALES2!C38</f>
        <v>CONCRETO 1:2:4-2500 psi(MATERIALES)</v>
      </c>
      <c r="C343" s="842"/>
      <c r="D343" s="37" t="s">
        <v>1066</v>
      </c>
      <c r="E343" s="81">
        <v>7.0000000000000007E-2</v>
      </c>
      <c r="F343" s="80">
        <f>MATERIALES2!E38</f>
        <v>351700</v>
      </c>
      <c r="G343" s="110">
        <f>ROUND(E343*F343,0)</f>
        <v>24619</v>
      </c>
    </row>
    <row r="344" spans="1:8">
      <c r="A344" s="123"/>
      <c r="B344" s="854"/>
      <c r="C344" s="855"/>
      <c r="D344" s="37"/>
      <c r="E344" s="141"/>
      <c r="F344" s="82"/>
      <c r="G344" s="111"/>
    </row>
    <row r="345" spans="1:8">
      <c r="A345" s="123"/>
      <c r="B345" s="854"/>
      <c r="C345" s="855"/>
      <c r="D345" s="37"/>
      <c r="E345" s="83"/>
      <c r="F345" s="82"/>
      <c r="G345" s="111"/>
    </row>
    <row r="346" spans="1:8">
      <c r="A346" s="123"/>
      <c r="B346" s="854"/>
      <c r="C346" s="855"/>
      <c r="D346" s="37"/>
      <c r="E346" s="83"/>
      <c r="F346" s="82"/>
      <c r="G346" s="111"/>
    </row>
    <row r="347" spans="1:8">
      <c r="A347" s="95"/>
      <c r="B347" s="854"/>
      <c r="C347" s="855"/>
      <c r="D347" s="37"/>
      <c r="E347" s="53"/>
      <c r="F347" s="82"/>
      <c r="G347" s="111"/>
    </row>
    <row r="348" spans="1:8">
      <c r="A348" s="95"/>
      <c r="B348" s="854"/>
      <c r="C348" s="855"/>
      <c r="D348" s="37"/>
      <c r="E348" s="53"/>
      <c r="F348" s="82"/>
      <c r="G348" s="111"/>
    </row>
    <row r="349" spans="1:8">
      <c r="A349" s="95"/>
      <c r="B349" s="854"/>
      <c r="C349" s="855"/>
      <c r="D349" s="37"/>
      <c r="E349" s="53"/>
      <c r="F349" s="82"/>
      <c r="G349" s="111"/>
    </row>
    <row r="350" spans="1:8">
      <c r="A350" s="95"/>
      <c r="B350" s="938" t="s">
        <v>841</v>
      </c>
      <c r="C350" s="939"/>
      <c r="D350" s="53" t="s">
        <v>841</v>
      </c>
      <c r="E350" s="53"/>
      <c r="F350" s="82"/>
      <c r="G350" s="111"/>
      <c r="H350" s="505" t="s">
        <v>1670</v>
      </c>
    </row>
    <row r="351" spans="1:8" ht="13.5" thickBot="1">
      <c r="A351" s="95"/>
      <c r="B351" s="942" t="s">
        <v>841</v>
      </c>
      <c r="C351" s="943"/>
      <c r="D351" s="84" t="s">
        <v>841</v>
      </c>
      <c r="E351" s="84"/>
      <c r="F351" s="85"/>
      <c r="G351" s="112"/>
    </row>
    <row r="352" spans="1:8" ht="13.5" thickTop="1">
      <c r="A352" s="95"/>
      <c r="B352" s="808"/>
      <c r="C352" s="809"/>
      <c r="D352" s="801" t="s">
        <v>856</v>
      </c>
      <c r="E352" s="802"/>
      <c r="F352" s="9"/>
      <c r="G352" s="113">
        <f>SUM(G343:G351)</f>
        <v>24619</v>
      </c>
    </row>
    <row r="353" spans="1:7">
      <c r="A353" s="95"/>
      <c r="B353" s="819"/>
      <c r="C353" s="820"/>
      <c r="D353" s="801" t="s">
        <v>857</v>
      </c>
      <c r="E353" s="802"/>
      <c r="F353" s="79">
        <f>'MANO DE OBRA'!D60</f>
        <v>0.05</v>
      </c>
      <c r="G353" s="113">
        <f>ROUND(G352*F353,0)</f>
        <v>1231</v>
      </c>
    </row>
    <row r="354" spans="1:7" ht="13.5" thickBot="1">
      <c r="A354" s="95"/>
      <c r="B354" s="819"/>
      <c r="C354" s="820"/>
      <c r="D354" s="803" t="s">
        <v>320</v>
      </c>
      <c r="E354" s="804"/>
      <c r="F354" s="114"/>
      <c r="G354" s="118">
        <f>+G352+G353</f>
        <v>25850</v>
      </c>
    </row>
    <row r="355" spans="1:7" ht="14.25" thickTop="1" thickBot="1">
      <c r="A355" s="95"/>
      <c r="B355" s="830"/>
      <c r="C355" s="830"/>
      <c r="D355" s="830"/>
      <c r="E355" s="830"/>
      <c r="F355" s="830"/>
      <c r="G355" s="830"/>
    </row>
    <row r="356" spans="1:7" ht="13.5" thickTop="1">
      <c r="A356" s="95"/>
      <c r="B356" s="811" t="s">
        <v>858</v>
      </c>
      <c r="C356" s="812"/>
      <c r="D356" s="812"/>
      <c r="E356" s="812"/>
      <c r="F356" s="812"/>
      <c r="G356" s="825"/>
    </row>
    <row r="357" spans="1:7">
      <c r="A357" s="95"/>
      <c r="B357" s="817"/>
      <c r="C357" s="818"/>
      <c r="D357" s="98" t="s">
        <v>301</v>
      </c>
      <c r="E357" s="98" t="s">
        <v>859</v>
      </c>
      <c r="F357" s="99" t="s">
        <v>839</v>
      </c>
      <c r="G357" s="107" t="s">
        <v>840</v>
      </c>
    </row>
    <row r="358" spans="1:7">
      <c r="A358" s="95"/>
      <c r="B358" s="821" t="s">
        <v>838</v>
      </c>
      <c r="C358" s="822"/>
      <c r="D358" s="100" t="s">
        <v>316</v>
      </c>
      <c r="E358" s="100" t="s">
        <v>315</v>
      </c>
      <c r="F358" s="101" t="s">
        <v>306</v>
      </c>
      <c r="G358" s="108" t="s">
        <v>319</v>
      </c>
    </row>
    <row r="359" spans="1:7">
      <c r="A359" s="95"/>
      <c r="B359" s="115"/>
      <c r="C359" s="102"/>
      <c r="D359" s="103"/>
      <c r="E359" s="103" t="s">
        <v>317</v>
      </c>
      <c r="F359" s="104" t="s">
        <v>318</v>
      </c>
      <c r="G359" s="109"/>
    </row>
    <row r="360" spans="1:7">
      <c r="A360" s="95"/>
      <c r="B360" s="823" t="str">
        <f>'MANO DE OBRA'!B10</f>
        <v>AYUDANTE CUAD. TIPO AA</v>
      </c>
      <c r="C360" s="824"/>
      <c r="D360" s="87">
        <v>1</v>
      </c>
      <c r="E360" s="80">
        <f>'MANO DE OBRA'!E10</f>
        <v>34680</v>
      </c>
      <c r="F360" s="81">
        <v>12.12</v>
      </c>
      <c r="G360" s="110">
        <f>ROUND(D360*E360/F360,0)</f>
        <v>2861</v>
      </c>
    </row>
    <row r="361" spans="1:7">
      <c r="A361" s="95"/>
      <c r="B361" s="835" t="str">
        <f>'MANO DE OBRA'!B15</f>
        <v xml:space="preserve">OFICIAL CUAD. TIPO AA </v>
      </c>
      <c r="C361" s="836"/>
      <c r="D361" s="37">
        <v>1</v>
      </c>
      <c r="E361" s="82">
        <f>'MANO DE OBRA'!E15</f>
        <v>71474</v>
      </c>
      <c r="F361" s="83">
        <v>12.12</v>
      </c>
      <c r="G361" s="111">
        <f>ROUND(D361*E361/F361,0)</f>
        <v>5897</v>
      </c>
    </row>
    <row r="362" spans="1:7">
      <c r="A362" s="95"/>
      <c r="B362" s="835"/>
      <c r="C362" s="836"/>
      <c r="D362" s="89"/>
      <c r="E362" s="82"/>
      <c r="F362" s="83"/>
      <c r="G362" s="111"/>
    </row>
    <row r="363" spans="1:7">
      <c r="A363" s="95"/>
      <c r="B363" s="835" t="s">
        <v>841</v>
      </c>
      <c r="C363" s="836"/>
      <c r="D363" s="37"/>
      <c r="E363" s="82"/>
      <c r="F363" s="83"/>
      <c r="G363" s="111"/>
    </row>
    <row r="364" spans="1:7" ht="13.5" thickBot="1">
      <c r="A364" s="95"/>
      <c r="B364" s="828" t="s">
        <v>841</v>
      </c>
      <c r="C364" s="829"/>
      <c r="D364" s="77"/>
      <c r="E364" s="82"/>
      <c r="F364" s="86"/>
      <c r="G364" s="112"/>
    </row>
    <row r="365" spans="1:7" ht="14.25" thickTop="1" thickBot="1">
      <c r="A365" s="95"/>
      <c r="B365" s="808"/>
      <c r="C365" s="808"/>
      <c r="D365" s="808"/>
      <c r="E365" s="809"/>
      <c r="F365" s="120" t="s">
        <v>856</v>
      </c>
      <c r="G365" s="118">
        <f>SUM(G360:G364)</f>
        <v>8758</v>
      </c>
    </row>
    <row r="366" spans="1:7" ht="14.25" thickTop="1" thickBot="1">
      <c r="A366" s="95"/>
      <c r="B366" s="810"/>
      <c r="C366" s="810"/>
      <c r="D366" s="810"/>
      <c r="E366" s="810"/>
      <c r="F366" s="810"/>
      <c r="G366" s="810"/>
    </row>
    <row r="367" spans="1:7" ht="13.5" thickTop="1">
      <c r="A367" s="95"/>
      <c r="B367" s="811" t="s">
        <v>321</v>
      </c>
      <c r="C367" s="812"/>
      <c r="D367" s="812"/>
      <c r="E367" s="812"/>
      <c r="F367" s="812"/>
      <c r="G367" s="825"/>
    </row>
    <row r="368" spans="1:7">
      <c r="A368" s="95"/>
      <c r="B368" s="817" t="s">
        <v>838</v>
      </c>
      <c r="C368" s="818"/>
      <c r="D368" s="98" t="s">
        <v>301</v>
      </c>
      <c r="E368" s="98" t="s">
        <v>297</v>
      </c>
      <c r="F368" s="99" t="s">
        <v>839</v>
      </c>
      <c r="G368" s="107" t="s">
        <v>840</v>
      </c>
    </row>
    <row r="369" spans="1:8">
      <c r="A369" s="95"/>
      <c r="B369" s="115"/>
      <c r="C369" s="102"/>
      <c r="D369" s="103" t="s">
        <v>322</v>
      </c>
      <c r="E369" s="103" t="s">
        <v>323</v>
      </c>
      <c r="F369" s="104" t="s">
        <v>324</v>
      </c>
      <c r="G369" s="109" t="s">
        <v>325</v>
      </c>
    </row>
    <row r="370" spans="1:8">
      <c r="A370" s="95"/>
      <c r="B370" s="826"/>
      <c r="C370" s="827"/>
      <c r="D370" s="96"/>
      <c r="E370" s="96"/>
      <c r="F370" s="96"/>
      <c r="G370" s="116"/>
    </row>
    <row r="371" spans="1:8" ht="13.5" thickBot="1">
      <c r="A371" s="95"/>
      <c r="B371" s="828" t="s">
        <v>841</v>
      </c>
      <c r="C371" s="829"/>
      <c r="D371" s="77"/>
      <c r="E371" s="82"/>
      <c r="F371" s="86"/>
      <c r="G371" s="112"/>
    </row>
    <row r="372" spans="1:8" ht="14.25" thickTop="1" thickBot="1">
      <c r="A372" s="95"/>
      <c r="B372" s="808"/>
      <c r="C372" s="808"/>
      <c r="D372" s="808"/>
      <c r="E372" s="809"/>
      <c r="F372" s="120" t="s">
        <v>856</v>
      </c>
      <c r="G372" s="118">
        <f>SUM(G367:G371)</f>
        <v>0</v>
      </c>
    </row>
    <row r="373" spans="1:8" ht="14.25" thickTop="1" thickBot="1">
      <c r="A373" s="95"/>
      <c r="B373" s="810"/>
      <c r="C373" s="810"/>
      <c r="D373" s="810"/>
      <c r="E373" s="810"/>
      <c r="F373" s="810"/>
      <c r="G373" s="834"/>
    </row>
    <row r="374" spans="1:8" ht="13.5" thickTop="1">
      <c r="A374" s="95"/>
      <c r="B374" s="811" t="s">
        <v>326</v>
      </c>
      <c r="C374" s="812"/>
      <c r="D374" s="812"/>
      <c r="E374" s="812"/>
      <c r="F374" s="813"/>
      <c r="G374" s="121">
        <f>+G338+G354+G365</f>
        <v>36663</v>
      </c>
    </row>
    <row r="375" spans="1:8">
      <c r="A375" s="95"/>
      <c r="B375" s="814" t="s">
        <v>861</v>
      </c>
      <c r="C375" s="815"/>
      <c r="D375" s="815"/>
      <c r="E375" s="816"/>
      <c r="F375" s="128">
        <f>'MANO DE OBRA'!D59</f>
        <v>0</v>
      </c>
      <c r="G375" s="122">
        <f>ROUND(G374*F375,0)</f>
        <v>0</v>
      </c>
    </row>
    <row r="376" spans="1:8" ht="13.5" thickBot="1">
      <c r="A376" s="95"/>
      <c r="B376" s="805" t="s">
        <v>1049</v>
      </c>
      <c r="C376" s="806"/>
      <c r="D376" s="806"/>
      <c r="E376" s="806"/>
      <c r="F376" s="807"/>
      <c r="G376" s="118">
        <f>ROUND(G374+G375,-2)</f>
        <v>36700</v>
      </c>
      <c r="H376" s="505" t="s">
        <v>1670</v>
      </c>
    </row>
    <row r="377" spans="1:8" ht="15" thickTop="1">
      <c r="A377" s="95"/>
      <c r="B377" s="90" t="s">
        <v>303</v>
      </c>
      <c r="C377" s="843"/>
      <c r="D377" s="843"/>
      <c r="E377" s="843"/>
      <c r="F377" s="92" t="s">
        <v>781</v>
      </c>
      <c r="G377" s="93" t="s">
        <v>1067</v>
      </c>
    </row>
    <row r="378" spans="1:8">
      <c r="A378" s="95"/>
      <c r="B378" s="91" t="s">
        <v>834</v>
      </c>
      <c r="C378" s="844" t="s">
        <v>1433</v>
      </c>
      <c r="D378" s="844"/>
      <c r="E378" s="844"/>
      <c r="F378" s="15" t="s">
        <v>833</v>
      </c>
      <c r="G378" s="165" t="str">
        <f>'MANO DE OBRA'!D61</f>
        <v>Agosto de 2010</v>
      </c>
    </row>
    <row r="379" spans="1:8" ht="13.5" thickBot="1">
      <c r="A379" s="127"/>
      <c r="B379" s="94" t="s">
        <v>835</v>
      </c>
      <c r="C379" s="845" t="s">
        <v>1440</v>
      </c>
      <c r="D379" s="845"/>
      <c r="E379" s="845"/>
      <c r="F379" s="845"/>
      <c r="G379" s="846"/>
    </row>
    <row r="380" spans="1:8" ht="14.25" thickTop="1" thickBot="1">
      <c r="A380" s="95"/>
      <c r="B380" s="847"/>
      <c r="C380" s="847"/>
      <c r="D380" s="847"/>
      <c r="E380" s="847"/>
      <c r="F380" s="847"/>
      <c r="G380" s="847"/>
    </row>
    <row r="381" spans="1:8" ht="13.5" thickTop="1">
      <c r="A381" s="95"/>
      <c r="B381" s="811" t="s">
        <v>304</v>
      </c>
      <c r="C381" s="812"/>
      <c r="D381" s="812"/>
      <c r="E381" s="812"/>
      <c r="F381" s="812"/>
      <c r="G381" s="825"/>
    </row>
    <row r="382" spans="1:8">
      <c r="A382" s="95"/>
      <c r="B382" s="105"/>
      <c r="C382" s="97"/>
      <c r="D382" s="98" t="s">
        <v>301</v>
      </c>
      <c r="E382" s="98" t="s">
        <v>1072</v>
      </c>
      <c r="F382" s="99" t="s">
        <v>839</v>
      </c>
      <c r="G382" s="107" t="s">
        <v>840</v>
      </c>
    </row>
    <row r="383" spans="1:8">
      <c r="A383" s="95"/>
      <c r="B383" s="821" t="s">
        <v>838</v>
      </c>
      <c r="C383" s="822"/>
      <c r="D383" s="100" t="s">
        <v>308</v>
      </c>
      <c r="E383" s="100" t="s">
        <v>305</v>
      </c>
      <c r="F383" s="101" t="s">
        <v>306</v>
      </c>
      <c r="G383" s="108" t="s">
        <v>310</v>
      </c>
    </row>
    <row r="384" spans="1:8">
      <c r="A384" s="95"/>
      <c r="B384" s="115"/>
      <c r="C384" s="102"/>
      <c r="D384" s="103"/>
      <c r="E384" s="103" t="s">
        <v>309</v>
      </c>
      <c r="F384" s="104" t="s">
        <v>307</v>
      </c>
      <c r="G384" s="109"/>
    </row>
    <row r="385" spans="1:7">
      <c r="A385" s="127"/>
      <c r="B385" s="823" t="str">
        <f>'MAQUINARIA Y EQUIPOS'!C28</f>
        <v>HERRAMIENTAS MENORES</v>
      </c>
      <c r="C385" s="824"/>
      <c r="D385" s="87">
        <v>1</v>
      </c>
      <c r="E385" s="82">
        <f>ROUND(G418*0.05,0)</f>
        <v>571</v>
      </c>
      <c r="F385" s="81">
        <v>1</v>
      </c>
      <c r="G385" s="110">
        <f>ROUND(D385*E385/F385,0)</f>
        <v>571</v>
      </c>
    </row>
    <row r="386" spans="1:7">
      <c r="A386" s="95"/>
      <c r="B386" s="835"/>
      <c r="C386" s="836"/>
      <c r="D386" s="37"/>
      <c r="E386" s="129"/>
      <c r="F386" s="83"/>
      <c r="G386" s="111"/>
    </row>
    <row r="387" spans="1:7">
      <c r="A387" s="95"/>
      <c r="B387" s="835"/>
      <c r="C387" s="836"/>
      <c r="D387" s="37"/>
      <c r="E387" s="129"/>
      <c r="F387" s="83"/>
      <c r="G387" s="111"/>
    </row>
    <row r="388" spans="1:7">
      <c r="A388" s="95"/>
      <c r="B388" s="835"/>
      <c r="C388" s="836"/>
      <c r="D388" s="89"/>
      <c r="E388" s="82"/>
      <c r="F388" s="83"/>
      <c r="G388" s="111"/>
    </row>
    <row r="389" spans="1:7">
      <c r="A389" s="95"/>
      <c r="B389" s="835" t="s">
        <v>841</v>
      </c>
      <c r="C389" s="836"/>
      <c r="D389" s="37"/>
      <c r="E389" s="82"/>
      <c r="F389" s="83"/>
      <c r="G389" s="111"/>
    </row>
    <row r="390" spans="1:7" ht="13.5" thickBot="1">
      <c r="A390" s="95"/>
      <c r="B390" s="839" t="s">
        <v>841</v>
      </c>
      <c r="C390" s="840"/>
      <c r="D390" s="77"/>
      <c r="E390" s="106"/>
      <c r="F390" s="86"/>
      <c r="G390" s="112"/>
    </row>
    <row r="391" spans="1:7" ht="14.25" thickTop="1" thickBot="1">
      <c r="A391" s="95"/>
      <c r="B391" s="808"/>
      <c r="C391" s="808"/>
      <c r="D391" s="808"/>
      <c r="E391" s="809"/>
      <c r="F391" s="119" t="s">
        <v>856</v>
      </c>
      <c r="G391" s="118">
        <f>SUM(G385:G390)</f>
        <v>571</v>
      </c>
    </row>
    <row r="392" spans="1:7" ht="14.25" thickTop="1" thickBot="1">
      <c r="A392" s="95"/>
      <c r="B392" s="830"/>
      <c r="C392" s="830"/>
      <c r="D392" s="830"/>
      <c r="E392" s="830"/>
      <c r="F392" s="830"/>
      <c r="G392" s="830"/>
    </row>
    <row r="393" spans="1:7" ht="13.5" thickTop="1">
      <c r="A393" s="95"/>
      <c r="B393" s="811" t="s">
        <v>311</v>
      </c>
      <c r="C393" s="812"/>
      <c r="D393" s="812"/>
      <c r="E393" s="812"/>
      <c r="F393" s="812"/>
      <c r="G393" s="825"/>
    </row>
    <row r="394" spans="1:7">
      <c r="A394" s="95"/>
      <c r="B394" s="817" t="s">
        <v>838</v>
      </c>
      <c r="C394" s="818"/>
      <c r="D394" s="98" t="s">
        <v>842</v>
      </c>
      <c r="E394" s="98" t="s">
        <v>853</v>
      </c>
      <c r="F394" s="99" t="s">
        <v>1047</v>
      </c>
      <c r="G394" s="107" t="s">
        <v>840</v>
      </c>
    </row>
    <row r="395" spans="1:7">
      <c r="A395" s="95"/>
      <c r="B395" s="115"/>
      <c r="C395" s="102"/>
      <c r="D395" s="103"/>
      <c r="E395" s="100" t="s">
        <v>312</v>
      </c>
      <c r="F395" s="101" t="s">
        <v>313</v>
      </c>
      <c r="G395" s="108" t="s">
        <v>314</v>
      </c>
    </row>
    <row r="396" spans="1:7" ht="14.25">
      <c r="A396" s="125"/>
      <c r="B396" s="841" t="str">
        <f>MATERIALES2!C38</f>
        <v>CONCRETO 1:2:4-2500 psi(MATERIALES)</v>
      </c>
      <c r="C396" s="842"/>
      <c r="D396" s="37" t="s">
        <v>1066</v>
      </c>
      <c r="E396" s="81">
        <v>7.0000000000000007E-2</v>
      </c>
      <c r="F396" s="80">
        <f>MATERIALES2!E38</f>
        <v>351700</v>
      </c>
      <c r="G396" s="110">
        <f>ROUND(E396*F396,0)</f>
        <v>24619</v>
      </c>
    </row>
    <row r="397" spans="1:7">
      <c r="A397" s="123"/>
      <c r="B397" s="854" t="str">
        <f>MATERIALES2!C156</f>
        <v>TABLA 1X4X10</v>
      </c>
      <c r="C397" s="855"/>
      <c r="D397" s="37" t="s">
        <v>865</v>
      </c>
      <c r="E397" s="141">
        <v>0.17</v>
      </c>
      <c r="F397" s="82">
        <f>MATERIALES2!E156</f>
        <v>3400</v>
      </c>
      <c r="G397" s="111">
        <f>ROUND(E397*F397,0)</f>
        <v>578</v>
      </c>
    </row>
    <row r="398" spans="1:7">
      <c r="A398" s="123"/>
      <c r="B398" s="854"/>
      <c r="C398" s="855"/>
      <c r="D398" s="37"/>
      <c r="E398" s="83"/>
      <c r="F398" s="82"/>
      <c r="G398" s="111"/>
    </row>
    <row r="399" spans="1:7">
      <c r="A399" s="123"/>
      <c r="B399" s="854"/>
      <c r="C399" s="855"/>
      <c r="D399" s="37"/>
      <c r="E399" s="83"/>
      <c r="F399" s="82"/>
      <c r="G399" s="111"/>
    </row>
    <row r="400" spans="1:7">
      <c r="A400" s="95"/>
      <c r="B400" s="854"/>
      <c r="C400" s="855"/>
      <c r="D400" s="37"/>
      <c r="E400" s="53"/>
      <c r="F400" s="82"/>
      <c r="G400" s="111"/>
    </row>
    <row r="401" spans="1:8">
      <c r="A401" s="95"/>
      <c r="B401" s="854"/>
      <c r="C401" s="855"/>
      <c r="D401" s="37"/>
      <c r="E401" s="53"/>
      <c r="F401" s="82"/>
      <c r="G401" s="111"/>
    </row>
    <row r="402" spans="1:8">
      <c r="A402" s="95"/>
      <c r="B402" s="854"/>
      <c r="C402" s="855"/>
      <c r="D402" s="37"/>
      <c r="E402" s="53"/>
      <c r="F402" s="82"/>
      <c r="G402" s="111"/>
    </row>
    <row r="403" spans="1:8">
      <c r="A403" s="95"/>
      <c r="B403" s="938" t="s">
        <v>841</v>
      </c>
      <c r="C403" s="939"/>
      <c r="D403" s="53" t="s">
        <v>841</v>
      </c>
      <c r="E403" s="53"/>
      <c r="F403" s="82"/>
      <c r="G403" s="111"/>
      <c r="H403" s="505" t="s">
        <v>1670</v>
      </c>
    </row>
    <row r="404" spans="1:8" ht="13.5" thickBot="1">
      <c r="A404" s="95"/>
      <c r="B404" s="942" t="s">
        <v>841</v>
      </c>
      <c r="C404" s="943"/>
      <c r="D404" s="84" t="s">
        <v>841</v>
      </c>
      <c r="E404" s="84"/>
      <c r="F404" s="85"/>
      <c r="G404" s="112"/>
    </row>
    <row r="405" spans="1:8" ht="13.5" thickTop="1">
      <c r="A405" s="95"/>
      <c r="B405" s="808"/>
      <c r="C405" s="809"/>
      <c r="D405" s="801" t="s">
        <v>856</v>
      </c>
      <c r="E405" s="802"/>
      <c r="F405" s="9"/>
      <c r="G405" s="113">
        <f>SUM(G396:G404)</f>
        <v>25197</v>
      </c>
    </row>
    <row r="406" spans="1:8">
      <c r="A406" s="95"/>
      <c r="B406" s="819"/>
      <c r="C406" s="820"/>
      <c r="D406" s="801" t="s">
        <v>857</v>
      </c>
      <c r="E406" s="802"/>
      <c r="F406" s="79">
        <f>'MANO DE OBRA'!D60</f>
        <v>0.05</v>
      </c>
      <c r="G406" s="113">
        <f>ROUND(G405*F406,0)</f>
        <v>1260</v>
      </c>
    </row>
    <row r="407" spans="1:8" ht="13.5" thickBot="1">
      <c r="A407" s="95"/>
      <c r="B407" s="819"/>
      <c r="C407" s="820"/>
      <c r="D407" s="803" t="s">
        <v>320</v>
      </c>
      <c r="E407" s="804"/>
      <c r="F407" s="114"/>
      <c r="G407" s="118">
        <f>+G405+G406</f>
        <v>26457</v>
      </c>
    </row>
    <row r="408" spans="1:8" ht="14.25" thickTop="1" thickBot="1">
      <c r="A408" s="95"/>
      <c r="B408" s="830"/>
      <c r="C408" s="830"/>
      <c r="D408" s="830"/>
      <c r="E408" s="830"/>
      <c r="F408" s="830"/>
      <c r="G408" s="830"/>
    </row>
    <row r="409" spans="1:8" ht="13.5" thickTop="1">
      <c r="A409" s="95"/>
      <c r="B409" s="811" t="s">
        <v>858</v>
      </c>
      <c r="C409" s="812"/>
      <c r="D409" s="812"/>
      <c r="E409" s="812"/>
      <c r="F409" s="812"/>
      <c r="G409" s="825"/>
    </row>
    <row r="410" spans="1:8">
      <c r="A410" s="95"/>
      <c r="B410" s="817"/>
      <c r="C410" s="818"/>
      <c r="D410" s="98" t="s">
        <v>301</v>
      </c>
      <c r="E410" s="98" t="s">
        <v>859</v>
      </c>
      <c r="F410" s="99" t="s">
        <v>839</v>
      </c>
      <c r="G410" s="107" t="s">
        <v>840</v>
      </c>
    </row>
    <row r="411" spans="1:8">
      <c r="A411" s="95"/>
      <c r="B411" s="821" t="s">
        <v>838</v>
      </c>
      <c r="C411" s="822"/>
      <c r="D411" s="100" t="s">
        <v>316</v>
      </c>
      <c r="E411" s="100" t="s">
        <v>315</v>
      </c>
      <c r="F411" s="101" t="s">
        <v>306</v>
      </c>
      <c r="G411" s="108" t="s">
        <v>319</v>
      </c>
    </row>
    <row r="412" spans="1:8">
      <c r="A412" s="95"/>
      <c r="B412" s="115"/>
      <c r="C412" s="102"/>
      <c r="D412" s="103"/>
      <c r="E412" s="103" t="s">
        <v>317</v>
      </c>
      <c r="F412" s="104" t="s">
        <v>318</v>
      </c>
      <c r="G412" s="109"/>
    </row>
    <row r="413" spans="1:8">
      <c r="A413" s="95"/>
      <c r="B413" s="823" t="str">
        <f>'MANO DE OBRA'!B10</f>
        <v>AYUDANTE CUAD. TIPO AA</v>
      </c>
      <c r="C413" s="824"/>
      <c r="D413" s="87">
        <v>1</v>
      </c>
      <c r="E413" s="80">
        <f>'MANO DE OBRA'!E10</f>
        <v>34680</v>
      </c>
      <c r="F413" s="81">
        <v>9.3000000000000007</v>
      </c>
      <c r="G413" s="110">
        <f>ROUND(D413*E413/F413,0)</f>
        <v>3729</v>
      </c>
    </row>
    <row r="414" spans="1:8">
      <c r="A414" s="95"/>
      <c r="B414" s="835" t="str">
        <f>'MANO DE OBRA'!B15</f>
        <v xml:space="preserve">OFICIAL CUAD. TIPO AA </v>
      </c>
      <c r="C414" s="836"/>
      <c r="D414" s="37">
        <v>1</v>
      </c>
      <c r="E414" s="82">
        <f>'MANO DE OBRA'!E15</f>
        <v>71474</v>
      </c>
      <c r="F414" s="83">
        <v>9.3000000000000007</v>
      </c>
      <c r="G414" s="111">
        <f>ROUND(D414*E414/F414,0)</f>
        <v>7685</v>
      </c>
    </row>
    <row r="415" spans="1:8">
      <c r="A415" s="95"/>
      <c r="B415" s="835"/>
      <c r="C415" s="836"/>
      <c r="D415" s="89"/>
      <c r="E415" s="82"/>
      <c r="F415" s="83"/>
      <c r="G415" s="111"/>
    </row>
    <row r="416" spans="1:8">
      <c r="A416" s="95"/>
      <c r="B416" s="835" t="s">
        <v>841</v>
      </c>
      <c r="C416" s="836"/>
      <c r="D416" s="37"/>
      <c r="E416" s="82"/>
      <c r="F416" s="83"/>
      <c r="G416" s="111"/>
    </row>
    <row r="417" spans="1:8" ht="13.5" thickBot="1">
      <c r="A417" s="95"/>
      <c r="B417" s="828" t="s">
        <v>841</v>
      </c>
      <c r="C417" s="829"/>
      <c r="D417" s="77"/>
      <c r="E417" s="82"/>
      <c r="F417" s="86"/>
      <c r="G417" s="112"/>
    </row>
    <row r="418" spans="1:8" ht="14.25" thickTop="1" thickBot="1">
      <c r="A418" s="95"/>
      <c r="B418" s="808"/>
      <c r="C418" s="808"/>
      <c r="D418" s="808"/>
      <c r="E418" s="809"/>
      <c r="F418" s="120" t="s">
        <v>856</v>
      </c>
      <c r="G418" s="118">
        <f>SUM(G413:G417)</f>
        <v>11414</v>
      </c>
    </row>
    <row r="419" spans="1:8" ht="14.25" thickTop="1" thickBot="1">
      <c r="A419" s="95"/>
      <c r="B419" s="810"/>
      <c r="C419" s="810"/>
      <c r="D419" s="810"/>
      <c r="E419" s="810"/>
      <c r="F419" s="810"/>
      <c r="G419" s="810"/>
    </row>
    <row r="420" spans="1:8" ht="13.5" thickTop="1">
      <c r="A420" s="95"/>
      <c r="B420" s="811" t="s">
        <v>321</v>
      </c>
      <c r="C420" s="812"/>
      <c r="D420" s="812"/>
      <c r="E420" s="812"/>
      <c r="F420" s="812"/>
      <c r="G420" s="825"/>
    </row>
    <row r="421" spans="1:8">
      <c r="A421" s="95"/>
      <c r="B421" s="817" t="s">
        <v>838</v>
      </c>
      <c r="C421" s="818"/>
      <c r="D421" s="98" t="s">
        <v>301</v>
      </c>
      <c r="E421" s="98" t="s">
        <v>297</v>
      </c>
      <c r="F421" s="99" t="s">
        <v>839</v>
      </c>
      <c r="G421" s="107" t="s">
        <v>840</v>
      </c>
    </row>
    <row r="422" spans="1:8">
      <c r="A422" s="95"/>
      <c r="B422" s="115"/>
      <c r="C422" s="102"/>
      <c r="D422" s="103" t="s">
        <v>322</v>
      </c>
      <c r="E422" s="103" t="s">
        <v>323</v>
      </c>
      <c r="F422" s="104" t="s">
        <v>324</v>
      </c>
      <c r="G422" s="109" t="s">
        <v>325</v>
      </c>
    </row>
    <row r="423" spans="1:8">
      <c r="A423" s="95"/>
      <c r="B423" s="826"/>
      <c r="C423" s="827"/>
      <c r="D423" s="96"/>
      <c r="E423" s="96"/>
      <c r="F423" s="96"/>
      <c r="G423" s="116"/>
    </row>
    <row r="424" spans="1:8" ht="13.5" thickBot="1">
      <c r="A424" s="95"/>
      <c r="B424" s="828" t="s">
        <v>841</v>
      </c>
      <c r="C424" s="829"/>
      <c r="D424" s="77"/>
      <c r="E424" s="82"/>
      <c r="F424" s="86"/>
      <c r="G424" s="112"/>
    </row>
    <row r="425" spans="1:8" ht="14.25" thickTop="1" thickBot="1">
      <c r="A425" s="95"/>
      <c r="B425" s="808"/>
      <c r="C425" s="808"/>
      <c r="D425" s="808"/>
      <c r="E425" s="809"/>
      <c r="F425" s="120" t="s">
        <v>856</v>
      </c>
      <c r="G425" s="118">
        <f>SUM(G420:G424)</f>
        <v>0</v>
      </c>
    </row>
    <row r="426" spans="1:8" ht="14.25" thickTop="1" thickBot="1">
      <c r="A426" s="95"/>
      <c r="B426" s="810"/>
      <c r="C426" s="810"/>
      <c r="D426" s="810"/>
      <c r="E426" s="810"/>
      <c r="F426" s="810"/>
      <c r="G426" s="834"/>
    </row>
    <row r="427" spans="1:8" ht="13.5" thickTop="1">
      <c r="A427" s="95"/>
      <c r="B427" s="811" t="s">
        <v>326</v>
      </c>
      <c r="C427" s="812"/>
      <c r="D427" s="812"/>
      <c r="E427" s="812"/>
      <c r="F427" s="813"/>
      <c r="G427" s="121">
        <f>+G391+G407+G418</f>
        <v>38442</v>
      </c>
    </row>
    <row r="428" spans="1:8">
      <c r="A428" s="95"/>
      <c r="B428" s="814" t="s">
        <v>861</v>
      </c>
      <c r="C428" s="815"/>
      <c r="D428" s="815"/>
      <c r="E428" s="816"/>
      <c r="F428" s="128">
        <f>'MANO DE OBRA'!D59</f>
        <v>0</v>
      </c>
      <c r="G428" s="122">
        <f>ROUND(G427*F428,0)</f>
        <v>0</v>
      </c>
    </row>
    <row r="429" spans="1:8" ht="13.5" thickBot="1">
      <c r="A429" s="95"/>
      <c r="B429" s="805" t="s">
        <v>1049</v>
      </c>
      <c r="C429" s="806"/>
      <c r="D429" s="806"/>
      <c r="E429" s="806"/>
      <c r="F429" s="807"/>
      <c r="G429" s="118">
        <f>ROUND(G427+G428,-2)</f>
        <v>38400</v>
      </c>
      <c r="H429" s="505" t="s">
        <v>1670</v>
      </c>
    </row>
    <row r="430" spans="1:8" ht="15" thickTop="1">
      <c r="A430" s="95"/>
      <c r="B430" s="90" t="s">
        <v>303</v>
      </c>
      <c r="C430" s="843"/>
      <c r="D430" s="843"/>
      <c r="E430" s="843"/>
      <c r="F430" s="92" t="s">
        <v>781</v>
      </c>
      <c r="G430" s="93" t="s">
        <v>1067</v>
      </c>
    </row>
    <row r="431" spans="1:8">
      <c r="A431" s="95"/>
      <c r="B431" s="91" t="s">
        <v>834</v>
      </c>
      <c r="C431" s="844" t="s">
        <v>1433</v>
      </c>
      <c r="D431" s="844"/>
      <c r="E431" s="844"/>
      <c r="F431" s="15" t="s">
        <v>833</v>
      </c>
      <c r="G431" s="165" t="str">
        <f>'MANO DE OBRA'!D61</f>
        <v>Agosto de 2010</v>
      </c>
    </row>
    <row r="432" spans="1:8" ht="13.5" thickBot="1">
      <c r="A432" s="127"/>
      <c r="B432" s="94" t="s">
        <v>835</v>
      </c>
      <c r="C432" s="845" t="s">
        <v>1441</v>
      </c>
      <c r="D432" s="845"/>
      <c r="E432" s="845"/>
      <c r="F432" s="845"/>
      <c r="G432" s="846"/>
    </row>
    <row r="433" spans="1:7" ht="14.25" thickTop="1" thickBot="1">
      <c r="A433" s="95"/>
      <c r="B433" s="847"/>
      <c r="C433" s="847"/>
      <c r="D433" s="847"/>
      <c r="E433" s="847"/>
      <c r="F433" s="847"/>
      <c r="G433" s="847"/>
    </row>
    <row r="434" spans="1:7" ht="13.5" thickTop="1">
      <c r="A434" s="95"/>
      <c r="B434" s="811" t="s">
        <v>304</v>
      </c>
      <c r="C434" s="812"/>
      <c r="D434" s="812"/>
      <c r="E434" s="812"/>
      <c r="F434" s="812"/>
      <c r="G434" s="825"/>
    </row>
    <row r="435" spans="1:7">
      <c r="A435" s="95"/>
      <c r="B435" s="105"/>
      <c r="C435" s="97"/>
      <c r="D435" s="98" t="s">
        <v>301</v>
      </c>
      <c r="E435" s="98" t="s">
        <v>1072</v>
      </c>
      <c r="F435" s="99" t="s">
        <v>839</v>
      </c>
      <c r="G435" s="107" t="s">
        <v>840</v>
      </c>
    </row>
    <row r="436" spans="1:7">
      <c r="A436" s="95"/>
      <c r="B436" s="821" t="s">
        <v>838</v>
      </c>
      <c r="C436" s="822"/>
      <c r="D436" s="100" t="s">
        <v>308</v>
      </c>
      <c r="E436" s="100" t="s">
        <v>305</v>
      </c>
      <c r="F436" s="101" t="s">
        <v>306</v>
      </c>
      <c r="G436" s="108" t="s">
        <v>310</v>
      </c>
    </row>
    <row r="437" spans="1:7">
      <c r="A437" s="95"/>
      <c r="B437" s="115"/>
      <c r="C437" s="102"/>
      <c r="D437" s="103"/>
      <c r="E437" s="103" t="s">
        <v>309</v>
      </c>
      <c r="F437" s="104" t="s">
        <v>307</v>
      </c>
      <c r="G437" s="109"/>
    </row>
    <row r="438" spans="1:7">
      <c r="A438" s="127"/>
      <c r="B438" s="823" t="str">
        <f>'MAQUINARIA Y EQUIPOS'!C28</f>
        <v>HERRAMIENTAS MENORES</v>
      </c>
      <c r="C438" s="824"/>
      <c r="D438" s="87">
        <v>1</v>
      </c>
      <c r="E438" s="82">
        <f>ROUND(G471*0.05,0)</f>
        <v>438</v>
      </c>
      <c r="F438" s="81">
        <v>1</v>
      </c>
      <c r="G438" s="110">
        <f>ROUND(D438*E438/F438,0)</f>
        <v>438</v>
      </c>
    </row>
    <row r="439" spans="1:7">
      <c r="A439" s="95"/>
      <c r="B439" s="835"/>
      <c r="C439" s="836"/>
      <c r="D439" s="37"/>
      <c r="E439" s="129"/>
      <c r="F439" s="83"/>
      <c r="G439" s="111"/>
    </row>
    <row r="440" spans="1:7">
      <c r="A440" s="95"/>
      <c r="B440" s="835"/>
      <c r="C440" s="836"/>
      <c r="D440" s="37"/>
      <c r="E440" s="129"/>
      <c r="F440" s="83"/>
      <c r="G440" s="111"/>
    </row>
    <row r="441" spans="1:7">
      <c r="A441" s="95"/>
      <c r="B441" s="835"/>
      <c r="C441" s="836"/>
      <c r="D441" s="89"/>
      <c r="E441" s="82"/>
      <c r="F441" s="83"/>
      <c r="G441" s="111"/>
    </row>
    <row r="442" spans="1:7">
      <c r="A442" s="95"/>
      <c r="B442" s="835" t="s">
        <v>841</v>
      </c>
      <c r="C442" s="836"/>
      <c r="D442" s="37"/>
      <c r="E442" s="82"/>
      <c r="F442" s="83"/>
      <c r="G442" s="111"/>
    </row>
    <row r="443" spans="1:7" ht="13.5" thickBot="1">
      <c r="A443" s="95"/>
      <c r="B443" s="839" t="s">
        <v>841</v>
      </c>
      <c r="C443" s="840"/>
      <c r="D443" s="77"/>
      <c r="E443" s="106"/>
      <c r="F443" s="86"/>
      <c r="G443" s="112"/>
    </row>
    <row r="444" spans="1:7" ht="14.25" thickTop="1" thickBot="1">
      <c r="A444" s="95"/>
      <c r="B444" s="808"/>
      <c r="C444" s="808"/>
      <c r="D444" s="808"/>
      <c r="E444" s="809"/>
      <c r="F444" s="119" t="s">
        <v>856</v>
      </c>
      <c r="G444" s="118">
        <f>SUM(G438:G443)</f>
        <v>438</v>
      </c>
    </row>
    <row r="445" spans="1:7" ht="14.25" thickTop="1" thickBot="1">
      <c r="A445" s="95"/>
      <c r="B445" s="830"/>
      <c r="C445" s="830"/>
      <c r="D445" s="830"/>
      <c r="E445" s="830"/>
      <c r="F445" s="830"/>
      <c r="G445" s="830"/>
    </row>
    <row r="446" spans="1:7" ht="13.5" thickTop="1">
      <c r="A446" s="95"/>
      <c r="B446" s="811" t="s">
        <v>311</v>
      </c>
      <c r="C446" s="812"/>
      <c r="D446" s="812"/>
      <c r="E446" s="812"/>
      <c r="F446" s="812"/>
      <c r="G446" s="825"/>
    </row>
    <row r="447" spans="1:7">
      <c r="A447" s="95"/>
      <c r="B447" s="817" t="s">
        <v>838</v>
      </c>
      <c r="C447" s="818"/>
      <c r="D447" s="98" t="s">
        <v>842</v>
      </c>
      <c r="E447" s="98" t="s">
        <v>853</v>
      </c>
      <c r="F447" s="99" t="s">
        <v>1047</v>
      </c>
      <c r="G447" s="107" t="s">
        <v>840</v>
      </c>
    </row>
    <row r="448" spans="1:7">
      <c r="A448" s="95"/>
      <c r="B448" s="115"/>
      <c r="C448" s="102"/>
      <c r="D448" s="103"/>
      <c r="E448" s="100" t="s">
        <v>312</v>
      </c>
      <c r="F448" s="101" t="s">
        <v>313</v>
      </c>
      <c r="G448" s="108" t="s">
        <v>314</v>
      </c>
    </row>
    <row r="449" spans="1:8" ht="14.25">
      <c r="A449" s="125"/>
      <c r="B449" s="841" t="str">
        <f>MATERIALES2!C38</f>
        <v>CONCRETO 1:2:4-2500 psi(MATERIALES)</v>
      </c>
      <c r="C449" s="842"/>
      <c r="D449" s="37" t="s">
        <v>1066</v>
      </c>
      <c r="E449" s="81">
        <v>0.1</v>
      </c>
      <c r="F449" s="80">
        <f>MATERIALES2!E38</f>
        <v>351700</v>
      </c>
      <c r="G449" s="110">
        <f>ROUND(E449*F449,0)</f>
        <v>35170</v>
      </c>
    </row>
    <row r="450" spans="1:8">
      <c r="A450" s="123"/>
      <c r="B450" s="854" t="str">
        <f>MATERIALES2!C156</f>
        <v>TABLA 1X4X10</v>
      </c>
      <c r="C450" s="855"/>
      <c r="D450" s="37" t="s">
        <v>865</v>
      </c>
      <c r="E450" s="141">
        <v>0.17</v>
      </c>
      <c r="F450" s="82">
        <f>MATERIALES2!E156</f>
        <v>3400</v>
      </c>
      <c r="G450" s="111">
        <f>ROUND(E450*F450,0)</f>
        <v>578</v>
      </c>
    </row>
    <row r="451" spans="1:8">
      <c r="A451" s="123"/>
      <c r="B451" s="854"/>
      <c r="C451" s="855"/>
      <c r="D451" s="37"/>
      <c r="E451" s="83"/>
      <c r="F451" s="82"/>
      <c r="G451" s="111"/>
    </row>
    <row r="452" spans="1:8">
      <c r="A452" s="123"/>
      <c r="B452" s="854"/>
      <c r="C452" s="855"/>
      <c r="D452" s="37"/>
      <c r="E452" s="83"/>
      <c r="F452" s="82"/>
      <c r="G452" s="111"/>
    </row>
    <row r="453" spans="1:8">
      <c r="A453" s="95"/>
      <c r="B453" s="854"/>
      <c r="C453" s="855"/>
      <c r="D453" s="37"/>
      <c r="E453" s="53"/>
      <c r="F453" s="82"/>
      <c r="G453" s="111"/>
    </row>
    <row r="454" spans="1:8">
      <c r="A454" s="95"/>
      <c r="B454" s="854"/>
      <c r="C454" s="855"/>
      <c r="D454" s="37"/>
      <c r="E454" s="53"/>
      <c r="F454" s="82"/>
      <c r="G454" s="111"/>
    </row>
    <row r="455" spans="1:8">
      <c r="A455" s="95"/>
      <c r="B455" s="854"/>
      <c r="C455" s="855"/>
      <c r="D455" s="37"/>
      <c r="E455" s="53"/>
      <c r="F455" s="82"/>
      <c r="G455" s="111"/>
    </row>
    <row r="456" spans="1:8">
      <c r="A456" s="95"/>
      <c r="B456" s="938" t="s">
        <v>841</v>
      </c>
      <c r="C456" s="939"/>
      <c r="D456" s="53" t="s">
        <v>841</v>
      </c>
      <c r="E456" s="53"/>
      <c r="F456" s="82"/>
      <c r="G456" s="111"/>
      <c r="H456" s="505" t="s">
        <v>1670</v>
      </c>
    </row>
    <row r="457" spans="1:8" ht="13.5" thickBot="1">
      <c r="A457" s="95"/>
      <c r="B457" s="942" t="s">
        <v>841</v>
      </c>
      <c r="C457" s="943"/>
      <c r="D457" s="84" t="s">
        <v>841</v>
      </c>
      <c r="E457" s="84"/>
      <c r="F457" s="85"/>
      <c r="G457" s="112"/>
    </row>
    <row r="458" spans="1:8" ht="13.5" thickTop="1">
      <c r="A458" s="95"/>
      <c r="B458" s="808"/>
      <c r="C458" s="809"/>
      <c r="D458" s="801" t="s">
        <v>856</v>
      </c>
      <c r="E458" s="802"/>
      <c r="F458" s="9"/>
      <c r="G458" s="113">
        <f>SUM(G449:G457)</f>
        <v>35748</v>
      </c>
    </row>
    <row r="459" spans="1:8">
      <c r="A459" s="95"/>
      <c r="B459" s="819"/>
      <c r="C459" s="820"/>
      <c r="D459" s="801" t="s">
        <v>857</v>
      </c>
      <c r="E459" s="802"/>
      <c r="F459" s="79">
        <f>'MANO DE OBRA'!D60</f>
        <v>0.05</v>
      </c>
      <c r="G459" s="113">
        <f>ROUND(G458*F459,0)</f>
        <v>1787</v>
      </c>
    </row>
    <row r="460" spans="1:8" ht="13.5" thickBot="1">
      <c r="A460" s="95"/>
      <c r="B460" s="819"/>
      <c r="C460" s="820"/>
      <c r="D460" s="803" t="s">
        <v>320</v>
      </c>
      <c r="E460" s="804"/>
      <c r="F460" s="114"/>
      <c r="G460" s="118">
        <f>+G458+G459</f>
        <v>37535</v>
      </c>
    </row>
    <row r="461" spans="1:8" ht="14.25" thickTop="1" thickBot="1">
      <c r="A461" s="95"/>
      <c r="B461" s="830"/>
      <c r="C461" s="830"/>
      <c r="D461" s="830"/>
      <c r="E461" s="830"/>
      <c r="F461" s="830"/>
      <c r="G461" s="830"/>
    </row>
    <row r="462" spans="1:8" ht="13.5" thickTop="1">
      <c r="A462" s="95"/>
      <c r="B462" s="811" t="s">
        <v>858</v>
      </c>
      <c r="C462" s="812"/>
      <c r="D462" s="812"/>
      <c r="E462" s="812"/>
      <c r="F462" s="812"/>
      <c r="G462" s="825"/>
    </row>
    <row r="463" spans="1:8">
      <c r="A463" s="95"/>
      <c r="B463" s="817"/>
      <c r="C463" s="818"/>
      <c r="D463" s="98" t="s">
        <v>301</v>
      </c>
      <c r="E463" s="98" t="s">
        <v>859</v>
      </c>
      <c r="F463" s="99" t="s">
        <v>839</v>
      </c>
      <c r="G463" s="107" t="s">
        <v>840</v>
      </c>
    </row>
    <row r="464" spans="1:8">
      <c r="A464" s="95"/>
      <c r="B464" s="821" t="s">
        <v>838</v>
      </c>
      <c r="C464" s="822"/>
      <c r="D464" s="100" t="s">
        <v>316</v>
      </c>
      <c r="E464" s="100" t="s">
        <v>315</v>
      </c>
      <c r="F464" s="101" t="s">
        <v>306</v>
      </c>
      <c r="G464" s="108" t="s">
        <v>319</v>
      </c>
    </row>
    <row r="465" spans="1:7">
      <c r="A465" s="95"/>
      <c r="B465" s="115"/>
      <c r="C465" s="102"/>
      <c r="D465" s="103"/>
      <c r="E465" s="103" t="s">
        <v>317</v>
      </c>
      <c r="F465" s="104" t="s">
        <v>318</v>
      </c>
      <c r="G465" s="109"/>
    </row>
    <row r="466" spans="1:7">
      <c r="A466" s="95"/>
      <c r="B466" s="823" t="str">
        <f>'MANO DE OBRA'!B10</f>
        <v>AYUDANTE CUAD. TIPO AA</v>
      </c>
      <c r="C466" s="824"/>
      <c r="D466" s="87">
        <v>1</v>
      </c>
      <c r="E466" s="80">
        <f>'MANO DE OBRA'!E10</f>
        <v>34680</v>
      </c>
      <c r="F466" s="81">
        <v>12.12</v>
      </c>
      <c r="G466" s="110">
        <f>ROUND(D466*E466/F466,0)</f>
        <v>2861</v>
      </c>
    </row>
    <row r="467" spans="1:7">
      <c r="A467" s="95"/>
      <c r="B467" s="835" t="str">
        <f>'MANO DE OBRA'!B15</f>
        <v xml:space="preserve">OFICIAL CUAD. TIPO AA </v>
      </c>
      <c r="C467" s="836"/>
      <c r="D467" s="37">
        <v>1</v>
      </c>
      <c r="E467" s="82">
        <f>'MANO DE OBRA'!E15</f>
        <v>71474</v>
      </c>
      <c r="F467" s="83">
        <v>12.12</v>
      </c>
      <c r="G467" s="111">
        <f>ROUND(D467*E467/F467,0)</f>
        <v>5897</v>
      </c>
    </row>
    <row r="468" spans="1:7">
      <c r="A468" s="95"/>
      <c r="B468" s="835"/>
      <c r="C468" s="836"/>
      <c r="D468" s="89"/>
      <c r="E468" s="82"/>
      <c r="F468" s="83"/>
      <c r="G468" s="111"/>
    </row>
    <row r="469" spans="1:7">
      <c r="A469" s="95"/>
      <c r="B469" s="835" t="s">
        <v>841</v>
      </c>
      <c r="C469" s="836"/>
      <c r="D469" s="37"/>
      <c r="E469" s="82"/>
      <c r="F469" s="83"/>
      <c r="G469" s="111"/>
    </row>
    <row r="470" spans="1:7" ht="13.5" thickBot="1">
      <c r="A470" s="95"/>
      <c r="B470" s="828" t="s">
        <v>841</v>
      </c>
      <c r="C470" s="829"/>
      <c r="D470" s="77"/>
      <c r="E470" s="82"/>
      <c r="F470" s="86"/>
      <c r="G470" s="112"/>
    </row>
    <row r="471" spans="1:7" ht="14.25" thickTop="1" thickBot="1">
      <c r="A471" s="95"/>
      <c r="B471" s="808"/>
      <c r="C471" s="808"/>
      <c r="D471" s="808"/>
      <c r="E471" s="809"/>
      <c r="F471" s="120" t="s">
        <v>856</v>
      </c>
      <c r="G471" s="118">
        <f>SUM(G466:G470)</f>
        <v>8758</v>
      </c>
    </row>
    <row r="472" spans="1:7" ht="14.25" thickTop="1" thickBot="1">
      <c r="A472" s="95"/>
      <c r="B472" s="810"/>
      <c r="C472" s="810"/>
      <c r="D472" s="810"/>
      <c r="E472" s="810"/>
      <c r="F472" s="810"/>
      <c r="G472" s="810"/>
    </row>
    <row r="473" spans="1:7" ht="13.5" thickTop="1">
      <c r="A473" s="95"/>
      <c r="B473" s="811" t="s">
        <v>321</v>
      </c>
      <c r="C473" s="812"/>
      <c r="D473" s="812"/>
      <c r="E473" s="812"/>
      <c r="F473" s="812"/>
      <c r="G473" s="825"/>
    </row>
    <row r="474" spans="1:7">
      <c r="A474" s="95"/>
      <c r="B474" s="817" t="s">
        <v>838</v>
      </c>
      <c r="C474" s="818"/>
      <c r="D474" s="98" t="s">
        <v>301</v>
      </c>
      <c r="E474" s="98" t="s">
        <v>297</v>
      </c>
      <c r="F474" s="99" t="s">
        <v>839</v>
      </c>
      <c r="G474" s="107" t="s">
        <v>840</v>
      </c>
    </row>
    <row r="475" spans="1:7">
      <c r="A475" s="95"/>
      <c r="B475" s="115"/>
      <c r="C475" s="102"/>
      <c r="D475" s="103" t="s">
        <v>322</v>
      </c>
      <c r="E475" s="103" t="s">
        <v>323</v>
      </c>
      <c r="F475" s="104" t="s">
        <v>324</v>
      </c>
      <c r="G475" s="109" t="s">
        <v>325</v>
      </c>
    </row>
    <row r="476" spans="1:7">
      <c r="A476" s="95"/>
      <c r="B476" s="826"/>
      <c r="C476" s="827"/>
      <c r="D476" s="96"/>
      <c r="E476" s="96"/>
      <c r="F476" s="96"/>
      <c r="G476" s="116"/>
    </row>
    <row r="477" spans="1:7" ht="13.5" thickBot="1">
      <c r="A477" s="95"/>
      <c r="B477" s="828" t="s">
        <v>841</v>
      </c>
      <c r="C477" s="829"/>
      <c r="D477" s="77"/>
      <c r="E477" s="82"/>
      <c r="F477" s="86"/>
      <c r="G477" s="112"/>
    </row>
    <row r="478" spans="1:7" ht="14.25" thickTop="1" thickBot="1">
      <c r="A478" s="95"/>
      <c r="B478" s="808"/>
      <c r="C478" s="808"/>
      <c r="D478" s="808"/>
      <c r="E478" s="809"/>
      <c r="F478" s="120" t="s">
        <v>856</v>
      </c>
      <c r="G478" s="118">
        <f>SUM(G473:G477)</f>
        <v>0</v>
      </c>
    </row>
    <row r="479" spans="1:7" ht="14.25" thickTop="1" thickBot="1">
      <c r="A479" s="95"/>
      <c r="B479" s="810"/>
      <c r="C479" s="810"/>
      <c r="D479" s="810"/>
      <c r="E479" s="810"/>
      <c r="F479" s="810"/>
      <c r="G479" s="834"/>
    </row>
    <row r="480" spans="1:7" ht="13.5" thickTop="1">
      <c r="A480" s="95"/>
      <c r="B480" s="811" t="s">
        <v>326</v>
      </c>
      <c r="C480" s="812"/>
      <c r="D480" s="812"/>
      <c r="E480" s="812"/>
      <c r="F480" s="813"/>
      <c r="G480" s="121">
        <f>+G444+G460+G471</f>
        <v>46731</v>
      </c>
    </row>
    <row r="481" spans="1:8">
      <c r="A481" s="95"/>
      <c r="B481" s="814" t="s">
        <v>861</v>
      </c>
      <c r="C481" s="815"/>
      <c r="D481" s="815"/>
      <c r="E481" s="816"/>
      <c r="F481" s="128">
        <f>'MANO DE OBRA'!D59</f>
        <v>0</v>
      </c>
      <c r="G481" s="122">
        <f>ROUND(G480*F481,0)</f>
        <v>0</v>
      </c>
    </row>
    <row r="482" spans="1:8" ht="13.5" thickBot="1">
      <c r="A482" s="95"/>
      <c r="B482" s="805" t="s">
        <v>1049</v>
      </c>
      <c r="C482" s="806"/>
      <c r="D482" s="806"/>
      <c r="E482" s="806"/>
      <c r="F482" s="807"/>
      <c r="G482" s="118">
        <f>ROUND(G480+G481,-2)</f>
        <v>46700</v>
      </c>
      <c r="H482" s="505" t="s">
        <v>1670</v>
      </c>
    </row>
    <row r="483" spans="1:8" ht="15" thickTop="1">
      <c r="A483" s="95"/>
      <c r="B483" s="90" t="s">
        <v>303</v>
      </c>
      <c r="C483" s="843"/>
      <c r="D483" s="843"/>
      <c r="E483" s="843"/>
      <c r="F483" s="92" t="s">
        <v>781</v>
      </c>
      <c r="G483" s="93" t="s">
        <v>1067</v>
      </c>
    </row>
    <row r="484" spans="1:8">
      <c r="A484" s="95"/>
      <c r="B484" s="91" t="s">
        <v>834</v>
      </c>
      <c r="C484" s="844" t="s">
        <v>1433</v>
      </c>
      <c r="D484" s="844"/>
      <c r="E484" s="844"/>
      <c r="F484" s="15" t="s">
        <v>833</v>
      </c>
      <c r="G484" s="165" t="str">
        <f>'MANO DE OBRA'!D61</f>
        <v>Agosto de 2010</v>
      </c>
    </row>
    <row r="485" spans="1:8" ht="13.5" thickBot="1">
      <c r="A485" s="127"/>
      <c r="B485" s="94" t="s">
        <v>835</v>
      </c>
      <c r="C485" s="845" t="s">
        <v>1442</v>
      </c>
      <c r="D485" s="845"/>
      <c r="E485" s="845"/>
      <c r="F485" s="845"/>
      <c r="G485" s="846"/>
    </row>
    <row r="486" spans="1:8" ht="14.25" thickTop="1" thickBot="1">
      <c r="A486" s="95"/>
      <c r="B486" s="847"/>
      <c r="C486" s="847"/>
      <c r="D486" s="847"/>
      <c r="E486" s="847"/>
      <c r="F486" s="847"/>
      <c r="G486" s="847"/>
    </row>
    <row r="487" spans="1:8" ht="13.5" thickTop="1">
      <c r="A487" s="95"/>
      <c r="B487" s="811" t="s">
        <v>304</v>
      </c>
      <c r="C487" s="812"/>
      <c r="D487" s="812"/>
      <c r="E487" s="812"/>
      <c r="F487" s="812"/>
      <c r="G487" s="825"/>
    </row>
    <row r="488" spans="1:8">
      <c r="A488" s="95"/>
      <c r="B488" s="105"/>
      <c r="C488" s="97"/>
      <c r="D488" s="98" t="s">
        <v>301</v>
      </c>
      <c r="E488" s="98" t="s">
        <v>1072</v>
      </c>
      <c r="F488" s="99" t="s">
        <v>839</v>
      </c>
      <c r="G488" s="107" t="s">
        <v>840</v>
      </c>
    </row>
    <row r="489" spans="1:8">
      <c r="A489" s="95"/>
      <c r="B489" s="821" t="s">
        <v>838</v>
      </c>
      <c r="C489" s="822"/>
      <c r="D489" s="100" t="s">
        <v>308</v>
      </c>
      <c r="E489" s="100" t="s">
        <v>305</v>
      </c>
      <c r="F489" s="101" t="s">
        <v>306</v>
      </c>
      <c r="G489" s="108" t="s">
        <v>310</v>
      </c>
    </row>
    <row r="490" spans="1:8">
      <c r="A490" s="95"/>
      <c r="B490" s="115"/>
      <c r="C490" s="102"/>
      <c r="D490" s="103"/>
      <c r="E490" s="103" t="s">
        <v>309</v>
      </c>
      <c r="F490" s="104" t="s">
        <v>307</v>
      </c>
      <c r="G490" s="109"/>
    </row>
    <row r="491" spans="1:8">
      <c r="A491" s="127"/>
      <c r="B491" s="823" t="str">
        <f>'MAQUINARIA Y EQUIPOS'!C28</f>
        <v>HERRAMIENTAS MENORES</v>
      </c>
      <c r="C491" s="824"/>
      <c r="D491" s="87">
        <v>1</v>
      </c>
      <c r="E491" s="82">
        <f>ROUND(G524*0.05,0)</f>
        <v>511</v>
      </c>
      <c r="F491" s="81">
        <v>1</v>
      </c>
      <c r="G491" s="110">
        <f>ROUND(D491*E491/F491,0)</f>
        <v>511</v>
      </c>
    </row>
    <row r="492" spans="1:8">
      <c r="A492" s="95"/>
      <c r="B492" s="835"/>
      <c r="C492" s="836"/>
      <c r="D492" s="37"/>
      <c r="E492" s="129"/>
      <c r="F492" s="83"/>
      <c r="G492" s="111"/>
    </row>
    <row r="493" spans="1:8">
      <c r="A493" s="95"/>
      <c r="B493" s="835"/>
      <c r="C493" s="836"/>
      <c r="D493" s="37"/>
      <c r="E493" s="129"/>
      <c r="F493" s="83"/>
      <c r="G493" s="111"/>
    </row>
    <row r="494" spans="1:8">
      <c r="A494" s="95"/>
      <c r="B494" s="835"/>
      <c r="C494" s="836"/>
      <c r="D494" s="89"/>
      <c r="E494" s="82"/>
      <c r="F494" s="83"/>
      <c r="G494" s="111"/>
    </row>
    <row r="495" spans="1:8">
      <c r="A495" s="95"/>
      <c r="B495" s="835" t="s">
        <v>841</v>
      </c>
      <c r="C495" s="836"/>
      <c r="D495" s="37"/>
      <c r="E495" s="82"/>
      <c r="F495" s="83"/>
      <c r="G495" s="111"/>
    </row>
    <row r="496" spans="1:8" ht="13.5" thickBot="1">
      <c r="A496" s="95"/>
      <c r="B496" s="839" t="s">
        <v>841</v>
      </c>
      <c r="C496" s="840"/>
      <c r="D496" s="77"/>
      <c r="E496" s="106"/>
      <c r="F496" s="86"/>
      <c r="G496" s="112"/>
    </row>
    <row r="497" spans="1:8" ht="14.25" thickTop="1" thickBot="1">
      <c r="A497" s="95"/>
      <c r="B497" s="808"/>
      <c r="C497" s="808"/>
      <c r="D497" s="808"/>
      <c r="E497" s="809"/>
      <c r="F497" s="119" t="s">
        <v>856</v>
      </c>
      <c r="G497" s="118">
        <f>SUM(G491:G496)</f>
        <v>511</v>
      </c>
    </row>
    <row r="498" spans="1:8" ht="14.25" thickTop="1" thickBot="1">
      <c r="A498" s="95"/>
      <c r="B498" s="830"/>
      <c r="C498" s="830"/>
      <c r="D498" s="830"/>
      <c r="E498" s="830"/>
      <c r="F498" s="830"/>
      <c r="G498" s="830"/>
    </row>
    <row r="499" spans="1:8" ht="13.5" thickTop="1">
      <c r="A499" s="95"/>
      <c r="B499" s="811" t="s">
        <v>311</v>
      </c>
      <c r="C499" s="812"/>
      <c r="D499" s="812"/>
      <c r="E499" s="812"/>
      <c r="F499" s="812"/>
      <c r="G499" s="825"/>
    </row>
    <row r="500" spans="1:8">
      <c r="A500" s="95"/>
      <c r="B500" s="817" t="s">
        <v>838</v>
      </c>
      <c r="C500" s="818"/>
      <c r="D500" s="98" t="s">
        <v>842</v>
      </c>
      <c r="E500" s="98" t="s">
        <v>853</v>
      </c>
      <c r="F500" s="99" t="s">
        <v>1047</v>
      </c>
      <c r="G500" s="107" t="s">
        <v>840</v>
      </c>
    </row>
    <row r="501" spans="1:8">
      <c r="A501" s="95"/>
      <c r="B501" s="115"/>
      <c r="C501" s="102"/>
      <c r="D501" s="103"/>
      <c r="E501" s="100" t="s">
        <v>312</v>
      </c>
      <c r="F501" s="101" t="s">
        <v>313</v>
      </c>
      <c r="G501" s="108" t="s">
        <v>314</v>
      </c>
    </row>
    <row r="502" spans="1:8" ht="14.25">
      <c r="A502" s="125"/>
      <c r="B502" s="841" t="str">
        <f>MATERIALES2!C38</f>
        <v>CONCRETO 1:2:4-2500 psi(MATERIALES)</v>
      </c>
      <c r="C502" s="842"/>
      <c r="D502" s="37" t="s">
        <v>1066</v>
      </c>
      <c r="E502" s="81">
        <v>0.15</v>
      </c>
      <c r="F502" s="80">
        <f>MATERIALES2!E38</f>
        <v>351700</v>
      </c>
      <c r="G502" s="110">
        <f>ROUND(E502*F502,0)</f>
        <v>52755</v>
      </c>
    </row>
    <row r="503" spans="1:8">
      <c r="A503" s="123"/>
      <c r="B503" s="854" t="str">
        <f>MATERIALES2!C157</f>
        <v>TABLA 1X6X10</v>
      </c>
      <c r="C503" s="855"/>
      <c r="D503" s="37" t="s">
        <v>865</v>
      </c>
      <c r="E503" s="141">
        <v>0.33300000000000002</v>
      </c>
      <c r="F503" s="82">
        <f>MATERIALES2!E157</f>
        <v>5000</v>
      </c>
      <c r="G503" s="111">
        <f>ROUND(E503*F503,0)</f>
        <v>1665</v>
      </c>
    </row>
    <row r="504" spans="1:8">
      <c r="A504" s="123"/>
      <c r="B504" s="854"/>
      <c r="C504" s="855"/>
      <c r="D504" s="37"/>
      <c r="E504" s="83"/>
      <c r="F504" s="82"/>
      <c r="G504" s="111"/>
    </row>
    <row r="505" spans="1:8">
      <c r="A505" s="123"/>
      <c r="B505" s="854"/>
      <c r="C505" s="855"/>
      <c r="D505" s="37"/>
      <c r="E505" s="83"/>
      <c r="F505" s="82"/>
      <c r="G505" s="111"/>
    </row>
    <row r="506" spans="1:8">
      <c r="A506" s="95"/>
      <c r="B506" s="854"/>
      <c r="C506" s="855"/>
      <c r="D506" s="37"/>
      <c r="E506" s="53"/>
      <c r="F506" s="82"/>
      <c r="G506" s="111"/>
    </row>
    <row r="507" spans="1:8">
      <c r="A507" s="95"/>
      <c r="B507" s="854"/>
      <c r="C507" s="855"/>
      <c r="D507" s="37"/>
      <c r="E507" s="53"/>
      <c r="F507" s="82"/>
      <c r="G507" s="111"/>
    </row>
    <row r="508" spans="1:8">
      <c r="A508" s="95"/>
      <c r="B508" s="854"/>
      <c r="C508" s="855"/>
      <c r="D508" s="37"/>
      <c r="E508" s="53"/>
      <c r="F508" s="82"/>
      <c r="G508" s="111"/>
    </row>
    <row r="509" spans="1:8">
      <c r="A509" s="95"/>
      <c r="B509" s="938" t="s">
        <v>841</v>
      </c>
      <c r="C509" s="939"/>
      <c r="D509" s="53" t="s">
        <v>841</v>
      </c>
      <c r="E509" s="53"/>
      <c r="F509" s="82"/>
      <c r="G509" s="111"/>
      <c r="H509" s="505" t="s">
        <v>1670</v>
      </c>
    </row>
    <row r="510" spans="1:8" ht="13.5" thickBot="1">
      <c r="A510" s="95"/>
      <c r="B510" s="942" t="s">
        <v>841</v>
      </c>
      <c r="C510" s="943"/>
      <c r="D510" s="84" t="s">
        <v>841</v>
      </c>
      <c r="E510" s="84"/>
      <c r="F510" s="85"/>
      <c r="G510" s="112"/>
    </row>
    <row r="511" spans="1:8" ht="13.5" thickTop="1">
      <c r="A511" s="95"/>
      <c r="B511" s="808"/>
      <c r="C511" s="809"/>
      <c r="D511" s="801" t="s">
        <v>856</v>
      </c>
      <c r="E511" s="802"/>
      <c r="F511" s="9"/>
      <c r="G511" s="113">
        <f>SUM(G502:G510)</f>
        <v>54420</v>
      </c>
    </row>
    <row r="512" spans="1:8">
      <c r="A512" s="95"/>
      <c r="B512" s="819"/>
      <c r="C512" s="820"/>
      <c r="D512" s="801" t="s">
        <v>857</v>
      </c>
      <c r="E512" s="802"/>
      <c r="F512" s="79">
        <f>'MANO DE OBRA'!D60</f>
        <v>0.05</v>
      </c>
      <c r="G512" s="113">
        <f>ROUND(G511*F512,0)</f>
        <v>2721</v>
      </c>
    </row>
    <row r="513" spans="1:7" ht="13.5" thickBot="1">
      <c r="A513" s="95"/>
      <c r="B513" s="819"/>
      <c r="C513" s="820"/>
      <c r="D513" s="803" t="s">
        <v>320</v>
      </c>
      <c r="E513" s="804"/>
      <c r="F513" s="114"/>
      <c r="G513" s="118">
        <f>+G511+G512</f>
        <v>57141</v>
      </c>
    </row>
    <row r="514" spans="1:7" ht="14.25" thickTop="1" thickBot="1">
      <c r="A514" s="95"/>
      <c r="B514" s="830"/>
      <c r="C514" s="830"/>
      <c r="D514" s="830"/>
      <c r="E514" s="830"/>
      <c r="F514" s="830"/>
      <c r="G514" s="830"/>
    </row>
    <row r="515" spans="1:7" ht="13.5" thickTop="1">
      <c r="A515" s="95"/>
      <c r="B515" s="811" t="s">
        <v>858</v>
      </c>
      <c r="C515" s="812"/>
      <c r="D515" s="812"/>
      <c r="E515" s="812"/>
      <c r="F515" s="812"/>
      <c r="G515" s="825"/>
    </row>
    <row r="516" spans="1:7">
      <c r="A516" s="95"/>
      <c r="B516" s="817"/>
      <c r="C516" s="818"/>
      <c r="D516" s="98" t="s">
        <v>301</v>
      </c>
      <c r="E516" s="98" t="s">
        <v>859</v>
      </c>
      <c r="F516" s="99" t="s">
        <v>839</v>
      </c>
      <c r="G516" s="107" t="s">
        <v>840</v>
      </c>
    </row>
    <row r="517" spans="1:7">
      <c r="A517" s="95"/>
      <c r="B517" s="821" t="s">
        <v>838</v>
      </c>
      <c r="C517" s="822"/>
      <c r="D517" s="100" t="s">
        <v>316</v>
      </c>
      <c r="E517" s="100" t="s">
        <v>315</v>
      </c>
      <c r="F517" s="101" t="s">
        <v>306</v>
      </c>
      <c r="G517" s="108" t="s">
        <v>319</v>
      </c>
    </row>
    <row r="518" spans="1:7">
      <c r="A518" s="95"/>
      <c r="B518" s="115"/>
      <c r="C518" s="102"/>
      <c r="D518" s="103"/>
      <c r="E518" s="103" t="s">
        <v>317</v>
      </c>
      <c r="F518" s="104" t="s">
        <v>318</v>
      </c>
      <c r="G518" s="109"/>
    </row>
    <row r="519" spans="1:7">
      <c r="A519" s="95"/>
      <c r="B519" s="823" t="str">
        <f>'MANO DE OBRA'!B10</f>
        <v>AYUDANTE CUAD. TIPO AA</v>
      </c>
      <c r="C519" s="824"/>
      <c r="D519" s="87">
        <v>1</v>
      </c>
      <c r="E519" s="80">
        <f>'MANO DE OBRA'!E10</f>
        <v>34680</v>
      </c>
      <c r="F519" s="81">
        <v>10.39</v>
      </c>
      <c r="G519" s="110">
        <f>ROUND(D519*E519/F519,0)</f>
        <v>3338</v>
      </c>
    </row>
    <row r="520" spans="1:7">
      <c r="A520" s="95"/>
      <c r="B520" s="835" t="str">
        <f>'MANO DE OBRA'!B15</f>
        <v xml:space="preserve">OFICIAL CUAD. TIPO AA </v>
      </c>
      <c r="C520" s="836"/>
      <c r="D520" s="37">
        <v>1</v>
      </c>
      <c r="E520" s="82">
        <f>'MANO DE OBRA'!E15</f>
        <v>71474</v>
      </c>
      <c r="F520" s="83">
        <v>10.39</v>
      </c>
      <c r="G520" s="111">
        <f>ROUND(D520*E520/F520,0)</f>
        <v>6879</v>
      </c>
    </row>
    <row r="521" spans="1:7">
      <c r="A521" s="95"/>
      <c r="B521" s="835"/>
      <c r="C521" s="836"/>
      <c r="D521" s="89"/>
      <c r="E521" s="82"/>
      <c r="F521" s="83"/>
      <c r="G521" s="111"/>
    </row>
    <row r="522" spans="1:7">
      <c r="A522" s="95"/>
      <c r="B522" s="835" t="s">
        <v>841</v>
      </c>
      <c r="C522" s="836"/>
      <c r="D522" s="37"/>
      <c r="E522" s="82"/>
      <c r="F522" s="83"/>
      <c r="G522" s="111"/>
    </row>
    <row r="523" spans="1:7" ht="13.5" thickBot="1">
      <c r="A523" s="95"/>
      <c r="B523" s="828" t="s">
        <v>841</v>
      </c>
      <c r="C523" s="829"/>
      <c r="D523" s="77"/>
      <c r="E523" s="82"/>
      <c r="F523" s="86"/>
      <c r="G523" s="112"/>
    </row>
    <row r="524" spans="1:7" ht="14.25" thickTop="1" thickBot="1">
      <c r="A524" s="95"/>
      <c r="B524" s="808"/>
      <c r="C524" s="808"/>
      <c r="D524" s="808"/>
      <c r="E524" s="809"/>
      <c r="F524" s="120" t="s">
        <v>856</v>
      </c>
      <c r="G524" s="118">
        <f>SUM(G519:G523)</f>
        <v>10217</v>
      </c>
    </row>
    <row r="525" spans="1:7" ht="14.25" thickTop="1" thickBot="1">
      <c r="A525" s="95"/>
      <c r="B525" s="810"/>
      <c r="C525" s="810"/>
      <c r="D525" s="810"/>
      <c r="E525" s="810"/>
      <c r="F525" s="810"/>
      <c r="G525" s="810"/>
    </row>
    <row r="526" spans="1:7" ht="13.5" thickTop="1">
      <c r="A526" s="95"/>
      <c r="B526" s="811" t="s">
        <v>321</v>
      </c>
      <c r="C526" s="812"/>
      <c r="D526" s="812"/>
      <c r="E526" s="812"/>
      <c r="F526" s="812"/>
      <c r="G526" s="825"/>
    </row>
    <row r="527" spans="1:7">
      <c r="A527" s="95"/>
      <c r="B527" s="817" t="s">
        <v>838</v>
      </c>
      <c r="C527" s="818"/>
      <c r="D527" s="98" t="s">
        <v>301</v>
      </c>
      <c r="E527" s="98" t="s">
        <v>297</v>
      </c>
      <c r="F527" s="99" t="s">
        <v>839</v>
      </c>
      <c r="G527" s="107" t="s">
        <v>840</v>
      </c>
    </row>
    <row r="528" spans="1:7">
      <c r="A528" s="95"/>
      <c r="B528" s="115"/>
      <c r="C528" s="102"/>
      <c r="D528" s="103" t="s">
        <v>322</v>
      </c>
      <c r="E528" s="103" t="s">
        <v>323</v>
      </c>
      <c r="F528" s="104" t="s">
        <v>324</v>
      </c>
      <c r="G528" s="109" t="s">
        <v>325</v>
      </c>
    </row>
    <row r="529" spans="1:8">
      <c r="A529" s="95"/>
      <c r="B529" s="826"/>
      <c r="C529" s="827"/>
      <c r="D529" s="96"/>
      <c r="E529" s="96"/>
      <c r="F529" s="96"/>
      <c r="G529" s="116"/>
    </row>
    <row r="530" spans="1:8" ht="13.5" thickBot="1">
      <c r="A530" s="95"/>
      <c r="B530" s="828" t="s">
        <v>841</v>
      </c>
      <c r="C530" s="829"/>
      <c r="D530" s="77"/>
      <c r="E530" s="82"/>
      <c r="F530" s="86"/>
      <c r="G530" s="112"/>
    </row>
    <row r="531" spans="1:8" ht="14.25" thickTop="1" thickBot="1">
      <c r="A531" s="95"/>
      <c r="B531" s="808"/>
      <c r="C531" s="808"/>
      <c r="D531" s="808"/>
      <c r="E531" s="809"/>
      <c r="F531" s="120" t="s">
        <v>856</v>
      </c>
      <c r="G531" s="118">
        <f>SUM(G526:G530)</f>
        <v>0</v>
      </c>
    </row>
    <row r="532" spans="1:8" ht="14.25" thickTop="1" thickBot="1">
      <c r="A532" s="95"/>
      <c r="B532" s="810"/>
      <c r="C532" s="810"/>
      <c r="D532" s="810"/>
      <c r="E532" s="810"/>
      <c r="F532" s="810"/>
      <c r="G532" s="834"/>
    </row>
    <row r="533" spans="1:8" ht="13.5" thickTop="1">
      <c r="A533" s="95"/>
      <c r="B533" s="811" t="s">
        <v>326</v>
      </c>
      <c r="C533" s="812"/>
      <c r="D533" s="812"/>
      <c r="E533" s="812"/>
      <c r="F533" s="813"/>
      <c r="G533" s="121">
        <f>+G497+G513+G524</f>
        <v>67869</v>
      </c>
    </row>
    <row r="534" spans="1:8">
      <c r="A534" s="95"/>
      <c r="B534" s="814" t="s">
        <v>861</v>
      </c>
      <c r="C534" s="815"/>
      <c r="D534" s="815"/>
      <c r="E534" s="816"/>
      <c r="F534" s="128">
        <f>'MANO DE OBRA'!D59</f>
        <v>0</v>
      </c>
      <c r="G534" s="122">
        <f>ROUND(G533*F534,0)</f>
        <v>0</v>
      </c>
    </row>
    <row r="535" spans="1:8" ht="13.5" thickBot="1">
      <c r="A535" s="95"/>
      <c r="B535" s="805" t="s">
        <v>1049</v>
      </c>
      <c r="C535" s="806"/>
      <c r="D535" s="806"/>
      <c r="E535" s="806"/>
      <c r="F535" s="807"/>
      <c r="G535" s="118">
        <f>ROUND(G533+G534,-2)</f>
        <v>67900</v>
      </c>
      <c r="H535" s="505" t="s">
        <v>1670</v>
      </c>
    </row>
    <row r="536" spans="1:8" ht="15" thickTop="1">
      <c r="A536" s="95"/>
      <c r="B536" s="90" t="s">
        <v>303</v>
      </c>
      <c r="C536" s="843"/>
      <c r="D536" s="843"/>
      <c r="E536" s="843"/>
      <c r="F536" s="92" t="s">
        <v>781</v>
      </c>
      <c r="G536" s="93" t="s">
        <v>1067</v>
      </c>
    </row>
    <row r="537" spans="1:8">
      <c r="A537" s="95"/>
      <c r="B537" s="91" t="s">
        <v>834</v>
      </c>
      <c r="C537" s="844" t="s">
        <v>400</v>
      </c>
      <c r="D537" s="844"/>
      <c r="E537" s="844"/>
      <c r="F537" s="15" t="s">
        <v>833</v>
      </c>
      <c r="G537" s="165" t="str">
        <f>'MANO DE OBRA'!D61</f>
        <v>Agosto de 2010</v>
      </c>
    </row>
    <row r="538" spans="1:8" ht="13.5" thickBot="1">
      <c r="A538" s="127"/>
      <c r="B538" s="94" t="s">
        <v>835</v>
      </c>
      <c r="C538" s="845" t="s">
        <v>402</v>
      </c>
      <c r="D538" s="845"/>
      <c r="E538" s="845"/>
      <c r="F538" s="845"/>
      <c r="G538" s="846"/>
    </row>
    <row r="539" spans="1:8" ht="14.25" thickTop="1" thickBot="1">
      <c r="A539" s="95"/>
      <c r="B539" s="847"/>
      <c r="C539" s="847"/>
      <c r="D539" s="847"/>
      <c r="E539" s="847"/>
      <c r="F539" s="847"/>
      <c r="G539" s="847"/>
    </row>
    <row r="540" spans="1:8" ht="13.5" thickTop="1">
      <c r="A540" s="95"/>
      <c r="B540" s="811" t="s">
        <v>304</v>
      </c>
      <c r="C540" s="812"/>
      <c r="D540" s="812"/>
      <c r="E540" s="812"/>
      <c r="F540" s="812"/>
      <c r="G540" s="825"/>
    </row>
    <row r="541" spans="1:8">
      <c r="A541" s="95"/>
      <c r="B541" s="105"/>
      <c r="C541" s="97"/>
      <c r="D541" s="98" t="s">
        <v>301</v>
      </c>
      <c r="E541" s="98" t="s">
        <v>1072</v>
      </c>
      <c r="F541" s="99" t="s">
        <v>839</v>
      </c>
      <c r="G541" s="107" t="s">
        <v>840</v>
      </c>
    </row>
    <row r="542" spans="1:8">
      <c r="A542" s="95"/>
      <c r="B542" s="821" t="s">
        <v>838</v>
      </c>
      <c r="C542" s="822"/>
      <c r="D542" s="100" t="s">
        <v>308</v>
      </c>
      <c r="E542" s="100" t="s">
        <v>305</v>
      </c>
      <c r="F542" s="101" t="s">
        <v>306</v>
      </c>
      <c r="G542" s="108" t="s">
        <v>310</v>
      </c>
    </row>
    <row r="543" spans="1:8">
      <c r="A543" s="95"/>
      <c r="B543" s="115"/>
      <c r="C543" s="102"/>
      <c r="D543" s="103"/>
      <c r="E543" s="103" t="s">
        <v>309</v>
      </c>
      <c r="F543" s="104" t="s">
        <v>307</v>
      </c>
      <c r="G543" s="109"/>
    </row>
    <row r="544" spans="1:8">
      <c r="A544" s="127"/>
      <c r="B544" s="823" t="str">
        <f>'MAQUINARIA Y EQUIPOS'!C28</f>
        <v>HERRAMIENTAS MENORES</v>
      </c>
      <c r="C544" s="824"/>
      <c r="D544" s="87">
        <v>1</v>
      </c>
      <c r="E544" s="82">
        <f>ROUND(G577*0.05,0)</f>
        <v>442</v>
      </c>
      <c r="F544" s="81">
        <v>1</v>
      </c>
      <c r="G544" s="110">
        <f>ROUND(D544*E544/F544,0)</f>
        <v>442</v>
      </c>
    </row>
    <row r="545" spans="1:7">
      <c r="A545" s="95"/>
      <c r="B545" s="835"/>
      <c r="C545" s="836"/>
      <c r="D545" s="37"/>
      <c r="E545" s="129"/>
      <c r="F545" s="83"/>
      <c r="G545" s="111"/>
    </row>
    <row r="546" spans="1:7">
      <c r="A546" s="95"/>
      <c r="B546" s="835"/>
      <c r="C546" s="836"/>
      <c r="D546" s="37"/>
      <c r="E546" s="129"/>
      <c r="F546" s="83"/>
      <c r="G546" s="111"/>
    </row>
    <row r="547" spans="1:7">
      <c r="A547" s="95"/>
      <c r="B547" s="835"/>
      <c r="C547" s="836"/>
      <c r="D547" s="89"/>
      <c r="E547" s="82"/>
      <c r="F547" s="83"/>
      <c r="G547" s="111"/>
    </row>
    <row r="548" spans="1:7">
      <c r="A548" s="95"/>
      <c r="B548" s="835" t="s">
        <v>841</v>
      </c>
      <c r="C548" s="836"/>
      <c r="D548" s="37"/>
      <c r="E548" s="82"/>
      <c r="F548" s="83"/>
      <c r="G548" s="111"/>
    </row>
    <row r="549" spans="1:7" ht="13.5" thickBot="1">
      <c r="A549" s="95"/>
      <c r="B549" s="839" t="s">
        <v>841</v>
      </c>
      <c r="C549" s="840"/>
      <c r="D549" s="77"/>
      <c r="E549" s="106"/>
      <c r="F549" s="86"/>
      <c r="G549" s="112"/>
    </row>
    <row r="550" spans="1:7" ht="14.25" thickTop="1" thickBot="1">
      <c r="A550" s="95"/>
      <c r="B550" s="808"/>
      <c r="C550" s="808"/>
      <c r="D550" s="808"/>
      <c r="E550" s="809"/>
      <c r="F550" s="119" t="s">
        <v>856</v>
      </c>
      <c r="G550" s="118">
        <f>SUM(G544:G549)</f>
        <v>442</v>
      </c>
    </row>
    <row r="551" spans="1:7" ht="14.25" thickTop="1" thickBot="1">
      <c r="A551" s="95"/>
      <c r="B551" s="830"/>
      <c r="C551" s="830"/>
      <c r="D551" s="830"/>
      <c r="E551" s="830"/>
      <c r="F551" s="830"/>
      <c r="G551" s="830"/>
    </row>
    <row r="552" spans="1:7" ht="13.5" thickTop="1">
      <c r="A552" s="95"/>
      <c r="B552" s="811" t="s">
        <v>311</v>
      </c>
      <c r="C552" s="812"/>
      <c r="D552" s="812"/>
      <c r="E552" s="812"/>
      <c r="F552" s="812"/>
      <c r="G552" s="825"/>
    </row>
    <row r="553" spans="1:7">
      <c r="A553" s="95"/>
      <c r="B553" s="817" t="s">
        <v>838</v>
      </c>
      <c r="C553" s="818"/>
      <c r="D553" s="98" t="s">
        <v>842</v>
      </c>
      <c r="E553" s="98" t="s">
        <v>853</v>
      </c>
      <c r="F553" s="99" t="s">
        <v>1047</v>
      </c>
      <c r="G553" s="107" t="s">
        <v>840</v>
      </c>
    </row>
    <row r="554" spans="1:7">
      <c r="A554" s="95"/>
      <c r="B554" s="115"/>
      <c r="C554" s="102"/>
      <c r="D554" s="103"/>
      <c r="E554" s="100" t="s">
        <v>312</v>
      </c>
      <c r="F554" s="101" t="s">
        <v>313</v>
      </c>
      <c r="G554" s="108" t="s">
        <v>314</v>
      </c>
    </row>
    <row r="555" spans="1:7" ht="14.25">
      <c r="A555" s="125"/>
      <c r="B555" s="841" t="str">
        <f>MATERIALES2!C110</f>
        <v>BALDOSIN DE GRANITO PULIDO 0.33x0.33</v>
      </c>
      <c r="C555" s="842"/>
      <c r="D555" s="37" t="s">
        <v>1067</v>
      </c>
      <c r="E555" s="81">
        <v>1</v>
      </c>
      <c r="F555" s="80">
        <f>MATERIALES2!E110</f>
        <v>29000</v>
      </c>
      <c r="G555" s="110">
        <f>ROUND(E555*F555,0)</f>
        <v>29000</v>
      </c>
    </row>
    <row r="556" spans="1:7">
      <c r="A556" s="123"/>
      <c r="B556" s="854" t="str">
        <f>MATERIALES2!C13</f>
        <v>CEMENTO GRIS</v>
      </c>
      <c r="C556" s="855"/>
      <c r="D556" s="37" t="s">
        <v>925</v>
      </c>
      <c r="E556" s="141">
        <v>7.28</v>
      </c>
      <c r="F556" s="82">
        <f>MATERIALES2!E13</f>
        <v>420</v>
      </c>
      <c r="G556" s="111">
        <f>ROUND(E556*F556,0)</f>
        <v>3058</v>
      </c>
    </row>
    <row r="557" spans="1:7">
      <c r="A557" s="123"/>
      <c r="B557" s="854" t="str">
        <f>MATERIALES2!C12</f>
        <v>CEMENTO BLANCO</v>
      </c>
      <c r="C557" s="855"/>
      <c r="D557" s="37" t="s">
        <v>925</v>
      </c>
      <c r="E557" s="141">
        <v>1.5</v>
      </c>
      <c r="F557" s="82">
        <f>MATERIALES2!E12</f>
        <v>750</v>
      </c>
      <c r="G557" s="111">
        <f>ROUND(E557*F557,0)</f>
        <v>1125</v>
      </c>
    </row>
    <row r="558" spans="1:7" ht="14.25">
      <c r="A558" s="123"/>
      <c r="B558" s="854" t="str">
        <f>MATERIALES2!C20</f>
        <v xml:space="preserve">ARENA </v>
      </c>
      <c r="C558" s="855"/>
      <c r="D558" s="37" t="s">
        <v>1066</v>
      </c>
      <c r="E558" s="141">
        <v>2.3E-2</v>
      </c>
      <c r="F558" s="82">
        <f>MATERIALES2!E20</f>
        <v>35000</v>
      </c>
      <c r="G558" s="111">
        <f>ROUND(E558*F558,0)</f>
        <v>805</v>
      </c>
    </row>
    <row r="559" spans="1:7">
      <c r="A559" s="123"/>
      <c r="B559" s="854" t="str">
        <f>MATERIALES2!C28</f>
        <v>AGUA</v>
      </c>
      <c r="C559" s="855"/>
      <c r="D559" s="37" t="s">
        <v>1071</v>
      </c>
      <c r="E559" s="141">
        <v>4.74</v>
      </c>
      <c r="F559" s="82">
        <f>MATERIALES2!E28</f>
        <v>50</v>
      </c>
      <c r="G559" s="111">
        <f>ROUND(E559*F559,0)</f>
        <v>237</v>
      </c>
    </row>
    <row r="560" spans="1:7">
      <c r="A560" s="95"/>
      <c r="B560" s="854"/>
      <c r="C560" s="855"/>
      <c r="D560" s="37"/>
      <c r="E560" s="53"/>
      <c r="F560" s="82"/>
      <c r="G560" s="111"/>
    </row>
    <row r="561" spans="1:8">
      <c r="A561" s="95"/>
      <c r="B561" s="854"/>
      <c r="C561" s="855"/>
      <c r="D561" s="37"/>
      <c r="E561" s="53"/>
      <c r="F561" s="82"/>
      <c r="G561" s="111"/>
    </row>
    <row r="562" spans="1:8">
      <c r="A562" s="95"/>
      <c r="B562" s="938" t="s">
        <v>841</v>
      </c>
      <c r="C562" s="939"/>
      <c r="D562" s="53" t="s">
        <v>841</v>
      </c>
      <c r="E562" s="53"/>
      <c r="F562" s="82"/>
      <c r="G562" s="111"/>
      <c r="H562" s="505" t="s">
        <v>1670</v>
      </c>
    </row>
    <row r="563" spans="1:8" ht="13.5" thickBot="1">
      <c r="A563" s="95"/>
      <c r="B563" s="942" t="s">
        <v>841</v>
      </c>
      <c r="C563" s="943"/>
      <c r="D563" s="84" t="s">
        <v>841</v>
      </c>
      <c r="E563" s="84"/>
      <c r="F563" s="85"/>
      <c r="G563" s="112"/>
    </row>
    <row r="564" spans="1:8" ht="13.5" thickTop="1">
      <c r="A564" s="95"/>
      <c r="B564" s="808"/>
      <c r="C564" s="809"/>
      <c r="D564" s="801" t="s">
        <v>856</v>
      </c>
      <c r="E564" s="802"/>
      <c r="F564" s="9"/>
      <c r="G564" s="113">
        <f>SUM(G555:G563)</f>
        <v>34225</v>
      </c>
    </row>
    <row r="565" spans="1:8">
      <c r="A565" s="95"/>
      <c r="B565" s="819"/>
      <c r="C565" s="820"/>
      <c r="D565" s="801" t="s">
        <v>857</v>
      </c>
      <c r="E565" s="802"/>
      <c r="F565" s="79">
        <f>'MANO DE OBRA'!D60</f>
        <v>0.05</v>
      </c>
      <c r="G565" s="113">
        <f>ROUND(G564*F565,0)</f>
        <v>1711</v>
      </c>
    </row>
    <row r="566" spans="1:8" ht="13.5" thickBot="1">
      <c r="A566" s="95"/>
      <c r="B566" s="819"/>
      <c r="C566" s="820"/>
      <c r="D566" s="803" t="s">
        <v>320</v>
      </c>
      <c r="E566" s="804"/>
      <c r="F566" s="114"/>
      <c r="G566" s="118">
        <f>+G564+G565</f>
        <v>35936</v>
      </c>
    </row>
    <row r="567" spans="1:8" ht="14.25" thickTop="1" thickBot="1">
      <c r="A567" s="95"/>
      <c r="B567" s="830"/>
      <c r="C567" s="830"/>
      <c r="D567" s="830"/>
      <c r="E567" s="830"/>
      <c r="F567" s="830"/>
      <c r="G567" s="830"/>
    </row>
    <row r="568" spans="1:8" ht="13.5" thickTop="1">
      <c r="A568" s="95"/>
      <c r="B568" s="811" t="s">
        <v>858</v>
      </c>
      <c r="C568" s="812"/>
      <c r="D568" s="812"/>
      <c r="E568" s="812"/>
      <c r="F568" s="812"/>
      <c r="G568" s="825"/>
    </row>
    <row r="569" spans="1:8">
      <c r="A569" s="95"/>
      <c r="B569" s="817"/>
      <c r="C569" s="818"/>
      <c r="D569" s="98" t="s">
        <v>301</v>
      </c>
      <c r="E569" s="98" t="s">
        <v>859</v>
      </c>
      <c r="F569" s="99" t="s">
        <v>839</v>
      </c>
      <c r="G569" s="107" t="s">
        <v>840</v>
      </c>
    </row>
    <row r="570" spans="1:8">
      <c r="A570" s="95"/>
      <c r="B570" s="821" t="s">
        <v>838</v>
      </c>
      <c r="C570" s="822"/>
      <c r="D570" s="100" t="s">
        <v>316</v>
      </c>
      <c r="E570" s="100" t="s">
        <v>315</v>
      </c>
      <c r="F570" s="101" t="s">
        <v>306</v>
      </c>
      <c r="G570" s="108" t="s">
        <v>319</v>
      </c>
    </row>
    <row r="571" spans="1:8">
      <c r="A571" s="95"/>
      <c r="B571" s="115"/>
      <c r="C571" s="102"/>
      <c r="D571" s="103"/>
      <c r="E571" s="103" t="s">
        <v>317</v>
      </c>
      <c r="F571" s="104" t="s">
        <v>318</v>
      </c>
      <c r="G571" s="109"/>
    </row>
    <row r="572" spans="1:8">
      <c r="A572" s="95"/>
      <c r="B572" s="823" t="str">
        <f>'MANO DE OBRA'!B10</f>
        <v>AYUDANTE CUAD. TIPO AA</v>
      </c>
      <c r="C572" s="824"/>
      <c r="D572" s="87">
        <v>1</v>
      </c>
      <c r="E572" s="80">
        <f>'MANO DE OBRA'!E10</f>
        <v>34680</v>
      </c>
      <c r="F572" s="81">
        <v>12</v>
      </c>
      <c r="G572" s="110">
        <f>ROUND(D572*E572/F572,0)</f>
        <v>2890</v>
      </c>
    </row>
    <row r="573" spans="1:8">
      <c r="A573" s="95"/>
      <c r="B573" s="835" t="str">
        <f>'MANO DE OBRA'!B15</f>
        <v xml:space="preserve">OFICIAL CUAD. TIPO AA </v>
      </c>
      <c r="C573" s="836"/>
      <c r="D573" s="37">
        <v>1</v>
      </c>
      <c r="E573" s="82">
        <f>'MANO DE OBRA'!E15</f>
        <v>71474</v>
      </c>
      <c r="F573" s="83">
        <v>12</v>
      </c>
      <c r="G573" s="111">
        <f>ROUND(D573*E573/F573,0)</f>
        <v>5956</v>
      </c>
    </row>
    <row r="574" spans="1:8">
      <c r="A574" s="95"/>
      <c r="B574" s="835"/>
      <c r="C574" s="836"/>
      <c r="D574" s="89"/>
      <c r="E574" s="82"/>
      <c r="F574" s="83"/>
      <c r="G574" s="111"/>
    </row>
    <row r="575" spans="1:8">
      <c r="A575" s="95"/>
      <c r="B575" s="835" t="s">
        <v>841</v>
      </c>
      <c r="C575" s="836"/>
      <c r="D575" s="37"/>
      <c r="E575" s="82"/>
      <c r="F575" s="83"/>
      <c r="G575" s="111"/>
    </row>
    <row r="576" spans="1:8" ht="13.5" thickBot="1">
      <c r="A576" s="95"/>
      <c r="B576" s="828" t="s">
        <v>841</v>
      </c>
      <c r="C576" s="829"/>
      <c r="D576" s="77"/>
      <c r="E576" s="82"/>
      <c r="F576" s="86"/>
      <c r="G576" s="112"/>
    </row>
    <row r="577" spans="1:8" ht="14.25" thickTop="1" thickBot="1">
      <c r="A577" s="95"/>
      <c r="B577" s="808"/>
      <c r="C577" s="808"/>
      <c r="D577" s="808"/>
      <c r="E577" s="809"/>
      <c r="F577" s="120" t="s">
        <v>856</v>
      </c>
      <c r="G577" s="118">
        <f>SUM(G572:G576)</f>
        <v>8846</v>
      </c>
    </row>
    <row r="578" spans="1:8" ht="14.25" thickTop="1" thickBot="1">
      <c r="A578" s="95"/>
      <c r="B578" s="810"/>
      <c r="C578" s="810"/>
      <c r="D578" s="810"/>
      <c r="E578" s="810"/>
      <c r="F578" s="810"/>
      <c r="G578" s="810"/>
    </row>
    <row r="579" spans="1:8" ht="13.5" thickTop="1">
      <c r="A579" s="95"/>
      <c r="B579" s="811" t="s">
        <v>321</v>
      </c>
      <c r="C579" s="812"/>
      <c r="D579" s="812"/>
      <c r="E579" s="812"/>
      <c r="F579" s="812"/>
      <c r="G579" s="825"/>
    </row>
    <row r="580" spans="1:8">
      <c r="A580" s="95"/>
      <c r="B580" s="817" t="s">
        <v>838</v>
      </c>
      <c r="C580" s="818"/>
      <c r="D580" s="98" t="s">
        <v>301</v>
      </c>
      <c r="E580" s="98" t="s">
        <v>297</v>
      </c>
      <c r="F580" s="99" t="s">
        <v>839</v>
      </c>
      <c r="G580" s="107" t="s">
        <v>840</v>
      </c>
    </row>
    <row r="581" spans="1:8">
      <c r="A581" s="95"/>
      <c r="B581" s="115"/>
      <c r="C581" s="102"/>
      <c r="D581" s="103" t="s">
        <v>322</v>
      </c>
      <c r="E581" s="103" t="s">
        <v>323</v>
      </c>
      <c r="F581" s="104" t="s">
        <v>324</v>
      </c>
      <c r="G581" s="109" t="s">
        <v>325</v>
      </c>
    </row>
    <row r="582" spans="1:8">
      <c r="A582" s="95"/>
      <c r="B582" s="826"/>
      <c r="C582" s="827"/>
      <c r="D582" s="96"/>
      <c r="E582" s="96"/>
      <c r="F582" s="96"/>
      <c r="G582" s="116"/>
    </row>
    <row r="583" spans="1:8" ht="13.5" thickBot="1">
      <c r="A583" s="95"/>
      <c r="B583" s="828" t="s">
        <v>841</v>
      </c>
      <c r="C583" s="829"/>
      <c r="D583" s="77"/>
      <c r="E583" s="82"/>
      <c r="F583" s="86"/>
      <c r="G583" s="112"/>
    </row>
    <row r="584" spans="1:8" ht="14.25" thickTop="1" thickBot="1">
      <c r="A584" s="95"/>
      <c r="B584" s="808"/>
      <c r="C584" s="808"/>
      <c r="D584" s="808"/>
      <c r="E584" s="809"/>
      <c r="F584" s="120" t="s">
        <v>856</v>
      </c>
      <c r="G584" s="118">
        <f>SUM(G579:G583)</f>
        <v>0</v>
      </c>
    </row>
    <row r="585" spans="1:8" ht="14.25" thickTop="1" thickBot="1">
      <c r="A585" s="95"/>
      <c r="B585" s="810"/>
      <c r="C585" s="810"/>
      <c r="D585" s="810"/>
      <c r="E585" s="810"/>
      <c r="F585" s="810"/>
      <c r="G585" s="834"/>
    </row>
    <row r="586" spans="1:8" ht="13.5" thickTop="1">
      <c r="A586" s="95"/>
      <c r="B586" s="811" t="s">
        <v>326</v>
      </c>
      <c r="C586" s="812"/>
      <c r="D586" s="812"/>
      <c r="E586" s="812"/>
      <c r="F586" s="813"/>
      <c r="G586" s="121">
        <f>+G550+G566+G577</f>
        <v>45224</v>
      </c>
    </row>
    <row r="587" spans="1:8">
      <c r="A587" s="95"/>
      <c r="B587" s="814" t="s">
        <v>861</v>
      </c>
      <c r="C587" s="815"/>
      <c r="D587" s="815"/>
      <c r="E587" s="816"/>
      <c r="F587" s="128">
        <f>'MANO DE OBRA'!D59</f>
        <v>0</v>
      </c>
      <c r="G587" s="122">
        <f>ROUND(G586*F587,0)</f>
        <v>0</v>
      </c>
    </row>
    <row r="588" spans="1:8" ht="13.5" thickBot="1">
      <c r="A588" s="95"/>
      <c r="B588" s="805" t="s">
        <v>1049</v>
      </c>
      <c r="C588" s="806"/>
      <c r="D588" s="806"/>
      <c r="E588" s="806"/>
      <c r="F588" s="807"/>
      <c r="G588" s="118">
        <f>ROUND(G586+G587,-2)</f>
        <v>45200</v>
      </c>
      <c r="H588" s="505" t="s">
        <v>1670</v>
      </c>
    </row>
    <row r="589" spans="1:8" ht="15" thickTop="1">
      <c r="A589" s="95"/>
      <c r="B589" s="90" t="s">
        <v>303</v>
      </c>
      <c r="C589" s="843"/>
      <c r="D589" s="843"/>
      <c r="E589" s="843"/>
      <c r="F589" s="92" t="s">
        <v>781</v>
      </c>
      <c r="G589" s="93" t="s">
        <v>1067</v>
      </c>
    </row>
    <row r="590" spans="1:8">
      <c r="A590" s="95"/>
      <c r="B590" s="91" t="s">
        <v>834</v>
      </c>
      <c r="C590" s="844" t="s">
        <v>1433</v>
      </c>
      <c r="D590" s="844"/>
      <c r="E590" s="844"/>
      <c r="F590" s="15" t="s">
        <v>833</v>
      </c>
      <c r="G590" s="165" t="str">
        <f>'MANO DE OBRA'!D61</f>
        <v>Agosto de 2010</v>
      </c>
    </row>
    <row r="591" spans="1:8" ht="13.5" thickBot="1">
      <c r="A591" s="127"/>
      <c r="B591" s="94" t="s">
        <v>835</v>
      </c>
      <c r="C591" s="845" t="s">
        <v>1443</v>
      </c>
      <c r="D591" s="845"/>
      <c r="E591" s="845"/>
      <c r="F591" s="845"/>
      <c r="G591" s="846"/>
    </row>
    <row r="592" spans="1:8" ht="14.25" thickTop="1" thickBot="1">
      <c r="A592" s="95"/>
      <c r="B592" s="847"/>
      <c r="C592" s="847"/>
      <c r="D592" s="847"/>
      <c r="E592" s="847"/>
      <c r="F592" s="847"/>
      <c r="G592" s="847"/>
    </row>
    <row r="593" spans="1:7" ht="13.5" thickTop="1">
      <c r="A593" s="95"/>
      <c r="B593" s="811" t="s">
        <v>304</v>
      </c>
      <c r="C593" s="812"/>
      <c r="D593" s="812"/>
      <c r="E593" s="812"/>
      <c r="F593" s="812"/>
      <c r="G593" s="825"/>
    </row>
    <row r="594" spans="1:7">
      <c r="A594" s="95"/>
      <c r="B594" s="105"/>
      <c r="C594" s="97"/>
      <c r="D594" s="98" t="s">
        <v>301</v>
      </c>
      <c r="E594" s="98" t="s">
        <v>1072</v>
      </c>
      <c r="F594" s="99" t="s">
        <v>839</v>
      </c>
      <c r="G594" s="107" t="s">
        <v>840</v>
      </c>
    </row>
    <row r="595" spans="1:7">
      <c r="A595" s="95"/>
      <c r="B595" s="821" t="s">
        <v>838</v>
      </c>
      <c r="C595" s="822"/>
      <c r="D595" s="100" t="s">
        <v>308</v>
      </c>
      <c r="E595" s="100" t="s">
        <v>305</v>
      </c>
      <c r="F595" s="101" t="s">
        <v>306</v>
      </c>
      <c r="G595" s="108" t="s">
        <v>310</v>
      </c>
    </row>
    <row r="596" spans="1:7">
      <c r="A596" s="95"/>
      <c r="B596" s="115"/>
      <c r="C596" s="102"/>
      <c r="D596" s="103"/>
      <c r="E596" s="103" t="s">
        <v>309</v>
      </c>
      <c r="F596" s="104" t="s">
        <v>307</v>
      </c>
      <c r="G596" s="109"/>
    </row>
    <row r="597" spans="1:7">
      <c r="A597" s="127"/>
      <c r="B597" s="823" t="str">
        <f>'MAQUINARIA Y EQUIPOS'!C28</f>
        <v>HERRAMIENTAS MENORES</v>
      </c>
      <c r="C597" s="824"/>
      <c r="D597" s="87">
        <v>1</v>
      </c>
      <c r="E597" s="82">
        <f>ROUND(G630*0.05,0)</f>
        <v>630</v>
      </c>
      <c r="F597" s="81">
        <v>1</v>
      </c>
      <c r="G597" s="110">
        <f>ROUND(D597*E597/F597,0)</f>
        <v>630</v>
      </c>
    </row>
    <row r="598" spans="1:7">
      <c r="A598" s="95"/>
      <c r="B598" s="835"/>
      <c r="C598" s="836"/>
      <c r="D598" s="37"/>
      <c r="E598" s="129"/>
      <c r="F598" s="83"/>
      <c r="G598" s="111"/>
    </row>
    <row r="599" spans="1:7">
      <c r="A599" s="95"/>
      <c r="B599" s="835"/>
      <c r="C599" s="836"/>
      <c r="D599" s="37"/>
      <c r="E599" s="129"/>
      <c r="F599" s="83"/>
      <c r="G599" s="111"/>
    </row>
    <row r="600" spans="1:7">
      <c r="A600" s="95"/>
      <c r="B600" s="835"/>
      <c r="C600" s="836"/>
      <c r="D600" s="89"/>
      <c r="E600" s="82"/>
      <c r="F600" s="83"/>
      <c r="G600" s="111"/>
    </row>
    <row r="601" spans="1:7">
      <c r="A601" s="95"/>
      <c r="B601" s="835" t="s">
        <v>841</v>
      </c>
      <c r="C601" s="836"/>
      <c r="D601" s="37"/>
      <c r="E601" s="82"/>
      <c r="F601" s="83"/>
      <c r="G601" s="111"/>
    </row>
    <row r="602" spans="1:7" ht="13.5" thickBot="1">
      <c r="A602" s="95"/>
      <c r="B602" s="839" t="s">
        <v>841</v>
      </c>
      <c r="C602" s="840"/>
      <c r="D602" s="77"/>
      <c r="E602" s="106"/>
      <c r="F602" s="86"/>
      <c r="G602" s="112"/>
    </row>
    <row r="603" spans="1:7" ht="14.25" thickTop="1" thickBot="1">
      <c r="A603" s="95"/>
      <c r="B603" s="808"/>
      <c r="C603" s="808"/>
      <c r="D603" s="808"/>
      <c r="E603" s="809"/>
      <c r="F603" s="119" t="s">
        <v>856</v>
      </c>
      <c r="G603" s="118">
        <f>SUM(G597:G602)</f>
        <v>630</v>
      </c>
    </row>
    <row r="604" spans="1:7" ht="14.25" thickTop="1" thickBot="1">
      <c r="A604" s="95"/>
      <c r="B604" s="830"/>
      <c r="C604" s="830"/>
      <c r="D604" s="830"/>
      <c r="E604" s="830"/>
      <c r="F604" s="830"/>
      <c r="G604" s="830"/>
    </row>
    <row r="605" spans="1:7" ht="13.5" thickTop="1">
      <c r="A605" s="95"/>
      <c r="B605" s="811" t="s">
        <v>311</v>
      </c>
      <c r="C605" s="812"/>
      <c r="D605" s="812"/>
      <c r="E605" s="812"/>
      <c r="F605" s="812"/>
      <c r="G605" s="825"/>
    </row>
    <row r="606" spans="1:7">
      <c r="A606" s="95"/>
      <c r="B606" s="817" t="s">
        <v>838</v>
      </c>
      <c r="C606" s="818"/>
      <c r="D606" s="98" t="s">
        <v>842</v>
      </c>
      <c r="E606" s="98" t="s">
        <v>853</v>
      </c>
      <c r="F606" s="99" t="s">
        <v>1047</v>
      </c>
      <c r="G606" s="107" t="s">
        <v>840</v>
      </c>
    </row>
    <row r="607" spans="1:7">
      <c r="A607" s="95"/>
      <c r="B607" s="115"/>
      <c r="C607" s="102"/>
      <c r="D607" s="103"/>
      <c r="E607" s="100" t="s">
        <v>312</v>
      </c>
      <c r="F607" s="101" t="s">
        <v>313</v>
      </c>
      <c r="G607" s="108" t="s">
        <v>314</v>
      </c>
    </row>
    <row r="608" spans="1:7" ht="14.25">
      <c r="A608" s="125"/>
      <c r="B608" s="841" t="str">
        <f>MATERIALES2!C109</f>
        <v>BALDOSIN DE CEMENTO RETAL MARMOL</v>
      </c>
      <c r="C608" s="842"/>
      <c r="D608" s="37" t="s">
        <v>1067</v>
      </c>
      <c r="E608" s="81">
        <v>1</v>
      </c>
      <c r="F608" s="80">
        <f>MATERIALES2!E109</f>
        <v>9500</v>
      </c>
      <c r="G608" s="110">
        <f>ROUND(E608*F608,0)</f>
        <v>9500</v>
      </c>
    </row>
    <row r="609" spans="1:8">
      <c r="A609" s="123"/>
      <c r="B609" s="854" t="str">
        <f>MATERIALES2!C13</f>
        <v>CEMENTO GRIS</v>
      </c>
      <c r="C609" s="855"/>
      <c r="D609" s="37" t="s">
        <v>925</v>
      </c>
      <c r="E609" s="141">
        <v>7.28</v>
      </c>
      <c r="F609" s="82">
        <f>MATERIALES2!E13</f>
        <v>420</v>
      </c>
      <c r="G609" s="111">
        <f>ROUND(E609*F609,0)</f>
        <v>3058</v>
      </c>
    </row>
    <row r="610" spans="1:8">
      <c r="A610" s="123"/>
      <c r="B610" s="854" t="str">
        <f>MATERIALES2!C12</f>
        <v>CEMENTO BLANCO</v>
      </c>
      <c r="C610" s="855"/>
      <c r="D610" s="37" t="s">
        <v>925</v>
      </c>
      <c r="E610" s="141">
        <v>1.5</v>
      </c>
      <c r="F610" s="82">
        <f>MATERIALES2!E12</f>
        <v>750</v>
      </c>
      <c r="G610" s="111">
        <f>ROUND(E610*F610,0)</f>
        <v>1125</v>
      </c>
    </row>
    <row r="611" spans="1:8" ht="14.25">
      <c r="A611" s="123"/>
      <c r="B611" s="854" t="str">
        <f>MATERIALES2!C20</f>
        <v xml:space="preserve">ARENA </v>
      </c>
      <c r="C611" s="855"/>
      <c r="D611" s="37" t="s">
        <v>1066</v>
      </c>
      <c r="E611" s="141">
        <v>2.3E-2</v>
      </c>
      <c r="F611" s="82">
        <f>MATERIALES2!E20</f>
        <v>35000</v>
      </c>
      <c r="G611" s="111">
        <f>ROUND(E611*F611,0)</f>
        <v>805</v>
      </c>
    </row>
    <row r="612" spans="1:8">
      <c r="A612" s="123"/>
      <c r="B612" s="854" t="str">
        <f>MATERIALES2!C28</f>
        <v>AGUA</v>
      </c>
      <c r="C612" s="855"/>
      <c r="D612" s="37" t="s">
        <v>1071</v>
      </c>
      <c r="E612" s="141">
        <v>4.74</v>
      </c>
      <c r="F612" s="82">
        <f>MATERIALES2!E28</f>
        <v>50</v>
      </c>
      <c r="G612" s="111">
        <f>ROUND(E612*F612,0)</f>
        <v>237</v>
      </c>
    </row>
    <row r="613" spans="1:8">
      <c r="A613" s="95"/>
      <c r="B613" s="854"/>
      <c r="C613" s="855"/>
      <c r="D613" s="37"/>
      <c r="E613" s="53"/>
      <c r="F613" s="82"/>
      <c r="G613" s="111"/>
    </row>
    <row r="614" spans="1:8">
      <c r="A614" s="95"/>
      <c r="B614" s="854"/>
      <c r="C614" s="855"/>
      <c r="D614" s="37"/>
      <c r="E614" s="53"/>
      <c r="F614" s="82"/>
      <c r="G614" s="111"/>
    </row>
    <row r="615" spans="1:8">
      <c r="A615" s="95"/>
      <c r="B615" s="938" t="s">
        <v>841</v>
      </c>
      <c r="C615" s="939"/>
      <c r="D615" s="53" t="s">
        <v>841</v>
      </c>
      <c r="E615" s="53"/>
      <c r="F615" s="82"/>
      <c r="G615" s="111"/>
      <c r="H615" s="505" t="s">
        <v>1670</v>
      </c>
    </row>
    <row r="616" spans="1:8" ht="13.5" thickBot="1">
      <c r="A616" s="95"/>
      <c r="B616" s="942" t="s">
        <v>841</v>
      </c>
      <c r="C616" s="943"/>
      <c r="D616" s="84" t="s">
        <v>841</v>
      </c>
      <c r="E616" s="84"/>
      <c r="F616" s="85"/>
      <c r="G616" s="112"/>
    </row>
    <row r="617" spans="1:8" ht="13.5" thickTop="1">
      <c r="A617" s="95"/>
      <c r="B617" s="808"/>
      <c r="C617" s="809"/>
      <c r="D617" s="801" t="s">
        <v>856</v>
      </c>
      <c r="E617" s="802"/>
      <c r="F617" s="9"/>
      <c r="G617" s="113">
        <f>SUM(G608:G616)</f>
        <v>14725</v>
      </c>
    </row>
    <row r="618" spans="1:8">
      <c r="A618" s="95"/>
      <c r="B618" s="819"/>
      <c r="C618" s="820"/>
      <c r="D618" s="801" t="s">
        <v>857</v>
      </c>
      <c r="E618" s="802"/>
      <c r="F618" s="79">
        <f>'MANO DE OBRA'!D60</f>
        <v>0.05</v>
      </c>
      <c r="G618" s="113">
        <f>ROUND(G617*F618,0)</f>
        <v>736</v>
      </c>
    </row>
    <row r="619" spans="1:8" ht="13.5" thickBot="1">
      <c r="A619" s="95"/>
      <c r="B619" s="819"/>
      <c r="C619" s="820"/>
      <c r="D619" s="803" t="s">
        <v>320</v>
      </c>
      <c r="E619" s="804"/>
      <c r="F619" s="114"/>
      <c r="G619" s="118">
        <f>+G617+G618</f>
        <v>15461</v>
      </c>
    </row>
    <row r="620" spans="1:8" ht="14.25" thickTop="1" thickBot="1">
      <c r="A620" s="95"/>
      <c r="B620" s="830"/>
      <c r="C620" s="830"/>
      <c r="D620" s="830"/>
      <c r="E620" s="830"/>
      <c r="F620" s="830"/>
      <c r="G620" s="830"/>
    </row>
    <row r="621" spans="1:8" ht="13.5" thickTop="1">
      <c r="A621" s="95"/>
      <c r="B621" s="811" t="s">
        <v>858</v>
      </c>
      <c r="C621" s="812"/>
      <c r="D621" s="812"/>
      <c r="E621" s="812"/>
      <c r="F621" s="812"/>
      <c r="G621" s="825"/>
    </row>
    <row r="622" spans="1:8">
      <c r="A622" s="95"/>
      <c r="B622" s="817"/>
      <c r="C622" s="818"/>
      <c r="D622" s="98" t="s">
        <v>301</v>
      </c>
      <c r="E622" s="98" t="s">
        <v>859</v>
      </c>
      <c r="F622" s="99" t="s">
        <v>839</v>
      </c>
      <c r="G622" s="107" t="s">
        <v>840</v>
      </c>
    </row>
    <row r="623" spans="1:8">
      <c r="A623" s="95"/>
      <c r="B623" s="821" t="s">
        <v>838</v>
      </c>
      <c r="C623" s="822"/>
      <c r="D623" s="100" t="s">
        <v>316</v>
      </c>
      <c r="E623" s="100" t="s">
        <v>315</v>
      </c>
      <c r="F623" s="101" t="s">
        <v>306</v>
      </c>
      <c r="G623" s="108" t="s">
        <v>319</v>
      </c>
    </row>
    <row r="624" spans="1:8">
      <c r="A624" s="95"/>
      <c r="B624" s="115"/>
      <c r="C624" s="102"/>
      <c r="D624" s="103"/>
      <c r="E624" s="103" t="s">
        <v>317</v>
      </c>
      <c r="F624" s="104" t="s">
        <v>318</v>
      </c>
      <c r="G624" s="109"/>
    </row>
    <row r="625" spans="1:7">
      <c r="A625" s="95"/>
      <c r="B625" s="823" t="str">
        <f>'MANO DE OBRA'!B10</f>
        <v>AYUDANTE CUAD. TIPO AA</v>
      </c>
      <c r="C625" s="824"/>
      <c r="D625" s="87">
        <v>1</v>
      </c>
      <c r="E625" s="80">
        <f>'MANO DE OBRA'!E10</f>
        <v>34680</v>
      </c>
      <c r="F625" s="81">
        <v>8.42</v>
      </c>
      <c r="G625" s="110">
        <f>ROUND(D625*E625/F625,0)</f>
        <v>4119</v>
      </c>
    </row>
    <row r="626" spans="1:7">
      <c r="A626" s="95"/>
      <c r="B626" s="835" t="str">
        <f>'MANO DE OBRA'!B15</f>
        <v xml:space="preserve">OFICIAL CUAD. TIPO AA </v>
      </c>
      <c r="C626" s="836"/>
      <c r="D626" s="37">
        <v>1</v>
      </c>
      <c r="E626" s="82">
        <f>'MANO DE OBRA'!E15</f>
        <v>71474</v>
      </c>
      <c r="F626" s="83">
        <v>8.42</v>
      </c>
      <c r="G626" s="111">
        <f>ROUND(D626*E626/F626,0)</f>
        <v>8489</v>
      </c>
    </row>
    <row r="627" spans="1:7">
      <c r="A627" s="95"/>
      <c r="B627" s="835"/>
      <c r="C627" s="836"/>
      <c r="D627" s="89"/>
      <c r="E627" s="82"/>
      <c r="F627" s="83"/>
      <c r="G627" s="111"/>
    </row>
    <row r="628" spans="1:7">
      <c r="A628" s="95"/>
      <c r="B628" s="835" t="s">
        <v>841</v>
      </c>
      <c r="C628" s="836"/>
      <c r="D628" s="37"/>
      <c r="E628" s="82"/>
      <c r="F628" s="83"/>
      <c r="G628" s="111"/>
    </row>
    <row r="629" spans="1:7" ht="13.5" thickBot="1">
      <c r="A629" s="95"/>
      <c r="B629" s="828" t="s">
        <v>841</v>
      </c>
      <c r="C629" s="829"/>
      <c r="D629" s="77"/>
      <c r="E629" s="82"/>
      <c r="F629" s="86"/>
      <c r="G629" s="112"/>
    </row>
    <row r="630" spans="1:7" ht="14.25" thickTop="1" thickBot="1">
      <c r="A630" s="95"/>
      <c r="B630" s="808"/>
      <c r="C630" s="808"/>
      <c r="D630" s="808"/>
      <c r="E630" s="809"/>
      <c r="F630" s="120" t="s">
        <v>856</v>
      </c>
      <c r="G630" s="118">
        <f>SUM(G625:G629)</f>
        <v>12608</v>
      </c>
    </row>
    <row r="631" spans="1:7" ht="14.25" thickTop="1" thickBot="1">
      <c r="A631" s="95"/>
      <c r="B631" s="810"/>
      <c r="C631" s="810"/>
      <c r="D631" s="810"/>
      <c r="E631" s="810"/>
      <c r="F631" s="810"/>
      <c r="G631" s="810"/>
    </row>
    <row r="632" spans="1:7" ht="13.5" thickTop="1">
      <c r="A632" s="95"/>
      <c r="B632" s="811" t="s">
        <v>321</v>
      </c>
      <c r="C632" s="812"/>
      <c r="D632" s="812"/>
      <c r="E632" s="812"/>
      <c r="F632" s="812"/>
      <c r="G632" s="825"/>
    </row>
    <row r="633" spans="1:7">
      <c r="A633" s="95"/>
      <c r="B633" s="817" t="s">
        <v>838</v>
      </c>
      <c r="C633" s="818"/>
      <c r="D633" s="98" t="s">
        <v>301</v>
      </c>
      <c r="E633" s="98" t="s">
        <v>297</v>
      </c>
      <c r="F633" s="99" t="s">
        <v>839</v>
      </c>
      <c r="G633" s="107" t="s">
        <v>840</v>
      </c>
    </row>
    <row r="634" spans="1:7">
      <c r="A634" s="95"/>
      <c r="B634" s="115"/>
      <c r="C634" s="102"/>
      <c r="D634" s="103" t="s">
        <v>322</v>
      </c>
      <c r="E634" s="103" t="s">
        <v>323</v>
      </c>
      <c r="F634" s="104" t="s">
        <v>324</v>
      </c>
      <c r="G634" s="109" t="s">
        <v>325</v>
      </c>
    </row>
    <row r="635" spans="1:7">
      <c r="A635" s="95"/>
      <c r="B635" s="826"/>
      <c r="C635" s="827"/>
      <c r="D635" s="96"/>
      <c r="E635" s="96"/>
      <c r="F635" s="96"/>
      <c r="G635" s="116"/>
    </row>
    <row r="636" spans="1:7" ht="13.5" thickBot="1">
      <c r="A636" s="95"/>
      <c r="B636" s="828" t="s">
        <v>841</v>
      </c>
      <c r="C636" s="829"/>
      <c r="D636" s="77"/>
      <c r="E636" s="82"/>
      <c r="F636" s="86"/>
      <c r="G636" s="112"/>
    </row>
    <row r="637" spans="1:7" ht="14.25" thickTop="1" thickBot="1">
      <c r="A637" s="95"/>
      <c r="B637" s="808"/>
      <c r="C637" s="808"/>
      <c r="D637" s="808"/>
      <c r="E637" s="809"/>
      <c r="F637" s="120" t="s">
        <v>856</v>
      </c>
      <c r="G637" s="118">
        <f>SUM(G632:G636)</f>
        <v>0</v>
      </c>
    </row>
    <row r="638" spans="1:7" ht="14.25" thickTop="1" thickBot="1">
      <c r="A638" s="95"/>
      <c r="B638" s="810"/>
      <c r="C638" s="810"/>
      <c r="D638" s="810"/>
      <c r="E638" s="810"/>
      <c r="F638" s="810"/>
      <c r="G638" s="834"/>
    </row>
    <row r="639" spans="1:7" ht="13.5" thickTop="1">
      <c r="A639" s="95"/>
      <c r="B639" s="811" t="s">
        <v>326</v>
      </c>
      <c r="C639" s="812"/>
      <c r="D639" s="812"/>
      <c r="E639" s="812"/>
      <c r="F639" s="813"/>
      <c r="G639" s="121">
        <f>+G603+G619+G630</f>
        <v>28699</v>
      </c>
    </row>
    <row r="640" spans="1:7">
      <c r="A640" s="95"/>
      <c r="B640" s="814" t="s">
        <v>861</v>
      </c>
      <c r="C640" s="815"/>
      <c r="D640" s="815"/>
      <c r="E640" s="816"/>
      <c r="F640" s="128">
        <f>'MANO DE OBRA'!D59</f>
        <v>0</v>
      </c>
      <c r="G640" s="122">
        <f>ROUND(G639*F640,0)</f>
        <v>0</v>
      </c>
    </row>
    <row r="641" spans="1:8" ht="13.5" thickBot="1">
      <c r="A641" s="95"/>
      <c r="B641" s="805" t="s">
        <v>1049</v>
      </c>
      <c r="C641" s="806"/>
      <c r="D641" s="806"/>
      <c r="E641" s="806"/>
      <c r="F641" s="807"/>
      <c r="G641" s="118">
        <f>ROUND(G639+G640,-2)</f>
        <v>28700</v>
      </c>
      <c r="H641" s="505" t="s">
        <v>1670</v>
      </c>
    </row>
    <row r="642" spans="1:8" ht="15" thickTop="1">
      <c r="A642" s="95"/>
      <c r="B642" s="90" t="s">
        <v>303</v>
      </c>
      <c r="C642" s="843"/>
      <c r="D642" s="843"/>
      <c r="E642" s="843"/>
      <c r="F642" s="92" t="s">
        <v>781</v>
      </c>
      <c r="G642" s="93" t="s">
        <v>1067</v>
      </c>
    </row>
    <row r="643" spans="1:8">
      <c r="A643" s="95"/>
      <c r="B643" s="91" t="s">
        <v>834</v>
      </c>
      <c r="C643" s="844" t="s">
        <v>1433</v>
      </c>
      <c r="D643" s="844"/>
      <c r="E643" s="844"/>
      <c r="F643" s="15" t="s">
        <v>833</v>
      </c>
      <c r="G643" s="165" t="str">
        <f>'MANO DE OBRA'!D61</f>
        <v>Agosto de 2010</v>
      </c>
    </row>
    <row r="644" spans="1:8" ht="13.5" thickBot="1">
      <c r="A644" s="127"/>
      <c r="B644" s="94" t="s">
        <v>835</v>
      </c>
      <c r="C644" s="845" t="s">
        <v>1444</v>
      </c>
      <c r="D644" s="845"/>
      <c r="E644" s="845"/>
      <c r="F644" s="845"/>
      <c r="G644" s="846"/>
    </row>
    <row r="645" spans="1:8" ht="14.25" thickTop="1" thickBot="1">
      <c r="A645" s="95"/>
      <c r="B645" s="847"/>
      <c r="C645" s="847"/>
      <c r="D645" s="847"/>
      <c r="E645" s="847"/>
      <c r="F645" s="847"/>
      <c r="G645" s="847"/>
    </row>
    <row r="646" spans="1:8" ht="13.5" thickTop="1">
      <c r="A646" s="95"/>
      <c r="B646" s="811" t="s">
        <v>304</v>
      </c>
      <c r="C646" s="812"/>
      <c r="D646" s="812"/>
      <c r="E646" s="812"/>
      <c r="F646" s="812"/>
      <c r="G646" s="825"/>
    </row>
    <row r="647" spans="1:8">
      <c r="A647" s="95"/>
      <c r="B647" s="105"/>
      <c r="C647" s="97"/>
      <c r="D647" s="98" t="s">
        <v>301</v>
      </c>
      <c r="E647" s="98" t="s">
        <v>1072</v>
      </c>
      <c r="F647" s="99" t="s">
        <v>839</v>
      </c>
      <c r="G647" s="107" t="s">
        <v>840</v>
      </c>
    </row>
    <row r="648" spans="1:8">
      <c r="A648" s="95"/>
      <c r="B648" s="821" t="s">
        <v>838</v>
      </c>
      <c r="C648" s="822"/>
      <c r="D648" s="100" t="s">
        <v>308</v>
      </c>
      <c r="E648" s="100" t="s">
        <v>305</v>
      </c>
      <c r="F648" s="101" t="s">
        <v>306</v>
      </c>
      <c r="G648" s="108" t="s">
        <v>310</v>
      </c>
    </row>
    <row r="649" spans="1:8">
      <c r="A649" s="95"/>
      <c r="B649" s="115"/>
      <c r="C649" s="102"/>
      <c r="D649" s="103"/>
      <c r="E649" s="103" t="s">
        <v>309</v>
      </c>
      <c r="F649" s="104" t="s">
        <v>307</v>
      </c>
      <c r="G649" s="109"/>
    </row>
    <row r="650" spans="1:8">
      <c r="A650" s="127"/>
      <c r="B650" s="823" t="str">
        <f>'MAQUINARIA Y EQUIPOS'!C28</f>
        <v>HERRAMIENTAS MENORES</v>
      </c>
      <c r="C650" s="824"/>
      <c r="D650" s="87">
        <v>1</v>
      </c>
      <c r="E650" s="82">
        <f>ROUND(G683*0.05,0)</f>
        <v>630</v>
      </c>
      <c r="F650" s="81">
        <v>1</v>
      </c>
      <c r="G650" s="110">
        <f>ROUND(D650*E650/F650,0)</f>
        <v>630</v>
      </c>
    </row>
    <row r="651" spans="1:8">
      <c r="A651" s="95"/>
      <c r="B651" s="835"/>
      <c r="C651" s="836"/>
      <c r="D651" s="37"/>
      <c r="E651" s="129"/>
      <c r="F651" s="83"/>
      <c r="G651" s="111"/>
    </row>
    <row r="652" spans="1:8">
      <c r="A652" s="95"/>
      <c r="B652" s="835"/>
      <c r="C652" s="836"/>
      <c r="D652" s="37"/>
      <c r="E652" s="129"/>
      <c r="F652" s="83"/>
      <c r="G652" s="111"/>
    </row>
    <row r="653" spans="1:8">
      <c r="A653" s="95"/>
      <c r="B653" s="835"/>
      <c r="C653" s="836"/>
      <c r="D653" s="89"/>
      <c r="E653" s="82"/>
      <c r="F653" s="83"/>
      <c r="G653" s="111"/>
    </row>
    <row r="654" spans="1:8">
      <c r="A654" s="95"/>
      <c r="B654" s="835" t="s">
        <v>841</v>
      </c>
      <c r="C654" s="836"/>
      <c r="D654" s="37"/>
      <c r="E654" s="82"/>
      <c r="F654" s="83"/>
      <c r="G654" s="111"/>
    </row>
    <row r="655" spans="1:8" ht="13.5" thickBot="1">
      <c r="A655" s="95"/>
      <c r="B655" s="839" t="s">
        <v>841</v>
      </c>
      <c r="C655" s="840"/>
      <c r="D655" s="77"/>
      <c r="E655" s="106"/>
      <c r="F655" s="86"/>
      <c r="G655" s="112"/>
    </row>
    <row r="656" spans="1:8" ht="14.25" thickTop="1" thickBot="1">
      <c r="A656" s="95"/>
      <c r="B656" s="808"/>
      <c r="C656" s="808"/>
      <c r="D656" s="808"/>
      <c r="E656" s="809"/>
      <c r="F656" s="119" t="s">
        <v>856</v>
      </c>
      <c r="G656" s="118">
        <f>SUM(G650:G655)</f>
        <v>630</v>
      </c>
    </row>
    <row r="657" spans="1:8" ht="14.25" thickTop="1" thickBot="1">
      <c r="A657" s="95"/>
      <c r="B657" s="830"/>
      <c r="C657" s="830"/>
      <c r="D657" s="830"/>
      <c r="E657" s="830"/>
      <c r="F657" s="830"/>
      <c r="G657" s="830"/>
    </row>
    <row r="658" spans="1:8" ht="13.5" thickTop="1">
      <c r="A658" s="95"/>
      <c r="B658" s="811" t="s">
        <v>311</v>
      </c>
      <c r="C658" s="812"/>
      <c r="D658" s="812"/>
      <c r="E658" s="812"/>
      <c r="F658" s="812"/>
      <c r="G658" s="825"/>
    </row>
    <row r="659" spans="1:8">
      <c r="A659" s="95"/>
      <c r="B659" s="817" t="s">
        <v>838</v>
      </c>
      <c r="C659" s="818"/>
      <c r="D659" s="98" t="s">
        <v>842</v>
      </c>
      <c r="E659" s="98" t="s">
        <v>853</v>
      </c>
      <c r="F659" s="99" t="s">
        <v>1047</v>
      </c>
      <c r="G659" s="107" t="s">
        <v>840</v>
      </c>
    </row>
    <row r="660" spans="1:8">
      <c r="A660" s="95"/>
      <c r="B660" s="115"/>
      <c r="C660" s="102"/>
      <c r="D660" s="103"/>
      <c r="E660" s="100" t="s">
        <v>312</v>
      </c>
      <c r="F660" s="101" t="s">
        <v>313</v>
      </c>
      <c r="G660" s="108" t="s">
        <v>314</v>
      </c>
    </row>
    <row r="661" spans="1:8" ht="14.25">
      <c r="A661" s="125"/>
      <c r="B661" s="841" t="str">
        <f>MATERIALES2!C108</f>
        <v>BALDOSIN DE CEMENTO FILIGRANA</v>
      </c>
      <c r="C661" s="842"/>
      <c r="D661" s="37" t="s">
        <v>1067</v>
      </c>
      <c r="E661" s="81">
        <v>1</v>
      </c>
      <c r="F661" s="80">
        <f>MATERIALES2!E108</f>
        <v>9000</v>
      </c>
      <c r="G661" s="110">
        <f>ROUND(E661*F661,0)</f>
        <v>9000</v>
      </c>
    </row>
    <row r="662" spans="1:8">
      <c r="A662" s="123"/>
      <c r="B662" s="854" t="str">
        <f>MATERIALES2!C13</f>
        <v>CEMENTO GRIS</v>
      </c>
      <c r="C662" s="855"/>
      <c r="D662" s="37" t="s">
        <v>925</v>
      </c>
      <c r="E662" s="141">
        <v>7.28</v>
      </c>
      <c r="F662" s="82">
        <f>MATERIALES2!E13</f>
        <v>420</v>
      </c>
      <c r="G662" s="111">
        <f>ROUND(E662*F662,0)</f>
        <v>3058</v>
      </c>
    </row>
    <row r="663" spans="1:8">
      <c r="A663" s="123"/>
      <c r="B663" s="854" t="str">
        <f>MATERIALES2!C12</f>
        <v>CEMENTO BLANCO</v>
      </c>
      <c r="C663" s="855"/>
      <c r="D663" s="37" t="s">
        <v>925</v>
      </c>
      <c r="E663" s="141">
        <v>1.5</v>
      </c>
      <c r="F663" s="82">
        <f>MATERIALES2!E12</f>
        <v>750</v>
      </c>
      <c r="G663" s="111">
        <f>ROUND(E663*F663,0)</f>
        <v>1125</v>
      </c>
    </row>
    <row r="664" spans="1:8" ht="14.25">
      <c r="A664" s="123"/>
      <c r="B664" s="854" t="str">
        <f>MATERIALES2!C20</f>
        <v xml:space="preserve">ARENA </v>
      </c>
      <c r="C664" s="855"/>
      <c r="D664" s="37" t="s">
        <v>1066</v>
      </c>
      <c r="E664" s="141">
        <v>2.3E-2</v>
      </c>
      <c r="F664" s="82">
        <f>MATERIALES2!E20</f>
        <v>35000</v>
      </c>
      <c r="G664" s="111">
        <f>ROUND(E664*F664,0)</f>
        <v>805</v>
      </c>
    </row>
    <row r="665" spans="1:8">
      <c r="A665" s="123"/>
      <c r="B665" s="854" t="str">
        <f>MATERIALES2!C28</f>
        <v>AGUA</v>
      </c>
      <c r="C665" s="855"/>
      <c r="D665" s="37" t="s">
        <v>1071</v>
      </c>
      <c r="E665" s="141">
        <v>4.74</v>
      </c>
      <c r="F665" s="82">
        <f>MATERIALES2!E28</f>
        <v>50</v>
      </c>
      <c r="G665" s="111">
        <f>ROUND(E665*F665,0)</f>
        <v>237</v>
      </c>
    </row>
    <row r="666" spans="1:8">
      <c r="A666" s="95"/>
      <c r="B666" s="854"/>
      <c r="C666" s="855"/>
      <c r="D666" s="37"/>
      <c r="E666" s="53"/>
      <c r="F666" s="82"/>
      <c r="G666" s="111"/>
    </row>
    <row r="667" spans="1:8">
      <c r="A667" s="95"/>
      <c r="B667" s="854"/>
      <c r="C667" s="855"/>
      <c r="D667" s="37"/>
      <c r="E667" s="53"/>
      <c r="F667" s="82"/>
      <c r="G667" s="111"/>
    </row>
    <row r="668" spans="1:8">
      <c r="A668" s="95"/>
      <c r="B668" s="938" t="s">
        <v>841</v>
      </c>
      <c r="C668" s="939"/>
      <c r="D668" s="53" t="s">
        <v>841</v>
      </c>
      <c r="E668" s="53"/>
      <c r="F668" s="82"/>
      <c r="G668" s="111"/>
      <c r="H668" s="505" t="s">
        <v>1670</v>
      </c>
    </row>
    <row r="669" spans="1:8" ht="13.5" thickBot="1">
      <c r="A669" s="95"/>
      <c r="B669" s="942" t="s">
        <v>841</v>
      </c>
      <c r="C669" s="943"/>
      <c r="D669" s="84" t="s">
        <v>841</v>
      </c>
      <c r="E669" s="84"/>
      <c r="F669" s="85"/>
      <c r="G669" s="112"/>
    </row>
    <row r="670" spans="1:8" ht="13.5" thickTop="1">
      <c r="A670" s="95"/>
      <c r="B670" s="808"/>
      <c r="C670" s="809"/>
      <c r="D670" s="801" t="s">
        <v>856</v>
      </c>
      <c r="E670" s="802"/>
      <c r="F670" s="9"/>
      <c r="G670" s="113">
        <f>SUM(G661:G669)</f>
        <v>14225</v>
      </c>
    </row>
    <row r="671" spans="1:8">
      <c r="A671" s="95"/>
      <c r="B671" s="819"/>
      <c r="C671" s="820"/>
      <c r="D671" s="801" t="s">
        <v>857</v>
      </c>
      <c r="E671" s="802"/>
      <c r="F671" s="79">
        <f>'MANO DE OBRA'!D60</f>
        <v>0.05</v>
      </c>
      <c r="G671" s="113">
        <f>ROUND(G670*F671,0)</f>
        <v>711</v>
      </c>
    </row>
    <row r="672" spans="1:8" ht="13.5" thickBot="1">
      <c r="A672" s="95"/>
      <c r="B672" s="819"/>
      <c r="C672" s="820"/>
      <c r="D672" s="803" t="s">
        <v>320</v>
      </c>
      <c r="E672" s="804"/>
      <c r="F672" s="114"/>
      <c r="G672" s="118">
        <f>+G670+G671</f>
        <v>14936</v>
      </c>
    </row>
    <row r="673" spans="1:7" ht="14.25" thickTop="1" thickBot="1">
      <c r="A673" s="95"/>
      <c r="B673" s="830"/>
      <c r="C673" s="830"/>
      <c r="D673" s="830"/>
      <c r="E673" s="830"/>
      <c r="F673" s="830"/>
      <c r="G673" s="830"/>
    </row>
    <row r="674" spans="1:7" ht="13.5" thickTop="1">
      <c r="A674" s="95"/>
      <c r="B674" s="811" t="s">
        <v>858</v>
      </c>
      <c r="C674" s="812"/>
      <c r="D674" s="812"/>
      <c r="E674" s="812"/>
      <c r="F674" s="812"/>
      <c r="G674" s="825"/>
    </row>
    <row r="675" spans="1:7">
      <c r="A675" s="95"/>
      <c r="B675" s="817"/>
      <c r="C675" s="818"/>
      <c r="D675" s="98" t="s">
        <v>301</v>
      </c>
      <c r="E675" s="98" t="s">
        <v>859</v>
      </c>
      <c r="F675" s="99" t="s">
        <v>839</v>
      </c>
      <c r="G675" s="107" t="s">
        <v>840</v>
      </c>
    </row>
    <row r="676" spans="1:7">
      <c r="A676" s="95"/>
      <c r="B676" s="821" t="s">
        <v>838</v>
      </c>
      <c r="C676" s="822"/>
      <c r="D676" s="100" t="s">
        <v>316</v>
      </c>
      <c r="E676" s="100" t="s">
        <v>315</v>
      </c>
      <c r="F676" s="101" t="s">
        <v>306</v>
      </c>
      <c r="G676" s="108" t="s">
        <v>319</v>
      </c>
    </row>
    <row r="677" spans="1:7">
      <c r="A677" s="95"/>
      <c r="B677" s="115"/>
      <c r="C677" s="102"/>
      <c r="D677" s="103"/>
      <c r="E677" s="103" t="s">
        <v>317</v>
      </c>
      <c r="F677" s="104" t="s">
        <v>318</v>
      </c>
      <c r="G677" s="109"/>
    </row>
    <row r="678" spans="1:7">
      <c r="A678" s="95"/>
      <c r="B678" s="823" t="str">
        <f>'MANO DE OBRA'!B10</f>
        <v>AYUDANTE CUAD. TIPO AA</v>
      </c>
      <c r="C678" s="824"/>
      <c r="D678" s="87">
        <v>1</v>
      </c>
      <c r="E678" s="80">
        <f>'MANO DE OBRA'!E10</f>
        <v>34680</v>
      </c>
      <c r="F678" s="81">
        <v>8.42</v>
      </c>
      <c r="G678" s="110">
        <f>ROUND(D678*E678/F678,0)</f>
        <v>4119</v>
      </c>
    </row>
    <row r="679" spans="1:7">
      <c r="A679" s="95"/>
      <c r="B679" s="835" t="str">
        <f>'MANO DE OBRA'!B15</f>
        <v xml:space="preserve">OFICIAL CUAD. TIPO AA </v>
      </c>
      <c r="C679" s="836"/>
      <c r="D679" s="37">
        <v>1</v>
      </c>
      <c r="E679" s="82">
        <f>'MANO DE OBRA'!E15</f>
        <v>71474</v>
      </c>
      <c r="F679" s="83">
        <v>8.42</v>
      </c>
      <c r="G679" s="111">
        <f>ROUND(D679*E679/F679,0)</f>
        <v>8489</v>
      </c>
    </row>
    <row r="680" spans="1:7">
      <c r="A680" s="95"/>
      <c r="B680" s="835"/>
      <c r="C680" s="836"/>
      <c r="D680" s="89"/>
      <c r="E680" s="82"/>
      <c r="F680" s="83"/>
      <c r="G680" s="111"/>
    </row>
    <row r="681" spans="1:7">
      <c r="A681" s="95"/>
      <c r="B681" s="835" t="s">
        <v>841</v>
      </c>
      <c r="C681" s="836"/>
      <c r="D681" s="37"/>
      <c r="E681" s="82"/>
      <c r="F681" s="83"/>
      <c r="G681" s="111"/>
    </row>
    <row r="682" spans="1:7" ht="13.5" thickBot="1">
      <c r="A682" s="95"/>
      <c r="B682" s="828" t="s">
        <v>841</v>
      </c>
      <c r="C682" s="829"/>
      <c r="D682" s="77"/>
      <c r="E682" s="82"/>
      <c r="F682" s="86"/>
      <c r="G682" s="112"/>
    </row>
    <row r="683" spans="1:7" ht="14.25" thickTop="1" thickBot="1">
      <c r="A683" s="95"/>
      <c r="B683" s="808"/>
      <c r="C683" s="808"/>
      <c r="D683" s="808"/>
      <c r="E683" s="809"/>
      <c r="F683" s="120" t="s">
        <v>856</v>
      </c>
      <c r="G683" s="118">
        <f>SUM(G678:G682)</f>
        <v>12608</v>
      </c>
    </row>
    <row r="684" spans="1:7" ht="14.25" thickTop="1" thickBot="1">
      <c r="A684" s="95"/>
      <c r="B684" s="810"/>
      <c r="C684" s="810"/>
      <c r="D684" s="810"/>
      <c r="E684" s="810"/>
      <c r="F684" s="810"/>
      <c r="G684" s="810"/>
    </row>
    <row r="685" spans="1:7" ht="13.5" thickTop="1">
      <c r="A685" s="95"/>
      <c r="B685" s="811" t="s">
        <v>321</v>
      </c>
      <c r="C685" s="812"/>
      <c r="D685" s="812"/>
      <c r="E685" s="812"/>
      <c r="F685" s="812"/>
      <c r="G685" s="825"/>
    </row>
    <row r="686" spans="1:7">
      <c r="A686" s="95"/>
      <c r="B686" s="817" t="s">
        <v>838</v>
      </c>
      <c r="C686" s="818"/>
      <c r="D686" s="98" t="s">
        <v>301</v>
      </c>
      <c r="E686" s="98" t="s">
        <v>297</v>
      </c>
      <c r="F686" s="99" t="s">
        <v>839</v>
      </c>
      <c r="G686" s="107" t="s">
        <v>840</v>
      </c>
    </row>
    <row r="687" spans="1:7">
      <c r="A687" s="95"/>
      <c r="B687" s="115"/>
      <c r="C687" s="102"/>
      <c r="D687" s="103" t="s">
        <v>322</v>
      </c>
      <c r="E687" s="103" t="s">
        <v>323</v>
      </c>
      <c r="F687" s="104" t="s">
        <v>324</v>
      </c>
      <c r="G687" s="109" t="s">
        <v>325</v>
      </c>
    </row>
    <row r="688" spans="1:7">
      <c r="A688" s="95"/>
      <c r="B688" s="826"/>
      <c r="C688" s="827"/>
      <c r="D688" s="96"/>
      <c r="E688" s="96"/>
      <c r="F688" s="96"/>
      <c r="G688" s="116"/>
    </row>
    <row r="689" spans="1:8" ht="13.5" thickBot="1">
      <c r="A689" s="95"/>
      <c r="B689" s="828" t="s">
        <v>841</v>
      </c>
      <c r="C689" s="829"/>
      <c r="D689" s="77"/>
      <c r="E689" s="82"/>
      <c r="F689" s="86"/>
      <c r="G689" s="112"/>
    </row>
    <row r="690" spans="1:8" ht="14.25" thickTop="1" thickBot="1">
      <c r="A690" s="95"/>
      <c r="B690" s="808"/>
      <c r="C690" s="808"/>
      <c r="D690" s="808"/>
      <c r="E690" s="809"/>
      <c r="F690" s="120" t="s">
        <v>856</v>
      </c>
      <c r="G690" s="118">
        <f>SUM(G685:G689)</f>
        <v>0</v>
      </c>
    </row>
    <row r="691" spans="1:8" ht="14.25" thickTop="1" thickBot="1">
      <c r="A691" s="95"/>
      <c r="B691" s="810"/>
      <c r="C691" s="810"/>
      <c r="D691" s="810"/>
      <c r="E691" s="810"/>
      <c r="F691" s="810"/>
      <c r="G691" s="834"/>
    </row>
    <row r="692" spans="1:8" ht="13.5" thickTop="1">
      <c r="A692" s="95"/>
      <c r="B692" s="811" t="s">
        <v>326</v>
      </c>
      <c r="C692" s="812"/>
      <c r="D692" s="812"/>
      <c r="E692" s="812"/>
      <c r="F692" s="813"/>
      <c r="G692" s="121">
        <f>+G656+G672+G683</f>
        <v>28174</v>
      </c>
    </row>
    <row r="693" spans="1:8">
      <c r="A693" s="95"/>
      <c r="B693" s="814" t="s">
        <v>861</v>
      </c>
      <c r="C693" s="815"/>
      <c r="D693" s="815"/>
      <c r="E693" s="816"/>
      <c r="F693" s="128">
        <f>'MANO DE OBRA'!D59</f>
        <v>0</v>
      </c>
      <c r="G693" s="122">
        <f>ROUND(G692*F693,0)</f>
        <v>0</v>
      </c>
    </row>
    <row r="694" spans="1:8" ht="13.5" thickBot="1">
      <c r="A694" s="95"/>
      <c r="B694" s="805" t="s">
        <v>1049</v>
      </c>
      <c r="C694" s="806"/>
      <c r="D694" s="806"/>
      <c r="E694" s="806"/>
      <c r="F694" s="807"/>
      <c r="G694" s="118">
        <f>ROUND(G692+G693,-2)</f>
        <v>28200</v>
      </c>
      <c r="H694" s="505" t="s">
        <v>1670</v>
      </c>
    </row>
    <row r="695" spans="1:8" ht="15" thickTop="1">
      <c r="A695" s="95"/>
      <c r="B695" s="90" t="s">
        <v>303</v>
      </c>
      <c r="C695" s="843"/>
      <c r="D695" s="843"/>
      <c r="E695" s="843"/>
      <c r="F695" s="92" t="s">
        <v>781</v>
      </c>
      <c r="G695" s="93" t="s">
        <v>1067</v>
      </c>
    </row>
    <row r="696" spans="1:8">
      <c r="A696" s="95"/>
      <c r="B696" s="91" t="s">
        <v>834</v>
      </c>
      <c r="C696" s="844" t="s">
        <v>1433</v>
      </c>
      <c r="D696" s="844"/>
      <c r="E696" s="844"/>
      <c r="F696" s="15" t="s">
        <v>833</v>
      </c>
      <c r="G696" s="165" t="str">
        <f>'MANO DE OBRA'!D61</f>
        <v>Agosto de 2010</v>
      </c>
    </row>
    <row r="697" spans="1:8" ht="13.5" thickBot="1">
      <c r="A697" s="127"/>
      <c r="B697" s="94" t="s">
        <v>835</v>
      </c>
      <c r="C697" s="845" t="s">
        <v>1445</v>
      </c>
      <c r="D697" s="845"/>
      <c r="E697" s="845"/>
      <c r="F697" s="845"/>
      <c r="G697" s="846"/>
    </row>
    <row r="698" spans="1:8" ht="14.25" thickTop="1" thickBot="1">
      <c r="A698" s="95"/>
      <c r="B698" s="847"/>
      <c r="C698" s="847"/>
      <c r="D698" s="847"/>
      <c r="E698" s="847"/>
      <c r="F698" s="847"/>
      <c r="G698" s="847"/>
    </row>
    <row r="699" spans="1:8" ht="13.5" thickTop="1">
      <c r="A699" s="95"/>
      <c r="B699" s="811" t="s">
        <v>304</v>
      </c>
      <c r="C699" s="812"/>
      <c r="D699" s="812"/>
      <c r="E699" s="812"/>
      <c r="F699" s="812"/>
      <c r="G699" s="825"/>
    </row>
    <row r="700" spans="1:8">
      <c r="A700" s="95"/>
      <c r="B700" s="105"/>
      <c r="C700" s="97"/>
      <c r="D700" s="98" t="s">
        <v>301</v>
      </c>
      <c r="E700" s="98" t="s">
        <v>1072</v>
      </c>
      <c r="F700" s="99" t="s">
        <v>839</v>
      </c>
      <c r="G700" s="107" t="s">
        <v>840</v>
      </c>
    </row>
    <row r="701" spans="1:8">
      <c r="A701" s="95"/>
      <c r="B701" s="821" t="s">
        <v>838</v>
      </c>
      <c r="C701" s="822"/>
      <c r="D701" s="100" t="s">
        <v>308</v>
      </c>
      <c r="E701" s="100" t="s">
        <v>305</v>
      </c>
      <c r="F701" s="101" t="s">
        <v>306</v>
      </c>
      <c r="G701" s="108" t="s">
        <v>310</v>
      </c>
    </row>
    <row r="702" spans="1:8">
      <c r="A702" s="95"/>
      <c r="B702" s="115"/>
      <c r="C702" s="102"/>
      <c r="D702" s="103"/>
      <c r="E702" s="103" t="s">
        <v>309</v>
      </c>
      <c r="F702" s="104" t="s">
        <v>307</v>
      </c>
      <c r="G702" s="109"/>
    </row>
    <row r="703" spans="1:8">
      <c r="A703" s="127"/>
      <c r="B703" s="823" t="str">
        <f>'MAQUINARIA Y EQUIPOS'!C28</f>
        <v>HERRAMIENTAS MENORES</v>
      </c>
      <c r="C703" s="824"/>
      <c r="D703" s="87">
        <v>1</v>
      </c>
      <c r="E703" s="82">
        <f>ROUND(G736*0.05,0)</f>
        <v>630</v>
      </c>
      <c r="F703" s="81">
        <v>1</v>
      </c>
      <c r="G703" s="110">
        <f>ROUND(D703*E703/F703,0)</f>
        <v>630</v>
      </c>
    </row>
    <row r="704" spans="1:8">
      <c r="A704" s="95"/>
      <c r="B704" s="835"/>
      <c r="C704" s="836"/>
      <c r="D704" s="37"/>
      <c r="E704" s="129"/>
      <c r="F704" s="83"/>
      <c r="G704" s="111"/>
    </row>
    <row r="705" spans="1:7">
      <c r="A705" s="95"/>
      <c r="B705" s="835"/>
      <c r="C705" s="836"/>
      <c r="D705" s="37"/>
      <c r="E705" s="129"/>
      <c r="F705" s="83"/>
      <c r="G705" s="111"/>
    </row>
    <row r="706" spans="1:7">
      <c r="A706" s="95"/>
      <c r="B706" s="835"/>
      <c r="C706" s="836"/>
      <c r="D706" s="89"/>
      <c r="E706" s="82"/>
      <c r="F706" s="83"/>
      <c r="G706" s="111"/>
    </row>
    <row r="707" spans="1:7">
      <c r="A707" s="95"/>
      <c r="B707" s="835" t="s">
        <v>841</v>
      </c>
      <c r="C707" s="836"/>
      <c r="D707" s="37"/>
      <c r="E707" s="82"/>
      <c r="F707" s="83"/>
      <c r="G707" s="111"/>
    </row>
    <row r="708" spans="1:7" ht="13.5" thickBot="1">
      <c r="A708" s="95"/>
      <c r="B708" s="839" t="s">
        <v>841</v>
      </c>
      <c r="C708" s="840"/>
      <c r="D708" s="77"/>
      <c r="E708" s="106"/>
      <c r="F708" s="86"/>
      <c r="G708" s="112"/>
    </row>
    <row r="709" spans="1:7" ht="14.25" thickTop="1" thickBot="1">
      <c r="A709" s="95"/>
      <c r="B709" s="808"/>
      <c r="C709" s="808"/>
      <c r="D709" s="808"/>
      <c r="E709" s="809"/>
      <c r="F709" s="119" t="s">
        <v>856</v>
      </c>
      <c r="G709" s="118">
        <f>SUM(G703:G708)</f>
        <v>630</v>
      </c>
    </row>
    <row r="710" spans="1:7" ht="14.25" thickTop="1" thickBot="1">
      <c r="A710" s="95"/>
      <c r="B710" s="830"/>
      <c r="C710" s="830"/>
      <c r="D710" s="830"/>
      <c r="E710" s="830"/>
      <c r="F710" s="830"/>
      <c r="G710" s="830"/>
    </row>
    <row r="711" spans="1:7" ht="13.5" thickTop="1">
      <c r="A711" s="95"/>
      <c r="B711" s="811" t="s">
        <v>311</v>
      </c>
      <c r="C711" s="812"/>
      <c r="D711" s="812"/>
      <c r="E711" s="812"/>
      <c r="F711" s="812"/>
      <c r="G711" s="825"/>
    </row>
    <row r="712" spans="1:7">
      <c r="A712" s="95"/>
      <c r="B712" s="817" t="s">
        <v>838</v>
      </c>
      <c r="C712" s="818"/>
      <c r="D712" s="98" t="s">
        <v>842</v>
      </c>
      <c r="E712" s="98" t="s">
        <v>853</v>
      </c>
      <c r="F712" s="99" t="s">
        <v>1047</v>
      </c>
      <c r="G712" s="107" t="s">
        <v>840</v>
      </c>
    </row>
    <row r="713" spans="1:7">
      <c r="A713" s="95"/>
      <c r="B713" s="115"/>
      <c r="C713" s="102"/>
      <c r="D713" s="103"/>
      <c r="E713" s="100" t="s">
        <v>312</v>
      </c>
      <c r="F713" s="101" t="s">
        <v>313</v>
      </c>
      <c r="G713" s="108" t="s">
        <v>314</v>
      </c>
    </row>
    <row r="714" spans="1:7" ht="14.25">
      <c r="A714" s="125"/>
      <c r="B714" s="841" t="str">
        <f>MATERIALES2!C107</f>
        <v>BALDOSIN DE CEMENTO UN TONO</v>
      </c>
      <c r="C714" s="842"/>
      <c r="D714" s="37" t="s">
        <v>1067</v>
      </c>
      <c r="E714" s="81">
        <v>1</v>
      </c>
      <c r="F714" s="80">
        <f>MATERIALES2!E107</f>
        <v>10000</v>
      </c>
      <c r="G714" s="110">
        <f>ROUND(E714*F714,0)</f>
        <v>10000</v>
      </c>
    </row>
    <row r="715" spans="1:7">
      <c r="A715" s="123"/>
      <c r="B715" s="854" t="str">
        <f>MATERIALES2!C13</f>
        <v>CEMENTO GRIS</v>
      </c>
      <c r="C715" s="855"/>
      <c r="D715" s="37" t="s">
        <v>925</v>
      </c>
      <c r="E715" s="141">
        <v>7.28</v>
      </c>
      <c r="F715" s="82">
        <f>MATERIALES2!E13</f>
        <v>420</v>
      </c>
      <c r="G715" s="111">
        <f>ROUND(E715*F715,0)</f>
        <v>3058</v>
      </c>
    </row>
    <row r="716" spans="1:7">
      <c r="A716" s="123"/>
      <c r="B716" s="854" t="str">
        <f>MATERIALES2!C12</f>
        <v>CEMENTO BLANCO</v>
      </c>
      <c r="C716" s="855"/>
      <c r="D716" s="37" t="s">
        <v>925</v>
      </c>
      <c r="E716" s="141">
        <v>1.5</v>
      </c>
      <c r="F716" s="82">
        <f>MATERIALES2!E12</f>
        <v>750</v>
      </c>
      <c r="G716" s="111">
        <f>ROUND(E716*F716,0)</f>
        <v>1125</v>
      </c>
    </row>
    <row r="717" spans="1:7" ht="14.25">
      <c r="A717" s="123"/>
      <c r="B717" s="854" t="str">
        <f>MATERIALES2!C20</f>
        <v xml:space="preserve">ARENA </v>
      </c>
      <c r="C717" s="855"/>
      <c r="D717" s="37" t="s">
        <v>1066</v>
      </c>
      <c r="E717" s="141">
        <v>2.3E-2</v>
      </c>
      <c r="F717" s="82">
        <f>MATERIALES2!E20</f>
        <v>35000</v>
      </c>
      <c r="G717" s="111">
        <f>ROUND(E717*F717,0)</f>
        <v>805</v>
      </c>
    </row>
    <row r="718" spans="1:7">
      <c r="A718" s="123"/>
      <c r="B718" s="854" t="str">
        <f>MATERIALES2!C28</f>
        <v>AGUA</v>
      </c>
      <c r="C718" s="855"/>
      <c r="D718" s="37" t="s">
        <v>1071</v>
      </c>
      <c r="E718" s="141">
        <v>4.74</v>
      </c>
      <c r="F718" s="82">
        <f>MATERIALES2!E28</f>
        <v>50</v>
      </c>
      <c r="G718" s="111">
        <f>ROUND(E718*F718,0)</f>
        <v>237</v>
      </c>
    </row>
    <row r="719" spans="1:7">
      <c r="A719" s="95"/>
      <c r="B719" s="854"/>
      <c r="C719" s="855"/>
      <c r="D719" s="37"/>
      <c r="E719" s="53"/>
      <c r="F719" s="82"/>
      <c r="G719" s="111"/>
    </row>
    <row r="720" spans="1:7">
      <c r="A720" s="95"/>
      <c r="B720" s="854"/>
      <c r="C720" s="855"/>
      <c r="D720" s="37"/>
      <c r="E720" s="53"/>
      <c r="F720" s="82"/>
      <c r="G720" s="111"/>
    </row>
    <row r="721" spans="1:8">
      <c r="A721" s="95"/>
      <c r="B721" s="938" t="s">
        <v>841</v>
      </c>
      <c r="C721" s="939"/>
      <c r="D721" s="53" t="s">
        <v>841</v>
      </c>
      <c r="E721" s="53"/>
      <c r="F721" s="82"/>
      <c r="G721" s="111"/>
      <c r="H721" s="505" t="s">
        <v>1670</v>
      </c>
    </row>
    <row r="722" spans="1:8" ht="13.5" thickBot="1">
      <c r="A722" s="95"/>
      <c r="B722" s="942" t="s">
        <v>841</v>
      </c>
      <c r="C722" s="943"/>
      <c r="D722" s="84" t="s">
        <v>841</v>
      </c>
      <c r="E722" s="84"/>
      <c r="F722" s="85"/>
      <c r="G722" s="112"/>
    </row>
    <row r="723" spans="1:8" ht="13.5" thickTop="1">
      <c r="A723" s="95"/>
      <c r="B723" s="808"/>
      <c r="C723" s="809"/>
      <c r="D723" s="801" t="s">
        <v>856</v>
      </c>
      <c r="E723" s="802"/>
      <c r="F723" s="9"/>
      <c r="G723" s="113">
        <f>SUM(G714:G722)</f>
        <v>15225</v>
      </c>
    </row>
    <row r="724" spans="1:8">
      <c r="A724" s="95"/>
      <c r="B724" s="819"/>
      <c r="C724" s="820"/>
      <c r="D724" s="801" t="s">
        <v>857</v>
      </c>
      <c r="E724" s="802"/>
      <c r="F724" s="79">
        <f>'MANO DE OBRA'!D60</f>
        <v>0.05</v>
      </c>
      <c r="G724" s="113">
        <f>ROUND(G723*F724,0)</f>
        <v>761</v>
      </c>
    </row>
    <row r="725" spans="1:8" ht="13.5" thickBot="1">
      <c r="A725" s="95"/>
      <c r="B725" s="819"/>
      <c r="C725" s="820"/>
      <c r="D725" s="803" t="s">
        <v>320</v>
      </c>
      <c r="E725" s="804"/>
      <c r="F725" s="114"/>
      <c r="G725" s="118">
        <f>+G723+G724</f>
        <v>15986</v>
      </c>
    </row>
    <row r="726" spans="1:8" ht="14.25" thickTop="1" thickBot="1">
      <c r="A726" s="95"/>
      <c r="B726" s="830"/>
      <c r="C726" s="830"/>
      <c r="D726" s="830"/>
      <c r="E726" s="830"/>
      <c r="F726" s="830"/>
      <c r="G726" s="830"/>
    </row>
    <row r="727" spans="1:8" ht="13.5" thickTop="1">
      <c r="A727" s="95"/>
      <c r="B727" s="811" t="s">
        <v>858</v>
      </c>
      <c r="C727" s="812"/>
      <c r="D727" s="812"/>
      <c r="E727" s="812"/>
      <c r="F727" s="812"/>
      <c r="G727" s="825"/>
    </row>
    <row r="728" spans="1:8">
      <c r="A728" s="95"/>
      <c r="B728" s="817"/>
      <c r="C728" s="818"/>
      <c r="D728" s="98" t="s">
        <v>301</v>
      </c>
      <c r="E728" s="98" t="s">
        <v>859</v>
      </c>
      <c r="F728" s="99" t="s">
        <v>839</v>
      </c>
      <c r="G728" s="107" t="s">
        <v>840</v>
      </c>
    </row>
    <row r="729" spans="1:8">
      <c r="A729" s="95"/>
      <c r="B729" s="821" t="s">
        <v>838</v>
      </c>
      <c r="C729" s="822"/>
      <c r="D729" s="100" t="s">
        <v>316</v>
      </c>
      <c r="E729" s="100" t="s">
        <v>315</v>
      </c>
      <c r="F729" s="101" t="s">
        <v>306</v>
      </c>
      <c r="G729" s="108" t="s">
        <v>319</v>
      </c>
    </row>
    <row r="730" spans="1:8">
      <c r="A730" s="95"/>
      <c r="B730" s="115"/>
      <c r="C730" s="102"/>
      <c r="D730" s="103"/>
      <c r="E730" s="103" t="s">
        <v>317</v>
      </c>
      <c r="F730" s="104" t="s">
        <v>318</v>
      </c>
      <c r="G730" s="109"/>
    </row>
    <row r="731" spans="1:8">
      <c r="A731" s="95"/>
      <c r="B731" s="823" t="str">
        <f>'MANO DE OBRA'!B10</f>
        <v>AYUDANTE CUAD. TIPO AA</v>
      </c>
      <c r="C731" s="824"/>
      <c r="D731" s="87">
        <v>1</v>
      </c>
      <c r="E731" s="80">
        <f>'MANO DE OBRA'!E10</f>
        <v>34680</v>
      </c>
      <c r="F731" s="81">
        <v>8.42</v>
      </c>
      <c r="G731" s="110">
        <f>ROUND(D731*E731/F731,0)</f>
        <v>4119</v>
      </c>
    </row>
    <row r="732" spans="1:8">
      <c r="A732" s="95"/>
      <c r="B732" s="835" t="str">
        <f>'MANO DE OBRA'!B15</f>
        <v xml:space="preserve">OFICIAL CUAD. TIPO AA </v>
      </c>
      <c r="C732" s="836"/>
      <c r="D732" s="37">
        <v>1</v>
      </c>
      <c r="E732" s="82">
        <f>'MANO DE OBRA'!E15</f>
        <v>71474</v>
      </c>
      <c r="F732" s="83">
        <v>8.42</v>
      </c>
      <c r="G732" s="111">
        <f>ROUND(D732*E732/F732,0)</f>
        <v>8489</v>
      </c>
    </row>
    <row r="733" spans="1:8">
      <c r="A733" s="95"/>
      <c r="B733" s="835"/>
      <c r="C733" s="836"/>
      <c r="D733" s="89"/>
      <c r="E733" s="82"/>
      <c r="F733" s="83"/>
      <c r="G733" s="111"/>
    </row>
    <row r="734" spans="1:8">
      <c r="A734" s="95"/>
      <c r="B734" s="835" t="s">
        <v>841</v>
      </c>
      <c r="C734" s="836"/>
      <c r="D734" s="37"/>
      <c r="E734" s="82"/>
      <c r="F734" s="83"/>
      <c r="G734" s="111"/>
    </row>
    <row r="735" spans="1:8" ht="13.5" thickBot="1">
      <c r="A735" s="95"/>
      <c r="B735" s="828" t="s">
        <v>841</v>
      </c>
      <c r="C735" s="829"/>
      <c r="D735" s="77"/>
      <c r="E735" s="82"/>
      <c r="F735" s="86"/>
      <c r="G735" s="112"/>
    </row>
    <row r="736" spans="1:8" ht="14.25" thickTop="1" thickBot="1">
      <c r="A736" s="95"/>
      <c r="B736" s="808"/>
      <c r="C736" s="808"/>
      <c r="D736" s="808"/>
      <c r="E736" s="809"/>
      <c r="F736" s="120" t="s">
        <v>856</v>
      </c>
      <c r="G736" s="118">
        <f>SUM(G731:G735)</f>
        <v>12608</v>
      </c>
    </row>
    <row r="737" spans="1:8" ht="14.25" thickTop="1" thickBot="1">
      <c r="A737" s="95"/>
      <c r="B737" s="810"/>
      <c r="C737" s="810"/>
      <c r="D737" s="810"/>
      <c r="E737" s="810"/>
      <c r="F737" s="810"/>
      <c r="G737" s="810"/>
    </row>
    <row r="738" spans="1:8" ht="13.5" thickTop="1">
      <c r="A738" s="95"/>
      <c r="B738" s="811" t="s">
        <v>321</v>
      </c>
      <c r="C738" s="812"/>
      <c r="D738" s="812"/>
      <c r="E738" s="812"/>
      <c r="F738" s="812"/>
      <c r="G738" s="825"/>
    </row>
    <row r="739" spans="1:8">
      <c r="A739" s="95"/>
      <c r="B739" s="817" t="s">
        <v>838</v>
      </c>
      <c r="C739" s="818"/>
      <c r="D739" s="98" t="s">
        <v>301</v>
      </c>
      <c r="E739" s="98" t="s">
        <v>297</v>
      </c>
      <c r="F739" s="99" t="s">
        <v>839</v>
      </c>
      <c r="G739" s="107" t="s">
        <v>840</v>
      </c>
    </row>
    <row r="740" spans="1:8">
      <c r="A740" s="95"/>
      <c r="B740" s="115"/>
      <c r="C740" s="102"/>
      <c r="D740" s="103" t="s">
        <v>322</v>
      </c>
      <c r="E740" s="103" t="s">
        <v>323</v>
      </c>
      <c r="F740" s="104" t="s">
        <v>324</v>
      </c>
      <c r="G740" s="109" t="s">
        <v>325</v>
      </c>
    </row>
    <row r="741" spans="1:8">
      <c r="A741" s="95"/>
      <c r="B741" s="826"/>
      <c r="C741" s="827"/>
      <c r="D741" s="96"/>
      <c r="E741" s="96"/>
      <c r="F741" s="96"/>
      <c r="G741" s="116"/>
    </row>
    <row r="742" spans="1:8" ht="13.5" thickBot="1">
      <c r="A742" s="95"/>
      <c r="B742" s="828" t="s">
        <v>841</v>
      </c>
      <c r="C742" s="829"/>
      <c r="D742" s="77"/>
      <c r="E742" s="82"/>
      <c r="F742" s="86"/>
      <c r="G742" s="112"/>
    </row>
    <row r="743" spans="1:8" ht="14.25" thickTop="1" thickBot="1">
      <c r="A743" s="95"/>
      <c r="B743" s="808"/>
      <c r="C743" s="808"/>
      <c r="D743" s="808"/>
      <c r="E743" s="809"/>
      <c r="F743" s="120" t="s">
        <v>856</v>
      </c>
      <c r="G743" s="118">
        <f>SUM(G738:G742)</f>
        <v>0</v>
      </c>
    </row>
    <row r="744" spans="1:8" ht="14.25" thickTop="1" thickBot="1">
      <c r="A744" s="95"/>
      <c r="B744" s="810"/>
      <c r="C744" s="810"/>
      <c r="D744" s="810"/>
      <c r="E744" s="810"/>
      <c r="F744" s="810"/>
      <c r="G744" s="834"/>
    </row>
    <row r="745" spans="1:8" ht="13.5" thickTop="1">
      <c r="A745" s="95"/>
      <c r="B745" s="811" t="s">
        <v>326</v>
      </c>
      <c r="C745" s="812"/>
      <c r="D745" s="812"/>
      <c r="E745" s="812"/>
      <c r="F745" s="813"/>
      <c r="G745" s="121">
        <f>+G709+G725+G736</f>
        <v>29224</v>
      </c>
    </row>
    <row r="746" spans="1:8">
      <c r="A746" s="95"/>
      <c r="B746" s="814" t="s">
        <v>861</v>
      </c>
      <c r="C746" s="815"/>
      <c r="D746" s="815"/>
      <c r="E746" s="816"/>
      <c r="F746" s="128">
        <f>'MANO DE OBRA'!D59</f>
        <v>0</v>
      </c>
      <c r="G746" s="122">
        <f>ROUND(G745*F746,0)</f>
        <v>0</v>
      </c>
    </row>
    <row r="747" spans="1:8" ht="13.5" thickBot="1">
      <c r="A747" s="95"/>
      <c r="B747" s="805" t="s">
        <v>1049</v>
      </c>
      <c r="C747" s="806"/>
      <c r="D747" s="806"/>
      <c r="E747" s="806"/>
      <c r="F747" s="807"/>
      <c r="G747" s="118">
        <f>ROUND(G745+G746,-2)</f>
        <v>29200</v>
      </c>
      <c r="H747" s="505" t="s">
        <v>1670</v>
      </c>
    </row>
    <row r="748" spans="1:8" ht="13.5" thickTop="1">
      <c r="A748" s="95"/>
      <c r="B748" s="90" t="s">
        <v>303</v>
      </c>
      <c r="C748" s="843"/>
      <c r="D748" s="843"/>
      <c r="E748" s="843"/>
      <c r="F748" s="92" t="s">
        <v>781</v>
      </c>
      <c r="G748" s="93" t="s">
        <v>831</v>
      </c>
    </row>
    <row r="749" spans="1:8">
      <c r="A749" s="95"/>
      <c r="B749" s="91" t="s">
        <v>834</v>
      </c>
      <c r="C749" s="844" t="s">
        <v>1433</v>
      </c>
      <c r="D749" s="844"/>
      <c r="E749" s="844"/>
      <c r="F749" s="15" t="s">
        <v>833</v>
      </c>
      <c r="G749" s="165" t="str">
        <f>'MANO DE OBRA'!D61</f>
        <v>Agosto de 2010</v>
      </c>
    </row>
    <row r="750" spans="1:8" ht="13.5" thickBot="1">
      <c r="A750" s="127"/>
      <c r="B750" s="94" t="s">
        <v>835</v>
      </c>
      <c r="C750" s="845" t="s">
        <v>1449</v>
      </c>
      <c r="D750" s="845"/>
      <c r="E750" s="845"/>
      <c r="F750" s="845"/>
      <c r="G750" s="846"/>
    </row>
    <row r="751" spans="1:8" ht="14.25" thickTop="1" thickBot="1">
      <c r="A751" s="95"/>
      <c r="B751" s="847"/>
      <c r="C751" s="847"/>
      <c r="D751" s="847"/>
      <c r="E751" s="847"/>
      <c r="F751" s="847"/>
      <c r="G751" s="847"/>
    </row>
    <row r="752" spans="1:8" ht="13.5" thickTop="1">
      <c r="A752" s="95"/>
      <c r="B752" s="811" t="s">
        <v>304</v>
      </c>
      <c r="C752" s="812"/>
      <c r="D752" s="812"/>
      <c r="E752" s="812"/>
      <c r="F752" s="812"/>
      <c r="G752" s="825"/>
    </row>
    <row r="753" spans="1:7">
      <c r="A753" s="95"/>
      <c r="B753" s="105"/>
      <c r="C753" s="97"/>
      <c r="D753" s="98" t="s">
        <v>301</v>
      </c>
      <c r="E753" s="98" t="s">
        <v>1072</v>
      </c>
      <c r="F753" s="99" t="s">
        <v>839</v>
      </c>
      <c r="G753" s="107" t="s">
        <v>840</v>
      </c>
    </row>
    <row r="754" spans="1:7">
      <c r="A754" s="95"/>
      <c r="B754" s="821" t="s">
        <v>838</v>
      </c>
      <c r="C754" s="822"/>
      <c r="D754" s="100" t="s">
        <v>308</v>
      </c>
      <c r="E754" s="100" t="s">
        <v>305</v>
      </c>
      <c r="F754" s="101" t="s">
        <v>306</v>
      </c>
      <c r="G754" s="108" t="s">
        <v>310</v>
      </c>
    </row>
    <row r="755" spans="1:7">
      <c r="A755" s="95"/>
      <c r="B755" s="115"/>
      <c r="C755" s="102"/>
      <c r="D755" s="103"/>
      <c r="E755" s="103" t="s">
        <v>309</v>
      </c>
      <c r="F755" s="104" t="s">
        <v>307</v>
      </c>
      <c r="G755" s="109"/>
    </row>
    <row r="756" spans="1:7">
      <c r="A756" s="127"/>
      <c r="B756" s="823" t="str">
        <f>'MAQUINARIA Y EQUIPOS'!C28</f>
        <v>HERRAMIENTAS MENORES</v>
      </c>
      <c r="C756" s="824"/>
      <c r="D756" s="87">
        <v>1</v>
      </c>
      <c r="E756" s="82">
        <f>ROUND(G789*0.05,0)</f>
        <v>663</v>
      </c>
      <c r="F756" s="81">
        <v>1</v>
      </c>
      <c r="G756" s="110">
        <f>ROUND(D756*E756/F756,0)</f>
        <v>663</v>
      </c>
    </row>
    <row r="757" spans="1:7">
      <c r="A757" s="95"/>
      <c r="B757" s="835"/>
      <c r="C757" s="836"/>
      <c r="D757" s="37"/>
      <c r="E757" s="129"/>
      <c r="F757" s="83"/>
      <c r="G757" s="111"/>
    </row>
    <row r="758" spans="1:7">
      <c r="A758" s="95"/>
      <c r="B758" s="835"/>
      <c r="C758" s="836"/>
      <c r="D758" s="37"/>
      <c r="E758" s="129"/>
      <c r="F758" s="83"/>
      <c r="G758" s="111"/>
    </row>
    <row r="759" spans="1:7">
      <c r="A759" s="95"/>
      <c r="B759" s="835"/>
      <c r="C759" s="836"/>
      <c r="D759" s="89"/>
      <c r="E759" s="82"/>
      <c r="F759" s="83"/>
      <c r="G759" s="111"/>
    </row>
    <row r="760" spans="1:7">
      <c r="A760" s="95"/>
      <c r="B760" s="835" t="s">
        <v>841</v>
      </c>
      <c r="C760" s="836"/>
      <c r="D760" s="37"/>
      <c r="E760" s="82"/>
      <c r="F760" s="83"/>
      <c r="G760" s="111"/>
    </row>
    <row r="761" spans="1:7" ht="13.5" thickBot="1">
      <c r="A761" s="95"/>
      <c r="B761" s="839" t="s">
        <v>841</v>
      </c>
      <c r="C761" s="840"/>
      <c r="D761" s="77"/>
      <c r="E761" s="106"/>
      <c r="F761" s="86"/>
      <c r="G761" s="112"/>
    </row>
    <row r="762" spans="1:7" ht="14.25" thickTop="1" thickBot="1">
      <c r="A762" s="95"/>
      <c r="B762" s="808"/>
      <c r="C762" s="808"/>
      <c r="D762" s="808"/>
      <c r="E762" s="809"/>
      <c r="F762" s="119" t="s">
        <v>856</v>
      </c>
      <c r="G762" s="118">
        <f>SUM(G756:G761)</f>
        <v>663</v>
      </c>
    </row>
    <row r="763" spans="1:7" ht="14.25" thickTop="1" thickBot="1">
      <c r="A763" s="95"/>
      <c r="B763" s="830"/>
      <c r="C763" s="830"/>
      <c r="D763" s="830"/>
      <c r="E763" s="830"/>
      <c r="F763" s="830"/>
      <c r="G763" s="830"/>
    </row>
    <row r="764" spans="1:7" ht="13.5" thickTop="1">
      <c r="A764" s="95"/>
      <c r="B764" s="811" t="s">
        <v>311</v>
      </c>
      <c r="C764" s="812"/>
      <c r="D764" s="812"/>
      <c r="E764" s="812"/>
      <c r="F764" s="812"/>
      <c r="G764" s="825"/>
    </row>
    <row r="765" spans="1:7">
      <c r="A765" s="95"/>
      <c r="B765" s="817" t="s">
        <v>838</v>
      </c>
      <c r="C765" s="818"/>
      <c r="D765" s="98" t="s">
        <v>842</v>
      </c>
      <c r="E765" s="98" t="s">
        <v>853</v>
      </c>
      <c r="F765" s="99" t="s">
        <v>1047</v>
      </c>
      <c r="G765" s="107" t="s">
        <v>840</v>
      </c>
    </row>
    <row r="766" spans="1:7">
      <c r="A766" s="95"/>
      <c r="B766" s="115"/>
      <c r="C766" s="102"/>
      <c r="D766" s="103"/>
      <c r="E766" s="100" t="s">
        <v>312</v>
      </c>
      <c r="F766" s="101" t="s">
        <v>313</v>
      </c>
      <c r="G766" s="108" t="s">
        <v>314</v>
      </c>
    </row>
    <row r="767" spans="1:7">
      <c r="A767" s="125"/>
      <c r="B767" s="841" t="str">
        <f>MATERIALES2!C131</f>
        <v>GRAVILLA 65 KG</v>
      </c>
      <c r="C767" s="842"/>
      <c r="D767" s="37" t="s">
        <v>903</v>
      </c>
      <c r="E767" s="81">
        <v>0.28000000000000003</v>
      </c>
      <c r="F767" s="80">
        <f>MATERIALES2!E131</f>
        <v>12000</v>
      </c>
      <c r="G767" s="110">
        <f>ROUND(E767*F767,0)</f>
        <v>3360</v>
      </c>
    </row>
    <row r="768" spans="1:7">
      <c r="A768" s="123"/>
      <c r="B768" s="854" t="str">
        <f>MATERIALES2!C13</f>
        <v>CEMENTO GRIS</v>
      </c>
      <c r="C768" s="855"/>
      <c r="D768" s="37" t="s">
        <v>925</v>
      </c>
      <c r="E768" s="141">
        <v>0.7</v>
      </c>
      <c r="F768" s="82">
        <f>MATERIALES2!E13</f>
        <v>420</v>
      </c>
      <c r="G768" s="111">
        <f>ROUND(E768*F768,0)</f>
        <v>294</v>
      </c>
    </row>
    <row r="769" spans="1:8" ht="14.25">
      <c r="A769" s="123"/>
      <c r="B769" s="854" t="str">
        <f>MATERIALES2!C20</f>
        <v xml:space="preserve">ARENA </v>
      </c>
      <c r="C769" s="855"/>
      <c r="D769" s="37" t="s">
        <v>1066</v>
      </c>
      <c r="E769" s="141">
        <v>0.01</v>
      </c>
      <c r="F769" s="82">
        <f>MATERIALES2!E20</f>
        <v>35000</v>
      </c>
      <c r="G769" s="111">
        <f>ROUND(E769*F769,0)</f>
        <v>350</v>
      </c>
    </row>
    <row r="770" spans="1:8">
      <c r="A770" s="123"/>
      <c r="B770" s="854" t="str">
        <f>MATERIALES2!C28</f>
        <v>AGUA</v>
      </c>
      <c r="C770" s="855"/>
      <c r="D770" s="37" t="s">
        <v>1071</v>
      </c>
      <c r="E770" s="141">
        <v>0.32</v>
      </c>
      <c r="F770" s="82">
        <f>MATERIALES2!E28</f>
        <v>50</v>
      </c>
      <c r="G770" s="111">
        <f>ROUND(E770*F770,0)</f>
        <v>16</v>
      </c>
    </row>
    <row r="771" spans="1:8">
      <c r="A771" s="123"/>
      <c r="B771" s="854"/>
      <c r="C771" s="855"/>
      <c r="D771" s="37"/>
      <c r="E771" s="141"/>
      <c r="F771" s="82"/>
      <c r="G771" s="111"/>
    </row>
    <row r="772" spans="1:8">
      <c r="A772" s="95"/>
      <c r="B772" s="854"/>
      <c r="C772" s="855"/>
      <c r="D772" s="37"/>
      <c r="E772" s="53"/>
      <c r="F772" s="82"/>
      <c r="G772" s="111"/>
    </row>
    <row r="773" spans="1:8">
      <c r="A773" s="95"/>
      <c r="B773" s="854"/>
      <c r="C773" s="855"/>
      <c r="D773" s="37"/>
      <c r="E773" s="53"/>
      <c r="F773" s="82"/>
      <c r="G773" s="111"/>
    </row>
    <row r="774" spans="1:8">
      <c r="A774" s="95"/>
      <c r="B774" s="938" t="s">
        <v>841</v>
      </c>
      <c r="C774" s="939"/>
      <c r="D774" s="53" t="s">
        <v>841</v>
      </c>
      <c r="E774" s="53"/>
      <c r="F774" s="82"/>
      <c r="G774" s="111"/>
      <c r="H774" s="505" t="s">
        <v>1670</v>
      </c>
    </row>
    <row r="775" spans="1:8" ht="13.5" thickBot="1">
      <c r="A775" s="95"/>
      <c r="B775" s="942" t="s">
        <v>841</v>
      </c>
      <c r="C775" s="943"/>
      <c r="D775" s="84" t="s">
        <v>841</v>
      </c>
      <c r="E775" s="84"/>
      <c r="F775" s="85"/>
      <c r="G775" s="112"/>
    </row>
    <row r="776" spans="1:8" ht="13.5" thickTop="1">
      <c r="A776" s="95"/>
      <c r="B776" s="808"/>
      <c r="C776" s="809"/>
      <c r="D776" s="801" t="s">
        <v>856</v>
      </c>
      <c r="E776" s="802"/>
      <c r="F776" s="9"/>
      <c r="G776" s="113">
        <f>SUM(G767:G775)</f>
        <v>4020</v>
      </c>
    </row>
    <row r="777" spans="1:8">
      <c r="A777" s="95"/>
      <c r="B777" s="819"/>
      <c r="C777" s="820"/>
      <c r="D777" s="801" t="s">
        <v>857</v>
      </c>
      <c r="E777" s="802"/>
      <c r="F777" s="79">
        <f>'MANO DE OBRA'!D60</f>
        <v>0.05</v>
      </c>
      <c r="G777" s="113">
        <f>ROUND(G776*F777,0)</f>
        <v>201</v>
      </c>
    </row>
    <row r="778" spans="1:8" ht="13.5" thickBot="1">
      <c r="A778" s="95"/>
      <c r="B778" s="819"/>
      <c r="C778" s="820"/>
      <c r="D778" s="803" t="s">
        <v>320</v>
      </c>
      <c r="E778" s="804"/>
      <c r="F778" s="114"/>
      <c r="G778" s="118">
        <f>+G776+G777</f>
        <v>4221</v>
      </c>
    </row>
    <row r="779" spans="1:8" ht="14.25" thickTop="1" thickBot="1">
      <c r="A779" s="95"/>
      <c r="B779" s="830"/>
      <c r="C779" s="830"/>
      <c r="D779" s="830"/>
      <c r="E779" s="830"/>
      <c r="F779" s="830"/>
      <c r="G779" s="830"/>
    </row>
    <row r="780" spans="1:8" ht="13.5" thickTop="1">
      <c r="A780" s="95"/>
      <c r="B780" s="811" t="s">
        <v>858</v>
      </c>
      <c r="C780" s="812"/>
      <c r="D780" s="812"/>
      <c r="E780" s="812"/>
      <c r="F780" s="812"/>
      <c r="G780" s="825"/>
    </row>
    <row r="781" spans="1:8">
      <c r="A781" s="95"/>
      <c r="B781" s="817"/>
      <c r="C781" s="818"/>
      <c r="D781" s="98" t="s">
        <v>301</v>
      </c>
      <c r="E781" s="98" t="s">
        <v>859</v>
      </c>
      <c r="F781" s="99" t="s">
        <v>839</v>
      </c>
      <c r="G781" s="107" t="s">
        <v>840</v>
      </c>
    </row>
    <row r="782" spans="1:8">
      <c r="A782" s="95"/>
      <c r="B782" s="821" t="s">
        <v>838</v>
      </c>
      <c r="C782" s="822"/>
      <c r="D782" s="100" t="s">
        <v>316</v>
      </c>
      <c r="E782" s="100" t="s">
        <v>315</v>
      </c>
      <c r="F782" s="101" t="s">
        <v>306</v>
      </c>
      <c r="G782" s="108" t="s">
        <v>319</v>
      </c>
    </row>
    <row r="783" spans="1:8">
      <c r="A783" s="95"/>
      <c r="B783" s="115"/>
      <c r="C783" s="102"/>
      <c r="D783" s="103"/>
      <c r="E783" s="103" t="s">
        <v>317</v>
      </c>
      <c r="F783" s="104" t="s">
        <v>318</v>
      </c>
      <c r="G783" s="109"/>
    </row>
    <row r="784" spans="1:8">
      <c r="A784" s="95"/>
      <c r="B784" s="823" t="str">
        <f>'MANO DE OBRA'!B10</f>
        <v>AYUDANTE CUAD. TIPO AA</v>
      </c>
      <c r="C784" s="824"/>
      <c r="D784" s="87">
        <v>1</v>
      </c>
      <c r="E784" s="80">
        <f>'MANO DE OBRA'!E10</f>
        <v>34680</v>
      </c>
      <c r="F784" s="81">
        <v>8</v>
      </c>
      <c r="G784" s="110">
        <f>ROUND(D784*E784/F784,0)</f>
        <v>4335</v>
      </c>
    </row>
    <row r="785" spans="1:8">
      <c r="A785" s="95"/>
      <c r="B785" s="835" t="str">
        <f>'MANO DE OBRA'!B15</f>
        <v xml:space="preserve">OFICIAL CUAD. TIPO AA </v>
      </c>
      <c r="C785" s="836"/>
      <c r="D785" s="37">
        <v>1</v>
      </c>
      <c r="E785" s="82">
        <f>'MANO DE OBRA'!E15</f>
        <v>71474</v>
      </c>
      <c r="F785" s="83">
        <v>8</v>
      </c>
      <c r="G785" s="111">
        <f>ROUND(D785*E785/F785,0)</f>
        <v>8934</v>
      </c>
    </row>
    <row r="786" spans="1:8">
      <c r="A786" s="95"/>
      <c r="B786" s="835"/>
      <c r="C786" s="836"/>
      <c r="D786" s="89"/>
      <c r="E786" s="82"/>
      <c r="F786" s="83"/>
      <c r="G786" s="111"/>
    </row>
    <row r="787" spans="1:8">
      <c r="A787" s="95"/>
      <c r="B787" s="835" t="s">
        <v>841</v>
      </c>
      <c r="C787" s="836"/>
      <c r="D787" s="37"/>
      <c r="E787" s="82"/>
      <c r="F787" s="83"/>
      <c r="G787" s="111"/>
    </row>
    <row r="788" spans="1:8" ht="13.5" thickBot="1">
      <c r="A788" s="95"/>
      <c r="B788" s="828" t="s">
        <v>841</v>
      </c>
      <c r="C788" s="829"/>
      <c r="D788" s="77"/>
      <c r="E788" s="82"/>
      <c r="F788" s="86"/>
      <c r="G788" s="112"/>
    </row>
    <row r="789" spans="1:8" ht="14.25" thickTop="1" thickBot="1">
      <c r="A789" s="95"/>
      <c r="B789" s="808"/>
      <c r="C789" s="808"/>
      <c r="D789" s="808"/>
      <c r="E789" s="809"/>
      <c r="F789" s="120" t="s">
        <v>856</v>
      </c>
      <c r="G789" s="118">
        <f>SUM(G784:G788)</f>
        <v>13269</v>
      </c>
    </row>
    <row r="790" spans="1:8" ht="14.25" thickTop="1" thickBot="1">
      <c r="A790" s="95"/>
      <c r="B790" s="810"/>
      <c r="C790" s="810"/>
      <c r="D790" s="810"/>
      <c r="E790" s="810"/>
      <c r="F790" s="810"/>
      <c r="G790" s="810"/>
    </row>
    <row r="791" spans="1:8" ht="13.5" thickTop="1">
      <c r="A791" s="95"/>
      <c r="B791" s="811" t="s">
        <v>321</v>
      </c>
      <c r="C791" s="812"/>
      <c r="D791" s="812"/>
      <c r="E791" s="812"/>
      <c r="F791" s="812"/>
      <c r="G791" s="825"/>
    </row>
    <row r="792" spans="1:8">
      <c r="A792" s="95"/>
      <c r="B792" s="817" t="s">
        <v>838</v>
      </c>
      <c r="C792" s="818"/>
      <c r="D792" s="98" t="s">
        <v>301</v>
      </c>
      <c r="E792" s="98" t="s">
        <v>297</v>
      </c>
      <c r="F792" s="99" t="s">
        <v>839</v>
      </c>
      <c r="G792" s="107" t="s">
        <v>840</v>
      </c>
    </row>
    <row r="793" spans="1:8">
      <c r="A793" s="95"/>
      <c r="B793" s="115"/>
      <c r="C793" s="102"/>
      <c r="D793" s="103" t="s">
        <v>322</v>
      </c>
      <c r="E793" s="103" t="s">
        <v>323</v>
      </c>
      <c r="F793" s="104" t="s">
        <v>324</v>
      </c>
      <c r="G793" s="109" t="s">
        <v>325</v>
      </c>
    </row>
    <row r="794" spans="1:8">
      <c r="A794" s="95"/>
      <c r="B794" s="826"/>
      <c r="C794" s="827"/>
      <c r="D794" s="96"/>
      <c r="E794" s="96"/>
      <c r="F794" s="96"/>
      <c r="G794" s="116"/>
    </row>
    <row r="795" spans="1:8" ht="13.5" thickBot="1">
      <c r="A795" s="95"/>
      <c r="B795" s="828" t="s">
        <v>841</v>
      </c>
      <c r="C795" s="829"/>
      <c r="D795" s="77"/>
      <c r="E795" s="82"/>
      <c r="F795" s="86"/>
      <c r="G795" s="112"/>
    </row>
    <row r="796" spans="1:8" ht="14.25" thickTop="1" thickBot="1">
      <c r="A796" s="95"/>
      <c r="B796" s="808"/>
      <c r="C796" s="808"/>
      <c r="D796" s="808"/>
      <c r="E796" s="809"/>
      <c r="F796" s="120" t="s">
        <v>856</v>
      </c>
      <c r="G796" s="118">
        <f>SUM(G791:G795)</f>
        <v>0</v>
      </c>
    </row>
    <row r="797" spans="1:8" ht="14.25" thickTop="1" thickBot="1">
      <c r="A797" s="95"/>
      <c r="B797" s="810"/>
      <c r="C797" s="810"/>
      <c r="D797" s="810"/>
      <c r="E797" s="810"/>
      <c r="F797" s="810"/>
      <c r="G797" s="834"/>
    </row>
    <row r="798" spans="1:8" ht="13.5" thickTop="1">
      <c r="A798" s="95"/>
      <c r="B798" s="811" t="s">
        <v>326</v>
      </c>
      <c r="C798" s="812"/>
      <c r="D798" s="812"/>
      <c r="E798" s="812"/>
      <c r="F798" s="813"/>
      <c r="G798" s="121">
        <f>+G762+G778+G789</f>
        <v>18153</v>
      </c>
    </row>
    <row r="799" spans="1:8">
      <c r="A799" s="95"/>
      <c r="B799" s="814" t="s">
        <v>861</v>
      </c>
      <c r="C799" s="815"/>
      <c r="D799" s="815"/>
      <c r="E799" s="816"/>
      <c r="F799" s="128">
        <f>'MANO DE OBRA'!D59</f>
        <v>0</v>
      </c>
      <c r="G799" s="122">
        <f>ROUND(G798*F799,0)</f>
        <v>0</v>
      </c>
    </row>
    <row r="800" spans="1:8" ht="13.5" thickBot="1">
      <c r="A800" s="95"/>
      <c r="B800" s="805" t="s">
        <v>1049</v>
      </c>
      <c r="C800" s="806"/>
      <c r="D800" s="806"/>
      <c r="E800" s="806"/>
      <c r="F800" s="807"/>
      <c r="G800" s="118">
        <f>ROUND(G798+G799,-2)</f>
        <v>18200</v>
      </c>
      <c r="H800" s="505" t="s">
        <v>1670</v>
      </c>
    </row>
    <row r="801" spans="1:7" ht="13.5" thickTop="1">
      <c r="A801" s="95"/>
      <c r="B801" s="90" t="s">
        <v>303</v>
      </c>
      <c r="C801" s="843"/>
      <c r="D801" s="843"/>
      <c r="E801" s="843"/>
      <c r="F801" s="92" t="s">
        <v>781</v>
      </c>
      <c r="G801" s="93" t="s">
        <v>831</v>
      </c>
    </row>
    <row r="802" spans="1:7">
      <c r="A802" s="95"/>
      <c r="B802" s="91" t="s">
        <v>834</v>
      </c>
      <c r="C802" s="844" t="s">
        <v>403</v>
      </c>
      <c r="D802" s="844"/>
      <c r="E802" s="844"/>
      <c r="F802" s="15" t="s">
        <v>833</v>
      </c>
      <c r="G802" s="165" t="str">
        <f>'MANO DE OBRA'!D61</f>
        <v>Agosto de 2010</v>
      </c>
    </row>
    <row r="803" spans="1:7" ht="13.5" thickBot="1">
      <c r="A803" s="127"/>
      <c r="B803" s="94" t="s">
        <v>835</v>
      </c>
      <c r="C803" s="845" t="s">
        <v>404</v>
      </c>
      <c r="D803" s="845"/>
      <c r="E803" s="845"/>
      <c r="F803" s="845"/>
      <c r="G803" s="846"/>
    </row>
    <row r="804" spans="1:7" ht="14.25" thickTop="1" thickBot="1">
      <c r="A804" s="95"/>
      <c r="B804" s="847"/>
      <c r="C804" s="847"/>
      <c r="D804" s="847"/>
      <c r="E804" s="847"/>
      <c r="F804" s="847"/>
      <c r="G804" s="847"/>
    </row>
    <row r="805" spans="1:7" ht="13.5" thickTop="1">
      <c r="A805" s="95"/>
      <c r="B805" s="811" t="s">
        <v>304</v>
      </c>
      <c r="C805" s="812"/>
      <c r="D805" s="812"/>
      <c r="E805" s="812"/>
      <c r="F805" s="812"/>
      <c r="G805" s="825"/>
    </row>
    <row r="806" spans="1:7">
      <c r="A806" s="95"/>
      <c r="B806" s="105"/>
      <c r="C806" s="97"/>
      <c r="D806" s="98" t="s">
        <v>301</v>
      </c>
      <c r="E806" s="98" t="s">
        <v>1072</v>
      </c>
      <c r="F806" s="99" t="s">
        <v>839</v>
      </c>
      <c r="G806" s="107" t="s">
        <v>840</v>
      </c>
    </row>
    <row r="807" spans="1:7">
      <c r="A807" s="95"/>
      <c r="B807" s="821" t="s">
        <v>838</v>
      </c>
      <c r="C807" s="822"/>
      <c r="D807" s="100" t="s">
        <v>308</v>
      </c>
      <c r="E807" s="100" t="s">
        <v>305</v>
      </c>
      <c r="F807" s="101" t="s">
        <v>306</v>
      </c>
      <c r="G807" s="108" t="s">
        <v>310</v>
      </c>
    </row>
    <row r="808" spans="1:7">
      <c r="A808" s="95"/>
      <c r="B808" s="115"/>
      <c r="C808" s="102"/>
      <c r="D808" s="103"/>
      <c r="E808" s="103" t="s">
        <v>309</v>
      </c>
      <c r="F808" s="104" t="s">
        <v>307</v>
      </c>
      <c r="G808" s="109"/>
    </row>
    <row r="809" spans="1:7">
      <c r="A809" s="127"/>
      <c r="B809" s="823" t="str">
        <f>'MAQUINARIA Y EQUIPOS'!$C$28</f>
        <v>HERRAMIENTAS MENORES</v>
      </c>
      <c r="C809" s="824"/>
      <c r="D809" s="87">
        <v>1</v>
      </c>
      <c r="E809" s="82">
        <f>ROUND(G842*0.05,0)</f>
        <v>885</v>
      </c>
      <c r="F809" s="81">
        <v>1</v>
      </c>
      <c r="G809" s="110">
        <f>ROUND(D809*E809/F809,0)</f>
        <v>885</v>
      </c>
    </row>
    <row r="810" spans="1:7">
      <c r="A810" s="95"/>
      <c r="B810" s="835" t="str">
        <f>'MAQUINARIA Y EQUIPOS'!$C$25</f>
        <v>EQUIPO PARA PULIR PISOS</v>
      </c>
      <c r="C810" s="836"/>
      <c r="D810" s="37">
        <v>1</v>
      </c>
      <c r="E810" s="129">
        <f>'MAQUINARIA Y EQUIPOS'!$D$25</f>
        <v>50000</v>
      </c>
      <c r="F810" s="83">
        <v>9</v>
      </c>
      <c r="G810" s="111">
        <f>ROUND(D810*E810/F810,0)</f>
        <v>5556</v>
      </c>
    </row>
    <row r="811" spans="1:7">
      <c r="A811" s="95"/>
      <c r="B811" s="835"/>
      <c r="C811" s="836"/>
      <c r="D811" s="37"/>
      <c r="E811" s="129"/>
      <c r="F811" s="83"/>
      <c r="G811" s="111"/>
    </row>
    <row r="812" spans="1:7">
      <c r="A812" s="95"/>
      <c r="B812" s="835"/>
      <c r="C812" s="836"/>
      <c r="D812" s="89"/>
      <c r="E812" s="82"/>
      <c r="F812" s="83"/>
      <c r="G812" s="111"/>
    </row>
    <row r="813" spans="1:7">
      <c r="A813" s="95"/>
      <c r="B813" s="835" t="s">
        <v>841</v>
      </c>
      <c r="C813" s="836"/>
      <c r="D813" s="37"/>
      <c r="E813" s="82"/>
      <c r="F813" s="83"/>
      <c r="G813" s="111"/>
    </row>
    <row r="814" spans="1:7" ht="13.5" thickBot="1">
      <c r="A814" s="95"/>
      <c r="B814" s="839" t="s">
        <v>841</v>
      </c>
      <c r="C814" s="840"/>
      <c r="D814" s="77"/>
      <c r="E814" s="106"/>
      <c r="F814" s="86"/>
      <c r="G814" s="112"/>
    </row>
    <row r="815" spans="1:7" ht="14.25" thickTop="1" thickBot="1">
      <c r="A815" s="95"/>
      <c r="B815" s="808"/>
      <c r="C815" s="808"/>
      <c r="D815" s="808"/>
      <c r="E815" s="809"/>
      <c r="F815" s="119" t="s">
        <v>856</v>
      </c>
      <c r="G815" s="118">
        <f>SUM(G809:G814)</f>
        <v>6441</v>
      </c>
    </row>
    <row r="816" spans="1:7" ht="14.25" thickTop="1" thickBot="1">
      <c r="A816" s="95"/>
      <c r="B816" s="830"/>
      <c r="C816" s="830"/>
      <c r="D816" s="830"/>
      <c r="E816" s="830"/>
      <c r="F816" s="830"/>
      <c r="G816" s="830"/>
    </row>
    <row r="817" spans="1:8" ht="13.5" thickTop="1">
      <c r="A817" s="95"/>
      <c r="B817" s="811" t="s">
        <v>311</v>
      </c>
      <c r="C817" s="812"/>
      <c r="D817" s="812"/>
      <c r="E817" s="812"/>
      <c r="F817" s="812"/>
      <c r="G817" s="825"/>
    </row>
    <row r="818" spans="1:8">
      <c r="A818" s="95"/>
      <c r="B818" s="817" t="s">
        <v>838</v>
      </c>
      <c r="C818" s="818"/>
      <c r="D818" s="98" t="s">
        <v>842</v>
      </c>
      <c r="E818" s="98" t="s">
        <v>853</v>
      </c>
      <c r="F818" s="99" t="s">
        <v>1047</v>
      </c>
      <c r="G818" s="107" t="s">
        <v>840</v>
      </c>
    </row>
    <row r="819" spans="1:8">
      <c r="A819" s="95"/>
      <c r="B819" s="115"/>
      <c r="C819" s="102"/>
      <c r="D819" s="103"/>
      <c r="E819" s="100" t="s">
        <v>312</v>
      </c>
      <c r="F819" s="101" t="s">
        <v>313</v>
      </c>
      <c r="G819" s="108" t="s">
        <v>314</v>
      </c>
    </row>
    <row r="820" spans="1:8">
      <c r="A820" s="125"/>
      <c r="B820" s="841" t="str">
        <f>MATERIALES2!$C$132</f>
        <v>GRANITO GRIS # 2, 30 KG</v>
      </c>
      <c r="C820" s="842"/>
      <c r="D820" s="37" t="s">
        <v>903</v>
      </c>
      <c r="E820" s="81">
        <v>0.06</v>
      </c>
      <c r="F820" s="80">
        <f>MATERIALES2!$E$132</f>
        <v>15000</v>
      </c>
      <c r="G820" s="110">
        <f>ROUND(E820*F820,0)</f>
        <v>900</v>
      </c>
    </row>
    <row r="821" spans="1:8">
      <c r="A821" s="123"/>
      <c r="B821" s="854" t="str">
        <f>MATERIALES2!$C$12</f>
        <v>CEMENTO BLANCO</v>
      </c>
      <c r="C821" s="855"/>
      <c r="D821" s="37" t="s">
        <v>925</v>
      </c>
      <c r="E821" s="141">
        <v>4</v>
      </c>
      <c r="F821" s="82">
        <f>MATERIALES2!$E$12</f>
        <v>750</v>
      </c>
      <c r="G821" s="111">
        <f>ROUND(E821*F821,0)</f>
        <v>3000</v>
      </c>
    </row>
    <row r="822" spans="1:8">
      <c r="A822" s="123"/>
      <c r="B822" s="854" t="str">
        <f>MATERIALES2!$C$14</f>
        <v>MARMOLINA 65 KG</v>
      </c>
      <c r="C822" s="855"/>
      <c r="D822" s="37" t="s">
        <v>903</v>
      </c>
      <c r="E822" s="141">
        <v>0.1</v>
      </c>
      <c r="F822" s="82">
        <f>MATERIALES2!$E$14</f>
        <v>8895</v>
      </c>
      <c r="G822" s="111">
        <f>ROUND(E822*F822,0)</f>
        <v>890</v>
      </c>
    </row>
    <row r="823" spans="1:8">
      <c r="A823" s="123"/>
      <c r="B823" s="854"/>
      <c r="C823" s="855"/>
      <c r="D823" s="37"/>
      <c r="E823" s="141"/>
      <c r="F823" s="82"/>
      <c r="G823" s="111"/>
    </row>
    <row r="824" spans="1:8">
      <c r="A824" s="123"/>
      <c r="B824" s="854"/>
      <c r="C824" s="855"/>
      <c r="D824" s="37"/>
      <c r="E824" s="141"/>
      <c r="F824" s="82"/>
      <c r="G824" s="111"/>
    </row>
    <row r="825" spans="1:8">
      <c r="A825" s="95"/>
      <c r="B825" s="854"/>
      <c r="C825" s="855"/>
      <c r="D825" s="37"/>
      <c r="E825" s="53"/>
      <c r="F825" s="82"/>
      <c r="G825" s="111"/>
    </row>
    <row r="826" spans="1:8">
      <c r="A826" s="95"/>
      <c r="B826" s="854"/>
      <c r="C826" s="855"/>
      <c r="D826" s="37"/>
      <c r="E826" s="53"/>
      <c r="F826" s="82"/>
      <c r="G826" s="111"/>
    </row>
    <row r="827" spans="1:8">
      <c r="A827" s="95"/>
      <c r="B827" s="938" t="s">
        <v>841</v>
      </c>
      <c r="C827" s="939"/>
      <c r="D827" s="53" t="s">
        <v>841</v>
      </c>
      <c r="E827" s="53"/>
      <c r="F827" s="82"/>
      <c r="G827" s="111"/>
      <c r="H827" s="505" t="s">
        <v>1670</v>
      </c>
    </row>
    <row r="828" spans="1:8" ht="13.5" thickBot="1">
      <c r="A828" s="95"/>
      <c r="B828" s="942" t="s">
        <v>841</v>
      </c>
      <c r="C828" s="943"/>
      <c r="D828" s="84" t="s">
        <v>841</v>
      </c>
      <c r="E828" s="84"/>
      <c r="F828" s="85"/>
      <c r="G828" s="112"/>
    </row>
    <row r="829" spans="1:8" ht="13.5" thickTop="1">
      <c r="A829" s="95"/>
      <c r="B829" s="808"/>
      <c r="C829" s="809"/>
      <c r="D829" s="801" t="s">
        <v>856</v>
      </c>
      <c r="E829" s="802"/>
      <c r="F829" s="9"/>
      <c r="G829" s="113">
        <f>SUM(G820:G828)</f>
        <v>4790</v>
      </c>
    </row>
    <row r="830" spans="1:8">
      <c r="A830" s="95"/>
      <c r="B830" s="819"/>
      <c r="C830" s="820"/>
      <c r="D830" s="801" t="s">
        <v>857</v>
      </c>
      <c r="E830" s="802"/>
      <c r="F830" s="79">
        <f>'MANO DE OBRA'!$D$60</f>
        <v>0.05</v>
      </c>
      <c r="G830" s="113">
        <f>ROUND(G829*F830,0)</f>
        <v>240</v>
      </c>
    </row>
    <row r="831" spans="1:8" ht="13.5" thickBot="1">
      <c r="A831" s="95"/>
      <c r="B831" s="819"/>
      <c r="C831" s="820"/>
      <c r="D831" s="803" t="s">
        <v>320</v>
      </c>
      <c r="E831" s="804"/>
      <c r="F831" s="114"/>
      <c r="G831" s="118">
        <f>+G829+G830</f>
        <v>5030</v>
      </c>
    </row>
    <row r="832" spans="1:8" ht="14.25" thickTop="1" thickBot="1">
      <c r="A832" s="95"/>
      <c r="B832" s="830"/>
      <c r="C832" s="830"/>
      <c r="D832" s="830"/>
      <c r="E832" s="830"/>
      <c r="F832" s="830"/>
      <c r="G832" s="830"/>
    </row>
    <row r="833" spans="1:7" ht="13.5" thickTop="1">
      <c r="A833" s="95"/>
      <c r="B833" s="811" t="s">
        <v>858</v>
      </c>
      <c r="C833" s="812"/>
      <c r="D833" s="812"/>
      <c r="E833" s="812"/>
      <c r="F833" s="812"/>
      <c r="G833" s="825"/>
    </row>
    <row r="834" spans="1:7">
      <c r="A834" s="95"/>
      <c r="B834" s="817"/>
      <c r="C834" s="818"/>
      <c r="D834" s="98" t="s">
        <v>301</v>
      </c>
      <c r="E834" s="98" t="s">
        <v>859</v>
      </c>
      <c r="F834" s="99" t="s">
        <v>839</v>
      </c>
      <c r="G834" s="107" t="s">
        <v>840</v>
      </c>
    </row>
    <row r="835" spans="1:7">
      <c r="A835" s="95"/>
      <c r="B835" s="821" t="s">
        <v>838</v>
      </c>
      <c r="C835" s="822"/>
      <c r="D835" s="100" t="s">
        <v>316</v>
      </c>
      <c r="E835" s="100" t="s">
        <v>315</v>
      </c>
      <c r="F835" s="101" t="s">
        <v>306</v>
      </c>
      <c r="G835" s="108" t="s">
        <v>319</v>
      </c>
    </row>
    <row r="836" spans="1:7">
      <c r="A836" s="95"/>
      <c r="B836" s="115"/>
      <c r="C836" s="102"/>
      <c r="D836" s="103"/>
      <c r="E836" s="103" t="s">
        <v>317</v>
      </c>
      <c r="F836" s="104" t="s">
        <v>318</v>
      </c>
      <c r="G836" s="109"/>
    </row>
    <row r="837" spans="1:7">
      <c r="A837" s="95"/>
      <c r="B837" s="823" t="str">
        <f>'MANO DE OBRA'!$B$10</f>
        <v>AYUDANTE CUAD. TIPO AA</v>
      </c>
      <c r="C837" s="824"/>
      <c r="D837" s="87">
        <v>1</v>
      </c>
      <c r="E837" s="80">
        <f>'MANO DE OBRA'!$E$10</f>
        <v>34680</v>
      </c>
      <c r="F837" s="81">
        <v>6</v>
      </c>
      <c r="G837" s="110">
        <f>ROUND(D837*E837/F837,0)</f>
        <v>5780</v>
      </c>
    </row>
    <row r="838" spans="1:7">
      <c r="A838" s="95"/>
      <c r="B838" s="835" t="str">
        <f>'MANO DE OBRA'!$B$15</f>
        <v xml:space="preserve">OFICIAL CUAD. TIPO AA </v>
      </c>
      <c r="C838" s="836"/>
      <c r="D838" s="37">
        <v>1</v>
      </c>
      <c r="E838" s="82">
        <f>'MANO DE OBRA'!$E$15</f>
        <v>71474</v>
      </c>
      <c r="F838" s="83">
        <v>6</v>
      </c>
      <c r="G838" s="111">
        <f>ROUND(D838*E838/F838,0)</f>
        <v>11912</v>
      </c>
    </row>
    <row r="839" spans="1:7">
      <c r="A839" s="95"/>
      <c r="B839" s="835"/>
      <c r="C839" s="836"/>
      <c r="D839" s="89"/>
      <c r="E839" s="82"/>
      <c r="F839" s="83"/>
      <c r="G839" s="111"/>
    </row>
    <row r="840" spans="1:7">
      <c r="A840" s="95"/>
      <c r="B840" s="835" t="s">
        <v>841</v>
      </c>
      <c r="C840" s="836"/>
      <c r="D840" s="37"/>
      <c r="E840" s="82"/>
      <c r="F840" s="83"/>
      <c r="G840" s="111"/>
    </row>
    <row r="841" spans="1:7" ht="13.5" thickBot="1">
      <c r="A841" s="95"/>
      <c r="B841" s="828" t="s">
        <v>841</v>
      </c>
      <c r="C841" s="829"/>
      <c r="D841" s="77"/>
      <c r="E841" s="82"/>
      <c r="F841" s="86"/>
      <c r="G841" s="112"/>
    </row>
    <row r="842" spans="1:7" ht="14.25" thickTop="1" thickBot="1">
      <c r="A842" s="95"/>
      <c r="B842" s="808"/>
      <c r="C842" s="808"/>
      <c r="D842" s="808"/>
      <c r="E842" s="809"/>
      <c r="F842" s="120" t="s">
        <v>856</v>
      </c>
      <c r="G842" s="118">
        <f>SUM(G837:G841)</f>
        <v>17692</v>
      </c>
    </row>
    <row r="843" spans="1:7" ht="14.25" thickTop="1" thickBot="1">
      <c r="A843" s="95"/>
      <c r="B843" s="810"/>
      <c r="C843" s="810"/>
      <c r="D843" s="810"/>
      <c r="E843" s="810"/>
      <c r="F843" s="810"/>
      <c r="G843" s="810"/>
    </row>
    <row r="844" spans="1:7" ht="13.5" thickTop="1">
      <c r="A844" s="95"/>
      <c r="B844" s="811" t="s">
        <v>321</v>
      </c>
      <c r="C844" s="812"/>
      <c r="D844" s="812"/>
      <c r="E844" s="812"/>
      <c r="F844" s="812"/>
      <c r="G844" s="825"/>
    </row>
    <row r="845" spans="1:7">
      <c r="A845" s="95"/>
      <c r="B845" s="817" t="s">
        <v>838</v>
      </c>
      <c r="C845" s="818"/>
      <c r="D845" s="98" t="s">
        <v>301</v>
      </c>
      <c r="E845" s="98" t="s">
        <v>297</v>
      </c>
      <c r="F845" s="99" t="s">
        <v>839</v>
      </c>
      <c r="G845" s="107" t="s">
        <v>840</v>
      </c>
    </row>
    <row r="846" spans="1:7">
      <c r="A846" s="95"/>
      <c r="B846" s="115"/>
      <c r="C846" s="102"/>
      <c r="D846" s="103" t="s">
        <v>322</v>
      </c>
      <c r="E846" s="103" t="s">
        <v>323</v>
      </c>
      <c r="F846" s="104" t="s">
        <v>324</v>
      </c>
      <c r="G846" s="109" t="s">
        <v>325</v>
      </c>
    </row>
    <row r="847" spans="1:7">
      <c r="A847" s="95"/>
      <c r="B847" s="826"/>
      <c r="C847" s="827"/>
      <c r="D847" s="96"/>
      <c r="E847" s="96"/>
      <c r="F847" s="96"/>
      <c r="G847" s="116"/>
    </row>
    <row r="848" spans="1:7" ht="13.5" thickBot="1">
      <c r="A848" s="95"/>
      <c r="B848" s="828" t="s">
        <v>841</v>
      </c>
      <c r="C848" s="829"/>
      <c r="D848" s="77"/>
      <c r="E848" s="82"/>
      <c r="F848" s="86"/>
      <c r="G848" s="112"/>
    </row>
    <row r="849" spans="1:8" ht="14.25" thickTop="1" thickBot="1">
      <c r="A849" s="95"/>
      <c r="B849" s="808"/>
      <c r="C849" s="808"/>
      <c r="D849" s="808"/>
      <c r="E849" s="809"/>
      <c r="F849" s="120" t="s">
        <v>856</v>
      </c>
      <c r="G849" s="118">
        <f>SUM(G844:G848)</f>
        <v>0</v>
      </c>
    </row>
    <row r="850" spans="1:8" ht="14.25" thickTop="1" thickBot="1">
      <c r="A850" s="95"/>
      <c r="B850" s="810"/>
      <c r="C850" s="810"/>
      <c r="D850" s="810"/>
      <c r="E850" s="810"/>
      <c r="F850" s="810"/>
      <c r="G850" s="834"/>
    </row>
    <row r="851" spans="1:8" ht="13.5" thickTop="1">
      <c r="A851" s="95"/>
      <c r="B851" s="811" t="s">
        <v>326</v>
      </c>
      <c r="C851" s="812"/>
      <c r="D851" s="812"/>
      <c r="E851" s="812"/>
      <c r="F851" s="813"/>
      <c r="G851" s="121">
        <f>+G815+G831+G842</f>
        <v>29163</v>
      </c>
    </row>
    <row r="852" spans="1:8">
      <c r="A852" s="95"/>
      <c r="B852" s="814" t="s">
        <v>861</v>
      </c>
      <c r="C852" s="815"/>
      <c r="D852" s="815"/>
      <c r="E852" s="816"/>
      <c r="F852" s="128">
        <f>'MANO DE OBRA'!$D$59</f>
        <v>0</v>
      </c>
      <c r="G852" s="122">
        <f>ROUND(G851*F852,0)</f>
        <v>0</v>
      </c>
    </row>
    <row r="853" spans="1:8" ht="13.5" thickBot="1">
      <c r="A853" s="95"/>
      <c r="B853" s="805" t="s">
        <v>1049</v>
      </c>
      <c r="C853" s="806"/>
      <c r="D853" s="806"/>
      <c r="E853" s="806"/>
      <c r="F853" s="807"/>
      <c r="G853" s="118">
        <f>ROUND(G851+G852,-2)</f>
        <v>29200</v>
      </c>
      <c r="H853" s="505" t="s">
        <v>1670</v>
      </c>
    </row>
    <row r="854" spans="1:8" ht="13.5" thickTop="1">
      <c r="A854" s="95"/>
      <c r="B854" s="90" t="s">
        <v>303</v>
      </c>
      <c r="C854" s="843"/>
      <c r="D854" s="843"/>
      <c r="E854" s="843"/>
      <c r="F854" s="92" t="s">
        <v>781</v>
      </c>
      <c r="G854" s="93" t="s">
        <v>831</v>
      </c>
    </row>
    <row r="855" spans="1:8">
      <c r="A855" s="95"/>
      <c r="B855" s="91" t="s">
        <v>834</v>
      </c>
      <c r="C855" s="844" t="s">
        <v>1433</v>
      </c>
      <c r="D855" s="844"/>
      <c r="E855" s="844"/>
      <c r="F855" s="15" t="s">
        <v>833</v>
      </c>
      <c r="G855" s="165" t="str">
        <f>'MANO DE OBRA'!D61</f>
        <v>Agosto de 2010</v>
      </c>
    </row>
    <row r="856" spans="1:8" ht="13.5" thickBot="1">
      <c r="A856" s="127"/>
      <c r="B856" s="94" t="s">
        <v>835</v>
      </c>
      <c r="C856" s="845" t="s">
        <v>1450</v>
      </c>
      <c r="D856" s="845"/>
      <c r="E856" s="845"/>
      <c r="F856" s="845"/>
      <c r="G856" s="846"/>
    </row>
    <row r="857" spans="1:8" ht="14.25" thickTop="1" thickBot="1">
      <c r="A857" s="95"/>
      <c r="B857" s="847"/>
      <c r="C857" s="847"/>
      <c r="D857" s="847"/>
      <c r="E857" s="847"/>
      <c r="F857" s="847"/>
      <c r="G857" s="847"/>
    </row>
    <row r="858" spans="1:8" ht="13.5" thickTop="1">
      <c r="A858" s="95"/>
      <c r="B858" s="811" t="s">
        <v>304</v>
      </c>
      <c r="C858" s="812"/>
      <c r="D858" s="812"/>
      <c r="E858" s="812"/>
      <c r="F858" s="812"/>
      <c r="G858" s="825"/>
    </row>
    <row r="859" spans="1:8">
      <c r="A859" s="95"/>
      <c r="B859" s="105"/>
      <c r="C859" s="97"/>
      <c r="D859" s="98" t="s">
        <v>301</v>
      </c>
      <c r="E859" s="98" t="s">
        <v>1072</v>
      </c>
      <c r="F859" s="99" t="s">
        <v>839</v>
      </c>
      <c r="G859" s="107" t="s">
        <v>840</v>
      </c>
    </row>
    <row r="860" spans="1:8">
      <c r="A860" s="95"/>
      <c r="B860" s="821" t="s">
        <v>838</v>
      </c>
      <c r="C860" s="822"/>
      <c r="D860" s="100" t="s">
        <v>308</v>
      </c>
      <c r="E860" s="100" t="s">
        <v>305</v>
      </c>
      <c r="F860" s="101" t="s">
        <v>306</v>
      </c>
      <c r="G860" s="108" t="s">
        <v>310</v>
      </c>
    </row>
    <row r="861" spans="1:8">
      <c r="A861" s="95"/>
      <c r="B861" s="115"/>
      <c r="C861" s="102"/>
      <c r="D861" s="103"/>
      <c r="E861" s="103" t="s">
        <v>309</v>
      </c>
      <c r="F861" s="104" t="s">
        <v>307</v>
      </c>
      <c r="G861" s="109"/>
    </row>
    <row r="862" spans="1:8">
      <c r="A862" s="127"/>
      <c r="B862" s="823" t="str">
        <f>'MAQUINARIA Y EQUIPOS'!C28</f>
        <v>HERRAMIENTAS MENORES</v>
      </c>
      <c r="C862" s="824"/>
      <c r="D862" s="87">
        <v>1</v>
      </c>
      <c r="E862" s="82">
        <f>ROUND(G895*0.05,0)</f>
        <v>1659</v>
      </c>
      <c r="F862" s="81">
        <v>1</v>
      </c>
      <c r="G862" s="110">
        <f>ROUND(D862*E862/F862,0)</f>
        <v>1659</v>
      </c>
    </row>
    <row r="863" spans="1:8">
      <c r="A863" s="95"/>
      <c r="B863" s="835"/>
      <c r="C863" s="836"/>
      <c r="D863" s="37"/>
      <c r="E863" s="129"/>
      <c r="F863" s="83"/>
      <c r="G863" s="111"/>
    </row>
    <row r="864" spans="1:8">
      <c r="A864" s="95"/>
      <c r="B864" s="835"/>
      <c r="C864" s="836"/>
      <c r="D864" s="37"/>
      <c r="E864" s="129"/>
      <c r="F864" s="83"/>
      <c r="G864" s="111"/>
    </row>
    <row r="865" spans="1:8">
      <c r="A865" s="95"/>
      <c r="B865" s="835"/>
      <c r="C865" s="836"/>
      <c r="D865" s="89"/>
      <c r="E865" s="82"/>
      <c r="F865" s="83"/>
      <c r="G865" s="111"/>
    </row>
    <row r="866" spans="1:8">
      <c r="A866" s="95"/>
      <c r="B866" s="835" t="s">
        <v>841</v>
      </c>
      <c r="C866" s="836"/>
      <c r="D866" s="37"/>
      <c r="E866" s="82"/>
      <c r="F866" s="83"/>
      <c r="G866" s="111"/>
    </row>
    <row r="867" spans="1:8" ht="13.5" thickBot="1">
      <c r="A867" s="95"/>
      <c r="B867" s="839" t="s">
        <v>841</v>
      </c>
      <c r="C867" s="840"/>
      <c r="D867" s="77"/>
      <c r="E867" s="106"/>
      <c r="F867" s="86"/>
      <c r="G867" s="112"/>
    </row>
    <row r="868" spans="1:8" ht="14.25" thickTop="1" thickBot="1">
      <c r="A868" s="95"/>
      <c r="B868" s="808"/>
      <c r="C868" s="808"/>
      <c r="D868" s="808"/>
      <c r="E868" s="809"/>
      <c r="F868" s="119" t="s">
        <v>856</v>
      </c>
      <c r="G868" s="118">
        <f>SUM(G862:G867)</f>
        <v>1659</v>
      </c>
    </row>
    <row r="869" spans="1:8" ht="14.25" thickTop="1" thickBot="1">
      <c r="A869" s="95"/>
      <c r="B869" s="830"/>
      <c r="C869" s="830"/>
      <c r="D869" s="830"/>
      <c r="E869" s="830"/>
      <c r="F869" s="830"/>
      <c r="G869" s="830"/>
    </row>
    <row r="870" spans="1:8" ht="13.5" thickTop="1">
      <c r="A870" s="95"/>
      <c r="B870" s="811" t="s">
        <v>311</v>
      </c>
      <c r="C870" s="812"/>
      <c r="D870" s="812"/>
      <c r="E870" s="812"/>
      <c r="F870" s="812"/>
      <c r="G870" s="825"/>
    </row>
    <row r="871" spans="1:8">
      <c r="A871" s="95"/>
      <c r="B871" s="817" t="s">
        <v>838</v>
      </c>
      <c r="C871" s="818"/>
      <c r="D871" s="98" t="s">
        <v>842</v>
      </c>
      <c r="E871" s="98" t="s">
        <v>853</v>
      </c>
      <c r="F871" s="99" t="s">
        <v>1047</v>
      </c>
      <c r="G871" s="107" t="s">
        <v>840</v>
      </c>
    </row>
    <row r="872" spans="1:8">
      <c r="A872" s="95"/>
      <c r="B872" s="115"/>
      <c r="C872" s="102"/>
      <c r="D872" s="103"/>
      <c r="E872" s="100" t="s">
        <v>312</v>
      </c>
      <c r="F872" s="101" t="s">
        <v>313</v>
      </c>
      <c r="G872" s="108" t="s">
        <v>314</v>
      </c>
    </row>
    <row r="873" spans="1:8">
      <c r="A873" s="125"/>
      <c r="B873" s="841" t="str">
        <f>MATERIALES2!C131</f>
        <v>GRAVILLA 65 KG</v>
      </c>
      <c r="C873" s="842"/>
      <c r="D873" s="37" t="s">
        <v>903</v>
      </c>
      <c r="E873" s="140">
        <v>0.12</v>
      </c>
      <c r="F873" s="80">
        <f>MATERIALES2!E131</f>
        <v>12000</v>
      </c>
      <c r="G873" s="110">
        <f>ROUND(E873*F873,0)</f>
        <v>1440</v>
      </c>
    </row>
    <row r="874" spans="1:8">
      <c r="A874" s="123"/>
      <c r="B874" s="854" t="str">
        <f>MATERIALES2!C13</f>
        <v>CEMENTO GRIS</v>
      </c>
      <c r="C874" s="855"/>
      <c r="D874" s="37" t="s">
        <v>925</v>
      </c>
      <c r="E874" s="141">
        <v>3.5</v>
      </c>
      <c r="F874" s="82">
        <f>MATERIALES2!E13</f>
        <v>420</v>
      </c>
      <c r="G874" s="111">
        <f>ROUND(E874*F874,0)</f>
        <v>1470</v>
      </c>
    </row>
    <row r="875" spans="1:8" ht="14.25">
      <c r="A875" s="123"/>
      <c r="B875" s="854" t="str">
        <f>MATERIALES2!C20</f>
        <v xml:space="preserve">ARENA </v>
      </c>
      <c r="C875" s="855"/>
      <c r="D875" s="37" t="s">
        <v>1066</v>
      </c>
      <c r="E875" s="141">
        <v>0.01</v>
      </c>
      <c r="F875" s="82">
        <f>MATERIALES2!E20</f>
        <v>35000</v>
      </c>
      <c r="G875" s="111">
        <f>ROUND(E875*F875,0)</f>
        <v>350</v>
      </c>
    </row>
    <row r="876" spans="1:8">
      <c r="A876" s="123"/>
      <c r="B876" s="854" t="str">
        <f>MATERIALES2!C28</f>
        <v>AGUA</v>
      </c>
      <c r="C876" s="855"/>
      <c r="D876" s="37" t="s">
        <v>1071</v>
      </c>
      <c r="E876" s="141">
        <v>1.59</v>
      </c>
      <c r="F876" s="82">
        <f>MATERIALES2!E28</f>
        <v>50</v>
      </c>
      <c r="G876" s="111">
        <f>ROUND(E876*F876,0)</f>
        <v>80</v>
      </c>
    </row>
    <row r="877" spans="1:8">
      <c r="A877" s="123"/>
      <c r="B877" s="854"/>
      <c r="C877" s="855"/>
      <c r="D877" s="37"/>
      <c r="E877" s="141"/>
      <c r="F877" s="82"/>
      <c r="G877" s="111"/>
    </row>
    <row r="878" spans="1:8">
      <c r="A878" s="95"/>
      <c r="B878" s="854"/>
      <c r="C878" s="855"/>
      <c r="D878" s="37"/>
      <c r="E878" s="53"/>
      <c r="F878" s="82"/>
      <c r="G878" s="111"/>
    </row>
    <row r="879" spans="1:8">
      <c r="A879" s="95"/>
      <c r="B879" s="854"/>
      <c r="C879" s="855"/>
      <c r="D879" s="37"/>
      <c r="E879" s="53"/>
      <c r="F879" s="82"/>
      <c r="G879" s="111"/>
    </row>
    <row r="880" spans="1:8">
      <c r="A880" s="95"/>
      <c r="B880" s="938" t="s">
        <v>841</v>
      </c>
      <c r="C880" s="939"/>
      <c r="D880" s="53" t="s">
        <v>841</v>
      </c>
      <c r="E880" s="53"/>
      <c r="F880" s="82"/>
      <c r="G880" s="111"/>
      <c r="H880" s="505" t="s">
        <v>1670</v>
      </c>
    </row>
    <row r="881" spans="1:7" ht="13.5" thickBot="1">
      <c r="A881" s="95"/>
      <c r="B881" s="942" t="s">
        <v>841</v>
      </c>
      <c r="C881" s="943"/>
      <c r="D881" s="84" t="s">
        <v>841</v>
      </c>
      <c r="E881" s="84"/>
      <c r="F881" s="85"/>
      <c r="G881" s="112"/>
    </row>
    <row r="882" spans="1:7" ht="13.5" thickTop="1">
      <c r="A882" s="95"/>
      <c r="B882" s="808"/>
      <c r="C882" s="809"/>
      <c r="D882" s="801" t="s">
        <v>856</v>
      </c>
      <c r="E882" s="802"/>
      <c r="F882" s="9"/>
      <c r="G882" s="113">
        <f>SUM(G873:G881)</f>
        <v>3340</v>
      </c>
    </row>
    <row r="883" spans="1:7">
      <c r="A883" s="95"/>
      <c r="B883" s="819"/>
      <c r="C883" s="820"/>
      <c r="D883" s="801" t="s">
        <v>857</v>
      </c>
      <c r="E883" s="802"/>
      <c r="F883" s="79">
        <f>'MANO DE OBRA'!D60</f>
        <v>0.05</v>
      </c>
      <c r="G883" s="113">
        <f>ROUND(G882*F883,0)</f>
        <v>167</v>
      </c>
    </row>
    <row r="884" spans="1:7" ht="13.5" thickBot="1">
      <c r="A884" s="95"/>
      <c r="B884" s="819"/>
      <c r="C884" s="820"/>
      <c r="D884" s="803" t="s">
        <v>320</v>
      </c>
      <c r="E884" s="804"/>
      <c r="F884" s="114"/>
      <c r="G884" s="118">
        <f>+G882+G883</f>
        <v>3507</v>
      </c>
    </row>
    <row r="885" spans="1:7" ht="14.25" thickTop="1" thickBot="1">
      <c r="A885" s="95"/>
      <c r="B885" s="830"/>
      <c r="C885" s="830"/>
      <c r="D885" s="830"/>
      <c r="E885" s="830"/>
      <c r="F885" s="830"/>
      <c r="G885" s="830"/>
    </row>
    <row r="886" spans="1:7" ht="13.5" thickTop="1">
      <c r="A886" s="95"/>
      <c r="B886" s="811" t="s">
        <v>858</v>
      </c>
      <c r="C886" s="812"/>
      <c r="D886" s="812"/>
      <c r="E886" s="812"/>
      <c r="F886" s="812"/>
      <c r="G886" s="825"/>
    </row>
    <row r="887" spans="1:7">
      <c r="A887" s="95"/>
      <c r="B887" s="817"/>
      <c r="C887" s="818"/>
      <c r="D887" s="98" t="s">
        <v>301</v>
      </c>
      <c r="E887" s="98" t="s">
        <v>859</v>
      </c>
      <c r="F887" s="99" t="s">
        <v>839</v>
      </c>
      <c r="G887" s="107" t="s">
        <v>840</v>
      </c>
    </row>
    <row r="888" spans="1:7">
      <c r="A888" s="95"/>
      <c r="B888" s="821" t="s">
        <v>838</v>
      </c>
      <c r="C888" s="822"/>
      <c r="D888" s="100" t="s">
        <v>316</v>
      </c>
      <c r="E888" s="100" t="s">
        <v>315</v>
      </c>
      <c r="F888" s="101" t="s">
        <v>306</v>
      </c>
      <c r="G888" s="108" t="s">
        <v>319</v>
      </c>
    </row>
    <row r="889" spans="1:7">
      <c r="A889" s="95"/>
      <c r="B889" s="115"/>
      <c r="C889" s="102"/>
      <c r="D889" s="103"/>
      <c r="E889" s="103" t="s">
        <v>317</v>
      </c>
      <c r="F889" s="104" t="s">
        <v>318</v>
      </c>
      <c r="G889" s="109"/>
    </row>
    <row r="890" spans="1:7">
      <c r="A890" s="95"/>
      <c r="B890" s="823" t="str">
        <f>'MANO DE OBRA'!B10</f>
        <v>AYUDANTE CUAD. TIPO AA</v>
      </c>
      <c r="C890" s="824"/>
      <c r="D890" s="87">
        <v>1</v>
      </c>
      <c r="E890" s="80">
        <f>'MANO DE OBRA'!E10</f>
        <v>34680</v>
      </c>
      <c r="F890" s="81">
        <v>3.2</v>
      </c>
      <c r="G890" s="110">
        <f>ROUND(D890*E890/F890,0)</f>
        <v>10838</v>
      </c>
    </row>
    <row r="891" spans="1:7">
      <c r="A891" s="95"/>
      <c r="B891" s="835" t="str">
        <f>'MANO DE OBRA'!B15</f>
        <v xml:space="preserve">OFICIAL CUAD. TIPO AA </v>
      </c>
      <c r="C891" s="836"/>
      <c r="D891" s="37">
        <v>1</v>
      </c>
      <c r="E891" s="82">
        <f>'MANO DE OBRA'!E15</f>
        <v>71474</v>
      </c>
      <c r="F891" s="83">
        <v>3.2</v>
      </c>
      <c r="G891" s="111">
        <f>ROUND(D891*E891/F891,0)</f>
        <v>22336</v>
      </c>
    </row>
    <row r="892" spans="1:7">
      <c r="A892" s="95"/>
      <c r="B892" s="835"/>
      <c r="C892" s="836"/>
      <c r="D892" s="89"/>
      <c r="E892" s="82"/>
      <c r="F892" s="83"/>
      <c r="G892" s="111"/>
    </row>
    <row r="893" spans="1:7">
      <c r="A893" s="95"/>
      <c r="B893" s="835" t="s">
        <v>841</v>
      </c>
      <c r="C893" s="836"/>
      <c r="D893" s="37"/>
      <c r="E893" s="82"/>
      <c r="F893" s="83"/>
      <c r="G893" s="111"/>
    </row>
    <row r="894" spans="1:7" ht="13.5" thickBot="1">
      <c r="A894" s="95"/>
      <c r="B894" s="828" t="s">
        <v>841</v>
      </c>
      <c r="C894" s="829"/>
      <c r="D894" s="77"/>
      <c r="E894" s="82"/>
      <c r="F894" s="86"/>
      <c r="G894" s="112"/>
    </row>
    <row r="895" spans="1:7" ht="14.25" thickTop="1" thickBot="1">
      <c r="A895" s="95"/>
      <c r="B895" s="808"/>
      <c r="C895" s="808"/>
      <c r="D895" s="808"/>
      <c r="E895" s="809"/>
      <c r="F895" s="120" t="s">
        <v>856</v>
      </c>
      <c r="G895" s="118">
        <f>SUM(G890:G894)</f>
        <v>33174</v>
      </c>
    </row>
    <row r="896" spans="1:7" ht="14.25" thickTop="1" thickBot="1">
      <c r="A896" s="95"/>
      <c r="B896" s="810"/>
      <c r="C896" s="810"/>
      <c r="D896" s="810"/>
      <c r="E896" s="810"/>
      <c r="F896" s="810"/>
      <c r="G896" s="810"/>
    </row>
    <row r="897" spans="1:8" ht="13.5" thickTop="1">
      <c r="A897" s="95"/>
      <c r="B897" s="811" t="s">
        <v>321</v>
      </c>
      <c r="C897" s="812"/>
      <c r="D897" s="812"/>
      <c r="E897" s="812"/>
      <c r="F897" s="812"/>
      <c r="G897" s="825"/>
    </row>
    <row r="898" spans="1:8">
      <c r="A898" s="95"/>
      <c r="B898" s="817" t="s">
        <v>838</v>
      </c>
      <c r="C898" s="818"/>
      <c r="D898" s="98" t="s">
        <v>301</v>
      </c>
      <c r="E898" s="98" t="s">
        <v>297</v>
      </c>
      <c r="F898" s="99" t="s">
        <v>839</v>
      </c>
      <c r="G898" s="107" t="s">
        <v>840</v>
      </c>
    </row>
    <row r="899" spans="1:8">
      <c r="A899" s="95"/>
      <c r="B899" s="115"/>
      <c r="C899" s="102"/>
      <c r="D899" s="103" t="s">
        <v>322</v>
      </c>
      <c r="E899" s="103" t="s">
        <v>323</v>
      </c>
      <c r="F899" s="104" t="s">
        <v>324</v>
      </c>
      <c r="G899" s="109" t="s">
        <v>325</v>
      </c>
    </row>
    <row r="900" spans="1:8">
      <c r="A900" s="95"/>
      <c r="B900" s="826"/>
      <c r="C900" s="827"/>
      <c r="D900" s="96"/>
      <c r="E900" s="96"/>
      <c r="F900" s="96"/>
      <c r="G900" s="116"/>
    </row>
    <row r="901" spans="1:8" ht="13.5" thickBot="1">
      <c r="A901" s="95"/>
      <c r="B901" s="828" t="s">
        <v>841</v>
      </c>
      <c r="C901" s="829"/>
      <c r="D901" s="77"/>
      <c r="E901" s="82"/>
      <c r="F901" s="86"/>
      <c r="G901" s="112"/>
    </row>
    <row r="902" spans="1:8" ht="14.25" thickTop="1" thickBot="1">
      <c r="A902" s="95"/>
      <c r="B902" s="808"/>
      <c r="C902" s="808"/>
      <c r="D902" s="808"/>
      <c r="E902" s="809"/>
      <c r="F902" s="120" t="s">
        <v>856</v>
      </c>
      <c r="G902" s="118">
        <f>SUM(G897:G901)</f>
        <v>0</v>
      </c>
    </row>
    <row r="903" spans="1:8" ht="14.25" thickTop="1" thickBot="1">
      <c r="A903" s="95"/>
      <c r="B903" s="810"/>
      <c r="C903" s="810"/>
      <c r="D903" s="810"/>
      <c r="E903" s="810"/>
      <c r="F903" s="810"/>
      <c r="G903" s="834"/>
    </row>
    <row r="904" spans="1:8" ht="13.5" thickTop="1">
      <c r="A904" s="95"/>
      <c r="B904" s="811" t="s">
        <v>326</v>
      </c>
      <c r="C904" s="812"/>
      <c r="D904" s="812"/>
      <c r="E904" s="812"/>
      <c r="F904" s="813"/>
      <c r="G904" s="121">
        <f>+G868+G884+G895</f>
        <v>38340</v>
      </c>
    </row>
    <row r="905" spans="1:8">
      <c r="A905" s="95"/>
      <c r="B905" s="814" t="s">
        <v>861</v>
      </c>
      <c r="C905" s="815"/>
      <c r="D905" s="815"/>
      <c r="E905" s="816"/>
      <c r="F905" s="128">
        <f>'MANO DE OBRA'!D59</f>
        <v>0</v>
      </c>
      <c r="G905" s="122">
        <f>ROUND(G904*F905,0)</f>
        <v>0</v>
      </c>
    </row>
    <row r="906" spans="1:8" ht="13.5" thickBot="1">
      <c r="A906" s="95"/>
      <c r="B906" s="805" t="s">
        <v>1049</v>
      </c>
      <c r="C906" s="806"/>
      <c r="D906" s="806"/>
      <c r="E906" s="806"/>
      <c r="F906" s="807"/>
      <c r="G906" s="118">
        <f>ROUND(G904+G905,-2)</f>
        <v>38300</v>
      </c>
      <c r="H906" s="505" t="s">
        <v>1670</v>
      </c>
    </row>
    <row r="907" spans="1:8" ht="15" thickTop="1">
      <c r="A907" s="95"/>
      <c r="B907" s="90" t="s">
        <v>303</v>
      </c>
      <c r="C907" s="843"/>
      <c r="D907" s="843"/>
      <c r="E907" s="843"/>
      <c r="F907" s="92" t="s">
        <v>781</v>
      </c>
      <c r="G907" s="93" t="s">
        <v>1067</v>
      </c>
    </row>
    <row r="908" spans="1:8">
      <c r="A908" s="95"/>
      <c r="B908" s="91" t="s">
        <v>834</v>
      </c>
      <c r="C908" s="844" t="s">
        <v>400</v>
      </c>
      <c r="D908" s="844"/>
      <c r="E908" s="844"/>
      <c r="F908" s="15" t="s">
        <v>833</v>
      </c>
      <c r="G908" s="165" t="str">
        <f>'MANO DE OBRA'!D61</f>
        <v>Agosto de 2010</v>
      </c>
    </row>
    <row r="909" spans="1:8" ht="13.5" thickBot="1">
      <c r="A909" s="127"/>
      <c r="B909" s="94" t="s">
        <v>835</v>
      </c>
      <c r="C909" s="845" t="s">
        <v>405</v>
      </c>
      <c r="D909" s="845"/>
      <c r="E909" s="845"/>
      <c r="F909" s="845"/>
      <c r="G909" s="846"/>
    </row>
    <row r="910" spans="1:8" ht="14.25" thickTop="1" thickBot="1">
      <c r="A910" s="95"/>
      <c r="B910" s="847"/>
      <c r="C910" s="847"/>
      <c r="D910" s="847"/>
      <c r="E910" s="847"/>
      <c r="F910" s="847"/>
      <c r="G910" s="847"/>
    </row>
    <row r="911" spans="1:8" ht="13.5" thickTop="1">
      <c r="A911" s="95"/>
      <c r="B911" s="811" t="s">
        <v>304</v>
      </c>
      <c r="C911" s="812"/>
      <c r="D911" s="812"/>
      <c r="E911" s="812"/>
      <c r="F911" s="812"/>
      <c r="G911" s="825"/>
    </row>
    <row r="912" spans="1:8">
      <c r="A912" s="95"/>
      <c r="B912" s="105"/>
      <c r="C912" s="97"/>
      <c r="D912" s="98" t="s">
        <v>301</v>
      </c>
      <c r="E912" s="98" t="s">
        <v>1072</v>
      </c>
      <c r="F912" s="99" t="s">
        <v>839</v>
      </c>
      <c r="G912" s="107" t="s">
        <v>840</v>
      </c>
    </row>
    <row r="913" spans="1:7">
      <c r="A913" s="95"/>
      <c r="B913" s="821" t="s">
        <v>838</v>
      </c>
      <c r="C913" s="822"/>
      <c r="D913" s="100" t="s">
        <v>308</v>
      </c>
      <c r="E913" s="100" t="s">
        <v>305</v>
      </c>
      <c r="F913" s="101" t="s">
        <v>306</v>
      </c>
      <c r="G913" s="108" t="s">
        <v>310</v>
      </c>
    </row>
    <row r="914" spans="1:7">
      <c r="A914" s="95"/>
      <c r="B914" s="115"/>
      <c r="C914" s="102"/>
      <c r="D914" s="103"/>
      <c r="E914" s="103" t="s">
        <v>309</v>
      </c>
      <c r="F914" s="104" t="s">
        <v>307</v>
      </c>
      <c r="G914" s="109"/>
    </row>
    <row r="915" spans="1:7">
      <c r="A915" s="127"/>
      <c r="B915" s="823" t="str">
        <f>'MAQUINARIA Y EQUIPOS'!$C$28</f>
        <v>HERRAMIENTAS MENORES</v>
      </c>
      <c r="C915" s="824"/>
      <c r="D915" s="87">
        <v>1</v>
      </c>
      <c r="E915" s="82">
        <f>ROUND(G948*0.05,0)</f>
        <v>1062</v>
      </c>
      <c r="F915" s="81">
        <v>1</v>
      </c>
      <c r="G915" s="110">
        <f>ROUND(D915*E915/F915,0)</f>
        <v>1062</v>
      </c>
    </row>
    <row r="916" spans="1:7">
      <c r="A916" s="95"/>
      <c r="B916" s="835" t="str">
        <f>'MAQUINARIA Y EQUIPOS'!$C$25</f>
        <v>EQUIPO PARA PULIR PISOS</v>
      </c>
      <c r="C916" s="836"/>
      <c r="D916" s="37">
        <v>1</v>
      </c>
      <c r="E916" s="129">
        <f>'MAQUINARIA Y EQUIPOS'!$D$25</f>
        <v>50000</v>
      </c>
      <c r="F916" s="83">
        <v>8</v>
      </c>
      <c r="G916" s="111">
        <f>ROUND(D916*E916/F916,0)</f>
        <v>6250</v>
      </c>
    </row>
    <row r="917" spans="1:7">
      <c r="A917" s="95"/>
      <c r="B917" s="835"/>
      <c r="C917" s="836"/>
      <c r="D917" s="37"/>
      <c r="E917" s="129"/>
      <c r="F917" s="83"/>
      <c r="G917" s="111"/>
    </row>
    <row r="918" spans="1:7">
      <c r="A918" s="95"/>
      <c r="B918" s="835"/>
      <c r="C918" s="836"/>
      <c r="D918" s="89"/>
      <c r="E918" s="82"/>
      <c r="F918" s="83"/>
      <c r="G918" s="111"/>
    </row>
    <row r="919" spans="1:7">
      <c r="A919" s="95"/>
      <c r="B919" s="835" t="s">
        <v>841</v>
      </c>
      <c r="C919" s="836"/>
      <c r="D919" s="37"/>
      <c r="E919" s="82"/>
      <c r="F919" s="83"/>
      <c r="G919" s="111"/>
    </row>
    <row r="920" spans="1:7" ht="13.5" thickBot="1">
      <c r="A920" s="95"/>
      <c r="B920" s="839" t="s">
        <v>841</v>
      </c>
      <c r="C920" s="840"/>
      <c r="D920" s="77"/>
      <c r="E920" s="106"/>
      <c r="F920" s="86"/>
      <c r="G920" s="112"/>
    </row>
    <row r="921" spans="1:7" ht="14.25" thickTop="1" thickBot="1">
      <c r="A921" s="95"/>
      <c r="B921" s="808"/>
      <c r="C921" s="808"/>
      <c r="D921" s="808"/>
      <c r="E921" s="809"/>
      <c r="F921" s="119" t="s">
        <v>856</v>
      </c>
      <c r="G921" s="118">
        <f>SUM(G915:G920)</f>
        <v>7312</v>
      </c>
    </row>
    <row r="922" spans="1:7" ht="14.25" thickTop="1" thickBot="1">
      <c r="A922" s="95"/>
      <c r="B922" s="830"/>
      <c r="C922" s="830"/>
      <c r="D922" s="830"/>
      <c r="E922" s="830"/>
      <c r="F922" s="830"/>
      <c r="G922" s="830"/>
    </row>
    <row r="923" spans="1:7" ht="13.5" thickTop="1">
      <c r="A923" s="95"/>
      <c r="B923" s="811" t="s">
        <v>311</v>
      </c>
      <c r="C923" s="812"/>
      <c r="D923" s="812"/>
      <c r="E923" s="812"/>
      <c r="F923" s="812"/>
      <c r="G923" s="825"/>
    </row>
    <row r="924" spans="1:7">
      <c r="A924" s="95"/>
      <c r="B924" s="817" t="s">
        <v>838</v>
      </c>
      <c r="C924" s="818"/>
      <c r="D924" s="98" t="s">
        <v>842</v>
      </c>
      <c r="E924" s="98" t="s">
        <v>853</v>
      </c>
      <c r="F924" s="99" t="s">
        <v>1047</v>
      </c>
      <c r="G924" s="107" t="s">
        <v>840</v>
      </c>
    </row>
    <row r="925" spans="1:7">
      <c r="A925" s="95"/>
      <c r="B925" s="115"/>
      <c r="C925" s="102"/>
      <c r="D925" s="103"/>
      <c r="E925" s="100" t="s">
        <v>312</v>
      </c>
      <c r="F925" s="101" t="s">
        <v>313</v>
      </c>
      <c r="G925" s="108" t="s">
        <v>314</v>
      </c>
    </row>
    <row r="926" spans="1:7">
      <c r="A926" s="125"/>
      <c r="B926" s="841" t="str">
        <f>MATERIALES2!$C$132</f>
        <v>GRANITO GRIS # 2, 30 KG</v>
      </c>
      <c r="C926" s="842"/>
      <c r="D926" s="37" t="s">
        <v>903</v>
      </c>
      <c r="E926" s="140">
        <v>0.75</v>
      </c>
      <c r="F926" s="80">
        <f>MATERIALES2!$E$132</f>
        <v>15000</v>
      </c>
      <c r="G926" s="110">
        <f t="shared" ref="G926:G932" si="0">ROUND(E926*F926,0)</f>
        <v>11250</v>
      </c>
    </row>
    <row r="927" spans="1:7">
      <c r="A927" s="123"/>
      <c r="B927" s="854" t="str">
        <f>MATERIALES2!$C$13</f>
        <v>CEMENTO GRIS</v>
      </c>
      <c r="C927" s="855"/>
      <c r="D927" s="37" t="s">
        <v>925</v>
      </c>
      <c r="E927" s="141">
        <v>18.7</v>
      </c>
      <c r="F927" s="82">
        <f>MATERIALES2!$E$13</f>
        <v>420</v>
      </c>
      <c r="G927" s="111">
        <f t="shared" si="0"/>
        <v>7854</v>
      </c>
    </row>
    <row r="928" spans="1:7">
      <c r="A928" s="123"/>
      <c r="B928" s="854" t="str">
        <f>MATERIALES2!$C$14</f>
        <v>MARMOLINA 65 KG</v>
      </c>
      <c r="C928" s="855"/>
      <c r="D928" s="37" t="s">
        <v>903</v>
      </c>
      <c r="E928" s="141">
        <v>0.5</v>
      </c>
      <c r="F928" s="82">
        <f>MATERIALES2!$E$14</f>
        <v>8895</v>
      </c>
      <c r="G928" s="111">
        <f t="shared" si="0"/>
        <v>4448</v>
      </c>
    </row>
    <row r="929" spans="1:8">
      <c r="A929" s="123"/>
      <c r="B929" s="854" t="str">
        <f>MATERIALES2!$C$12</f>
        <v>CEMENTO BLANCO</v>
      </c>
      <c r="C929" s="855"/>
      <c r="D929" s="37" t="s">
        <v>925</v>
      </c>
      <c r="E929" s="141">
        <v>21</v>
      </c>
      <c r="F929" s="82">
        <f>MATERIALES2!$E$12</f>
        <v>750</v>
      </c>
      <c r="G929" s="111">
        <f t="shared" si="0"/>
        <v>15750</v>
      </c>
    </row>
    <row r="930" spans="1:8" ht="14.25">
      <c r="A930" s="123"/>
      <c r="B930" s="854" t="str">
        <f>MATERIALES2!$C$20</f>
        <v xml:space="preserve">ARENA </v>
      </c>
      <c r="C930" s="855"/>
      <c r="D930" s="37" t="s">
        <v>1066</v>
      </c>
      <c r="E930" s="141">
        <v>0.09</v>
      </c>
      <c r="F930" s="82">
        <f>MATERIALES2!$E$20</f>
        <v>35000</v>
      </c>
      <c r="G930" s="111">
        <f t="shared" si="0"/>
        <v>3150</v>
      </c>
    </row>
    <row r="931" spans="1:8">
      <c r="A931" s="123"/>
      <c r="B931" s="854" t="str">
        <f>MATERIALES2!$C$28</f>
        <v>AGUA</v>
      </c>
      <c r="C931" s="855"/>
      <c r="D931" s="37" t="s">
        <v>1071</v>
      </c>
      <c r="E931" s="53">
        <v>7.41</v>
      </c>
      <c r="F931" s="82">
        <f>MATERIALES2!$E$28</f>
        <v>50</v>
      </c>
      <c r="G931" s="111">
        <f t="shared" si="0"/>
        <v>371</v>
      </c>
    </row>
    <row r="932" spans="1:8">
      <c r="A932" s="95"/>
      <c r="B932" s="854" t="str">
        <f>MATERIALES2!$C$135</f>
        <v>DILATACION EN BRONCE, 3 M</v>
      </c>
      <c r="C932" s="855"/>
      <c r="D932" s="37" t="s">
        <v>865</v>
      </c>
      <c r="E932" s="53">
        <v>0.45</v>
      </c>
      <c r="F932" s="82">
        <f>MATERIALES2!$E$135</f>
        <v>13500</v>
      </c>
      <c r="G932" s="111">
        <f t="shared" si="0"/>
        <v>6075</v>
      </c>
    </row>
    <row r="933" spans="1:8">
      <c r="A933" s="95"/>
      <c r="B933" s="938" t="s">
        <v>841</v>
      </c>
      <c r="C933" s="939"/>
      <c r="D933" s="53" t="s">
        <v>841</v>
      </c>
      <c r="E933" s="53"/>
      <c r="F933" s="82"/>
      <c r="G933" s="111"/>
      <c r="H933" s="505" t="s">
        <v>1670</v>
      </c>
    </row>
    <row r="934" spans="1:8" ht="13.5" thickBot="1">
      <c r="A934" s="95"/>
      <c r="B934" s="942" t="s">
        <v>841</v>
      </c>
      <c r="C934" s="943"/>
      <c r="D934" s="84" t="s">
        <v>841</v>
      </c>
      <c r="E934" s="84"/>
      <c r="F934" s="85"/>
      <c r="G934" s="112"/>
    </row>
    <row r="935" spans="1:8" ht="13.5" thickTop="1">
      <c r="A935" s="95"/>
      <c r="B935" s="808"/>
      <c r="C935" s="809"/>
      <c r="D935" s="801" t="s">
        <v>856</v>
      </c>
      <c r="E935" s="802"/>
      <c r="F935" s="9"/>
      <c r="G935" s="113">
        <f>SUM(G926:G934)</f>
        <v>48898</v>
      </c>
    </row>
    <row r="936" spans="1:8">
      <c r="A936" s="95"/>
      <c r="B936" s="819"/>
      <c r="C936" s="820"/>
      <c r="D936" s="801" t="s">
        <v>857</v>
      </c>
      <c r="E936" s="802"/>
      <c r="F936" s="79">
        <f>'MANO DE OBRA'!$D$60</f>
        <v>0.05</v>
      </c>
      <c r="G936" s="113">
        <f>ROUND(G935*F936,0)</f>
        <v>2445</v>
      </c>
    </row>
    <row r="937" spans="1:8" ht="13.5" thickBot="1">
      <c r="A937" s="95"/>
      <c r="B937" s="819"/>
      <c r="C937" s="820"/>
      <c r="D937" s="803" t="s">
        <v>320</v>
      </c>
      <c r="E937" s="804"/>
      <c r="F937" s="114"/>
      <c r="G937" s="118">
        <f>+G935+G936</f>
        <v>51343</v>
      </c>
    </row>
    <row r="938" spans="1:8" ht="14.25" thickTop="1" thickBot="1">
      <c r="A938" s="95"/>
      <c r="B938" s="830"/>
      <c r="C938" s="830"/>
      <c r="D938" s="830"/>
      <c r="E938" s="830"/>
      <c r="F938" s="830"/>
      <c r="G938" s="830"/>
    </row>
    <row r="939" spans="1:8" ht="13.5" thickTop="1">
      <c r="A939" s="95"/>
      <c r="B939" s="811" t="s">
        <v>858</v>
      </c>
      <c r="C939" s="812"/>
      <c r="D939" s="812"/>
      <c r="E939" s="812"/>
      <c r="F939" s="812"/>
      <c r="G939" s="825"/>
    </row>
    <row r="940" spans="1:8">
      <c r="A940" s="95"/>
      <c r="B940" s="817"/>
      <c r="C940" s="818"/>
      <c r="D940" s="98" t="s">
        <v>301</v>
      </c>
      <c r="E940" s="98" t="s">
        <v>859</v>
      </c>
      <c r="F940" s="99" t="s">
        <v>839</v>
      </c>
      <c r="G940" s="107" t="s">
        <v>840</v>
      </c>
    </row>
    <row r="941" spans="1:8">
      <c r="A941" s="95"/>
      <c r="B941" s="821" t="s">
        <v>838</v>
      </c>
      <c r="C941" s="822"/>
      <c r="D941" s="100" t="s">
        <v>316</v>
      </c>
      <c r="E941" s="100" t="s">
        <v>315</v>
      </c>
      <c r="F941" s="101" t="s">
        <v>306</v>
      </c>
      <c r="G941" s="108" t="s">
        <v>319</v>
      </c>
    </row>
    <row r="942" spans="1:8">
      <c r="A942" s="95"/>
      <c r="B942" s="115"/>
      <c r="C942" s="102"/>
      <c r="D942" s="103"/>
      <c r="E942" s="103" t="s">
        <v>317</v>
      </c>
      <c r="F942" s="104" t="s">
        <v>318</v>
      </c>
      <c r="G942" s="109"/>
    </row>
    <row r="943" spans="1:8">
      <c r="A943" s="95"/>
      <c r="B943" s="823" t="str">
        <f>'MANO DE OBRA'!$B$10</f>
        <v>AYUDANTE CUAD. TIPO AA</v>
      </c>
      <c r="C943" s="824"/>
      <c r="D943" s="87">
        <v>1</v>
      </c>
      <c r="E943" s="80">
        <f>'MANO DE OBRA'!$E$10</f>
        <v>34680</v>
      </c>
      <c r="F943" s="81">
        <v>5</v>
      </c>
      <c r="G943" s="110">
        <f>ROUND(D943*E943/F943,0)</f>
        <v>6936</v>
      </c>
    </row>
    <row r="944" spans="1:8">
      <c r="A944" s="95"/>
      <c r="B944" s="835" t="str">
        <f>'MANO DE OBRA'!$B$15</f>
        <v xml:space="preserve">OFICIAL CUAD. TIPO AA </v>
      </c>
      <c r="C944" s="836"/>
      <c r="D944" s="37">
        <v>1</v>
      </c>
      <c r="E944" s="82">
        <f>'MANO DE OBRA'!$E$15</f>
        <v>71474</v>
      </c>
      <c r="F944" s="83">
        <v>5</v>
      </c>
      <c r="G944" s="111">
        <f>ROUND(D944*E944/F944,0)</f>
        <v>14295</v>
      </c>
    </row>
    <row r="945" spans="1:8">
      <c r="A945" s="95"/>
      <c r="B945" s="835"/>
      <c r="C945" s="836"/>
      <c r="D945" s="89"/>
      <c r="E945" s="82"/>
      <c r="F945" s="83"/>
      <c r="G945" s="111"/>
    </row>
    <row r="946" spans="1:8">
      <c r="A946" s="95"/>
      <c r="B946" s="835" t="s">
        <v>841</v>
      </c>
      <c r="C946" s="836"/>
      <c r="D946" s="37"/>
      <c r="E946" s="82"/>
      <c r="F946" s="83"/>
      <c r="G946" s="111"/>
    </row>
    <row r="947" spans="1:8" ht="13.5" thickBot="1">
      <c r="A947" s="95"/>
      <c r="B947" s="828" t="s">
        <v>841</v>
      </c>
      <c r="C947" s="829"/>
      <c r="D947" s="77"/>
      <c r="E947" s="82"/>
      <c r="F947" s="86"/>
      <c r="G947" s="112"/>
    </row>
    <row r="948" spans="1:8" ht="14.25" thickTop="1" thickBot="1">
      <c r="A948" s="95"/>
      <c r="B948" s="808"/>
      <c r="C948" s="808"/>
      <c r="D948" s="808"/>
      <c r="E948" s="809"/>
      <c r="F948" s="120" t="s">
        <v>856</v>
      </c>
      <c r="G948" s="118">
        <f>SUM(G943:G947)</f>
        <v>21231</v>
      </c>
    </row>
    <row r="949" spans="1:8" ht="14.25" thickTop="1" thickBot="1">
      <c r="A949" s="95"/>
      <c r="B949" s="810"/>
      <c r="C949" s="810"/>
      <c r="D949" s="810"/>
      <c r="E949" s="810"/>
      <c r="F949" s="810"/>
      <c r="G949" s="810"/>
    </row>
    <row r="950" spans="1:8" ht="13.5" thickTop="1">
      <c r="A950" s="95"/>
      <c r="B950" s="811" t="s">
        <v>321</v>
      </c>
      <c r="C950" s="812"/>
      <c r="D950" s="812"/>
      <c r="E950" s="812"/>
      <c r="F950" s="812"/>
      <c r="G950" s="825"/>
    </row>
    <row r="951" spans="1:8">
      <c r="A951" s="95"/>
      <c r="B951" s="817" t="s">
        <v>838</v>
      </c>
      <c r="C951" s="818"/>
      <c r="D951" s="98" t="s">
        <v>301</v>
      </c>
      <c r="E951" s="98" t="s">
        <v>297</v>
      </c>
      <c r="F951" s="99" t="s">
        <v>839</v>
      </c>
      <c r="G951" s="107" t="s">
        <v>840</v>
      </c>
    </row>
    <row r="952" spans="1:8">
      <c r="A952" s="95"/>
      <c r="B952" s="115"/>
      <c r="C952" s="102"/>
      <c r="D952" s="103" t="s">
        <v>322</v>
      </c>
      <c r="E952" s="103" t="s">
        <v>323</v>
      </c>
      <c r="F952" s="104" t="s">
        <v>324</v>
      </c>
      <c r="G952" s="109" t="s">
        <v>325</v>
      </c>
    </row>
    <row r="953" spans="1:8">
      <c r="A953" s="95"/>
      <c r="B953" s="826"/>
      <c r="C953" s="827"/>
      <c r="D953" s="96"/>
      <c r="E953" s="96"/>
      <c r="F953" s="96"/>
      <c r="G953" s="116"/>
    </row>
    <row r="954" spans="1:8" ht="13.5" thickBot="1">
      <c r="A954" s="95"/>
      <c r="B954" s="828" t="s">
        <v>841</v>
      </c>
      <c r="C954" s="829"/>
      <c r="D954" s="77"/>
      <c r="E954" s="82"/>
      <c r="F954" s="86"/>
      <c r="G954" s="112"/>
    </row>
    <row r="955" spans="1:8" ht="14.25" thickTop="1" thickBot="1">
      <c r="A955" s="95"/>
      <c r="B955" s="808"/>
      <c r="C955" s="808"/>
      <c r="D955" s="808"/>
      <c r="E955" s="809"/>
      <c r="F955" s="120" t="s">
        <v>856</v>
      </c>
      <c r="G955" s="118">
        <f>SUM(G950:G954)</f>
        <v>0</v>
      </c>
    </row>
    <row r="956" spans="1:8" ht="14.25" thickTop="1" thickBot="1">
      <c r="A956" s="95"/>
      <c r="B956" s="810"/>
      <c r="C956" s="810"/>
      <c r="D956" s="810"/>
      <c r="E956" s="810"/>
      <c r="F956" s="810"/>
      <c r="G956" s="834"/>
    </row>
    <row r="957" spans="1:8" ht="13.5" thickTop="1">
      <c r="A957" s="95"/>
      <c r="B957" s="811" t="s">
        <v>326</v>
      </c>
      <c r="C957" s="812"/>
      <c r="D957" s="812"/>
      <c r="E957" s="812"/>
      <c r="F957" s="813"/>
      <c r="G957" s="121">
        <f>+G921+G937+G948</f>
        <v>79886</v>
      </c>
    </row>
    <row r="958" spans="1:8">
      <c r="A958" s="95"/>
      <c r="B958" s="814" t="s">
        <v>861</v>
      </c>
      <c r="C958" s="815"/>
      <c r="D958" s="815"/>
      <c r="E958" s="816"/>
      <c r="F958" s="128">
        <f>'MANO DE OBRA'!$D$59</f>
        <v>0</v>
      </c>
      <c r="G958" s="122">
        <f>ROUND(G957*F958,0)</f>
        <v>0</v>
      </c>
    </row>
    <row r="959" spans="1:8" ht="13.5" thickBot="1">
      <c r="A959" s="95"/>
      <c r="B959" s="805" t="s">
        <v>1049</v>
      </c>
      <c r="C959" s="806"/>
      <c r="D959" s="806"/>
      <c r="E959" s="806"/>
      <c r="F959" s="807"/>
      <c r="G959" s="118">
        <f>ROUND(G957+G958,-2)</f>
        <v>79900</v>
      </c>
      <c r="H959" s="505" t="s">
        <v>1670</v>
      </c>
    </row>
    <row r="960" spans="1:8" ht="15" thickTop="1">
      <c r="A960" s="95"/>
      <c r="B960" s="90" t="s">
        <v>303</v>
      </c>
      <c r="C960" s="843"/>
      <c r="D960" s="843"/>
      <c r="E960" s="843"/>
      <c r="F960" s="92" t="s">
        <v>781</v>
      </c>
      <c r="G960" s="93" t="s">
        <v>1067</v>
      </c>
    </row>
    <row r="961" spans="1:7">
      <c r="A961" s="95"/>
      <c r="B961" s="91" t="s">
        <v>834</v>
      </c>
      <c r="C961" s="844" t="s">
        <v>1433</v>
      </c>
      <c r="D961" s="844"/>
      <c r="E961" s="844"/>
      <c r="F961" s="15" t="s">
        <v>833</v>
      </c>
      <c r="G961" s="165" t="str">
        <f>'MANO DE OBRA'!D61</f>
        <v>Agosto de 2010</v>
      </c>
    </row>
    <row r="962" spans="1:7" ht="13.5" thickBot="1">
      <c r="A962" s="127"/>
      <c r="B962" s="94" t="s">
        <v>835</v>
      </c>
      <c r="C962" s="845" t="s">
        <v>1451</v>
      </c>
      <c r="D962" s="845"/>
      <c r="E962" s="845"/>
      <c r="F962" s="845"/>
      <c r="G962" s="846"/>
    </row>
    <row r="963" spans="1:7" ht="14.25" thickTop="1" thickBot="1">
      <c r="A963" s="95"/>
      <c r="B963" s="847"/>
      <c r="C963" s="847"/>
      <c r="D963" s="847"/>
      <c r="E963" s="847"/>
      <c r="F963" s="847"/>
      <c r="G963" s="847"/>
    </row>
    <row r="964" spans="1:7" ht="13.5" thickTop="1">
      <c r="A964" s="95"/>
      <c r="B964" s="811" t="s">
        <v>304</v>
      </c>
      <c r="C964" s="812"/>
      <c r="D964" s="812"/>
      <c r="E964" s="812"/>
      <c r="F964" s="812"/>
      <c r="G964" s="825"/>
    </row>
    <row r="965" spans="1:7">
      <c r="A965" s="95"/>
      <c r="B965" s="105"/>
      <c r="C965" s="97"/>
      <c r="D965" s="98" t="s">
        <v>301</v>
      </c>
      <c r="E965" s="98" t="s">
        <v>1072</v>
      </c>
      <c r="F965" s="99" t="s">
        <v>839</v>
      </c>
      <c r="G965" s="107" t="s">
        <v>840</v>
      </c>
    </row>
    <row r="966" spans="1:7">
      <c r="A966" s="95"/>
      <c r="B966" s="821" t="s">
        <v>838</v>
      </c>
      <c r="C966" s="822"/>
      <c r="D966" s="100" t="s">
        <v>308</v>
      </c>
      <c r="E966" s="100" t="s">
        <v>305</v>
      </c>
      <c r="F966" s="101" t="s">
        <v>306</v>
      </c>
      <c r="G966" s="108" t="s">
        <v>310</v>
      </c>
    </row>
    <row r="967" spans="1:7">
      <c r="A967" s="95"/>
      <c r="B967" s="115"/>
      <c r="C967" s="102"/>
      <c r="D967" s="103"/>
      <c r="E967" s="103" t="s">
        <v>309</v>
      </c>
      <c r="F967" s="104" t="s">
        <v>307</v>
      </c>
      <c r="G967" s="109"/>
    </row>
    <row r="968" spans="1:7">
      <c r="A968" s="127"/>
      <c r="B968" s="826" t="str">
        <f>'MAQUINARIA Y EQUIPOS'!C28</f>
        <v>HERRAMIENTAS MENORES</v>
      </c>
      <c r="C968" s="824"/>
      <c r="D968" s="87">
        <v>1</v>
      </c>
      <c r="E968" s="82">
        <f>ROUND(G1001*0.05,0)</f>
        <v>1659</v>
      </c>
      <c r="F968" s="81">
        <v>1</v>
      </c>
      <c r="G968" s="110">
        <f>ROUND(D968*E968/F968,0)</f>
        <v>1659</v>
      </c>
    </row>
    <row r="969" spans="1:7">
      <c r="A969" s="95"/>
      <c r="B969" s="835"/>
      <c r="C969" s="836"/>
      <c r="D969" s="37"/>
      <c r="E969" s="129"/>
      <c r="F969" s="83"/>
      <c r="G969" s="111"/>
    </row>
    <row r="970" spans="1:7">
      <c r="A970" s="95"/>
      <c r="B970" s="835"/>
      <c r="C970" s="836"/>
      <c r="D970" s="37"/>
      <c r="E970" s="129"/>
      <c r="F970" s="83"/>
      <c r="G970" s="111"/>
    </row>
    <row r="971" spans="1:7">
      <c r="A971" s="95"/>
      <c r="B971" s="835"/>
      <c r="C971" s="836"/>
      <c r="D971" s="89"/>
      <c r="E971" s="82"/>
      <c r="F971" s="83"/>
      <c r="G971" s="111"/>
    </row>
    <row r="972" spans="1:7">
      <c r="A972" s="95"/>
      <c r="B972" s="835" t="s">
        <v>841</v>
      </c>
      <c r="C972" s="836"/>
      <c r="D972" s="37"/>
      <c r="E972" s="82"/>
      <c r="F972" s="83"/>
      <c r="G972" s="111"/>
    </row>
    <row r="973" spans="1:7" ht="13.5" thickBot="1">
      <c r="A973" s="95"/>
      <c r="B973" s="839" t="s">
        <v>841</v>
      </c>
      <c r="C973" s="840"/>
      <c r="D973" s="77"/>
      <c r="E973" s="106"/>
      <c r="F973" s="86"/>
      <c r="G973" s="112"/>
    </row>
    <row r="974" spans="1:7" ht="14.25" thickTop="1" thickBot="1">
      <c r="A974" s="95"/>
      <c r="B974" s="808"/>
      <c r="C974" s="808"/>
      <c r="D974" s="808"/>
      <c r="E974" s="809"/>
      <c r="F974" s="119" t="s">
        <v>856</v>
      </c>
      <c r="G974" s="118">
        <f>SUM(G968:G973)</f>
        <v>1659</v>
      </c>
    </row>
    <row r="975" spans="1:7" ht="14.25" thickTop="1" thickBot="1">
      <c r="A975" s="95"/>
      <c r="B975" s="830"/>
      <c r="C975" s="830"/>
      <c r="D975" s="830"/>
      <c r="E975" s="830"/>
      <c r="F975" s="830"/>
      <c r="G975" s="830"/>
    </row>
    <row r="976" spans="1:7" ht="13.5" thickTop="1">
      <c r="A976" s="95"/>
      <c r="B976" s="811" t="s">
        <v>311</v>
      </c>
      <c r="C976" s="812"/>
      <c r="D976" s="812"/>
      <c r="E976" s="812"/>
      <c r="F976" s="812"/>
      <c r="G976" s="825"/>
    </row>
    <row r="977" spans="1:8">
      <c r="A977" s="95"/>
      <c r="B977" s="817" t="s">
        <v>838</v>
      </c>
      <c r="C977" s="818"/>
      <c r="D977" s="98" t="s">
        <v>842</v>
      </c>
      <c r="E977" s="98" t="s">
        <v>853</v>
      </c>
      <c r="F977" s="99" t="s">
        <v>1047</v>
      </c>
      <c r="G977" s="107" t="s">
        <v>840</v>
      </c>
    </row>
    <row r="978" spans="1:8">
      <c r="A978" s="95"/>
      <c r="B978" s="115"/>
      <c r="C978" s="102"/>
      <c r="D978" s="103"/>
      <c r="E978" s="100" t="s">
        <v>312</v>
      </c>
      <c r="F978" s="101" t="s">
        <v>313</v>
      </c>
      <c r="G978" s="108" t="s">
        <v>314</v>
      </c>
    </row>
    <row r="979" spans="1:8">
      <c r="A979" s="125"/>
      <c r="B979" s="841" t="str">
        <f>MATERIALES2!C131</f>
        <v>GRAVILLA 65 KG</v>
      </c>
      <c r="C979" s="842"/>
      <c r="D979" s="37" t="s">
        <v>903</v>
      </c>
      <c r="E979" s="140">
        <v>0.52</v>
      </c>
      <c r="F979" s="80">
        <f>MATERIALES2!E131</f>
        <v>12000</v>
      </c>
      <c r="G979" s="110">
        <f>ROUND(E979*F979,0)</f>
        <v>6240</v>
      </c>
    </row>
    <row r="980" spans="1:8">
      <c r="A980" s="123"/>
      <c r="B980" s="854" t="str">
        <f>MATERIALES2!C13</f>
        <v>CEMENTO GRIS</v>
      </c>
      <c r="C980" s="855"/>
      <c r="D980" s="37" t="s">
        <v>925</v>
      </c>
      <c r="E980" s="141">
        <v>6.98</v>
      </c>
      <c r="F980" s="82">
        <f>MATERIALES2!E13</f>
        <v>420</v>
      </c>
      <c r="G980" s="111">
        <f>ROUND(E980*F980,0)</f>
        <v>2932</v>
      </c>
    </row>
    <row r="981" spans="1:8" ht="14.25">
      <c r="A981" s="123"/>
      <c r="B981" s="854" t="str">
        <f>MATERIALES2!C20</f>
        <v xml:space="preserve">ARENA </v>
      </c>
      <c r="C981" s="855"/>
      <c r="D981" s="37" t="s">
        <v>1066</v>
      </c>
      <c r="E981" s="141">
        <v>0.03</v>
      </c>
      <c r="F981" s="82">
        <f>MATERIALES2!E20</f>
        <v>35000</v>
      </c>
      <c r="G981" s="111">
        <f>ROUND(E981*F981,0)</f>
        <v>1050</v>
      </c>
    </row>
    <row r="982" spans="1:8">
      <c r="A982" s="123"/>
      <c r="B982" s="854" t="str">
        <f>MATERIALES2!C28</f>
        <v>AGUA</v>
      </c>
      <c r="C982" s="855"/>
      <c r="D982" s="37" t="s">
        <v>1071</v>
      </c>
      <c r="E982" s="141">
        <v>3.18</v>
      </c>
      <c r="F982" s="82">
        <f>MATERIALES2!E28</f>
        <v>50</v>
      </c>
      <c r="G982" s="111">
        <f>ROUND(E982*F982,0)</f>
        <v>159</v>
      </c>
    </row>
    <row r="983" spans="1:8">
      <c r="A983" s="123"/>
      <c r="B983" s="854" t="str">
        <f>MATERIALES2!C135</f>
        <v>DILATACION EN BRONCE, 3 M</v>
      </c>
      <c r="C983" s="855"/>
      <c r="D983" s="37" t="s">
        <v>865</v>
      </c>
      <c r="E983" s="141">
        <v>0.27</v>
      </c>
      <c r="F983" s="82">
        <f>MATERIALES2!E135</f>
        <v>13500</v>
      </c>
      <c r="G983" s="111">
        <f>ROUND(E983*F983,0)</f>
        <v>3645</v>
      </c>
    </row>
    <row r="984" spans="1:8">
      <c r="A984" s="123"/>
      <c r="B984" s="854"/>
      <c r="C984" s="855"/>
      <c r="D984" s="37"/>
      <c r="E984" s="53"/>
      <c r="F984" s="82"/>
      <c r="G984" s="111"/>
    </row>
    <row r="985" spans="1:8">
      <c r="A985" s="95"/>
      <c r="B985" s="854"/>
      <c r="C985" s="855"/>
      <c r="D985" s="37"/>
      <c r="E985" s="53"/>
      <c r="F985" s="82"/>
      <c r="G985" s="111"/>
    </row>
    <row r="986" spans="1:8">
      <c r="A986" s="95"/>
      <c r="B986" s="938" t="s">
        <v>841</v>
      </c>
      <c r="C986" s="939"/>
      <c r="D986" s="53" t="s">
        <v>841</v>
      </c>
      <c r="E986" s="53"/>
      <c r="F986" s="82"/>
      <c r="G986" s="111"/>
      <c r="H986" s="505" t="s">
        <v>1670</v>
      </c>
    </row>
    <row r="987" spans="1:8" ht="13.5" thickBot="1">
      <c r="A987" s="95"/>
      <c r="B987" s="942" t="s">
        <v>841</v>
      </c>
      <c r="C987" s="943"/>
      <c r="D987" s="84" t="s">
        <v>841</v>
      </c>
      <c r="E987" s="84"/>
      <c r="F987" s="85"/>
      <c r="G987" s="112"/>
    </row>
    <row r="988" spans="1:8" ht="13.5" thickTop="1">
      <c r="A988" s="95"/>
      <c r="B988" s="808"/>
      <c r="C988" s="809"/>
      <c r="D988" s="801" t="s">
        <v>856</v>
      </c>
      <c r="E988" s="802"/>
      <c r="F988" s="9"/>
      <c r="G988" s="113">
        <f>SUM(G979:G987)</f>
        <v>14026</v>
      </c>
    </row>
    <row r="989" spans="1:8">
      <c r="A989" s="95"/>
      <c r="B989" s="819"/>
      <c r="C989" s="820"/>
      <c r="D989" s="801" t="s">
        <v>857</v>
      </c>
      <c r="E989" s="802"/>
      <c r="F989" s="79">
        <f>'MANO DE OBRA'!D60</f>
        <v>0.05</v>
      </c>
      <c r="G989" s="113">
        <f>ROUND(G988*F989,0)</f>
        <v>701</v>
      </c>
    </row>
    <row r="990" spans="1:8" ht="13.5" thickBot="1">
      <c r="A990" s="95"/>
      <c r="B990" s="819"/>
      <c r="C990" s="820"/>
      <c r="D990" s="803" t="s">
        <v>320</v>
      </c>
      <c r="E990" s="804"/>
      <c r="F990" s="114"/>
      <c r="G990" s="118">
        <f>+G988+G989</f>
        <v>14727</v>
      </c>
    </row>
    <row r="991" spans="1:8" ht="14.25" thickTop="1" thickBot="1">
      <c r="A991" s="95"/>
      <c r="B991" s="830"/>
      <c r="C991" s="830"/>
      <c r="D991" s="830"/>
      <c r="E991" s="830"/>
      <c r="F991" s="830"/>
      <c r="G991" s="830"/>
    </row>
    <row r="992" spans="1:8" ht="13.5" thickTop="1">
      <c r="A992" s="95"/>
      <c r="B992" s="811" t="s">
        <v>858</v>
      </c>
      <c r="C992" s="812"/>
      <c r="D992" s="812"/>
      <c r="E992" s="812"/>
      <c r="F992" s="812"/>
      <c r="G992" s="825"/>
    </row>
    <row r="993" spans="1:7">
      <c r="A993" s="95"/>
      <c r="B993" s="817"/>
      <c r="C993" s="818"/>
      <c r="D993" s="98" t="s">
        <v>301</v>
      </c>
      <c r="E993" s="98" t="s">
        <v>859</v>
      </c>
      <c r="F993" s="99" t="s">
        <v>839</v>
      </c>
      <c r="G993" s="107" t="s">
        <v>840</v>
      </c>
    </row>
    <row r="994" spans="1:7">
      <c r="A994" s="95"/>
      <c r="B994" s="821" t="s">
        <v>838</v>
      </c>
      <c r="C994" s="822"/>
      <c r="D994" s="100" t="s">
        <v>316</v>
      </c>
      <c r="E994" s="100" t="s">
        <v>315</v>
      </c>
      <c r="F994" s="101" t="s">
        <v>306</v>
      </c>
      <c r="G994" s="108" t="s">
        <v>319</v>
      </c>
    </row>
    <row r="995" spans="1:7">
      <c r="A995" s="95"/>
      <c r="B995" s="115"/>
      <c r="C995" s="102"/>
      <c r="D995" s="103"/>
      <c r="E995" s="103" t="s">
        <v>317</v>
      </c>
      <c r="F995" s="104" t="s">
        <v>318</v>
      </c>
      <c r="G995" s="109"/>
    </row>
    <row r="996" spans="1:7">
      <c r="A996" s="95"/>
      <c r="B996" s="823" t="str">
        <f>'MANO DE OBRA'!B10</f>
        <v>AYUDANTE CUAD. TIPO AA</v>
      </c>
      <c r="C996" s="824"/>
      <c r="D996" s="87">
        <v>1</v>
      </c>
      <c r="E996" s="80">
        <f>'MANO DE OBRA'!E10</f>
        <v>34680</v>
      </c>
      <c r="F996" s="81">
        <v>3.2</v>
      </c>
      <c r="G996" s="110">
        <f>ROUND(D996*E996/F996,0)</f>
        <v>10838</v>
      </c>
    </row>
    <row r="997" spans="1:7">
      <c r="A997" s="95"/>
      <c r="B997" s="835" t="str">
        <f>'MANO DE OBRA'!B15</f>
        <v xml:space="preserve">OFICIAL CUAD. TIPO AA </v>
      </c>
      <c r="C997" s="836"/>
      <c r="D997" s="37">
        <v>1</v>
      </c>
      <c r="E997" s="82">
        <f>'MANO DE OBRA'!E15</f>
        <v>71474</v>
      </c>
      <c r="F997" s="83">
        <v>3.2</v>
      </c>
      <c r="G997" s="111">
        <f>ROUND(D997*E997/F997,0)</f>
        <v>22336</v>
      </c>
    </row>
    <row r="998" spans="1:7">
      <c r="A998" s="95"/>
      <c r="B998" s="835"/>
      <c r="C998" s="836"/>
      <c r="D998" s="89"/>
      <c r="E998" s="82"/>
      <c r="F998" s="83"/>
      <c r="G998" s="111"/>
    </row>
    <row r="999" spans="1:7">
      <c r="A999" s="95"/>
      <c r="B999" s="835" t="s">
        <v>841</v>
      </c>
      <c r="C999" s="836"/>
      <c r="D999" s="37"/>
      <c r="E999" s="82"/>
      <c r="F999" s="83"/>
      <c r="G999" s="111"/>
    </row>
    <row r="1000" spans="1:7" ht="13.5" thickBot="1">
      <c r="A1000" s="95"/>
      <c r="B1000" s="828" t="s">
        <v>841</v>
      </c>
      <c r="C1000" s="829"/>
      <c r="D1000" s="77"/>
      <c r="E1000" s="82"/>
      <c r="F1000" s="86"/>
      <c r="G1000" s="112"/>
    </row>
    <row r="1001" spans="1:7" ht="14.25" thickTop="1" thickBot="1">
      <c r="A1001" s="95"/>
      <c r="B1001" s="808"/>
      <c r="C1001" s="808"/>
      <c r="D1001" s="808"/>
      <c r="E1001" s="809"/>
      <c r="F1001" s="120" t="s">
        <v>856</v>
      </c>
      <c r="G1001" s="118">
        <f>SUM(G996:G1000)</f>
        <v>33174</v>
      </c>
    </row>
    <row r="1002" spans="1:7" ht="14.25" thickTop="1" thickBot="1">
      <c r="A1002" s="95"/>
      <c r="B1002" s="810"/>
      <c r="C1002" s="810"/>
      <c r="D1002" s="810"/>
      <c r="E1002" s="810"/>
      <c r="F1002" s="810"/>
      <c r="G1002" s="810"/>
    </row>
    <row r="1003" spans="1:7" ht="13.5" thickTop="1">
      <c r="A1003" s="95"/>
      <c r="B1003" s="811" t="s">
        <v>321</v>
      </c>
      <c r="C1003" s="812"/>
      <c r="D1003" s="812"/>
      <c r="E1003" s="812"/>
      <c r="F1003" s="812"/>
      <c r="G1003" s="825"/>
    </row>
    <row r="1004" spans="1:7">
      <c r="A1004" s="95"/>
      <c r="B1004" s="817" t="s">
        <v>838</v>
      </c>
      <c r="C1004" s="818"/>
      <c r="D1004" s="98" t="s">
        <v>301</v>
      </c>
      <c r="E1004" s="98" t="s">
        <v>297</v>
      </c>
      <c r="F1004" s="99" t="s">
        <v>839</v>
      </c>
      <c r="G1004" s="107" t="s">
        <v>840</v>
      </c>
    </row>
    <row r="1005" spans="1:7">
      <c r="A1005" s="95"/>
      <c r="B1005" s="115"/>
      <c r="C1005" s="102"/>
      <c r="D1005" s="103" t="s">
        <v>322</v>
      </c>
      <c r="E1005" s="103" t="s">
        <v>323</v>
      </c>
      <c r="F1005" s="104" t="s">
        <v>324</v>
      </c>
      <c r="G1005" s="109" t="s">
        <v>325</v>
      </c>
    </row>
    <row r="1006" spans="1:7">
      <c r="A1006" s="95"/>
      <c r="B1006" s="826"/>
      <c r="C1006" s="827"/>
      <c r="D1006" s="96"/>
      <c r="E1006" s="96"/>
      <c r="F1006" s="96"/>
      <c r="G1006" s="116"/>
    </row>
    <row r="1007" spans="1:7" ht="13.5" thickBot="1">
      <c r="A1007" s="95"/>
      <c r="B1007" s="828" t="s">
        <v>841</v>
      </c>
      <c r="C1007" s="829"/>
      <c r="D1007" s="77"/>
      <c r="E1007" s="82"/>
      <c r="F1007" s="86"/>
      <c r="G1007" s="112"/>
    </row>
    <row r="1008" spans="1:7" ht="14.25" thickTop="1" thickBot="1">
      <c r="A1008" s="95"/>
      <c r="B1008" s="808"/>
      <c r="C1008" s="808"/>
      <c r="D1008" s="808"/>
      <c r="E1008" s="809"/>
      <c r="F1008" s="120" t="s">
        <v>856</v>
      </c>
      <c r="G1008" s="118">
        <f>SUM(G1003:G1007)</f>
        <v>0</v>
      </c>
    </row>
    <row r="1009" spans="1:8" ht="14.25" thickTop="1" thickBot="1">
      <c r="A1009" s="95"/>
      <c r="B1009" s="810"/>
      <c r="C1009" s="810"/>
      <c r="D1009" s="810"/>
      <c r="E1009" s="810"/>
      <c r="F1009" s="810"/>
      <c r="G1009" s="834"/>
    </row>
    <row r="1010" spans="1:8" ht="13.5" thickTop="1">
      <c r="A1010" s="95"/>
      <c r="B1010" s="811" t="s">
        <v>326</v>
      </c>
      <c r="C1010" s="812"/>
      <c r="D1010" s="812"/>
      <c r="E1010" s="812"/>
      <c r="F1010" s="813"/>
      <c r="G1010" s="121">
        <f>+G974+G990+G1001</f>
        <v>49560</v>
      </c>
    </row>
    <row r="1011" spans="1:8">
      <c r="A1011" s="95"/>
      <c r="B1011" s="814" t="s">
        <v>861</v>
      </c>
      <c r="C1011" s="815"/>
      <c r="D1011" s="815"/>
      <c r="E1011" s="816"/>
      <c r="F1011" s="128">
        <f>'MANO DE OBRA'!D59</f>
        <v>0</v>
      </c>
      <c r="G1011" s="122">
        <f>ROUND(G1010*F1011,0)</f>
        <v>0</v>
      </c>
    </row>
    <row r="1012" spans="1:8" ht="13.5" thickBot="1">
      <c r="A1012" s="95"/>
      <c r="B1012" s="805" t="s">
        <v>1049</v>
      </c>
      <c r="C1012" s="806"/>
      <c r="D1012" s="806"/>
      <c r="E1012" s="806"/>
      <c r="F1012" s="807"/>
      <c r="G1012" s="118">
        <f>ROUND(G1010+G1011,-2)</f>
        <v>49600</v>
      </c>
      <c r="H1012" s="505" t="s">
        <v>1670</v>
      </c>
    </row>
    <row r="1013" spans="1:8" ht="13.5" thickTop="1">
      <c r="A1013" s="95"/>
      <c r="B1013" s="90" t="s">
        <v>303</v>
      </c>
      <c r="C1013" s="843"/>
      <c r="D1013" s="843"/>
      <c r="E1013" s="843"/>
      <c r="F1013" s="92" t="s">
        <v>781</v>
      </c>
      <c r="G1013" s="93" t="s">
        <v>831</v>
      </c>
    </row>
    <row r="1014" spans="1:8">
      <c r="A1014" s="95"/>
      <c r="B1014" s="91" t="s">
        <v>834</v>
      </c>
      <c r="C1014" s="844" t="s">
        <v>1433</v>
      </c>
      <c r="D1014" s="844"/>
      <c r="E1014" s="844"/>
      <c r="F1014" s="15" t="s">
        <v>833</v>
      </c>
      <c r="G1014" s="165" t="str">
        <f>'MANO DE OBRA'!D61</f>
        <v>Agosto de 2010</v>
      </c>
    </row>
    <row r="1015" spans="1:8" ht="13.5" thickBot="1">
      <c r="A1015" s="127"/>
      <c r="B1015" s="94" t="s">
        <v>835</v>
      </c>
      <c r="C1015" s="845" t="s">
        <v>1452</v>
      </c>
      <c r="D1015" s="845"/>
      <c r="E1015" s="845"/>
      <c r="F1015" s="845"/>
      <c r="G1015" s="846"/>
    </row>
    <row r="1016" spans="1:8" ht="14.25" thickTop="1" thickBot="1">
      <c r="A1016" s="95"/>
      <c r="B1016" s="847"/>
      <c r="C1016" s="847"/>
      <c r="D1016" s="847"/>
      <c r="E1016" s="847"/>
      <c r="F1016" s="847"/>
      <c r="G1016" s="847"/>
    </row>
    <row r="1017" spans="1:8" ht="13.5" thickTop="1">
      <c r="A1017" s="95"/>
      <c r="B1017" s="811" t="s">
        <v>304</v>
      </c>
      <c r="C1017" s="812"/>
      <c r="D1017" s="812"/>
      <c r="E1017" s="812"/>
      <c r="F1017" s="812"/>
      <c r="G1017" s="825"/>
    </row>
    <row r="1018" spans="1:8">
      <c r="A1018" s="95"/>
      <c r="B1018" s="105"/>
      <c r="C1018" s="97"/>
      <c r="D1018" s="98" t="s">
        <v>301</v>
      </c>
      <c r="E1018" s="98" t="s">
        <v>1072</v>
      </c>
      <c r="F1018" s="99" t="s">
        <v>839</v>
      </c>
      <c r="G1018" s="107" t="s">
        <v>840</v>
      </c>
    </row>
    <row r="1019" spans="1:8">
      <c r="A1019" s="95"/>
      <c r="B1019" s="821" t="s">
        <v>838</v>
      </c>
      <c r="C1019" s="822"/>
      <c r="D1019" s="100" t="s">
        <v>308</v>
      </c>
      <c r="E1019" s="100" t="s">
        <v>305</v>
      </c>
      <c r="F1019" s="101" t="s">
        <v>306</v>
      </c>
      <c r="G1019" s="108" t="s">
        <v>310</v>
      </c>
    </row>
    <row r="1020" spans="1:8">
      <c r="A1020" s="95"/>
      <c r="B1020" s="115"/>
      <c r="C1020" s="102"/>
      <c r="D1020" s="103"/>
      <c r="E1020" s="103" t="s">
        <v>309</v>
      </c>
      <c r="F1020" s="104" t="s">
        <v>307</v>
      </c>
      <c r="G1020" s="109"/>
    </row>
    <row r="1021" spans="1:8">
      <c r="A1021" s="127"/>
      <c r="B1021" s="826" t="str">
        <f>'MAQUINARIA Y EQUIPOS'!C28</f>
        <v>HERRAMIENTAS MENORES</v>
      </c>
      <c r="C1021" s="824"/>
      <c r="D1021" s="87">
        <v>1</v>
      </c>
      <c r="E1021" s="82">
        <f>ROUND(G1054*0.05,0)</f>
        <v>1525</v>
      </c>
      <c r="F1021" s="81">
        <v>1</v>
      </c>
      <c r="G1021" s="110">
        <f>ROUND(D1021*E1021/F1021,0)</f>
        <v>1525</v>
      </c>
    </row>
    <row r="1022" spans="1:8">
      <c r="A1022" s="95"/>
      <c r="B1022" s="835"/>
      <c r="C1022" s="836"/>
      <c r="D1022" s="37"/>
      <c r="E1022" s="129"/>
      <c r="F1022" s="83"/>
      <c r="G1022" s="111"/>
    </row>
    <row r="1023" spans="1:8">
      <c r="A1023" s="95"/>
      <c r="B1023" s="835"/>
      <c r="C1023" s="836"/>
      <c r="D1023" s="37"/>
      <c r="E1023" s="129"/>
      <c r="F1023" s="83"/>
      <c r="G1023" s="111"/>
    </row>
    <row r="1024" spans="1:8">
      <c r="A1024" s="95"/>
      <c r="B1024" s="835"/>
      <c r="C1024" s="836"/>
      <c r="D1024" s="89"/>
      <c r="E1024" s="82"/>
      <c r="F1024" s="83"/>
      <c r="G1024" s="111"/>
    </row>
    <row r="1025" spans="1:8">
      <c r="A1025" s="95"/>
      <c r="B1025" s="835" t="s">
        <v>841</v>
      </c>
      <c r="C1025" s="836"/>
      <c r="D1025" s="37"/>
      <c r="E1025" s="82"/>
      <c r="F1025" s="83"/>
      <c r="G1025" s="111"/>
    </row>
    <row r="1026" spans="1:8" ht="13.5" thickBot="1">
      <c r="A1026" s="95"/>
      <c r="B1026" s="839" t="s">
        <v>841</v>
      </c>
      <c r="C1026" s="840"/>
      <c r="D1026" s="77"/>
      <c r="E1026" s="106"/>
      <c r="F1026" s="86"/>
      <c r="G1026" s="112"/>
    </row>
    <row r="1027" spans="1:8" ht="14.25" thickTop="1" thickBot="1">
      <c r="A1027" s="95"/>
      <c r="B1027" s="808"/>
      <c r="C1027" s="808"/>
      <c r="D1027" s="808"/>
      <c r="E1027" s="809"/>
      <c r="F1027" s="119" t="s">
        <v>856</v>
      </c>
      <c r="G1027" s="118">
        <f>SUM(G1021:G1026)</f>
        <v>1525</v>
      </c>
    </row>
    <row r="1028" spans="1:8" ht="14.25" thickTop="1" thickBot="1">
      <c r="A1028" s="95"/>
      <c r="B1028" s="830"/>
      <c r="C1028" s="830"/>
      <c r="D1028" s="830"/>
      <c r="E1028" s="830"/>
      <c r="F1028" s="830"/>
      <c r="G1028" s="830"/>
    </row>
    <row r="1029" spans="1:8" ht="13.5" thickTop="1">
      <c r="A1029" s="95"/>
      <c r="B1029" s="811" t="s">
        <v>311</v>
      </c>
      <c r="C1029" s="812"/>
      <c r="D1029" s="812"/>
      <c r="E1029" s="812"/>
      <c r="F1029" s="812"/>
      <c r="G1029" s="825"/>
    </row>
    <row r="1030" spans="1:8">
      <c r="A1030" s="95"/>
      <c r="B1030" s="817" t="s">
        <v>838</v>
      </c>
      <c r="C1030" s="818"/>
      <c r="D1030" s="98" t="s">
        <v>842</v>
      </c>
      <c r="E1030" s="98" t="s">
        <v>853</v>
      </c>
      <c r="F1030" s="99" t="s">
        <v>1047</v>
      </c>
      <c r="G1030" s="107" t="s">
        <v>840</v>
      </c>
    </row>
    <row r="1031" spans="1:8">
      <c r="A1031" s="95"/>
      <c r="B1031" s="115"/>
      <c r="C1031" s="102"/>
      <c r="D1031" s="103"/>
      <c r="E1031" s="100" t="s">
        <v>312</v>
      </c>
      <c r="F1031" s="101" t="s">
        <v>313</v>
      </c>
      <c r="G1031" s="108" t="s">
        <v>314</v>
      </c>
    </row>
    <row r="1032" spans="1:8">
      <c r="A1032" s="125"/>
      <c r="B1032" s="841" t="str">
        <f>MATERIALES2!C132</f>
        <v>GRANITO GRIS # 2, 30 KG</v>
      </c>
      <c r="C1032" s="842"/>
      <c r="D1032" s="37" t="s">
        <v>903</v>
      </c>
      <c r="E1032" s="140">
        <v>0.38</v>
      </c>
      <c r="F1032" s="80">
        <f>MATERIALES2!E132</f>
        <v>15000</v>
      </c>
      <c r="G1032" s="110">
        <f t="shared" ref="G1032:G1039" si="1">ROUND(E1032*F1032,0)</f>
        <v>5700</v>
      </c>
    </row>
    <row r="1033" spans="1:8">
      <c r="A1033" s="123"/>
      <c r="B1033" s="854" t="str">
        <f>MATERIALES2!C12</f>
        <v>CEMENTO BLANCO</v>
      </c>
      <c r="C1033" s="855"/>
      <c r="D1033" s="37" t="s">
        <v>925</v>
      </c>
      <c r="E1033" s="141">
        <v>10.5</v>
      </c>
      <c r="F1033" s="82">
        <f>MATERIALES2!E12</f>
        <v>750</v>
      </c>
      <c r="G1033" s="111">
        <f t="shared" si="1"/>
        <v>7875</v>
      </c>
    </row>
    <row r="1034" spans="1:8">
      <c r="A1034" s="123"/>
      <c r="B1034" s="854" t="str">
        <f>MATERIALES2!C13</f>
        <v>CEMENTO GRIS</v>
      </c>
      <c r="C1034" s="855"/>
      <c r="D1034" s="37" t="s">
        <v>925</v>
      </c>
      <c r="E1034" s="141">
        <v>12</v>
      </c>
      <c r="F1034" s="82">
        <f>MATERIALES2!E13</f>
        <v>420</v>
      </c>
      <c r="G1034" s="111">
        <f t="shared" si="1"/>
        <v>5040</v>
      </c>
    </row>
    <row r="1035" spans="1:8">
      <c r="A1035" s="123"/>
      <c r="B1035" s="854" t="str">
        <f>MATERIALES2!C14</f>
        <v>MARMOLINA 65 KG</v>
      </c>
      <c r="C1035" s="855"/>
      <c r="D1035" s="37" t="s">
        <v>903</v>
      </c>
      <c r="E1035" s="141">
        <v>0.25</v>
      </c>
      <c r="F1035" s="82">
        <f>MATERIALES2!E14</f>
        <v>8895</v>
      </c>
      <c r="G1035" s="111">
        <f t="shared" si="1"/>
        <v>2224</v>
      </c>
    </row>
    <row r="1036" spans="1:8" ht="14.25">
      <c r="A1036" s="123"/>
      <c r="B1036" s="854" t="str">
        <f>MATERIALES2!C20</f>
        <v xml:space="preserve">ARENA </v>
      </c>
      <c r="C1036" s="855"/>
      <c r="D1036" s="37" t="s">
        <v>1066</v>
      </c>
      <c r="E1036" s="141">
        <v>7.0000000000000007E-2</v>
      </c>
      <c r="F1036" s="82">
        <f>MATERIALES2!E20</f>
        <v>35000</v>
      </c>
      <c r="G1036" s="111">
        <f t="shared" si="1"/>
        <v>2450</v>
      </c>
    </row>
    <row r="1037" spans="1:8">
      <c r="A1037" s="123"/>
      <c r="B1037" s="854" t="str">
        <f>MATERIALES2!C135</f>
        <v>DILATACION EN BRONCE, 3 M</v>
      </c>
      <c r="C1037" s="855"/>
      <c r="D1037" s="37" t="s">
        <v>865</v>
      </c>
      <c r="E1037" s="141">
        <v>7.0000000000000007E-2</v>
      </c>
      <c r="F1037" s="82">
        <f>MATERIALES2!E135</f>
        <v>13500</v>
      </c>
      <c r="G1037" s="111">
        <f t="shared" si="1"/>
        <v>945</v>
      </c>
    </row>
    <row r="1038" spans="1:8">
      <c r="A1038" s="123"/>
      <c r="B1038" s="854" t="str">
        <f>MATERIALES2!C136</f>
        <v>PIRLAN ALUMINIO DORADO</v>
      </c>
      <c r="C1038" s="855"/>
      <c r="D1038" s="37" t="s">
        <v>831</v>
      </c>
      <c r="E1038" s="141">
        <v>0.8</v>
      </c>
      <c r="F1038" s="82">
        <f>MATERIALES2!E136</f>
        <v>850</v>
      </c>
      <c r="G1038" s="111">
        <f t="shared" si="1"/>
        <v>680</v>
      </c>
    </row>
    <row r="1039" spans="1:8">
      <c r="A1039" s="123"/>
      <c r="B1039" s="854" t="str">
        <f>MATERIALES2!C28</f>
        <v>AGUA</v>
      </c>
      <c r="C1039" s="855"/>
      <c r="D1039" s="37" t="s">
        <v>1071</v>
      </c>
      <c r="E1039" s="141">
        <v>3.7</v>
      </c>
      <c r="F1039" s="82">
        <f>MATERIALES2!E28</f>
        <v>50</v>
      </c>
      <c r="G1039" s="111">
        <f t="shared" si="1"/>
        <v>185</v>
      </c>
      <c r="H1039" s="505" t="s">
        <v>1670</v>
      </c>
    </row>
    <row r="1040" spans="1:8" ht="13.5" thickBot="1">
      <c r="A1040" s="95"/>
      <c r="B1040" s="942" t="s">
        <v>841</v>
      </c>
      <c r="C1040" s="943"/>
      <c r="D1040" s="84" t="s">
        <v>841</v>
      </c>
      <c r="E1040" s="84"/>
      <c r="F1040" s="85"/>
      <c r="G1040" s="112"/>
    </row>
    <row r="1041" spans="1:7" ht="13.5" thickTop="1">
      <c r="A1041" s="95"/>
      <c r="B1041" s="808"/>
      <c r="C1041" s="809"/>
      <c r="D1041" s="801" t="s">
        <v>856</v>
      </c>
      <c r="E1041" s="802"/>
      <c r="F1041" s="9"/>
      <c r="G1041" s="113">
        <f>SUM(G1032:G1040)</f>
        <v>25099</v>
      </c>
    </row>
    <row r="1042" spans="1:7">
      <c r="A1042" s="95"/>
      <c r="B1042" s="819"/>
      <c r="C1042" s="820"/>
      <c r="D1042" s="801" t="s">
        <v>857</v>
      </c>
      <c r="E1042" s="802"/>
      <c r="F1042" s="79">
        <f>'MANO DE OBRA'!D60</f>
        <v>0.05</v>
      </c>
      <c r="G1042" s="113">
        <f>ROUND(G1041*F1042,0)</f>
        <v>1255</v>
      </c>
    </row>
    <row r="1043" spans="1:7" ht="13.5" thickBot="1">
      <c r="A1043" s="95"/>
      <c r="B1043" s="819"/>
      <c r="C1043" s="820"/>
      <c r="D1043" s="803" t="s">
        <v>320</v>
      </c>
      <c r="E1043" s="804"/>
      <c r="F1043" s="114"/>
      <c r="G1043" s="118">
        <f>+G1041+G1042</f>
        <v>26354</v>
      </c>
    </row>
    <row r="1044" spans="1:7" ht="14.25" thickTop="1" thickBot="1">
      <c r="A1044" s="95"/>
      <c r="B1044" s="830"/>
      <c r="C1044" s="830"/>
      <c r="D1044" s="830"/>
      <c r="E1044" s="830"/>
      <c r="F1044" s="830"/>
      <c r="G1044" s="830"/>
    </row>
    <row r="1045" spans="1:7" ht="13.5" thickTop="1">
      <c r="A1045" s="95"/>
      <c r="B1045" s="811" t="s">
        <v>858</v>
      </c>
      <c r="C1045" s="812"/>
      <c r="D1045" s="812"/>
      <c r="E1045" s="812"/>
      <c r="F1045" s="812"/>
      <c r="G1045" s="825"/>
    </row>
    <row r="1046" spans="1:7">
      <c r="A1046" s="95"/>
      <c r="B1046" s="817"/>
      <c r="C1046" s="818"/>
      <c r="D1046" s="98" t="s">
        <v>301</v>
      </c>
      <c r="E1046" s="98" t="s">
        <v>859</v>
      </c>
      <c r="F1046" s="99" t="s">
        <v>839</v>
      </c>
      <c r="G1046" s="107" t="s">
        <v>840</v>
      </c>
    </row>
    <row r="1047" spans="1:7">
      <c r="A1047" s="95"/>
      <c r="B1047" s="821" t="s">
        <v>838</v>
      </c>
      <c r="C1047" s="822"/>
      <c r="D1047" s="100" t="s">
        <v>316</v>
      </c>
      <c r="E1047" s="100" t="s">
        <v>315</v>
      </c>
      <c r="F1047" s="101" t="s">
        <v>306</v>
      </c>
      <c r="G1047" s="108" t="s">
        <v>319</v>
      </c>
    </row>
    <row r="1048" spans="1:7">
      <c r="A1048" s="95"/>
      <c r="B1048" s="115"/>
      <c r="C1048" s="102"/>
      <c r="D1048" s="103"/>
      <c r="E1048" s="103" t="s">
        <v>317</v>
      </c>
      <c r="F1048" s="104" t="s">
        <v>318</v>
      </c>
      <c r="G1048" s="109"/>
    </row>
    <row r="1049" spans="1:7">
      <c r="A1049" s="95"/>
      <c r="B1049" s="823" t="str">
        <f>'MANO DE OBRA'!B10</f>
        <v>AYUDANTE CUAD. TIPO AA</v>
      </c>
      <c r="C1049" s="824"/>
      <c r="D1049" s="87">
        <v>1</v>
      </c>
      <c r="E1049" s="80">
        <f>'MANO DE OBRA'!E10</f>
        <v>34680</v>
      </c>
      <c r="F1049" s="81">
        <v>3.48</v>
      </c>
      <c r="G1049" s="110">
        <f>ROUND(D1049*E1049/F1049,0)</f>
        <v>9966</v>
      </c>
    </row>
    <row r="1050" spans="1:7">
      <c r="A1050" s="95"/>
      <c r="B1050" s="835" t="str">
        <f>'MANO DE OBRA'!B15</f>
        <v xml:space="preserve">OFICIAL CUAD. TIPO AA </v>
      </c>
      <c r="C1050" s="836"/>
      <c r="D1050" s="37">
        <v>1</v>
      </c>
      <c r="E1050" s="82">
        <f>'MANO DE OBRA'!E15</f>
        <v>71474</v>
      </c>
      <c r="F1050" s="83">
        <v>3.48</v>
      </c>
      <c r="G1050" s="111">
        <f>ROUND(D1050*E1050/F1050,0)</f>
        <v>20539</v>
      </c>
    </row>
    <row r="1051" spans="1:7">
      <c r="A1051" s="95"/>
      <c r="B1051" s="835"/>
      <c r="C1051" s="836"/>
      <c r="D1051" s="89"/>
      <c r="E1051" s="82"/>
      <c r="F1051" s="83"/>
      <c r="G1051" s="111"/>
    </row>
    <row r="1052" spans="1:7">
      <c r="A1052" s="95"/>
      <c r="B1052" s="835" t="s">
        <v>841</v>
      </c>
      <c r="C1052" s="836"/>
      <c r="D1052" s="37"/>
      <c r="E1052" s="82"/>
      <c r="F1052" s="83"/>
      <c r="G1052" s="111"/>
    </row>
    <row r="1053" spans="1:7" ht="13.5" thickBot="1">
      <c r="A1053" s="95"/>
      <c r="B1053" s="828" t="s">
        <v>841</v>
      </c>
      <c r="C1053" s="829"/>
      <c r="D1053" s="77"/>
      <c r="E1053" s="82"/>
      <c r="F1053" s="86"/>
      <c r="G1053" s="112"/>
    </row>
    <row r="1054" spans="1:7" ht="14.25" thickTop="1" thickBot="1">
      <c r="A1054" s="95"/>
      <c r="B1054" s="808"/>
      <c r="C1054" s="808"/>
      <c r="D1054" s="808"/>
      <c r="E1054" s="809"/>
      <c r="F1054" s="120" t="s">
        <v>856</v>
      </c>
      <c r="G1054" s="118">
        <f>SUM(G1049:G1053)</f>
        <v>30505</v>
      </c>
    </row>
    <row r="1055" spans="1:7" ht="14.25" thickTop="1" thickBot="1">
      <c r="A1055" s="95"/>
      <c r="B1055" s="810"/>
      <c r="C1055" s="810"/>
      <c r="D1055" s="810"/>
      <c r="E1055" s="810"/>
      <c r="F1055" s="810"/>
      <c r="G1055" s="810"/>
    </row>
    <row r="1056" spans="1:7" ht="13.5" thickTop="1">
      <c r="A1056" s="95"/>
      <c r="B1056" s="811" t="s">
        <v>321</v>
      </c>
      <c r="C1056" s="812"/>
      <c r="D1056" s="812"/>
      <c r="E1056" s="812"/>
      <c r="F1056" s="812"/>
      <c r="G1056" s="825"/>
    </row>
    <row r="1057" spans="1:8">
      <c r="A1057" s="95"/>
      <c r="B1057" s="817" t="s">
        <v>838</v>
      </c>
      <c r="C1057" s="818"/>
      <c r="D1057" s="98" t="s">
        <v>301</v>
      </c>
      <c r="E1057" s="98" t="s">
        <v>297</v>
      </c>
      <c r="F1057" s="99" t="s">
        <v>839</v>
      </c>
      <c r="G1057" s="107" t="s">
        <v>840</v>
      </c>
    </row>
    <row r="1058" spans="1:8">
      <c r="A1058" s="95"/>
      <c r="B1058" s="115"/>
      <c r="C1058" s="102"/>
      <c r="D1058" s="103" t="s">
        <v>322</v>
      </c>
      <c r="E1058" s="103" t="s">
        <v>323</v>
      </c>
      <c r="F1058" s="104" t="s">
        <v>324</v>
      </c>
      <c r="G1058" s="109" t="s">
        <v>325</v>
      </c>
    </row>
    <row r="1059" spans="1:8">
      <c r="A1059" s="95"/>
      <c r="B1059" s="826"/>
      <c r="C1059" s="827"/>
      <c r="D1059" s="96"/>
      <c r="E1059" s="96"/>
      <c r="F1059" s="96"/>
      <c r="G1059" s="116"/>
    </row>
    <row r="1060" spans="1:8" ht="13.5" thickBot="1">
      <c r="A1060" s="95"/>
      <c r="B1060" s="828" t="s">
        <v>841</v>
      </c>
      <c r="C1060" s="829"/>
      <c r="D1060" s="77"/>
      <c r="E1060" s="82"/>
      <c r="F1060" s="86"/>
      <c r="G1060" s="112"/>
    </row>
    <row r="1061" spans="1:8" ht="14.25" thickTop="1" thickBot="1">
      <c r="A1061" s="95"/>
      <c r="B1061" s="808"/>
      <c r="C1061" s="808"/>
      <c r="D1061" s="808"/>
      <c r="E1061" s="809"/>
      <c r="F1061" s="120" t="s">
        <v>856</v>
      </c>
      <c r="G1061" s="118">
        <f>SUM(G1056:G1060)</f>
        <v>0</v>
      </c>
    </row>
    <row r="1062" spans="1:8" ht="14.25" thickTop="1" thickBot="1">
      <c r="A1062" s="95"/>
      <c r="B1062" s="810"/>
      <c r="C1062" s="810"/>
      <c r="D1062" s="810"/>
      <c r="E1062" s="810"/>
      <c r="F1062" s="810"/>
      <c r="G1062" s="834"/>
    </row>
    <row r="1063" spans="1:8" ht="13.5" thickTop="1">
      <c r="A1063" s="95"/>
      <c r="B1063" s="811" t="s">
        <v>326</v>
      </c>
      <c r="C1063" s="812"/>
      <c r="D1063" s="812"/>
      <c r="E1063" s="812"/>
      <c r="F1063" s="813"/>
      <c r="G1063" s="121">
        <f>+G1027+G1043+G1054</f>
        <v>58384</v>
      </c>
    </row>
    <row r="1064" spans="1:8">
      <c r="A1064" s="95"/>
      <c r="B1064" s="814" t="s">
        <v>861</v>
      </c>
      <c r="C1064" s="815"/>
      <c r="D1064" s="815"/>
      <c r="E1064" s="816"/>
      <c r="F1064" s="128">
        <f>'MANO DE OBRA'!D59</f>
        <v>0</v>
      </c>
      <c r="G1064" s="122">
        <f>ROUND(G1063*F1064,0)</f>
        <v>0</v>
      </c>
    </row>
    <row r="1065" spans="1:8" ht="13.5" thickBot="1">
      <c r="A1065" s="95"/>
      <c r="B1065" s="805" t="s">
        <v>1049</v>
      </c>
      <c r="C1065" s="806"/>
      <c r="D1065" s="806"/>
      <c r="E1065" s="806"/>
      <c r="F1065" s="807"/>
      <c r="G1065" s="118">
        <f>ROUND(G1063+G1064,-2)</f>
        <v>58400</v>
      </c>
      <c r="H1065" s="505" t="s">
        <v>1670</v>
      </c>
    </row>
    <row r="1066" spans="1:8" ht="15" thickTop="1">
      <c r="A1066" s="95"/>
      <c r="B1066" s="90" t="s">
        <v>303</v>
      </c>
      <c r="C1066" s="843"/>
      <c r="D1066" s="843"/>
      <c r="E1066" s="843"/>
      <c r="F1066" s="92" t="s">
        <v>781</v>
      </c>
      <c r="G1066" s="93" t="s">
        <v>1067</v>
      </c>
    </row>
    <row r="1067" spans="1:8">
      <c r="A1067" s="95"/>
      <c r="B1067" s="91" t="s">
        <v>834</v>
      </c>
      <c r="C1067" s="844" t="s">
        <v>1433</v>
      </c>
      <c r="D1067" s="844"/>
      <c r="E1067" s="844"/>
      <c r="F1067" s="15" t="s">
        <v>833</v>
      </c>
      <c r="G1067" s="165" t="str">
        <f>'MANO DE OBRA'!D61</f>
        <v>Agosto de 2010</v>
      </c>
    </row>
    <row r="1068" spans="1:8" ht="13.5" thickBot="1">
      <c r="A1068" s="127"/>
      <c r="B1068" s="94" t="s">
        <v>835</v>
      </c>
      <c r="C1068" s="845" t="s">
        <v>1453</v>
      </c>
      <c r="D1068" s="845"/>
      <c r="E1068" s="845"/>
      <c r="F1068" s="845"/>
      <c r="G1068" s="846"/>
    </row>
    <row r="1069" spans="1:8" ht="14.25" thickTop="1" thickBot="1">
      <c r="A1069" s="95"/>
      <c r="B1069" s="847"/>
      <c r="C1069" s="847"/>
      <c r="D1069" s="847"/>
      <c r="E1069" s="847"/>
      <c r="F1069" s="847"/>
      <c r="G1069" s="847"/>
    </row>
    <row r="1070" spans="1:8" ht="13.5" thickTop="1">
      <c r="A1070" s="95"/>
      <c r="B1070" s="811" t="s">
        <v>304</v>
      </c>
      <c r="C1070" s="812"/>
      <c r="D1070" s="812"/>
      <c r="E1070" s="812"/>
      <c r="F1070" s="812"/>
      <c r="G1070" s="825"/>
    </row>
    <row r="1071" spans="1:8">
      <c r="A1071" s="95"/>
      <c r="B1071" s="105"/>
      <c r="C1071" s="97"/>
      <c r="D1071" s="98" t="s">
        <v>301</v>
      </c>
      <c r="E1071" s="98" t="s">
        <v>1072</v>
      </c>
      <c r="F1071" s="99" t="s">
        <v>839</v>
      </c>
      <c r="G1071" s="107" t="s">
        <v>840</v>
      </c>
    </row>
    <row r="1072" spans="1:8">
      <c r="A1072" s="95"/>
      <c r="B1072" s="821" t="s">
        <v>838</v>
      </c>
      <c r="C1072" s="822"/>
      <c r="D1072" s="100" t="s">
        <v>308</v>
      </c>
      <c r="E1072" s="100" t="s">
        <v>305</v>
      </c>
      <c r="F1072" s="101" t="s">
        <v>306</v>
      </c>
      <c r="G1072" s="108" t="s">
        <v>310</v>
      </c>
    </row>
    <row r="1073" spans="1:7">
      <c r="A1073" s="95"/>
      <c r="B1073" s="115"/>
      <c r="C1073" s="102"/>
      <c r="D1073" s="103"/>
      <c r="E1073" s="103" t="s">
        <v>309</v>
      </c>
      <c r="F1073" s="104" t="s">
        <v>307</v>
      </c>
      <c r="G1073" s="109"/>
    </row>
    <row r="1074" spans="1:7">
      <c r="A1074" s="127"/>
      <c r="B1074" s="826" t="str">
        <f>'MAQUINARIA Y EQUIPOS'!C28</f>
        <v>HERRAMIENTAS MENORES</v>
      </c>
      <c r="C1074" s="824"/>
      <c r="D1074" s="87">
        <v>1</v>
      </c>
      <c r="E1074" s="82">
        <f>ROUND(G1107*0.05,0)</f>
        <v>564</v>
      </c>
      <c r="F1074" s="81">
        <v>1</v>
      </c>
      <c r="G1074" s="110">
        <f>ROUND(D1074*E1074/F1074,0)</f>
        <v>564</v>
      </c>
    </row>
    <row r="1075" spans="1:7">
      <c r="A1075" s="95"/>
      <c r="B1075" s="835"/>
      <c r="C1075" s="836"/>
      <c r="D1075" s="37"/>
      <c r="E1075" s="129"/>
      <c r="F1075" s="83"/>
      <c r="G1075" s="111"/>
    </row>
    <row r="1076" spans="1:7">
      <c r="A1076" s="95"/>
      <c r="B1076" s="835"/>
      <c r="C1076" s="836"/>
      <c r="D1076" s="37"/>
      <c r="E1076" s="129"/>
      <c r="F1076" s="83"/>
      <c r="G1076" s="111"/>
    </row>
    <row r="1077" spans="1:7">
      <c r="A1077" s="95"/>
      <c r="B1077" s="835"/>
      <c r="C1077" s="836"/>
      <c r="D1077" s="89"/>
      <c r="E1077" s="82"/>
      <c r="F1077" s="83"/>
      <c r="G1077" s="111"/>
    </row>
    <row r="1078" spans="1:7">
      <c r="A1078" s="95"/>
      <c r="B1078" s="835" t="s">
        <v>841</v>
      </c>
      <c r="C1078" s="836"/>
      <c r="D1078" s="37"/>
      <c r="E1078" s="82"/>
      <c r="F1078" s="83"/>
      <c r="G1078" s="111"/>
    </row>
    <row r="1079" spans="1:7" ht="13.5" thickBot="1">
      <c r="A1079" s="95"/>
      <c r="B1079" s="839" t="s">
        <v>841</v>
      </c>
      <c r="C1079" s="840"/>
      <c r="D1079" s="77"/>
      <c r="E1079" s="106"/>
      <c r="F1079" s="86"/>
      <c r="G1079" s="112"/>
    </row>
    <row r="1080" spans="1:7" ht="14.25" thickTop="1" thickBot="1">
      <c r="A1080" s="95"/>
      <c r="B1080" s="808"/>
      <c r="C1080" s="808"/>
      <c r="D1080" s="808"/>
      <c r="E1080" s="809"/>
      <c r="F1080" s="119" t="s">
        <v>856</v>
      </c>
      <c r="G1080" s="118">
        <f>SUM(G1074:G1079)</f>
        <v>564</v>
      </c>
    </row>
    <row r="1081" spans="1:7" ht="14.25" thickTop="1" thickBot="1">
      <c r="A1081" s="95"/>
      <c r="B1081" s="830"/>
      <c r="C1081" s="830"/>
      <c r="D1081" s="830"/>
      <c r="E1081" s="830"/>
      <c r="F1081" s="830"/>
      <c r="G1081" s="830"/>
    </row>
    <row r="1082" spans="1:7" ht="13.5" thickTop="1">
      <c r="A1082" s="95"/>
      <c r="B1082" s="811" t="s">
        <v>311</v>
      </c>
      <c r="C1082" s="812"/>
      <c r="D1082" s="812"/>
      <c r="E1082" s="812"/>
      <c r="F1082" s="812"/>
      <c r="G1082" s="825"/>
    </row>
    <row r="1083" spans="1:7">
      <c r="A1083" s="95"/>
      <c r="B1083" s="817" t="s">
        <v>838</v>
      </c>
      <c r="C1083" s="818"/>
      <c r="D1083" s="98" t="s">
        <v>842</v>
      </c>
      <c r="E1083" s="98" t="s">
        <v>853</v>
      </c>
      <c r="F1083" s="99" t="s">
        <v>1047</v>
      </c>
      <c r="G1083" s="107" t="s">
        <v>840</v>
      </c>
    </row>
    <row r="1084" spans="1:7">
      <c r="A1084" s="95"/>
      <c r="B1084" s="115"/>
      <c r="C1084" s="102"/>
      <c r="D1084" s="103"/>
      <c r="E1084" s="100" t="s">
        <v>312</v>
      </c>
      <c r="F1084" s="101" t="s">
        <v>313</v>
      </c>
      <c r="G1084" s="108" t="s">
        <v>314</v>
      </c>
    </row>
    <row r="1085" spans="1:7" ht="14.25">
      <c r="A1085" s="125"/>
      <c r="B1085" s="841" t="str">
        <f>MATERIALES2!C118</f>
        <v>CERAMICA .30x.30 TRAFICO 4</v>
      </c>
      <c r="C1085" s="842"/>
      <c r="D1085" s="37" t="s">
        <v>1067</v>
      </c>
      <c r="E1085" s="140">
        <v>1</v>
      </c>
      <c r="F1085" s="80">
        <f>MATERIALES2!E118</f>
        <v>22500</v>
      </c>
      <c r="G1085" s="110">
        <f>ROUND(E1085*F1085,0)</f>
        <v>22500</v>
      </c>
    </row>
    <row r="1086" spans="1:7">
      <c r="A1086" s="123"/>
      <c r="B1086" s="854" t="str">
        <f>MATERIALES2!C12</f>
        <v>CEMENTO BLANCO</v>
      </c>
      <c r="C1086" s="855"/>
      <c r="D1086" s="37" t="s">
        <v>925</v>
      </c>
      <c r="E1086" s="141">
        <v>1.5</v>
      </c>
      <c r="F1086" s="82">
        <f>MATERIALES2!E12</f>
        <v>750</v>
      </c>
      <c r="G1086" s="111">
        <f>ROUND(E1086*F1086,0)</f>
        <v>1125</v>
      </c>
    </row>
    <row r="1087" spans="1:7">
      <c r="A1087" s="123"/>
      <c r="B1087" s="854" t="str">
        <f>MATERIALES2!C13</f>
        <v>CEMENTO GRIS</v>
      </c>
      <c r="C1087" s="855"/>
      <c r="D1087" s="37" t="s">
        <v>925</v>
      </c>
      <c r="E1087" s="141">
        <v>7.28</v>
      </c>
      <c r="F1087" s="82">
        <f>MATERIALES2!E13</f>
        <v>420</v>
      </c>
      <c r="G1087" s="111">
        <f>ROUND(E1087*F1087,0)</f>
        <v>3058</v>
      </c>
    </row>
    <row r="1088" spans="1:7" ht="14.25">
      <c r="A1088" s="123"/>
      <c r="B1088" s="854" t="str">
        <f>MATERIALES2!C20</f>
        <v xml:space="preserve">ARENA </v>
      </c>
      <c r="C1088" s="855"/>
      <c r="D1088" s="37" t="s">
        <v>1066</v>
      </c>
      <c r="E1088" s="141">
        <v>2.3E-2</v>
      </c>
      <c r="F1088" s="82">
        <f>MATERIALES2!E20</f>
        <v>35000</v>
      </c>
      <c r="G1088" s="111">
        <f>ROUND(E1088*F1088,0)</f>
        <v>805</v>
      </c>
    </row>
    <row r="1089" spans="1:8">
      <c r="A1089" s="123"/>
      <c r="B1089" s="854" t="str">
        <f>MATERIALES2!C28</f>
        <v>AGUA</v>
      </c>
      <c r="C1089" s="855"/>
      <c r="D1089" s="37" t="s">
        <v>1071</v>
      </c>
      <c r="E1089" s="141">
        <v>4.74</v>
      </c>
      <c r="F1089" s="82">
        <f>MATERIALES2!E28</f>
        <v>50</v>
      </c>
      <c r="G1089" s="111">
        <f>ROUND(E1089*F1089,0)</f>
        <v>237</v>
      </c>
    </row>
    <row r="1090" spans="1:8">
      <c r="A1090" s="123"/>
      <c r="B1090" s="854"/>
      <c r="C1090" s="855"/>
      <c r="D1090" s="37"/>
      <c r="E1090" s="141"/>
      <c r="F1090" s="82"/>
      <c r="G1090" s="111"/>
    </row>
    <row r="1091" spans="1:8">
      <c r="A1091" s="123"/>
      <c r="B1091" s="854"/>
      <c r="C1091" s="855"/>
      <c r="D1091" s="37"/>
      <c r="E1091" s="141"/>
      <c r="F1091" s="82"/>
      <c r="G1091" s="111"/>
    </row>
    <row r="1092" spans="1:8">
      <c r="A1092" s="123"/>
      <c r="B1092" s="854"/>
      <c r="C1092" s="855"/>
      <c r="D1092" s="37"/>
      <c r="E1092" s="141"/>
      <c r="F1092" s="82"/>
      <c r="G1092" s="111"/>
      <c r="H1092" s="505" t="s">
        <v>1670</v>
      </c>
    </row>
    <row r="1093" spans="1:8" ht="13.5" thickBot="1">
      <c r="A1093" s="95"/>
      <c r="B1093" s="942" t="s">
        <v>841</v>
      </c>
      <c r="C1093" s="943"/>
      <c r="D1093" s="84" t="s">
        <v>841</v>
      </c>
      <c r="E1093" s="84"/>
      <c r="F1093" s="85"/>
      <c r="G1093" s="112"/>
    </row>
    <row r="1094" spans="1:8" ht="13.5" thickTop="1">
      <c r="A1094" s="95"/>
      <c r="B1094" s="808"/>
      <c r="C1094" s="809"/>
      <c r="D1094" s="801" t="s">
        <v>856</v>
      </c>
      <c r="E1094" s="802"/>
      <c r="F1094" s="9"/>
      <c r="G1094" s="113">
        <f>SUM(G1085:G1093)</f>
        <v>27725</v>
      </c>
    </row>
    <row r="1095" spans="1:8">
      <c r="A1095" s="95"/>
      <c r="B1095" s="819"/>
      <c r="C1095" s="820"/>
      <c r="D1095" s="801" t="s">
        <v>857</v>
      </c>
      <c r="E1095" s="802"/>
      <c r="F1095" s="79">
        <f>'MANO DE OBRA'!D60</f>
        <v>0.05</v>
      </c>
      <c r="G1095" s="113">
        <f>ROUND(G1094*F1095,0)</f>
        <v>1386</v>
      </c>
    </row>
    <row r="1096" spans="1:8" ht="13.5" thickBot="1">
      <c r="A1096" s="95"/>
      <c r="B1096" s="819"/>
      <c r="C1096" s="820"/>
      <c r="D1096" s="803" t="s">
        <v>320</v>
      </c>
      <c r="E1096" s="804"/>
      <c r="F1096" s="114"/>
      <c r="G1096" s="118">
        <f>+G1094+G1095</f>
        <v>29111</v>
      </c>
    </row>
    <row r="1097" spans="1:8" ht="14.25" thickTop="1" thickBot="1">
      <c r="A1097" s="95"/>
      <c r="B1097" s="830"/>
      <c r="C1097" s="830"/>
      <c r="D1097" s="830"/>
      <c r="E1097" s="830"/>
      <c r="F1097" s="830"/>
      <c r="G1097" s="830"/>
    </row>
    <row r="1098" spans="1:8" ht="13.5" thickTop="1">
      <c r="A1098" s="95"/>
      <c r="B1098" s="811" t="s">
        <v>858</v>
      </c>
      <c r="C1098" s="812"/>
      <c r="D1098" s="812"/>
      <c r="E1098" s="812"/>
      <c r="F1098" s="812"/>
      <c r="G1098" s="825"/>
    </row>
    <row r="1099" spans="1:8">
      <c r="A1099" s="95"/>
      <c r="B1099" s="817"/>
      <c r="C1099" s="818"/>
      <c r="D1099" s="98" t="s">
        <v>301</v>
      </c>
      <c r="E1099" s="98" t="s">
        <v>859</v>
      </c>
      <c r="F1099" s="99" t="s">
        <v>839</v>
      </c>
      <c r="G1099" s="107" t="s">
        <v>840</v>
      </c>
    </row>
    <row r="1100" spans="1:8">
      <c r="A1100" s="95"/>
      <c r="B1100" s="821" t="s">
        <v>838</v>
      </c>
      <c r="C1100" s="822"/>
      <c r="D1100" s="100" t="s">
        <v>316</v>
      </c>
      <c r="E1100" s="100" t="s">
        <v>315</v>
      </c>
      <c r="F1100" s="101" t="s">
        <v>306</v>
      </c>
      <c r="G1100" s="108" t="s">
        <v>319</v>
      </c>
    </row>
    <row r="1101" spans="1:8">
      <c r="A1101" s="95"/>
      <c r="B1101" s="115"/>
      <c r="C1101" s="102"/>
      <c r="D1101" s="103"/>
      <c r="E1101" s="103" t="s">
        <v>317</v>
      </c>
      <c r="F1101" s="104" t="s">
        <v>318</v>
      </c>
      <c r="G1101" s="109"/>
    </row>
    <row r="1102" spans="1:8">
      <c r="A1102" s="95"/>
      <c r="B1102" s="823" t="str">
        <f>'MANO DE OBRA'!B10</f>
        <v>AYUDANTE CUAD. TIPO AA</v>
      </c>
      <c r="C1102" s="824"/>
      <c r="D1102" s="87">
        <v>1</v>
      </c>
      <c r="E1102" s="80">
        <f>'MANO DE OBRA'!E10</f>
        <v>34680</v>
      </c>
      <c r="F1102" s="81">
        <v>9.41</v>
      </c>
      <c r="G1102" s="110">
        <f>ROUND(D1102*E1102/F1102,0)</f>
        <v>3685</v>
      </c>
    </row>
    <row r="1103" spans="1:8">
      <c r="A1103" s="95"/>
      <c r="B1103" s="835" t="str">
        <f>'MANO DE OBRA'!B15</f>
        <v xml:space="preserve">OFICIAL CUAD. TIPO AA </v>
      </c>
      <c r="C1103" s="836"/>
      <c r="D1103" s="37">
        <v>1</v>
      </c>
      <c r="E1103" s="82">
        <f>'MANO DE OBRA'!E15</f>
        <v>71474</v>
      </c>
      <c r="F1103" s="83">
        <v>9.41</v>
      </c>
      <c r="G1103" s="111">
        <f>ROUND(D1103*E1103/F1103,0)</f>
        <v>7596</v>
      </c>
    </row>
    <row r="1104" spans="1:8">
      <c r="A1104" s="95"/>
      <c r="B1104" s="835"/>
      <c r="C1104" s="836"/>
      <c r="D1104" s="89"/>
      <c r="E1104" s="82"/>
      <c r="F1104" s="83"/>
      <c r="G1104" s="111"/>
    </row>
    <row r="1105" spans="1:8">
      <c r="A1105" s="95"/>
      <c r="B1105" s="835" t="s">
        <v>841</v>
      </c>
      <c r="C1105" s="836"/>
      <c r="D1105" s="37"/>
      <c r="E1105" s="82"/>
      <c r="F1105" s="83"/>
      <c r="G1105" s="111"/>
    </row>
    <row r="1106" spans="1:8" ht="13.5" thickBot="1">
      <c r="A1106" s="95"/>
      <c r="B1106" s="828" t="s">
        <v>841</v>
      </c>
      <c r="C1106" s="829"/>
      <c r="D1106" s="77"/>
      <c r="E1106" s="82"/>
      <c r="F1106" s="86"/>
      <c r="G1106" s="112"/>
    </row>
    <row r="1107" spans="1:8" ht="14.25" thickTop="1" thickBot="1">
      <c r="A1107" s="95"/>
      <c r="B1107" s="808"/>
      <c r="C1107" s="808"/>
      <c r="D1107" s="808"/>
      <c r="E1107" s="809"/>
      <c r="F1107" s="120" t="s">
        <v>856</v>
      </c>
      <c r="G1107" s="118">
        <f>SUM(G1102:G1106)</f>
        <v>11281</v>
      </c>
    </row>
    <row r="1108" spans="1:8" ht="14.25" thickTop="1" thickBot="1">
      <c r="A1108" s="95"/>
      <c r="B1108" s="810"/>
      <c r="C1108" s="810"/>
      <c r="D1108" s="810"/>
      <c r="E1108" s="810"/>
      <c r="F1108" s="810"/>
      <c r="G1108" s="810"/>
    </row>
    <row r="1109" spans="1:8" ht="13.5" thickTop="1">
      <c r="A1109" s="95"/>
      <c r="B1109" s="811" t="s">
        <v>321</v>
      </c>
      <c r="C1109" s="812"/>
      <c r="D1109" s="812"/>
      <c r="E1109" s="812"/>
      <c r="F1109" s="812"/>
      <c r="G1109" s="825"/>
    </row>
    <row r="1110" spans="1:8">
      <c r="A1110" s="95"/>
      <c r="B1110" s="817" t="s">
        <v>838</v>
      </c>
      <c r="C1110" s="818"/>
      <c r="D1110" s="98" t="s">
        <v>301</v>
      </c>
      <c r="E1110" s="98" t="s">
        <v>297</v>
      </c>
      <c r="F1110" s="99" t="s">
        <v>839</v>
      </c>
      <c r="G1110" s="107" t="s">
        <v>840</v>
      </c>
    </row>
    <row r="1111" spans="1:8">
      <c r="A1111" s="95"/>
      <c r="B1111" s="115"/>
      <c r="C1111" s="102"/>
      <c r="D1111" s="103" t="s">
        <v>322</v>
      </c>
      <c r="E1111" s="103" t="s">
        <v>323</v>
      </c>
      <c r="F1111" s="104" t="s">
        <v>324</v>
      </c>
      <c r="G1111" s="109" t="s">
        <v>325</v>
      </c>
    </row>
    <row r="1112" spans="1:8">
      <c r="A1112" s="95"/>
      <c r="B1112" s="826"/>
      <c r="C1112" s="827"/>
      <c r="D1112" s="96"/>
      <c r="E1112" s="96"/>
      <c r="F1112" s="96"/>
      <c r="G1112" s="116"/>
    </row>
    <row r="1113" spans="1:8" ht="13.5" thickBot="1">
      <c r="A1113" s="95"/>
      <c r="B1113" s="828" t="s">
        <v>841</v>
      </c>
      <c r="C1113" s="829"/>
      <c r="D1113" s="77"/>
      <c r="E1113" s="82"/>
      <c r="F1113" s="86"/>
      <c r="G1113" s="112"/>
    </row>
    <row r="1114" spans="1:8" ht="14.25" thickTop="1" thickBot="1">
      <c r="A1114" s="95"/>
      <c r="B1114" s="808"/>
      <c r="C1114" s="808"/>
      <c r="D1114" s="808"/>
      <c r="E1114" s="809"/>
      <c r="F1114" s="120" t="s">
        <v>856</v>
      </c>
      <c r="G1114" s="118">
        <f>SUM(G1109:G1113)</f>
        <v>0</v>
      </c>
    </row>
    <row r="1115" spans="1:8" ht="14.25" thickTop="1" thickBot="1">
      <c r="A1115" s="95"/>
      <c r="B1115" s="810"/>
      <c r="C1115" s="810"/>
      <c r="D1115" s="810"/>
      <c r="E1115" s="810"/>
      <c r="F1115" s="810"/>
      <c r="G1115" s="834"/>
    </row>
    <row r="1116" spans="1:8" ht="13.5" thickTop="1">
      <c r="A1116" s="95"/>
      <c r="B1116" s="811" t="s">
        <v>326</v>
      </c>
      <c r="C1116" s="812"/>
      <c r="D1116" s="812"/>
      <c r="E1116" s="812"/>
      <c r="F1116" s="813"/>
      <c r="G1116" s="121">
        <f>+G1080+G1096+G1107</f>
        <v>40956</v>
      </c>
    </row>
    <row r="1117" spans="1:8">
      <c r="A1117" s="95"/>
      <c r="B1117" s="814" t="s">
        <v>861</v>
      </c>
      <c r="C1117" s="815"/>
      <c r="D1117" s="815"/>
      <c r="E1117" s="816"/>
      <c r="F1117" s="128">
        <f>'MANO DE OBRA'!D59</f>
        <v>0</v>
      </c>
      <c r="G1117" s="122">
        <f>ROUND(G1116*F1117,0)</f>
        <v>0</v>
      </c>
    </row>
    <row r="1118" spans="1:8" ht="13.5" thickBot="1">
      <c r="A1118" s="95"/>
      <c r="B1118" s="805" t="s">
        <v>1049</v>
      </c>
      <c r="C1118" s="806"/>
      <c r="D1118" s="806"/>
      <c r="E1118" s="806"/>
      <c r="F1118" s="807"/>
      <c r="G1118" s="118">
        <f>ROUND(G1116+G1117,-2)</f>
        <v>41000</v>
      </c>
      <c r="H1118" s="505" t="s">
        <v>1670</v>
      </c>
    </row>
    <row r="1119" spans="1:8" ht="15" thickTop="1">
      <c r="A1119" s="95"/>
      <c r="B1119" s="90" t="s">
        <v>303</v>
      </c>
      <c r="C1119" s="843"/>
      <c r="D1119" s="843"/>
      <c r="E1119" s="843"/>
      <c r="F1119" s="92" t="s">
        <v>781</v>
      </c>
      <c r="G1119" s="93" t="s">
        <v>1067</v>
      </c>
    </row>
    <row r="1120" spans="1:8">
      <c r="A1120" s="95"/>
      <c r="B1120" s="91" t="s">
        <v>834</v>
      </c>
      <c r="C1120" s="844" t="s">
        <v>1433</v>
      </c>
      <c r="D1120" s="844"/>
      <c r="E1120" s="844"/>
      <c r="F1120" s="15" t="s">
        <v>833</v>
      </c>
      <c r="G1120" s="165" t="str">
        <f>'MANO DE OBRA'!D61</f>
        <v>Agosto de 2010</v>
      </c>
    </row>
    <row r="1121" spans="1:7" ht="13.5" thickBot="1">
      <c r="A1121" s="127"/>
      <c r="B1121" s="94" t="s">
        <v>835</v>
      </c>
      <c r="C1121" s="845" t="s">
        <v>1454</v>
      </c>
      <c r="D1121" s="845"/>
      <c r="E1121" s="845"/>
      <c r="F1121" s="845"/>
      <c r="G1121" s="846"/>
    </row>
    <row r="1122" spans="1:7" ht="14.25" thickTop="1" thickBot="1">
      <c r="A1122" s="95"/>
      <c r="B1122" s="847"/>
      <c r="C1122" s="847"/>
      <c r="D1122" s="847"/>
      <c r="E1122" s="847"/>
      <c r="F1122" s="847"/>
      <c r="G1122" s="847"/>
    </row>
    <row r="1123" spans="1:7" ht="13.5" thickTop="1">
      <c r="A1123" s="95"/>
      <c r="B1123" s="811" t="s">
        <v>304</v>
      </c>
      <c r="C1123" s="812"/>
      <c r="D1123" s="812"/>
      <c r="E1123" s="812"/>
      <c r="F1123" s="812"/>
      <c r="G1123" s="825"/>
    </row>
    <row r="1124" spans="1:7">
      <c r="A1124" s="95"/>
      <c r="B1124" s="105"/>
      <c r="C1124" s="97"/>
      <c r="D1124" s="98" t="s">
        <v>301</v>
      </c>
      <c r="E1124" s="98" t="s">
        <v>1072</v>
      </c>
      <c r="F1124" s="99" t="s">
        <v>839</v>
      </c>
      <c r="G1124" s="107" t="s">
        <v>840</v>
      </c>
    </row>
    <row r="1125" spans="1:7">
      <c r="A1125" s="95"/>
      <c r="B1125" s="821" t="s">
        <v>838</v>
      </c>
      <c r="C1125" s="822"/>
      <c r="D1125" s="100" t="s">
        <v>308</v>
      </c>
      <c r="E1125" s="100" t="s">
        <v>305</v>
      </c>
      <c r="F1125" s="101" t="s">
        <v>306</v>
      </c>
      <c r="G1125" s="108" t="s">
        <v>310</v>
      </c>
    </row>
    <row r="1126" spans="1:7">
      <c r="A1126" s="95"/>
      <c r="B1126" s="115"/>
      <c r="C1126" s="102"/>
      <c r="D1126" s="103"/>
      <c r="E1126" s="103" t="s">
        <v>309</v>
      </c>
      <c r="F1126" s="104" t="s">
        <v>307</v>
      </c>
      <c r="G1126" s="109"/>
    </row>
    <row r="1127" spans="1:7">
      <c r="A1127" s="127"/>
      <c r="B1127" s="826" t="str">
        <f>'MAQUINARIA Y EQUIPOS'!C28</f>
        <v>HERRAMIENTAS MENORES</v>
      </c>
      <c r="C1127" s="824"/>
      <c r="D1127" s="87">
        <v>1</v>
      </c>
      <c r="E1127" s="82">
        <f>ROUND(G1160*0.05,0)</f>
        <v>564</v>
      </c>
      <c r="F1127" s="81">
        <v>1</v>
      </c>
      <c r="G1127" s="110">
        <f>ROUND(D1127*E1127/F1127,0)</f>
        <v>564</v>
      </c>
    </row>
    <row r="1128" spans="1:7">
      <c r="A1128" s="95"/>
      <c r="B1128" s="835"/>
      <c r="C1128" s="836"/>
      <c r="D1128" s="37"/>
      <c r="E1128" s="129"/>
      <c r="F1128" s="83"/>
      <c r="G1128" s="111"/>
    </row>
    <row r="1129" spans="1:7">
      <c r="A1129" s="95"/>
      <c r="B1129" s="835"/>
      <c r="C1129" s="836"/>
      <c r="D1129" s="37"/>
      <c r="E1129" s="129"/>
      <c r="F1129" s="83"/>
      <c r="G1129" s="111"/>
    </row>
    <row r="1130" spans="1:7">
      <c r="A1130" s="95"/>
      <c r="B1130" s="835"/>
      <c r="C1130" s="836"/>
      <c r="D1130" s="89"/>
      <c r="E1130" s="82"/>
      <c r="F1130" s="83"/>
      <c r="G1130" s="111"/>
    </row>
    <row r="1131" spans="1:7">
      <c r="A1131" s="95"/>
      <c r="B1131" s="835" t="s">
        <v>841</v>
      </c>
      <c r="C1131" s="836"/>
      <c r="D1131" s="37"/>
      <c r="E1131" s="82"/>
      <c r="F1131" s="83"/>
      <c r="G1131" s="111"/>
    </row>
    <row r="1132" spans="1:7" ht="13.5" thickBot="1">
      <c r="A1132" s="95"/>
      <c r="B1132" s="839" t="s">
        <v>841</v>
      </c>
      <c r="C1132" s="840"/>
      <c r="D1132" s="77"/>
      <c r="E1132" s="106"/>
      <c r="F1132" s="86"/>
      <c r="G1132" s="112"/>
    </row>
    <row r="1133" spans="1:7" ht="14.25" thickTop="1" thickBot="1">
      <c r="A1133" s="95"/>
      <c r="B1133" s="808"/>
      <c r="C1133" s="808"/>
      <c r="D1133" s="808"/>
      <c r="E1133" s="809"/>
      <c r="F1133" s="119" t="s">
        <v>856</v>
      </c>
      <c r="G1133" s="118">
        <f>SUM(G1127:G1132)</f>
        <v>564</v>
      </c>
    </row>
    <row r="1134" spans="1:7" ht="14.25" thickTop="1" thickBot="1">
      <c r="A1134" s="95"/>
      <c r="B1134" s="830"/>
      <c r="C1134" s="830"/>
      <c r="D1134" s="830"/>
      <c r="E1134" s="830"/>
      <c r="F1134" s="830"/>
      <c r="G1134" s="830"/>
    </row>
    <row r="1135" spans="1:7" ht="13.5" thickTop="1">
      <c r="A1135" s="95"/>
      <c r="B1135" s="811" t="s">
        <v>311</v>
      </c>
      <c r="C1135" s="812"/>
      <c r="D1135" s="812"/>
      <c r="E1135" s="812"/>
      <c r="F1135" s="812"/>
      <c r="G1135" s="825"/>
    </row>
    <row r="1136" spans="1:7">
      <c r="A1136" s="95"/>
      <c r="B1136" s="817" t="s">
        <v>838</v>
      </c>
      <c r="C1136" s="818"/>
      <c r="D1136" s="98" t="s">
        <v>842</v>
      </c>
      <c r="E1136" s="98" t="s">
        <v>853</v>
      </c>
      <c r="F1136" s="99" t="s">
        <v>1047</v>
      </c>
      <c r="G1136" s="107" t="s">
        <v>840</v>
      </c>
    </row>
    <row r="1137" spans="1:8">
      <c r="A1137" s="95"/>
      <c r="B1137" s="115"/>
      <c r="C1137" s="102"/>
      <c r="D1137" s="103"/>
      <c r="E1137" s="100" t="s">
        <v>312</v>
      </c>
      <c r="F1137" s="101" t="s">
        <v>313</v>
      </c>
      <c r="G1137" s="108" t="s">
        <v>314</v>
      </c>
    </row>
    <row r="1138" spans="1:8" ht="14.25">
      <c r="A1138" s="125"/>
      <c r="B1138" s="841" t="str">
        <f>MATERIALES2!C119</f>
        <v>CERAMICA 33x33 TRAFICO 4</v>
      </c>
      <c r="C1138" s="842"/>
      <c r="D1138" s="37" t="s">
        <v>1067</v>
      </c>
      <c r="E1138" s="140">
        <v>1</v>
      </c>
      <c r="F1138" s="80">
        <f>MATERIALES2!E119</f>
        <v>27000</v>
      </c>
      <c r="G1138" s="110">
        <f>ROUND(E1138*F1138,0)</f>
        <v>27000</v>
      </c>
    </row>
    <row r="1139" spans="1:8">
      <c r="A1139" s="123"/>
      <c r="B1139" s="854" t="str">
        <f>MATERIALES2!C12</f>
        <v>CEMENTO BLANCO</v>
      </c>
      <c r="C1139" s="855"/>
      <c r="D1139" s="37" t="s">
        <v>925</v>
      </c>
      <c r="E1139" s="141">
        <v>1.5</v>
      </c>
      <c r="F1139" s="82">
        <f>MATERIALES2!E12</f>
        <v>750</v>
      </c>
      <c r="G1139" s="111">
        <f>ROUND(E1139*F1139,0)</f>
        <v>1125</v>
      </c>
    </row>
    <row r="1140" spans="1:8">
      <c r="A1140" s="123"/>
      <c r="B1140" s="854" t="str">
        <f>MATERIALES2!C13</f>
        <v>CEMENTO GRIS</v>
      </c>
      <c r="C1140" s="855"/>
      <c r="D1140" s="37" t="s">
        <v>925</v>
      </c>
      <c r="E1140" s="141">
        <v>7.28</v>
      </c>
      <c r="F1140" s="82">
        <f>MATERIALES2!E13</f>
        <v>420</v>
      </c>
      <c r="G1140" s="111">
        <f>ROUND(E1140*F1140,0)</f>
        <v>3058</v>
      </c>
    </row>
    <row r="1141" spans="1:8" ht="14.25">
      <c r="A1141" s="123"/>
      <c r="B1141" s="854" t="str">
        <f>MATERIALES2!C20</f>
        <v xml:space="preserve">ARENA </v>
      </c>
      <c r="C1141" s="855"/>
      <c r="D1141" s="37" t="s">
        <v>1066</v>
      </c>
      <c r="E1141" s="141">
        <v>2.3E-2</v>
      </c>
      <c r="F1141" s="82">
        <f>MATERIALES2!E20</f>
        <v>35000</v>
      </c>
      <c r="G1141" s="111">
        <f>ROUND(E1141*F1141,0)</f>
        <v>805</v>
      </c>
    </row>
    <row r="1142" spans="1:8">
      <c r="A1142" s="123"/>
      <c r="B1142" s="854" t="str">
        <f>MATERIALES2!C28</f>
        <v>AGUA</v>
      </c>
      <c r="C1142" s="855"/>
      <c r="D1142" s="37" t="s">
        <v>1071</v>
      </c>
      <c r="E1142" s="141">
        <v>4.74</v>
      </c>
      <c r="F1142" s="82">
        <f>MATERIALES2!E28</f>
        <v>50</v>
      </c>
      <c r="G1142" s="111">
        <f>ROUND(E1142*F1142,0)</f>
        <v>237</v>
      </c>
    </row>
    <row r="1143" spans="1:8">
      <c r="A1143" s="123"/>
      <c r="B1143" s="854"/>
      <c r="C1143" s="855"/>
      <c r="D1143" s="37"/>
      <c r="E1143" s="141"/>
      <c r="F1143" s="82"/>
      <c r="G1143" s="111"/>
    </row>
    <row r="1144" spans="1:8">
      <c r="A1144" s="123"/>
      <c r="B1144" s="854"/>
      <c r="C1144" s="855"/>
      <c r="D1144" s="37"/>
      <c r="E1144" s="141"/>
      <c r="F1144" s="82"/>
      <c r="G1144" s="111"/>
    </row>
    <row r="1145" spans="1:8">
      <c r="A1145" s="123"/>
      <c r="B1145" s="854"/>
      <c r="C1145" s="855"/>
      <c r="D1145" s="37"/>
      <c r="E1145" s="141"/>
      <c r="F1145" s="82"/>
      <c r="G1145" s="111"/>
      <c r="H1145" s="505" t="s">
        <v>1670</v>
      </c>
    </row>
    <row r="1146" spans="1:8" ht="13.5" thickBot="1">
      <c r="A1146" s="95"/>
      <c r="B1146" s="942" t="s">
        <v>841</v>
      </c>
      <c r="C1146" s="943"/>
      <c r="D1146" s="84" t="s">
        <v>841</v>
      </c>
      <c r="E1146" s="84"/>
      <c r="F1146" s="85"/>
      <c r="G1146" s="112"/>
    </row>
    <row r="1147" spans="1:8" ht="13.5" thickTop="1">
      <c r="A1147" s="95"/>
      <c r="B1147" s="808"/>
      <c r="C1147" s="809"/>
      <c r="D1147" s="801" t="s">
        <v>856</v>
      </c>
      <c r="E1147" s="802"/>
      <c r="F1147" s="9"/>
      <c r="G1147" s="113">
        <f>SUM(G1138:G1146)</f>
        <v>32225</v>
      </c>
    </row>
    <row r="1148" spans="1:8">
      <c r="A1148" s="95"/>
      <c r="B1148" s="819"/>
      <c r="C1148" s="820"/>
      <c r="D1148" s="801" t="s">
        <v>857</v>
      </c>
      <c r="E1148" s="802"/>
      <c r="F1148" s="79">
        <f>'MANO DE OBRA'!D60</f>
        <v>0.05</v>
      </c>
      <c r="G1148" s="113">
        <f>ROUND(G1147*F1148,0)</f>
        <v>1611</v>
      </c>
    </row>
    <row r="1149" spans="1:8" ht="13.5" thickBot="1">
      <c r="A1149" s="95"/>
      <c r="B1149" s="819"/>
      <c r="C1149" s="820"/>
      <c r="D1149" s="803" t="s">
        <v>320</v>
      </c>
      <c r="E1149" s="804"/>
      <c r="F1149" s="114"/>
      <c r="G1149" s="118">
        <f>+G1147+G1148</f>
        <v>33836</v>
      </c>
    </row>
    <row r="1150" spans="1:8" ht="14.25" thickTop="1" thickBot="1">
      <c r="A1150" s="95"/>
      <c r="B1150" s="830"/>
      <c r="C1150" s="830"/>
      <c r="D1150" s="830"/>
      <c r="E1150" s="830"/>
      <c r="F1150" s="830"/>
      <c r="G1150" s="830"/>
    </row>
    <row r="1151" spans="1:8" ht="13.5" thickTop="1">
      <c r="A1151" s="95"/>
      <c r="B1151" s="811" t="s">
        <v>858</v>
      </c>
      <c r="C1151" s="812"/>
      <c r="D1151" s="812"/>
      <c r="E1151" s="812"/>
      <c r="F1151" s="812"/>
      <c r="G1151" s="825"/>
    </row>
    <row r="1152" spans="1:8">
      <c r="A1152" s="95"/>
      <c r="B1152" s="817"/>
      <c r="C1152" s="818"/>
      <c r="D1152" s="98" t="s">
        <v>301</v>
      </c>
      <c r="E1152" s="98" t="s">
        <v>859</v>
      </c>
      <c r="F1152" s="99" t="s">
        <v>839</v>
      </c>
      <c r="G1152" s="107" t="s">
        <v>840</v>
      </c>
    </row>
    <row r="1153" spans="1:7">
      <c r="A1153" s="95"/>
      <c r="B1153" s="821" t="s">
        <v>838</v>
      </c>
      <c r="C1153" s="822"/>
      <c r="D1153" s="100" t="s">
        <v>316</v>
      </c>
      <c r="E1153" s="100" t="s">
        <v>315</v>
      </c>
      <c r="F1153" s="101" t="s">
        <v>306</v>
      </c>
      <c r="G1153" s="108" t="s">
        <v>319</v>
      </c>
    </row>
    <row r="1154" spans="1:7">
      <c r="A1154" s="95"/>
      <c r="B1154" s="115"/>
      <c r="C1154" s="102"/>
      <c r="D1154" s="103"/>
      <c r="E1154" s="103" t="s">
        <v>317</v>
      </c>
      <c r="F1154" s="104" t="s">
        <v>318</v>
      </c>
      <c r="G1154" s="109"/>
    </row>
    <row r="1155" spans="1:7">
      <c r="A1155" s="95"/>
      <c r="B1155" s="823" t="str">
        <f>'MANO DE OBRA'!B10</f>
        <v>AYUDANTE CUAD. TIPO AA</v>
      </c>
      <c r="C1155" s="824"/>
      <c r="D1155" s="87">
        <v>1</v>
      </c>
      <c r="E1155" s="80">
        <f>'MANO DE OBRA'!E10</f>
        <v>34680</v>
      </c>
      <c r="F1155" s="81">
        <v>9.41</v>
      </c>
      <c r="G1155" s="110">
        <f>ROUND(D1155*E1155/F1155,0)</f>
        <v>3685</v>
      </c>
    </row>
    <row r="1156" spans="1:7">
      <c r="A1156" s="95"/>
      <c r="B1156" s="835" t="str">
        <f>'MANO DE OBRA'!B15</f>
        <v xml:space="preserve">OFICIAL CUAD. TIPO AA </v>
      </c>
      <c r="C1156" s="836"/>
      <c r="D1156" s="37">
        <v>1</v>
      </c>
      <c r="E1156" s="82">
        <f>'MANO DE OBRA'!E15</f>
        <v>71474</v>
      </c>
      <c r="F1156" s="83">
        <v>9.41</v>
      </c>
      <c r="G1156" s="111">
        <f>ROUND(D1156*E1156/F1156,0)</f>
        <v>7596</v>
      </c>
    </row>
    <row r="1157" spans="1:7">
      <c r="A1157" s="95"/>
      <c r="B1157" s="835"/>
      <c r="C1157" s="836"/>
      <c r="D1157" s="89"/>
      <c r="E1157" s="82"/>
      <c r="F1157" s="83"/>
      <c r="G1157" s="111"/>
    </row>
    <row r="1158" spans="1:7">
      <c r="A1158" s="95"/>
      <c r="B1158" s="835" t="s">
        <v>841</v>
      </c>
      <c r="C1158" s="836"/>
      <c r="D1158" s="37"/>
      <c r="E1158" s="82"/>
      <c r="F1158" s="83"/>
      <c r="G1158" s="111"/>
    </row>
    <row r="1159" spans="1:7" ht="13.5" thickBot="1">
      <c r="A1159" s="95"/>
      <c r="B1159" s="828" t="s">
        <v>841</v>
      </c>
      <c r="C1159" s="829"/>
      <c r="D1159" s="77"/>
      <c r="E1159" s="82"/>
      <c r="F1159" s="86"/>
      <c r="G1159" s="112"/>
    </row>
    <row r="1160" spans="1:7" ht="14.25" thickTop="1" thickBot="1">
      <c r="A1160" s="95"/>
      <c r="B1160" s="808"/>
      <c r="C1160" s="808"/>
      <c r="D1160" s="808"/>
      <c r="E1160" s="809"/>
      <c r="F1160" s="120" t="s">
        <v>856</v>
      </c>
      <c r="G1160" s="118">
        <f>SUM(G1155:G1159)</f>
        <v>11281</v>
      </c>
    </row>
    <row r="1161" spans="1:7" ht="14.25" thickTop="1" thickBot="1">
      <c r="A1161" s="95"/>
      <c r="B1161" s="810"/>
      <c r="C1161" s="810"/>
      <c r="D1161" s="810"/>
      <c r="E1161" s="810"/>
      <c r="F1161" s="810"/>
      <c r="G1161" s="810"/>
    </row>
    <row r="1162" spans="1:7" ht="13.5" thickTop="1">
      <c r="A1162" s="95"/>
      <c r="B1162" s="811" t="s">
        <v>321</v>
      </c>
      <c r="C1162" s="812"/>
      <c r="D1162" s="812"/>
      <c r="E1162" s="812"/>
      <c r="F1162" s="812"/>
      <c r="G1162" s="825"/>
    </row>
    <row r="1163" spans="1:7">
      <c r="A1163" s="95"/>
      <c r="B1163" s="817" t="s">
        <v>838</v>
      </c>
      <c r="C1163" s="818"/>
      <c r="D1163" s="98" t="s">
        <v>301</v>
      </c>
      <c r="E1163" s="98" t="s">
        <v>297</v>
      </c>
      <c r="F1163" s="99" t="s">
        <v>839</v>
      </c>
      <c r="G1163" s="107" t="s">
        <v>840</v>
      </c>
    </row>
    <row r="1164" spans="1:7">
      <c r="A1164" s="95"/>
      <c r="B1164" s="115"/>
      <c r="C1164" s="102"/>
      <c r="D1164" s="103" t="s">
        <v>322</v>
      </c>
      <c r="E1164" s="103" t="s">
        <v>323</v>
      </c>
      <c r="F1164" s="104" t="s">
        <v>324</v>
      </c>
      <c r="G1164" s="109" t="s">
        <v>325</v>
      </c>
    </row>
    <row r="1165" spans="1:7">
      <c r="A1165" s="95"/>
      <c r="B1165" s="826"/>
      <c r="C1165" s="827"/>
      <c r="D1165" s="96"/>
      <c r="E1165" s="96"/>
      <c r="F1165" s="96"/>
      <c r="G1165" s="116"/>
    </row>
    <row r="1166" spans="1:7" ht="13.5" thickBot="1">
      <c r="A1166" s="95"/>
      <c r="B1166" s="828" t="s">
        <v>841</v>
      </c>
      <c r="C1166" s="829"/>
      <c r="D1166" s="77"/>
      <c r="E1166" s="82"/>
      <c r="F1166" s="86"/>
      <c r="G1166" s="112"/>
    </row>
    <row r="1167" spans="1:7" ht="14.25" thickTop="1" thickBot="1">
      <c r="A1167" s="95"/>
      <c r="B1167" s="808"/>
      <c r="C1167" s="808"/>
      <c r="D1167" s="808"/>
      <c r="E1167" s="809"/>
      <c r="F1167" s="120" t="s">
        <v>856</v>
      </c>
      <c r="G1167" s="118">
        <f>SUM(G1162:G1166)</f>
        <v>0</v>
      </c>
    </row>
    <row r="1168" spans="1:7" ht="14.25" thickTop="1" thickBot="1">
      <c r="A1168" s="95"/>
      <c r="B1168" s="810"/>
      <c r="C1168" s="810"/>
      <c r="D1168" s="810"/>
      <c r="E1168" s="810"/>
      <c r="F1168" s="810"/>
      <c r="G1168" s="834"/>
    </row>
    <row r="1169" spans="1:8" ht="13.5" thickTop="1">
      <c r="A1169" s="95"/>
      <c r="B1169" s="811" t="s">
        <v>326</v>
      </c>
      <c r="C1169" s="812"/>
      <c r="D1169" s="812"/>
      <c r="E1169" s="812"/>
      <c r="F1169" s="813"/>
      <c r="G1169" s="121">
        <f>+G1133+G1149+G1160</f>
        <v>45681</v>
      </c>
    </row>
    <row r="1170" spans="1:8">
      <c r="A1170" s="95"/>
      <c r="B1170" s="814" t="s">
        <v>861</v>
      </c>
      <c r="C1170" s="815"/>
      <c r="D1170" s="815"/>
      <c r="E1170" s="816"/>
      <c r="F1170" s="128">
        <f>'MANO DE OBRA'!D59</f>
        <v>0</v>
      </c>
      <c r="G1170" s="122">
        <f>ROUND(G1169*F1170,0)</f>
        <v>0</v>
      </c>
    </row>
    <row r="1171" spans="1:8" ht="13.5" thickBot="1">
      <c r="A1171" s="95"/>
      <c r="B1171" s="805" t="s">
        <v>1049</v>
      </c>
      <c r="C1171" s="806"/>
      <c r="D1171" s="806"/>
      <c r="E1171" s="806"/>
      <c r="F1171" s="807"/>
      <c r="G1171" s="118">
        <f>ROUND(G1169+G1170,-2)</f>
        <v>45700</v>
      </c>
      <c r="H1171" s="505" t="s">
        <v>1670</v>
      </c>
    </row>
    <row r="1172" spans="1:8" ht="15" thickTop="1">
      <c r="A1172" s="95"/>
      <c r="B1172" s="90" t="s">
        <v>303</v>
      </c>
      <c r="C1172" s="843"/>
      <c r="D1172" s="843"/>
      <c r="E1172" s="843"/>
      <c r="F1172" s="92" t="s">
        <v>781</v>
      </c>
      <c r="G1172" s="93" t="s">
        <v>1067</v>
      </c>
    </row>
    <row r="1173" spans="1:8">
      <c r="A1173" s="95"/>
      <c r="B1173" s="91" t="s">
        <v>834</v>
      </c>
      <c r="C1173" s="844" t="s">
        <v>1433</v>
      </c>
      <c r="D1173" s="844"/>
      <c r="E1173" s="844"/>
      <c r="F1173" s="15" t="s">
        <v>833</v>
      </c>
      <c r="G1173" s="165" t="str">
        <f>'MANO DE OBRA'!D61</f>
        <v>Agosto de 2010</v>
      </c>
    </row>
    <row r="1174" spans="1:8" ht="13.5" thickBot="1">
      <c r="A1174" s="127"/>
      <c r="B1174" s="94" t="s">
        <v>835</v>
      </c>
      <c r="C1174" s="845" t="s">
        <v>1455</v>
      </c>
      <c r="D1174" s="845"/>
      <c r="E1174" s="845"/>
      <c r="F1174" s="845"/>
      <c r="G1174" s="846"/>
    </row>
    <row r="1175" spans="1:8" ht="14.25" thickTop="1" thickBot="1">
      <c r="A1175" s="95"/>
      <c r="B1175" s="847"/>
      <c r="C1175" s="847"/>
      <c r="D1175" s="847"/>
      <c r="E1175" s="847"/>
      <c r="F1175" s="847"/>
      <c r="G1175" s="847"/>
    </row>
    <row r="1176" spans="1:8" ht="13.5" thickTop="1">
      <c r="A1176" s="95"/>
      <c r="B1176" s="811" t="s">
        <v>304</v>
      </c>
      <c r="C1176" s="812"/>
      <c r="D1176" s="812"/>
      <c r="E1176" s="812"/>
      <c r="F1176" s="812"/>
      <c r="G1176" s="825"/>
    </row>
    <row r="1177" spans="1:8">
      <c r="A1177" s="95"/>
      <c r="B1177" s="105"/>
      <c r="C1177" s="97"/>
      <c r="D1177" s="98" t="s">
        <v>301</v>
      </c>
      <c r="E1177" s="98" t="s">
        <v>1072</v>
      </c>
      <c r="F1177" s="99" t="s">
        <v>839</v>
      </c>
      <c r="G1177" s="107" t="s">
        <v>840</v>
      </c>
    </row>
    <row r="1178" spans="1:8">
      <c r="A1178" s="95"/>
      <c r="B1178" s="821" t="s">
        <v>838</v>
      </c>
      <c r="C1178" s="822"/>
      <c r="D1178" s="100" t="s">
        <v>308</v>
      </c>
      <c r="E1178" s="100" t="s">
        <v>305</v>
      </c>
      <c r="F1178" s="101" t="s">
        <v>306</v>
      </c>
      <c r="G1178" s="108" t="s">
        <v>310</v>
      </c>
    </row>
    <row r="1179" spans="1:8">
      <c r="A1179" s="95"/>
      <c r="B1179" s="115"/>
      <c r="C1179" s="102"/>
      <c r="D1179" s="103"/>
      <c r="E1179" s="103" t="s">
        <v>309</v>
      </c>
      <c r="F1179" s="104" t="s">
        <v>307</v>
      </c>
      <c r="G1179" s="109"/>
    </row>
    <row r="1180" spans="1:8">
      <c r="A1180" s="127"/>
      <c r="B1180" s="826" t="str">
        <f>'MAQUINARIA Y EQUIPOS'!C28</f>
        <v>HERRAMIENTAS MENORES</v>
      </c>
      <c r="C1180" s="824"/>
      <c r="D1180" s="87">
        <v>1</v>
      </c>
      <c r="E1180" s="82">
        <f>ROUND(G1213*0.05,0)</f>
        <v>564</v>
      </c>
      <c r="F1180" s="81">
        <v>1</v>
      </c>
      <c r="G1180" s="110">
        <f>ROUND(D1180*E1180/F1180,0)</f>
        <v>564</v>
      </c>
    </row>
    <row r="1181" spans="1:8">
      <c r="A1181" s="95"/>
      <c r="B1181" s="835"/>
      <c r="C1181" s="836"/>
      <c r="D1181" s="37"/>
      <c r="E1181" s="129"/>
      <c r="F1181" s="83"/>
      <c r="G1181" s="111"/>
    </row>
    <row r="1182" spans="1:8">
      <c r="A1182" s="95"/>
      <c r="B1182" s="835"/>
      <c r="C1182" s="836"/>
      <c r="D1182" s="37"/>
      <c r="E1182" s="129"/>
      <c r="F1182" s="83"/>
      <c r="G1182" s="111"/>
    </row>
    <row r="1183" spans="1:8">
      <c r="A1183" s="95"/>
      <c r="B1183" s="835"/>
      <c r="C1183" s="836"/>
      <c r="D1183" s="89"/>
      <c r="E1183" s="82"/>
      <c r="F1183" s="83"/>
      <c r="G1183" s="111"/>
    </row>
    <row r="1184" spans="1:8">
      <c r="A1184" s="95"/>
      <c r="B1184" s="835" t="s">
        <v>841</v>
      </c>
      <c r="C1184" s="836"/>
      <c r="D1184" s="37"/>
      <c r="E1184" s="82"/>
      <c r="F1184" s="83"/>
      <c r="G1184" s="111"/>
    </row>
    <row r="1185" spans="1:8" ht="13.5" thickBot="1">
      <c r="A1185" s="95"/>
      <c r="B1185" s="839" t="s">
        <v>841</v>
      </c>
      <c r="C1185" s="840"/>
      <c r="D1185" s="77"/>
      <c r="E1185" s="106"/>
      <c r="F1185" s="86"/>
      <c r="G1185" s="112"/>
    </row>
    <row r="1186" spans="1:8" ht="14.25" thickTop="1" thickBot="1">
      <c r="A1186" s="95"/>
      <c r="B1186" s="808"/>
      <c r="C1186" s="808"/>
      <c r="D1186" s="808"/>
      <c r="E1186" s="809"/>
      <c r="F1186" s="119" t="s">
        <v>856</v>
      </c>
      <c r="G1186" s="118">
        <f>SUM(G1180:G1185)</f>
        <v>564</v>
      </c>
    </row>
    <row r="1187" spans="1:8" ht="14.25" thickTop="1" thickBot="1">
      <c r="A1187" s="95"/>
      <c r="B1187" s="830"/>
      <c r="C1187" s="830"/>
      <c r="D1187" s="830"/>
      <c r="E1187" s="830"/>
      <c r="F1187" s="830"/>
      <c r="G1187" s="830"/>
    </row>
    <row r="1188" spans="1:8" ht="13.5" thickTop="1">
      <c r="A1188" s="95"/>
      <c r="B1188" s="811" t="s">
        <v>311</v>
      </c>
      <c r="C1188" s="812"/>
      <c r="D1188" s="812"/>
      <c r="E1188" s="812"/>
      <c r="F1188" s="812"/>
      <c r="G1188" s="825"/>
    </row>
    <row r="1189" spans="1:8">
      <c r="A1189" s="95"/>
      <c r="B1189" s="817" t="s">
        <v>838</v>
      </c>
      <c r="C1189" s="818"/>
      <c r="D1189" s="98" t="s">
        <v>842</v>
      </c>
      <c r="E1189" s="98" t="s">
        <v>853</v>
      </c>
      <c r="F1189" s="99" t="s">
        <v>1047</v>
      </c>
      <c r="G1189" s="107" t="s">
        <v>840</v>
      </c>
    </row>
    <row r="1190" spans="1:8">
      <c r="A1190" s="95"/>
      <c r="B1190" s="115"/>
      <c r="C1190" s="102"/>
      <c r="D1190" s="103"/>
      <c r="E1190" s="100" t="s">
        <v>312</v>
      </c>
      <c r="F1190" s="101" t="s">
        <v>313</v>
      </c>
      <c r="G1190" s="108" t="s">
        <v>314</v>
      </c>
    </row>
    <row r="1191" spans="1:8" ht="14.25">
      <c r="A1191" s="125"/>
      <c r="B1191" s="841" t="str">
        <f>MATERIALES2!C120</f>
        <v>CERAMICA .40x.40 TRAFICO 4</v>
      </c>
      <c r="C1191" s="842"/>
      <c r="D1191" s="37" t="s">
        <v>1067</v>
      </c>
      <c r="E1191" s="140">
        <v>1</v>
      </c>
      <c r="F1191" s="80">
        <f>MATERIALES2!E120</f>
        <v>15000</v>
      </c>
      <c r="G1191" s="110">
        <f>ROUND(E1191*F1191,0)</f>
        <v>15000</v>
      </c>
    </row>
    <row r="1192" spans="1:8">
      <c r="A1192" s="123"/>
      <c r="B1192" s="854" t="str">
        <f>MATERIALES2!C12</f>
        <v>CEMENTO BLANCO</v>
      </c>
      <c r="C1192" s="855"/>
      <c r="D1192" s="37" t="s">
        <v>925</v>
      </c>
      <c r="E1192" s="141">
        <v>1.5</v>
      </c>
      <c r="F1192" s="82">
        <f>MATERIALES2!E12</f>
        <v>750</v>
      </c>
      <c r="G1192" s="111">
        <f>ROUND(E1192*F1192,0)</f>
        <v>1125</v>
      </c>
    </row>
    <row r="1193" spans="1:8">
      <c r="A1193" s="123"/>
      <c r="B1193" s="854" t="str">
        <f>MATERIALES2!C13</f>
        <v>CEMENTO GRIS</v>
      </c>
      <c r="C1193" s="855"/>
      <c r="D1193" s="37" t="s">
        <v>925</v>
      </c>
      <c r="E1193" s="141">
        <v>7.28</v>
      </c>
      <c r="F1193" s="82">
        <f>MATERIALES2!E13</f>
        <v>420</v>
      </c>
      <c r="G1193" s="111">
        <f>ROUND(E1193*F1193,0)</f>
        <v>3058</v>
      </c>
    </row>
    <row r="1194" spans="1:8" ht="14.25">
      <c r="A1194" s="123"/>
      <c r="B1194" s="854" t="str">
        <f>MATERIALES2!C20</f>
        <v xml:space="preserve">ARENA </v>
      </c>
      <c r="C1194" s="855"/>
      <c r="D1194" s="37" t="s">
        <v>1066</v>
      </c>
      <c r="E1194" s="141">
        <v>2.3E-2</v>
      </c>
      <c r="F1194" s="82">
        <f>MATERIALES2!E20</f>
        <v>35000</v>
      </c>
      <c r="G1194" s="111">
        <f>ROUND(E1194*F1194,0)</f>
        <v>805</v>
      </c>
    </row>
    <row r="1195" spans="1:8">
      <c r="A1195" s="123"/>
      <c r="B1195" s="854" t="str">
        <f>MATERIALES2!C28</f>
        <v>AGUA</v>
      </c>
      <c r="C1195" s="855"/>
      <c r="D1195" s="37" t="s">
        <v>1071</v>
      </c>
      <c r="E1195" s="141">
        <v>4.74</v>
      </c>
      <c r="F1195" s="82">
        <f>MATERIALES2!E28</f>
        <v>50</v>
      </c>
      <c r="G1195" s="111">
        <f>ROUND(E1195*F1195,0)</f>
        <v>237</v>
      </c>
    </row>
    <row r="1196" spans="1:8">
      <c r="A1196" s="123"/>
      <c r="B1196" s="854"/>
      <c r="C1196" s="855"/>
      <c r="D1196" s="37"/>
      <c r="E1196" s="141"/>
      <c r="F1196" s="82"/>
      <c r="G1196" s="111"/>
    </row>
    <row r="1197" spans="1:8">
      <c r="A1197" s="123"/>
      <c r="B1197" s="854"/>
      <c r="C1197" s="855"/>
      <c r="D1197" s="37"/>
      <c r="E1197" s="141"/>
      <c r="F1197" s="82"/>
      <c r="G1197" s="111"/>
      <c r="H1197" s="505" t="s">
        <v>1670</v>
      </c>
    </row>
    <row r="1198" spans="1:8">
      <c r="A1198" s="123"/>
      <c r="B1198" s="854"/>
      <c r="C1198" s="855"/>
      <c r="D1198" s="37"/>
      <c r="E1198" s="141"/>
      <c r="F1198" s="82"/>
      <c r="G1198" s="111"/>
    </row>
    <row r="1199" spans="1:8" ht="13.5" thickBot="1">
      <c r="A1199" s="95"/>
      <c r="B1199" s="942" t="s">
        <v>841</v>
      </c>
      <c r="C1199" s="943"/>
      <c r="D1199" s="84" t="s">
        <v>841</v>
      </c>
      <c r="E1199" s="84"/>
      <c r="F1199" s="85"/>
      <c r="G1199" s="112"/>
    </row>
    <row r="1200" spans="1:8" ht="13.5" thickTop="1">
      <c r="A1200" s="95"/>
      <c r="B1200" s="808"/>
      <c r="C1200" s="809"/>
      <c r="D1200" s="801" t="s">
        <v>856</v>
      </c>
      <c r="E1200" s="802"/>
      <c r="F1200" s="9"/>
      <c r="G1200" s="113">
        <f>SUM(G1191:G1199)</f>
        <v>20225</v>
      </c>
    </row>
    <row r="1201" spans="1:7">
      <c r="A1201" s="95"/>
      <c r="B1201" s="819"/>
      <c r="C1201" s="820"/>
      <c r="D1201" s="801" t="s">
        <v>857</v>
      </c>
      <c r="E1201" s="802"/>
      <c r="F1201" s="79">
        <f>'MANO DE OBRA'!D60</f>
        <v>0.05</v>
      </c>
      <c r="G1201" s="113">
        <f>ROUND(G1200*F1201,0)</f>
        <v>1011</v>
      </c>
    </row>
    <row r="1202" spans="1:7" ht="13.5" thickBot="1">
      <c r="A1202" s="95"/>
      <c r="B1202" s="819"/>
      <c r="C1202" s="820"/>
      <c r="D1202" s="803" t="s">
        <v>320</v>
      </c>
      <c r="E1202" s="804"/>
      <c r="F1202" s="114"/>
      <c r="G1202" s="118">
        <f>+G1200+G1201</f>
        <v>21236</v>
      </c>
    </row>
    <row r="1203" spans="1:7" ht="14.25" thickTop="1" thickBot="1">
      <c r="A1203" s="95"/>
      <c r="B1203" s="830"/>
      <c r="C1203" s="830"/>
      <c r="D1203" s="830"/>
      <c r="E1203" s="830"/>
      <c r="F1203" s="830"/>
      <c r="G1203" s="830"/>
    </row>
    <row r="1204" spans="1:7" ht="13.5" thickTop="1">
      <c r="A1204" s="95"/>
      <c r="B1204" s="811" t="s">
        <v>858</v>
      </c>
      <c r="C1204" s="812"/>
      <c r="D1204" s="812"/>
      <c r="E1204" s="812"/>
      <c r="F1204" s="812"/>
      <c r="G1204" s="825"/>
    </row>
    <row r="1205" spans="1:7">
      <c r="A1205" s="95"/>
      <c r="B1205" s="817"/>
      <c r="C1205" s="818"/>
      <c r="D1205" s="98" t="s">
        <v>301</v>
      </c>
      <c r="E1205" s="98" t="s">
        <v>859</v>
      </c>
      <c r="F1205" s="99" t="s">
        <v>839</v>
      </c>
      <c r="G1205" s="107" t="s">
        <v>840</v>
      </c>
    </row>
    <row r="1206" spans="1:7">
      <c r="A1206" s="95"/>
      <c r="B1206" s="821" t="s">
        <v>838</v>
      </c>
      <c r="C1206" s="822"/>
      <c r="D1206" s="100" t="s">
        <v>316</v>
      </c>
      <c r="E1206" s="100" t="s">
        <v>315</v>
      </c>
      <c r="F1206" s="101" t="s">
        <v>306</v>
      </c>
      <c r="G1206" s="108" t="s">
        <v>319</v>
      </c>
    </row>
    <row r="1207" spans="1:7">
      <c r="A1207" s="95"/>
      <c r="B1207" s="115"/>
      <c r="C1207" s="102"/>
      <c r="D1207" s="103"/>
      <c r="E1207" s="103" t="s">
        <v>317</v>
      </c>
      <c r="F1207" s="104" t="s">
        <v>318</v>
      </c>
      <c r="G1207" s="109"/>
    </row>
    <row r="1208" spans="1:7">
      <c r="A1208" s="95"/>
      <c r="B1208" s="823" t="str">
        <f>'MANO DE OBRA'!B10</f>
        <v>AYUDANTE CUAD. TIPO AA</v>
      </c>
      <c r="C1208" s="824"/>
      <c r="D1208" s="87">
        <v>1</v>
      </c>
      <c r="E1208" s="80">
        <f>'MANO DE OBRA'!E10</f>
        <v>34680</v>
      </c>
      <c r="F1208" s="81">
        <v>9.41</v>
      </c>
      <c r="G1208" s="110">
        <f>ROUND(D1208*E1208/F1208,0)</f>
        <v>3685</v>
      </c>
    </row>
    <row r="1209" spans="1:7">
      <c r="A1209" s="95"/>
      <c r="B1209" s="835" t="str">
        <f>'MANO DE OBRA'!B15</f>
        <v xml:space="preserve">OFICIAL CUAD. TIPO AA </v>
      </c>
      <c r="C1209" s="836"/>
      <c r="D1209" s="37">
        <v>1</v>
      </c>
      <c r="E1209" s="82">
        <f>'MANO DE OBRA'!E15</f>
        <v>71474</v>
      </c>
      <c r="F1209" s="83">
        <v>9.41</v>
      </c>
      <c r="G1209" s="111">
        <f>ROUND(D1209*E1209/F1209,0)</f>
        <v>7596</v>
      </c>
    </row>
    <row r="1210" spans="1:7">
      <c r="A1210" s="95"/>
      <c r="B1210" s="835"/>
      <c r="C1210" s="836"/>
      <c r="D1210" s="89"/>
      <c r="E1210" s="82"/>
      <c r="F1210" s="83"/>
      <c r="G1210" s="111"/>
    </row>
    <row r="1211" spans="1:7">
      <c r="A1211" s="95"/>
      <c r="B1211" s="835" t="s">
        <v>841</v>
      </c>
      <c r="C1211" s="836"/>
      <c r="D1211" s="37"/>
      <c r="E1211" s="82"/>
      <c r="F1211" s="83"/>
      <c r="G1211" s="111"/>
    </row>
    <row r="1212" spans="1:7" ht="13.5" thickBot="1">
      <c r="A1212" s="95"/>
      <c r="B1212" s="828" t="s">
        <v>841</v>
      </c>
      <c r="C1212" s="829"/>
      <c r="D1212" s="77"/>
      <c r="E1212" s="82"/>
      <c r="F1212" s="86"/>
      <c r="G1212" s="112"/>
    </row>
    <row r="1213" spans="1:7" ht="14.25" thickTop="1" thickBot="1">
      <c r="A1213" s="95"/>
      <c r="B1213" s="808"/>
      <c r="C1213" s="808"/>
      <c r="D1213" s="808"/>
      <c r="E1213" s="809"/>
      <c r="F1213" s="120" t="s">
        <v>856</v>
      </c>
      <c r="G1213" s="118">
        <f>SUM(G1208:G1212)</f>
        <v>11281</v>
      </c>
    </row>
    <row r="1214" spans="1:7" ht="14.25" thickTop="1" thickBot="1">
      <c r="A1214" s="95"/>
      <c r="B1214" s="810"/>
      <c r="C1214" s="810"/>
      <c r="D1214" s="810"/>
      <c r="E1214" s="810"/>
      <c r="F1214" s="810"/>
      <c r="G1214" s="810"/>
    </row>
    <row r="1215" spans="1:7" ht="13.5" thickTop="1">
      <c r="A1215" s="95"/>
      <c r="B1215" s="811" t="s">
        <v>321</v>
      </c>
      <c r="C1215" s="812"/>
      <c r="D1215" s="812"/>
      <c r="E1215" s="812"/>
      <c r="F1215" s="812"/>
      <c r="G1215" s="825"/>
    </row>
    <row r="1216" spans="1:7">
      <c r="A1216" s="95"/>
      <c r="B1216" s="817" t="s">
        <v>838</v>
      </c>
      <c r="C1216" s="818"/>
      <c r="D1216" s="98" t="s">
        <v>301</v>
      </c>
      <c r="E1216" s="98" t="s">
        <v>297</v>
      </c>
      <c r="F1216" s="99" t="s">
        <v>839</v>
      </c>
      <c r="G1216" s="107" t="s">
        <v>840</v>
      </c>
    </row>
    <row r="1217" spans="1:8">
      <c r="A1217" s="95"/>
      <c r="B1217" s="115"/>
      <c r="C1217" s="102"/>
      <c r="D1217" s="103" t="s">
        <v>322</v>
      </c>
      <c r="E1217" s="103" t="s">
        <v>323</v>
      </c>
      <c r="F1217" s="104" t="s">
        <v>324</v>
      </c>
      <c r="G1217" s="109" t="s">
        <v>325</v>
      </c>
    </row>
    <row r="1218" spans="1:8">
      <c r="A1218" s="95"/>
      <c r="B1218" s="826"/>
      <c r="C1218" s="827"/>
      <c r="D1218" s="96"/>
      <c r="E1218" s="96"/>
      <c r="F1218" s="96"/>
      <c r="G1218" s="116"/>
    </row>
    <row r="1219" spans="1:8" ht="13.5" thickBot="1">
      <c r="A1219" s="95"/>
      <c r="B1219" s="828" t="s">
        <v>841</v>
      </c>
      <c r="C1219" s="829"/>
      <c r="D1219" s="77"/>
      <c r="E1219" s="82"/>
      <c r="F1219" s="86"/>
      <c r="G1219" s="112"/>
    </row>
    <row r="1220" spans="1:8" ht="14.25" thickTop="1" thickBot="1">
      <c r="A1220" s="95"/>
      <c r="B1220" s="808"/>
      <c r="C1220" s="808"/>
      <c r="D1220" s="808"/>
      <c r="E1220" s="809"/>
      <c r="F1220" s="120" t="s">
        <v>856</v>
      </c>
      <c r="G1220" s="118">
        <f>SUM(G1215:G1219)</f>
        <v>0</v>
      </c>
    </row>
    <row r="1221" spans="1:8" ht="14.25" thickTop="1" thickBot="1">
      <c r="A1221" s="95"/>
      <c r="B1221" s="810"/>
      <c r="C1221" s="810"/>
      <c r="D1221" s="810"/>
      <c r="E1221" s="810"/>
      <c r="F1221" s="810"/>
      <c r="G1221" s="834"/>
    </row>
    <row r="1222" spans="1:8" ht="13.5" thickTop="1">
      <c r="A1222" s="95"/>
      <c r="B1222" s="811" t="s">
        <v>326</v>
      </c>
      <c r="C1222" s="812"/>
      <c r="D1222" s="812"/>
      <c r="E1222" s="812"/>
      <c r="F1222" s="813"/>
      <c r="G1222" s="121">
        <f>+G1186+G1202+G1213</f>
        <v>33081</v>
      </c>
    </row>
    <row r="1223" spans="1:8">
      <c r="A1223" s="95"/>
      <c r="B1223" s="814" t="s">
        <v>861</v>
      </c>
      <c r="C1223" s="815"/>
      <c r="D1223" s="815"/>
      <c r="E1223" s="816"/>
      <c r="F1223" s="128">
        <f>'MANO DE OBRA'!D59</f>
        <v>0</v>
      </c>
      <c r="G1223" s="122">
        <f>ROUND(G1222*F1223,0)</f>
        <v>0</v>
      </c>
    </row>
    <row r="1224" spans="1:8" ht="13.5" thickBot="1">
      <c r="A1224" s="95"/>
      <c r="B1224" s="805" t="s">
        <v>1049</v>
      </c>
      <c r="C1224" s="806"/>
      <c r="D1224" s="806"/>
      <c r="E1224" s="806"/>
      <c r="F1224" s="807"/>
      <c r="G1224" s="118">
        <f>ROUND(G1222+G1223,-2)</f>
        <v>33100</v>
      </c>
      <c r="H1224" s="505" t="s">
        <v>1670</v>
      </c>
    </row>
    <row r="1225" spans="1:8" ht="15" thickTop="1">
      <c r="A1225" s="95"/>
      <c r="B1225" s="90" t="s">
        <v>303</v>
      </c>
      <c r="C1225" s="843"/>
      <c r="D1225" s="843"/>
      <c r="E1225" s="843"/>
      <c r="F1225" s="92" t="s">
        <v>781</v>
      </c>
      <c r="G1225" s="93" t="s">
        <v>1067</v>
      </c>
    </row>
    <row r="1226" spans="1:8">
      <c r="A1226" s="95"/>
      <c r="B1226" s="91" t="s">
        <v>834</v>
      </c>
      <c r="C1226" s="844" t="s">
        <v>1433</v>
      </c>
      <c r="D1226" s="844"/>
      <c r="E1226" s="844"/>
      <c r="F1226" s="15" t="s">
        <v>833</v>
      </c>
      <c r="G1226" s="165" t="str">
        <f>'MANO DE OBRA'!D61</f>
        <v>Agosto de 2010</v>
      </c>
    </row>
    <row r="1227" spans="1:8" ht="13.5" thickBot="1">
      <c r="A1227" s="127"/>
      <c r="B1227" s="94" t="s">
        <v>835</v>
      </c>
      <c r="C1227" s="845" t="s">
        <v>1460</v>
      </c>
      <c r="D1227" s="845"/>
      <c r="E1227" s="845"/>
      <c r="F1227" s="845"/>
      <c r="G1227" s="846"/>
    </row>
    <row r="1228" spans="1:8" ht="14.25" thickTop="1" thickBot="1">
      <c r="A1228" s="95"/>
      <c r="B1228" s="847"/>
      <c r="C1228" s="847"/>
      <c r="D1228" s="847"/>
      <c r="E1228" s="847"/>
      <c r="F1228" s="847"/>
      <c r="G1228" s="847"/>
    </row>
    <row r="1229" spans="1:8" ht="13.5" thickTop="1">
      <c r="A1229" s="95"/>
      <c r="B1229" s="811" t="s">
        <v>304</v>
      </c>
      <c r="C1229" s="812"/>
      <c r="D1229" s="812"/>
      <c r="E1229" s="812"/>
      <c r="F1229" s="812"/>
      <c r="G1229" s="825"/>
    </row>
    <row r="1230" spans="1:8">
      <c r="A1230" s="95"/>
      <c r="B1230" s="105"/>
      <c r="C1230" s="97"/>
      <c r="D1230" s="98" t="s">
        <v>301</v>
      </c>
      <c r="E1230" s="98" t="s">
        <v>1072</v>
      </c>
      <c r="F1230" s="99" t="s">
        <v>839</v>
      </c>
      <c r="G1230" s="107" t="s">
        <v>840</v>
      </c>
    </row>
    <row r="1231" spans="1:8">
      <c r="A1231" s="95"/>
      <c r="B1231" s="821" t="s">
        <v>838</v>
      </c>
      <c r="C1231" s="822"/>
      <c r="D1231" s="100" t="s">
        <v>308</v>
      </c>
      <c r="E1231" s="100" t="s">
        <v>305</v>
      </c>
      <c r="F1231" s="101" t="s">
        <v>306</v>
      </c>
      <c r="G1231" s="108" t="s">
        <v>310</v>
      </c>
    </row>
    <row r="1232" spans="1:8">
      <c r="A1232" s="95"/>
      <c r="B1232" s="115"/>
      <c r="C1232" s="102"/>
      <c r="D1232" s="103"/>
      <c r="E1232" s="103" t="s">
        <v>309</v>
      </c>
      <c r="F1232" s="104" t="s">
        <v>307</v>
      </c>
      <c r="G1232" s="109"/>
    </row>
    <row r="1233" spans="1:7">
      <c r="A1233" s="127"/>
      <c r="B1233" s="826" t="str">
        <f>'MAQUINARIA Y EQUIPOS'!C28</f>
        <v>HERRAMIENTAS MENORES</v>
      </c>
      <c r="C1233" s="824"/>
      <c r="D1233" s="87">
        <v>1</v>
      </c>
      <c r="E1233" s="82">
        <f>ROUND(G1266*0.05,0)</f>
        <v>564</v>
      </c>
      <c r="F1233" s="81">
        <v>1</v>
      </c>
      <c r="G1233" s="110">
        <f>ROUND(D1233*E1233/F1233,0)</f>
        <v>564</v>
      </c>
    </row>
    <row r="1234" spans="1:7">
      <c r="A1234" s="95"/>
      <c r="B1234" s="835"/>
      <c r="C1234" s="836"/>
      <c r="D1234" s="37"/>
      <c r="E1234" s="129"/>
      <c r="F1234" s="83"/>
      <c r="G1234" s="111"/>
    </row>
    <row r="1235" spans="1:7">
      <c r="A1235" s="95"/>
      <c r="B1235" s="835"/>
      <c r="C1235" s="836"/>
      <c r="D1235" s="37"/>
      <c r="E1235" s="129"/>
      <c r="F1235" s="83"/>
      <c r="G1235" s="111"/>
    </row>
    <row r="1236" spans="1:7">
      <c r="A1236" s="95"/>
      <c r="B1236" s="835"/>
      <c r="C1236" s="836"/>
      <c r="D1236" s="89"/>
      <c r="E1236" s="82"/>
      <c r="F1236" s="83"/>
      <c r="G1236" s="111"/>
    </row>
    <row r="1237" spans="1:7">
      <c r="A1237" s="95"/>
      <c r="B1237" s="835" t="s">
        <v>841</v>
      </c>
      <c r="C1237" s="836"/>
      <c r="D1237" s="37"/>
      <c r="E1237" s="82"/>
      <c r="F1237" s="83"/>
      <c r="G1237" s="111"/>
    </row>
    <row r="1238" spans="1:7" ht="13.5" thickBot="1">
      <c r="A1238" s="95"/>
      <c r="B1238" s="839" t="s">
        <v>841</v>
      </c>
      <c r="C1238" s="840"/>
      <c r="D1238" s="77"/>
      <c r="E1238" s="106"/>
      <c r="F1238" s="86"/>
      <c r="G1238" s="112"/>
    </row>
    <row r="1239" spans="1:7" ht="14.25" thickTop="1" thickBot="1">
      <c r="A1239" s="95"/>
      <c r="B1239" s="808"/>
      <c r="C1239" s="808"/>
      <c r="D1239" s="808"/>
      <c r="E1239" s="809"/>
      <c r="F1239" s="119" t="s">
        <v>856</v>
      </c>
      <c r="G1239" s="118">
        <f>SUM(G1233:G1238)</f>
        <v>564</v>
      </c>
    </row>
    <row r="1240" spans="1:7" ht="14.25" thickTop="1" thickBot="1">
      <c r="A1240" s="95"/>
      <c r="B1240" s="830"/>
      <c r="C1240" s="830"/>
      <c r="D1240" s="830"/>
      <c r="E1240" s="830"/>
      <c r="F1240" s="830"/>
      <c r="G1240" s="830"/>
    </row>
    <row r="1241" spans="1:7" ht="13.5" thickTop="1">
      <c r="A1241" s="95"/>
      <c r="B1241" s="811" t="s">
        <v>311</v>
      </c>
      <c r="C1241" s="812"/>
      <c r="D1241" s="812"/>
      <c r="E1241" s="812"/>
      <c r="F1241" s="812"/>
      <c r="G1241" s="825"/>
    </row>
    <row r="1242" spans="1:7">
      <c r="A1242" s="95"/>
      <c r="B1242" s="817" t="s">
        <v>838</v>
      </c>
      <c r="C1242" s="818"/>
      <c r="D1242" s="98" t="s">
        <v>842</v>
      </c>
      <c r="E1242" s="98" t="s">
        <v>853</v>
      </c>
      <c r="F1242" s="99" t="s">
        <v>1047</v>
      </c>
      <c r="G1242" s="107" t="s">
        <v>840</v>
      </c>
    </row>
    <row r="1243" spans="1:7">
      <c r="A1243" s="95"/>
      <c r="B1243" s="115"/>
      <c r="C1243" s="102"/>
      <c r="D1243" s="103"/>
      <c r="E1243" s="100" t="s">
        <v>312</v>
      </c>
      <c r="F1243" s="101" t="s">
        <v>313</v>
      </c>
      <c r="G1243" s="108" t="s">
        <v>314</v>
      </c>
    </row>
    <row r="1244" spans="1:7" ht="14.25">
      <c r="A1244" s="125"/>
      <c r="B1244" s="841" t="str">
        <f>MATERIALES2!C121</f>
        <v>CERAMICA 33x33 TRAFICO 5</v>
      </c>
      <c r="C1244" s="842"/>
      <c r="D1244" s="37" t="s">
        <v>1067</v>
      </c>
      <c r="E1244" s="140">
        <v>1</v>
      </c>
      <c r="F1244" s="80">
        <f>MATERIALES2!E121</f>
        <v>28000</v>
      </c>
      <c r="G1244" s="110">
        <f>ROUND(E1244*F1244,0)</f>
        <v>28000</v>
      </c>
    </row>
    <row r="1245" spans="1:7">
      <c r="A1245" s="123"/>
      <c r="B1245" s="854" t="str">
        <f>MATERIALES2!C12</f>
        <v>CEMENTO BLANCO</v>
      </c>
      <c r="C1245" s="855"/>
      <c r="D1245" s="37" t="s">
        <v>925</v>
      </c>
      <c r="E1245" s="141">
        <v>1.5</v>
      </c>
      <c r="F1245" s="82">
        <f>MATERIALES2!E12</f>
        <v>750</v>
      </c>
      <c r="G1245" s="111">
        <f>ROUND(E1245*F1245,0)</f>
        <v>1125</v>
      </c>
    </row>
    <row r="1246" spans="1:7">
      <c r="A1246" s="123"/>
      <c r="B1246" s="854" t="str">
        <f>MATERIALES2!C13</f>
        <v>CEMENTO GRIS</v>
      </c>
      <c r="C1246" s="855"/>
      <c r="D1246" s="37" t="s">
        <v>925</v>
      </c>
      <c r="E1246" s="141">
        <v>7.28</v>
      </c>
      <c r="F1246" s="82">
        <f>MATERIALES2!E13</f>
        <v>420</v>
      </c>
      <c r="G1246" s="111">
        <f>ROUND(E1246*F1246,0)</f>
        <v>3058</v>
      </c>
    </row>
    <row r="1247" spans="1:7" ht="14.25">
      <c r="A1247" s="123"/>
      <c r="B1247" s="854" t="str">
        <f>MATERIALES2!C20</f>
        <v xml:space="preserve">ARENA </v>
      </c>
      <c r="C1247" s="855"/>
      <c r="D1247" s="37" t="s">
        <v>1066</v>
      </c>
      <c r="E1247" s="141">
        <v>2.3E-2</v>
      </c>
      <c r="F1247" s="82">
        <f>MATERIALES2!E20</f>
        <v>35000</v>
      </c>
      <c r="G1247" s="111">
        <f>ROUND(E1247*F1247,0)</f>
        <v>805</v>
      </c>
    </row>
    <row r="1248" spans="1:7">
      <c r="A1248" s="123"/>
      <c r="B1248" s="854" t="str">
        <f>MATERIALES2!C28</f>
        <v>AGUA</v>
      </c>
      <c r="C1248" s="855"/>
      <c r="D1248" s="37" t="s">
        <v>1071</v>
      </c>
      <c r="E1248" s="141">
        <v>4.74</v>
      </c>
      <c r="F1248" s="82">
        <f>MATERIALES2!E28</f>
        <v>50</v>
      </c>
      <c r="G1248" s="111">
        <f>ROUND(E1248*F1248,0)</f>
        <v>237</v>
      </c>
    </row>
    <row r="1249" spans="1:8">
      <c r="A1249" s="123"/>
      <c r="B1249" s="854"/>
      <c r="C1249" s="855"/>
      <c r="D1249" s="37"/>
      <c r="E1249" s="141"/>
      <c r="F1249" s="82"/>
      <c r="G1249" s="111"/>
    </row>
    <row r="1250" spans="1:8">
      <c r="A1250" s="123"/>
      <c r="B1250" s="854"/>
      <c r="C1250" s="855"/>
      <c r="D1250" s="37"/>
      <c r="E1250" s="141"/>
      <c r="F1250" s="82"/>
      <c r="G1250" s="111"/>
    </row>
    <row r="1251" spans="1:8">
      <c r="A1251" s="123"/>
      <c r="B1251" s="854"/>
      <c r="C1251" s="855"/>
      <c r="D1251" s="37"/>
      <c r="E1251" s="141"/>
      <c r="F1251" s="82"/>
      <c r="G1251" s="111"/>
      <c r="H1251" s="505" t="s">
        <v>1670</v>
      </c>
    </row>
    <row r="1252" spans="1:8" ht="13.5" thickBot="1">
      <c r="A1252" s="95"/>
      <c r="B1252" s="942" t="s">
        <v>841</v>
      </c>
      <c r="C1252" s="943"/>
      <c r="D1252" s="84" t="s">
        <v>841</v>
      </c>
      <c r="E1252" s="84"/>
      <c r="F1252" s="85"/>
      <c r="G1252" s="112"/>
    </row>
    <row r="1253" spans="1:8" ht="13.5" thickTop="1">
      <c r="A1253" s="95"/>
      <c r="B1253" s="808"/>
      <c r="C1253" s="809"/>
      <c r="D1253" s="801" t="s">
        <v>856</v>
      </c>
      <c r="E1253" s="802"/>
      <c r="F1253" s="9"/>
      <c r="G1253" s="113">
        <f>SUM(G1244:G1252)</f>
        <v>33225</v>
      </c>
    </row>
    <row r="1254" spans="1:8">
      <c r="A1254" s="95"/>
      <c r="B1254" s="819"/>
      <c r="C1254" s="820"/>
      <c r="D1254" s="801" t="s">
        <v>857</v>
      </c>
      <c r="E1254" s="802"/>
      <c r="F1254" s="79">
        <f>'MANO DE OBRA'!D60</f>
        <v>0.05</v>
      </c>
      <c r="G1254" s="113">
        <f>ROUND(G1253*F1254,0)</f>
        <v>1661</v>
      </c>
    </row>
    <row r="1255" spans="1:8" ht="13.5" thickBot="1">
      <c r="A1255" s="95"/>
      <c r="B1255" s="819"/>
      <c r="C1255" s="820"/>
      <c r="D1255" s="803" t="s">
        <v>320</v>
      </c>
      <c r="E1255" s="804"/>
      <c r="F1255" s="114"/>
      <c r="G1255" s="118">
        <f>+G1253+G1254</f>
        <v>34886</v>
      </c>
    </row>
    <row r="1256" spans="1:8" ht="14.25" thickTop="1" thickBot="1">
      <c r="A1256" s="95"/>
      <c r="B1256" s="830"/>
      <c r="C1256" s="830"/>
      <c r="D1256" s="830"/>
      <c r="E1256" s="830"/>
      <c r="F1256" s="830"/>
      <c r="G1256" s="830"/>
    </row>
    <row r="1257" spans="1:8" ht="13.5" thickTop="1">
      <c r="A1257" s="95"/>
      <c r="B1257" s="811" t="s">
        <v>858</v>
      </c>
      <c r="C1257" s="812"/>
      <c r="D1257" s="812"/>
      <c r="E1257" s="812"/>
      <c r="F1257" s="812"/>
      <c r="G1257" s="825"/>
    </row>
    <row r="1258" spans="1:8">
      <c r="A1258" s="95"/>
      <c r="B1258" s="817"/>
      <c r="C1258" s="818"/>
      <c r="D1258" s="98" t="s">
        <v>301</v>
      </c>
      <c r="E1258" s="98" t="s">
        <v>859</v>
      </c>
      <c r="F1258" s="99" t="s">
        <v>839</v>
      </c>
      <c r="G1258" s="107" t="s">
        <v>840</v>
      </c>
    </row>
    <row r="1259" spans="1:8">
      <c r="A1259" s="95"/>
      <c r="B1259" s="821" t="s">
        <v>838</v>
      </c>
      <c r="C1259" s="822"/>
      <c r="D1259" s="100" t="s">
        <v>316</v>
      </c>
      <c r="E1259" s="100" t="s">
        <v>315</v>
      </c>
      <c r="F1259" s="101" t="s">
        <v>306</v>
      </c>
      <c r="G1259" s="108" t="s">
        <v>319</v>
      </c>
    </row>
    <row r="1260" spans="1:8">
      <c r="A1260" s="95"/>
      <c r="B1260" s="115"/>
      <c r="C1260" s="102"/>
      <c r="D1260" s="103"/>
      <c r="E1260" s="103" t="s">
        <v>317</v>
      </c>
      <c r="F1260" s="104" t="s">
        <v>318</v>
      </c>
      <c r="G1260" s="109"/>
    </row>
    <row r="1261" spans="1:8">
      <c r="A1261" s="95"/>
      <c r="B1261" s="823" t="str">
        <f>'MANO DE OBRA'!B10</f>
        <v>AYUDANTE CUAD. TIPO AA</v>
      </c>
      <c r="C1261" s="824"/>
      <c r="D1261" s="87">
        <v>1</v>
      </c>
      <c r="E1261" s="80">
        <f>'MANO DE OBRA'!E10</f>
        <v>34680</v>
      </c>
      <c r="F1261" s="81">
        <v>9.41</v>
      </c>
      <c r="G1261" s="110">
        <f>ROUND(D1261*E1261/F1261,0)</f>
        <v>3685</v>
      </c>
    </row>
    <row r="1262" spans="1:8">
      <c r="A1262" s="95"/>
      <c r="B1262" s="835" t="str">
        <f>'MANO DE OBRA'!B15</f>
        <v xml:space="preserve">OFICIAL CUAD. TIPO AA </v>
      </c>
      <c r="C1262" s="836"/>
      <c r="D1262" s="37">
        <v>1</v>
      </c>
      <c r="E1262" s="82">
        <f>'MANO DE OBRA'!E15</f>
        <v>71474</v>
      </c>
      <c r="F1262" s="83">
        <v>9.41</v>
      </c>
      <c r="G1262" s="111">
        <f>ROUND(D1262*E1262/F1262,0)</f>
        <v>7596</v>
      </c>
    </row>
    <row r="1263" spans="1:8">
      <c r="A1263" s="95"/>
      <c r="B1263" s="835"/>
      <c r="C1263" s="836"/>
      <c r="D1263" s="89"/>
      <c r="E1263" s="82"/>
      <c r="F1263" s="83"/>
      <c r="G1263" s="111"/>
    </row>
    <row r="1264" spans="1:8">
      <c r="A1264" s="95"/>
      <c r="B1264" s="835" t="s">
        <v>841</v>
      </c>
      <c r="C1264" s="836"/>
      <c r="D1264" s="37"/>
      <c r="E1264" s="82"/>
      <c r="F1264" s="83"/>
      <c r="G1264" s="111"/>
    </row>
    <row r="1265" spans="1:8" ht="13.5" thickBot="1">
      <c r="A1265" s="95"/>
      <c r="B1265" s="828" t="s">
        <v>841</v>
      </c>
      <c r="C1265" s="829"/>
      <c r="D1265" s="77"/>
      <c r="E1265" s="82"/>
      <c r="F1265" s="86"/>
      <c r="G1265" s="112"/>
    </row>
    <row r="1266" spans="1:8" ht="14.25" thickTop="1" thickBot="1">
      <c r="A1266" s="95"/>
      <c r="B1266" s="808"/>
      <c r="C1266" s="808"/>
      <c r="D1266" s="808"/>
      <c r="E1266" s="809"/>
      <c r="F1266" s="120" t="s">
        <v>856</v>
      </c>
      <c r="G1266" s="118">
        <f>SUM(G1261:G1265)</f>
        <v>11281</v>
      </c>
    </row>
    <row r="1267" spans="1:8" ht="14.25" thickTop="1" thickBot="1">
      <c r="A1267" s="95"/>
      <c r="B1267" s="810"/>
      <c r="C1267" s="810"/>
      <c r="D1267" s="810"/>
      <c r="E1267" s="810"/>
      <c r="F1267" s="810"/>
      <c r="G1267" s="810"/>
    </row>
    <row r="1268" spans="1:8" ht="13.5" thickTop="1">
      <c r="A1268" s="95"/>
      <c r="B1268" s="811" t="s">
        <v>321</v>
      </c>
      <c r="C1268" s="812"/>
      <c r="D1268" s="812"/>
      <c r="E1268" s="812"/>
      <c r="F1268" s="812"/>
      <c r="G1268" s="825"/>
    </row>
    <row r="1269" spans="1:8">
      <c r="A1269" s="95"/>
      <c r="B1269" s="817" t="s">
        <v>838</v>
      </c>
      <c r="C1269" s="818"/>
      <c r="D1269" s="98" t="s">
        <v>301</v>
      </c>
      <c r="E1269" s="98" t="s">
        <v>297</v>
      </c>
      <c r="F1269" s="99" t="s">
        <v>839</v>
      </c>
      <c r="G1269" s="107" t="s">
        <v>840</v>
      </c>
    </row>
    <row r="1270" spans="1:8">
      <c r="A1270" s="95"/>
      <c r="B1270" s="115"/>
      <c r="C1270" s="102"/>
      <c r="D1270" s="103" t="s">
        <v>322</v>
      </c>
      <c r="E1270" s="103" t="s">
        <v>323</v>
      </c>
      <c r="F1270" s="104" t="s">
        <v>324</v>
      </c>
      <c r="G1270" s="109" t="s">
        <v>325</v>
      </c>
    </row>
    <row r="1271" spans="1:8">
      <c r="A1271" s="95"/>
      <c r="B1271" s="826"/>
      <c r="C1271" s="827"/>
      <c r="D1271" s="96"/>
      <c r="E1271" s="96"/>
      <c r="F1271" s="96"/>
      <c r="G1271" s="116"/>
    </row>
    <row r="1272" spans="1:8" ht="13.5" thickBot="1">
      <c r="A1272" s="95"/>
      <c r="B1272" s="828" t="s">
        <v>841</v>
      </c>
      <c r="C1272" s="829"/>
      <c r="D1272" s="77"/>
      <c r="E1272" s="82"/>
      <c r="F1272" s="86"/>
      <c r="G1272" s="112"/>
    </row>
    <row r="1273" spans="1:8" ht="14.25" thickTop="1" thickBot="1">
      <c r="A1273" s="95"/>
      <c r="B1273" s="808"/>
      <c r="C1273" s="808"/>
      <c r="D1273" s="808"/>
      <c r="E1273" s="809"/>
      <c r="F1273" s="120" t="s">
        <v>856</v>
      </c>
      <c r="G1273" s="118">
        <f>SUM(G1268:G1272)</f>
        <v>0</v>
      </c>
    </row>
    <row r="1274" spans="1:8" ht="14.25" thickTop="1" thickBot="1">
      <c r="A1274" s="95"/>
      <c r="B1274" s="810"/>
      <c r="C1274" s="810"/>
      <c r="D1274" s="810"/>
      <c r="E1274" s="810"/>
      <c r="F1274" s="810"/>
      <c r="G1274" s="834"/>
    </row>
    <row r="1275" spans="1:8" ht="13.5" thickTop="1">
      <c r="A1275" s="95"/>
      <c r="B1275" s="811" t="s">
        <v>326</v>
      </c>
      <c r="C1275" s="812"/>
      <c r="D1275" s="812"/>
      <c r="E1275" s="812"/>
      <c r="F1275" s="813"/>
      <c r="G1275" s="121">
        <f>+G1239+G1255+G1266</f>
        <v>46731</v>
      </c>
    </row>
    <row r="1276" spans="1:8">
      <c r="A1276" s="95"/>
      <c r="B1276" s="814" t="s">
        <v>861</v>
      </c>
      <c r="C1276" s="815"/>
      <c r="D1276" s="815"/>
      <c r="E1276" s="816"/>
      <c r="F1276" s="128">
        <f>'MANO DE OBRA'!D60</f>
        <v>0.05</v>
      </c>
      <c r="G1276" s="122"/>
    </row>
    <row r="1277" spans="1:8" ht="13.5" thickBot="1">
      <c r="A1277" s="95"/>
      <c r="B1277" s="805" t="s">
        <v>1049</v>
      </c>
      <c r="C1277" s="806"/>
      <c r="D1277" s="806"/>
      <c r="E1277" s="806"/>
      <c r="F1277" s="807"/>
      <c r="G1277" s="118">
        <f>ROUND(G1275+G1276,-2)</f>
        <v>46700</v>
      </c>
      <c r="H1277" s="505" t="s">
        <v>1670</v>
      </c>
    </row>
    <row r="1278" spans="1:8" ht="15" thickTop="1">
      <c r="A1278" s="95"/>
      <c r="B1278" s="90" t="s">
        <v>303</v>
      </c>
      <c r="C1278" s="843"/>
      <c r="D1278" s="843"/>
      <c r="E1278" s="843"/>
      <c r="F1278" s="92" t="s">
        <v>781</v>
      </c>
      <c r="G1278" s="93" t="s">
        <v>1067</v>
      </c>
    </row>
    <row r="1279" spans="1:8">
      <c r="A1279" s="95"/>
      <c r="B1279" s="91" t="s">
        <v>834</v>
      </c>
      <c r="C1279" s="844" t="s">
        <v>408</v>
      </c>
      <c r="D1279" s="844"/>
      <c r="E1279" s="844"/>
      <c r="F1279" s="15" t="s">
        <v>833</v>
      </c>
      <c r="G1279" s="165" t="str">
        <f>'MANO DE OBRA'!D61</f>
        <v>Agosto de 2010</v>
      </c>
    </row>
    <row r="1280" spans="1:8" ht="13.5" thickBot="1">
      <c r="A1280" s="127"/>
      <c r="B1280" s="94" t="s">
        <v>835</v>
      </c>
      <c r="C1280" s="845" t="s">
        <v>407</v>
      </c>
      <c r="D1280" s="845"/>
      <c r="E1280" s="845"/>
      <c r="F1280" s="845"/>
      <c r="G1280" s="846"/>
    </row>
    <row r="1281" spans="1:7" ht="14.25" thickTop="1" thickBot="1">
      <c r="A1281" s="95"/>
      <c r="B1281" s="847"/>
      <c r="C1281" s="847"/>
      <c r="D1281" s="847"/>
      <c r="E1281" s="847"/>
      <c r="F1281" s="847"/>
      <c r="G1281" s="847"/>
    </row>
    <row r="1282" spans="1:7" ht="13.5" thickTop="1">
      <c r="A1282" s="95"/>
      <c r="B1282" s="811" t="s">
        <v>304</v>
      </c>
      <c r="C1282" s="812"/>
      <c r="D1282" s="812"/>
      <c r="E1282" s="812"/>
      <c r="F1282" s="812"/>
      <c r="G1282" s="825"/>
    </row>
    <row r="1283" spans="1:7">
      <c r="A1283" s="95"/>
      <c r="B1283" s="105"/>
      <c r="C1283" s="97"/>
      <c r="D1283" s="98" t="s">
        <v>301</v>
      </c>
      <c r="E1283" s="98" t="s">
        <v>1072</v>
      </c>
      <c r="F1283" s="99" t="s">
        <v>839</v>
      </c>
      <c r="G1283" s="107" t="s">
        <v>840</v>
      </c>
    </row>
    <row r="1284" spans="1:7">
      <c r="A1284" s="95"/>
      <c r="B1284" s="821" t="s">
        <v>838</v>
      </c>
      <c r="C1284" s="822"/>
      <c r="D1284" s="100" t="s">
        <v>308</v>
      </c>
      <c r="E1284" s="100" t="s">
        <v>305</v>
      </c>
      <c r="F1284" s="101" t="s">
        <v>306</v>
      </c>
      <c r="G1284" s="108" t="s">
        <v>310</v>
      </c>
    </row>
    <row r="1285" spans="1:7">
      <c r="A1285" s="95"/>
      <c r="B1285" s="115"/>
      <c r="C1285" s="102"/>
      <c r="D1285" s="103"/>
      <c r="E1285" s="103" t="s">
        <v>309</v>
      </c>
      <c r="F1285" s="104" t="s">
        <v>307</v>
      </c>
      <c r="G1285" s="109"/>
    </row>
    <row r="1286" spans="1:7">
      <c r="A1286" s="127"/>
      <c r="B1286" s="826" t="str">
        <f>'MAQUINARIA Y EQUIPOS'!$C$28</f>
        <v>HERRAMIENTAS MENORES</v>
      </c>
      <c r="C1286" s="824"/>
      <c r="D1286" s="87">
        <v>1</v>
      </c>
      <c r="E1286" s="82">
        <f>ROUND(G1318*0.05,0)</f>
        <v>577</v>
      </c>
      <c r="F1286" s="81">
        <v>1</v>
      </c>
      <c r="G1286" s="110">
        <f>ROUND(D1286*E1286/F1286,0)</f>
        <v>577</v>
      </c>
    </row>
    <row r="1287" spans="1:7">
      <c r="A1287" s="95"/>
      <c r="B1287" s="835"/>
      <c r="C1287" s="836"/>
      <c r="D1287" s="37"/>
      <c r="E1287" s="129"/>
      <c r="F1287" s="83"/>
      <c r="G1287" s="111"/>
    </row>
    <row r="1288" spans="1:7">
      <c r="A1288" s="95"/>
      <c r="B1288" s="835"/>
      <c r="C1288" s="836"/>
      <c r="D1288" s="37"/>
      <c r="E1288" s="129"/>
      <c r="F1288" s="83"/>
      <c r="G1288" s="111"/>
    </row>
    <row r="1289" spans="1:7">
      <c r="A1289" s="95"/>
      <c r="B1289" s="835"/>
      <c r="C1289" s="836"/>
      <c r="D1289" s="89"/>
      <c r="E1289" s="82"/>
      <c r="F1289" s="83"/>
      <c r="G1289" s="111"/>
    </row>
    <row r="1290" spans="1:7">
      <c r="A1290" s="95"/>
      <c r="B1290" s="835" t="s">
        <v>841</v>
      </c>
      <c r="C1290" s="836"/>
      <c r="D1290" s="37"/>
      <c r="E1290" s="82"/>
      <c r="F1290" s="83"/>
      <c r="G1290" s="111"/>
    </row>
    <row r="1291" spans="1:7" ht="13.5" thickBot="1">
      <c r="A1291" s="95"/>
      <c r="B1291" s="839" t="s">
        <v>841</v>
      </c>
      <c r="C1291" s="840"/>
      <c r="D1291" s="77"/>
      <c r="E1291" s="106"/>
      <c r="F1291" s="86"/>
      <c r="G1291" s="112"/>
    </row>
    <row r="1292" spans="1:7" ht="14.25" thickTop="1" thickBot="1">
      <c r="A1292" s="95"/>
      <c r="B1292" s="808"/>
      <c r="C1292" s="808"/>
      <c r="D1292" s="808"/>
      <c r="E1292" s="809"/>
      <c r="F1292" s="119" t="s">
        <v>856</v>
      </c>
      <c r="G1292" s="118">
        <f>SUM(G1286:G1291)</f>
        <v>577</v>
      </c>
    </row>
    <row r="1293" spans="1:7" ht="14.25" thickTop="1" thickBot="1">
      <c r="A1293" s="95"/>
      <c r="B1293" s="830"/>
      <c r="C1293" s="830"/>
      <c r="D1293" s="830"/>
      <c r="E1293" s="830"/>
      <c r="F1293" s="830"/>
      <c r="G1293" s="830"/>
    </row>
    <row r="1294" spans="1:7" ht="13.5" thickTop="1">
      <c r="A1294" s="95"/>
      <c r="B1294" s="811" t="s">
        <v>311</v>
      </c>
      <c r="C1294" s="812"/>
      <c r="D1294" s="812"/>
      <c r="E1294" s="812"/>
      <c r="F1294" s="812"/>
      <c r="G1294" s="825"/>
    </row>
    <row r="1295" spans="1:7">
      <c r="A1295" s="95"/>
      <c r="B1295" s="817" t="s">
        <v>838</v>
      </c>
      <c r="C1295" s="818"/>
      <c r="D1295" s="98" t="s">
        <v>842</v>
      </c>
      <c r="E1295" s="98" t="s">
        <v>853</v>
      </c>
      <c r="F1295" s="99" t="s">
        <v>1047</v>
      </c>
      <c r="G1295" s="107" t="s">
        <v>840</v>
      </c>
    </row>
    <row r="1296" spans="1:7">
      <c r="A1296" s="95"/>
      <c r="B1296" s="115"/>
      <c r="C1296" s="102"/>
      <c r="D1296" s="103"/>
      <c r="E1296" s="100" t="s">
        <v>312</v>
      </c>
      <c r="F1296" s="101" t="s">
        <v>313</v>
      </c>
      <c r="G1296" s="108" t="s">
        <v>314</v>
      </c>
    </row>
    <row r="1297" spans="1:8" ht="14.25">
      <c r="A1297" s="125"/>
      <c r="B1297" s="841" t="str">
        <f>MATERIALES2!$C$130</f>
        <v>ENCHAPE PARED 0.205x0.205 REF.3335</v>
      </c>
      <c r="C1297" s="842"/>
      <c r="D1297" s="37" t="s">
        <v>1067</v>
      </c>
      <c r="E1297" s="140">
        <v>1</v>
      </c>
      <c r="F1297" s="80">
        <f>MATERIALES2!$E$130</f>
        <v>16200</v>
      </c>
      <c r="G1297" s="110">
        <f>ROUND(E1297*F1297,0)</f>
        <v>16200</v>
      </c>
    </row>
    <row r="1298" spans="1:8">
      <c r="A1298" s="123"/>
      <c r="B1298" s="854" t="str">
        <f>MATERIALES2!$C$12</f>
        <v>CEMENTO BLANCO</v>
      </c>
      <c r="C1298" s="855"/>
      <c r="D1298" s="37" t="s">
        <v>925</v>
      </c>
      <c r="E1298" s="141">
        <v>1.5</v>
      </c>
      <c r="F1298" s="82">
        <f>MATERIALES2!$E$12</f>
        <v>750</v>
      </c>
      <c r="G1298" s="111">
        <f>ROUND(E1298*F1298,0)</f>
        <v>1125</v>
      </c>
    </row>
    <row r="1299" spans="1:8">
      <c r="A1299" s="123"/>
      <c r="B1299" s="854" t="str">
        <f>MATERIALES2!$C$323</f>
        <v>BINDA EXTRA 10 KG</v>
      </c>
      <c r="C1299" s="855"/>
      <c r="D1299" s="37" t="s">
        <v>925</v>
      </c>
      <c r="E1299" s="141">
        <v>0.35</v>
      </c>
      <c r="F1299" s="82">
        <f>MATERIALES2!$E$323</f>
        <v>5200</v>
      </c>
      <c r="G1299" s="111">
        <f>ROUND(E1299*F1299,0)</f>
        <v>1820</v>
      </c>
    </row>
    <row r="1300" spans="1:8">
      <c r="A1300" s="123"/>
      <c r="B1300" s="854" t="str">
        <f>MATERIALES2!$C$28</f>
        <v>AGUA</v>
      </c>
      <c r="C1300" s="855"/>
      <c r="D1300" s="37" t="s">
        <v>1071</v>
      </c>
      <c r="E1300" s="141">
        <v>4.74</v>
      </c>
      <c r="F1300" s="82">
        <f>MATERIALES2!$E$28</f>
        <v>50</v>
      </c>
      <c r="G1300" s="111">
        <f>ROUND(E1300*F1300,0)</f>
        <v>237</v>
      </c>
    </row>
    <row r="1301" spans="1:8">
      <c r="A1301" s="123"/>
      <c r="B1301" s="854"/>
      <c r="C1301" s="855"/>
      <c r="D1301" s="37"/>
      <c r="E1301" s="141"/>
      <c r="F1301" s="82"/>
      <c r="G1301" s="111"/>
    </row>
    <row r="1302" spans="1:8">
      <c r="A1302" s="123"/>
      <c r="B1302" s="854"/>
      <c r="C1302" s="855"/>
      <c r="D1302" s="37"/>
      <c r="E1302" s="141"/>
      <c r="F1302" s="82"/>
      <c r="G1302" s="111"/>
      <c r="H1302" s="505" t="s">
        <v>1670</v>
      </c>
    </row>
    <row r="1303" spans="1:8">
      <c r="A1303" s="123"/>
      <c r="B1303" s="854"/>
      <c r="C1303" s="855"/>
      <c r="D1303" s="37"/>
      <c r="E1303" s="141"/>
      <c r="F1303" s="82"/>
      <c r="G1303" s="111"/>
    </row>
    <row r="1304" spans="1:8" ht="13.5" thickBot="1">
      <c r="A1304" s="95"/>
      <c r="B1304" s="942" t="s">
        <v>841</v>
      </c>
      <c r="C1304" s="943"/>
      <c r="D1304" s="84" t="s">
        <v>841</v>
      </c>
      <c r="E1304" s="84"/>
      <c r="F1304" s="85"/>
      <c r="G1304" s="112"/>
    </row>
    <row r="1305" spans="1:8" ht="13.5" thickTop="1">
      <c r="A1305" s="95"/>
      <c r="B1305" s="808"/>
      <c r="C1305" s="809"/>
      <c r="D1305" s="801" t="s">
        <v>856</v>
      </c>
      <c r="E1305" s="802"/>
      <c r="F1305" s="9"/>
      <c r="G1305" s="113">
        <f>SUM(G1297:G1304)</f>
        <v>19382</v>
      </c>
    </row>
    <row r="1306" spans="1:8">
      <c r="A1306" s="95"/>
      <c r="B1306" s="819"/>
      <c r="C1306" s="820"/>
      <c r="D1306" s="801" t="s">
        <v>857</v>
      </c>
      <c r="E1306" s="802"/>
      <c r="F1306" s="79">
        <f>'MANO DE OBRA'!$D$60</f>
        <v>0.05</v>
      </c>
      <c r="G1306" s="113">
        <f>ROUND(G1305*F1306,0)</f>
        <v>969</v>
      </c>
    </row>
    <row r="1307" spans="1:8" ht="13.5" thickBot="1">
      <c r="A1307" s="95"/>
      <c r="B1307" s="819"/>
      <c r="C1307" s="820"/>
      <c r="D1307" s="803" t="s">
        <v>320</v>
      </c>
      <c r="E1307" s="804"/>
      <c r="F1307" s="114"/>
      <c r="G1307" s="118">
        <f>+G1305+G1306</f>
        <v>20351</v>
      </c>
    </row>
    <row r="1308" spans="1:8" ht="14.25" thickTop="1" thickBot="1">
      <c r="A1308" s="95"/>
      <c r="B1308" s="830"/>
      <c r="C1308" s="830"/>
      <c r="D1308" s="830"/>
      <c r="E1308" s="830"/>
      <c r="F1308" s="830"/>
      <c r="G1308" s="830"/>
    </row>
    <row r="1309" spans="1:8" ht="13.5" thickTop="1">
      <c r="A1309" s="95"/>
      <c r="B1309" s="811" t="s">
        <v>858</v>
      </c>
      <c r="C1309" s="812"/>
      <c r="D1309" s="812"/>
      <c r="E1309" s="812"/>
      <c r="F1309" s="812"/>
      <c r="G1309" s="825"/>
    </row>
    <row r="1310" spans="1:8">
      <c r="A1310" s="95"/>
      <c r="B1310" s="817"/>
      <c r="C1310" s="818"/>
      <c r="D1310" s="98" t="s">
        <v>301</v>
      </c>
      <c r="E1310" s="98" t="s">
        <v>859</v>
      </c>
      <c r="F1310" s="99" t="s">
        <v>839</v>
      </c>
      <c r="G1310" s="107" t="s">
        <v>840</v>
      </c>
    </row>
    <row r="1311" spans="1:8">
      <c r="A1311" s="95"/>
      <c r="B1311" s="821" t="s">
        <v>838</v>
      </c>
      <c r="C1311" s="822"/>
      <c r="D1311" s="100" t="s">
        <v>316</v>
      </c>
      <c r="E1311" s="100" t="s">
        <v>315</v>
      </c>
      <c r="F1311" s="101" t="s">
        <v>306</v>
      </c>
      <c r="G1311" s="108" t="s">
        <v>319</v>
      </c>
    </row>
    <row r="1312" spans="1:8">
      <c r="A1312" s="95"/>
      <c r="B1312" s="115"/>
      <c r="C1312" s="102"/>
      <c r="D1312" s="103"/>
      <c r="E1312" s="103" t="s">
        <v>317</v>
      </c>
      <c r="F1312" s="104" t="s">
        <v>318</v>
      </c>
      <c r="G1312" s="109"/>
    </row>
    <row r="1313" spans="1:7">
      <c r="A1313" s="95"/>
      <c r="B1313" s="823" t="str">
        <f>'MANO DE OBRA'!$B$10</f>
        <v>AYUDANTE CUAD. TIPO AA</v>
      </c>
      <c r="C1313" s="824"/>
      <c r="D1313" s="87">
        <v>1</v>
      </c>
      <c r="E1313" s="80">
        <f>'MANO DE OBRA'!$E$10</f>
        <v>34680</v>
      </c>
      <c r="F1313" s="81">
        <v>9.1999999999999993</v>
      </c>
      <c r="G1313" s="110">
        <f>ROUND(D1313*E1313/F1313,0)</f>
        <v>3770</v>
      </c>
    </row>
    <row r="1314" spans="1:7">
      <c r="A1314" s="95"/>
      <c r="B1314" s="835" t="str">
        <f>'MANO DE OBRA'!$B$15</f>
        <v xml:space="preserve">OFICIAL CUAD. TIPO AA </v>
      </c>
      <c r="C1314" s="836"/>
      <c r="D1314" s="37">
        <v>1</v>
      </c>
      <c r="E1314" s="82">
        <f>'MANO DE OBRA'!$E$15</f>
        <v>71474</v>
      </c>
      <c r="F1314" s="83">
        <v>9.1999999999999993</v>
      </c>
      <c r="G1314" s="111">
        <f>ROUND(D1314*E1314/F1314,0)</f>
        <v>7769</v>
      </c>
    </row>
    <row r="1315" spans="1:7">
      <c r="A1315" s="95"/>
      <c r="B1315" s="835"/>
      <c r="C1315" s="836"/>
      <c r="D1315" s="89"/>
      <c r="E1315" s="82"/>
      <c r="F1315" s="83"/>
      <c r="G1315" s="111"/>
    </row>
    <row r="1316" spans="1:7">
      <c r="A1316" s="95"/>
      <c r="B1316" s="835" t="s">
        <v>841</v>
      </c>
      <c r="C1316" s="836"/>
      <c r="D1316" s="37"/>
      <c r="E1316" s="82"/>
      <c r="F1316" s="83"/>
      <c r="G1316" s="111"/>
    </row>
    <row r="1317" spans="1:7" ht="13.5" thickBot="1">
      <c r="A1317" s="95"/>
      <c r="B1317" s="828" t="s">
        <v>841</v>
      </c>
      <c r="C1317" s="829"/>
      <c r="D1317" s="77"/>
      <c r="E1317" s="82"/>
      <c r="F1317" s="86"/>
      <c r="G1317" s="112"/>
    </row>
    <row r="1318" spans="1:7" ht="14.25" thickTop="1" thickBot="1">
      <c r="A1318" s="95"/>
      <c r="B1318" s="808"/>
      <c r="C1318" s="808"/>
      <c r="D1318" s="808"/>
      <c r="E1318" s="809"/>
      <c r="F1318" s="120" t="s">
        <v>856</v>
      </c>
      <c r="G1318" s="118">
        <f>SUM(G1313:G1317)</f>
        <v>11539</v>
      </c>
    </row>
    <row r="1319" spans="1:7" ht="14.25" thickTop="1" thickBot="1">
      <c r="A1319" s="95"/>
      <c r="B1319" s="810"/>
      <c r="C1319" s="810"/>
      <c r="D1319" s="810"/>
      <c r="E1319" s="810"/>
      <c r="F1319" s="810"/>
      <c r="G1319" s="810"/>
    </row>
    <row r="1320" spans="1:7" ht="13.5" thickTop="1">
      <c r="A1320" s="95"/>
      <c r="B1320" s="811" t="s">
        <v>321</v>
      </c>
      <c r="C1320" s="812"/>
      <c r="D1320" s="812"/>
      <c r="E1320" s="812"/>
      <c r="F1320" s="812"/>
      <c r="G1320" s="825"/>
    </row>
    <row r="1321" spans="1:7">
      <c r="A1321" s="95"/>
      <c r="B1321" s="817" t="s">
        <v>838</v>
      </c>
      <c r="C1321" s="818"/>
      <c r="D1321" s="98" t="s">
        <v>301</v>
      </c>
      <c r="E1321" s="98" t="s">
        <v>297</v>
      </c>
      <c r="F1321" s="99" t="s">
        <v>839</v>
      </c>
      <c r="G1321" s="107" t="s">
        <v>840</v>
      </c>
    </row>
    <row r="1322" spans="1:7">
      <c r="A1322" s="95"/>
      <c r="B1322" s="115"/>
      <c r="C1322" s="102"/>
      <c r="D1322" s="103" t="s">
        <v>322</v>
      </c>
      <c r="E1322" s="103" t="s">
        <v>323</v>
      </c>
      <c r="F1322" s="104" t="s">
        <v>324</v>
      </c>
      <c r="G1322" s="109" t="s">
        <v>325</v>
      </c>
    </row>
    <row r="1323" spans="1:7">
      <c r="A1323" s="95"/>
      <c r="B1323" s="826"/>
      <c r="C1323" s="827"/>
      <c r="D1323" s="96"/>
      <c r="E1323" s="96"/>
      <c r="F1323" s="96"/>
      <c r="G1323" s="116"/>
    </row>
    <row r="1324" spans="1:7" ht="13.5" thickBot="1">
      <c r="A1324" s="95"/>
      <c r="B1324" s="828" t="s">
        <v>841</v>
      </c>
      <c r="C1324" s="829"/>
      <c r="D1324" s="77"/>
      <c r="E1324" s="82"/>
      <c r="F1324" s="86"/>
      <c r="G1324" s="112"/>
    </row>
    <row r="1325" spans="1:7" ht="14.25" thickTop="1" thickBot="1">
      <c r="A1325" s="95"/>
      <c r="B1325" s="808"/>
      <c r="C1325" s="808"/>
      <c r="D1325" s="808"/>
      <c r="E1325" s="809"/>
      <c r="F1325" s="120" t="s">
        <v>856</v>
      </c>
      <c r="G1325" s="118">
        <f>SUM(G1320:G1324)</f>
        <v>0</v>
      </c>
    </row>
    <row r="1326" spans="1:7" ht="14.25" thickTop="1" thickBot="1">
      <c r="A1326" s="95"/>
      <c r="B1326" s="810"/>
      <c r="C1326" s="810"/>
      <c r="D1326" s="810"/>
      <c r="E1326" s="810"/>
      <c r="F1326" s="810"/>
      <c r="G1326" s="834"/>
    </row>
    <row r="1327" spans="1:7" ht="13.5" thickTop="1">
      <c r="A1327" s="95"/>
      <c r="B1327" s="811" t="s">
        <v>326</v>
      </c>
      <c r="C1327" s="812"/>
      <c r="D1327" s="812"/>
      <c r="E1327" s="812"/>
      <c r="F1327" s="813"/>
      <c r="G1327" s="121">
        <f>+G1292+G1307+G1318</f>
        <v>32467</v>
      </c>
    </row>
    <row r="1328" spans="1:7">
      <c r="A1328" s="95"/>
      <c r="B1328" s="814" t="s">
        <v>861</v>
      </c>
      <c r="C1328" s="815"/>
      <c r="D1328" s="815"/>
      <c r="E1328" s="816"/>
      <c r="F1328" s="128">
        <f>'MANO DE OBRA'!$D$59</f>
        <v>0</v>
      </c>
      <c r="G1328" s="122">
        <f>ROUND(G1327*F1328,0)</f>
        <v>0</v>
      </c>
    </row>
    <row r="1329" spans="1:8" ht="13.5" thickBot="1">
      <c r="A1329" s="95"/>
      <c r="B1329" s="805" t="s">
        <v>1049</v>
      </c>
      <c r="C1329" s="806"/>
      <c r="D1329" s="806"/>
      <c r="E1329" s="806"/>
      <c r="F1329" s="807"/>
      <c r="G1329" s="118">
        <f>ROUND(G1327+G1328,-2)</f>
        <v>32500</v>
      </c>
      <c r="H1329" s="505" t="s">
        <v>1670</v>
      </c>
    </row>
    <row r="1330" spans="1:8" ht="15" thickTop="1">
      <c r="A1330" s="95"/>
      <c r="B1330" s="90" t="s">
        <v>303</v>
      </c>
      <c r="C1330" s="843"/>
      <c r="D1330" s="843"/>
      <c r="E1330" s="843"/>
      <c r="F1330" s="92" t="s">
        <v>781</v>
      </c>
      <c r="G1330" s="93" t="s">
        <v>1067</v>
      </c>
    </row>
    <row r="1331" spans="1:8">
      <c r="A1331" s="95"/>
      <c r="B1331" s="91" t="s">
        <v>834</v>
      </c>
      <c r="C1331" s="844" t="s">
        <v>1433</v>
      </c>
      <c r="D1331" s="844"/>
      <c r="E1331" s="844"/>
      <c r="F1331" s="15" t="s">
        <v>833</v>
      </c>
      <c r="G1331" s="165" t="str">
        <f>'MANO DE OBRA'!D61</f>
        <v>Agosto de 2010</v>
      </c>
    </row>
    <row r="1332" spans="1:8" ht="13.5" thickBot="1">
      <c r="A1332" s="127"/>
      <c r="B1332" s="94" t="s">
        <v>835</v>
      </c>
      <c r="C1332" s="845" t="s">
        <v>1461</v>
      </c>
      <c r="D1332" s="845"/>
      <c r="E1332" s="845"/>
      <c r="F1332" s="845"/>
      <c r="G1332" s="846"/>
    </row>
    <row r="1333" spans="1:8" ht="14.25" thickTop="1" thickBot="1">
      <c r="A1333" s="95"/>
      <c r="B1333" s="847"/>
      <c r="C1333" s="847"/>
      <c r="D1333" s="847"/>
      <c r="E1333" s="847"/>
      <c r="F1333" s="847"/>
      <c r="G1333" s="847"/>
    </row>
    <row r="1334" spans="1:8" ht="13.5" thickTop="1">
      <c r="A1334" s="95"/>
      <c r="B1334" s="811" t="s">
        <v>304</v>
      </c>
      <c r="C1334" s="812"/>
      <c r="D1334" s="812"/>
      <c r="E1334" s="812"/>
      <c r="F1334" s="812"/>
      <c r="G1334" s="825"/>
    </row>
    <row r="1335" spans="1:8">
      <c r="A1335" s="95"/>
      <c r="B1335" s="105"/>
      <c r="C1335" s="97"/>
      <c r="D1335" s="98" t="s">
        <v>301</v>
      </c>
      <c r="E1335" s="98" t="s">
        <v>1072</v>
      </c>
      <c r="F1335" s="99" t="s">
        <v>839</v>
      </c>
      <c r="G1335" s="107" t="s">
        <v>840</v>
      </c>
    </row>
    <row r="1336" spans="1:8">
      <c r="A1336" s="95"/>
      <c r="B1336" s="821" t="s">
        <v>838</v>
      </c>
      <c r="C1336" s="822"/>
      <c r="D1336" s="100" t="s">
        <v>308</v>
      </c>
      <c r="E1336" s="100" t="s">
        <v>305</v>
      </c>
      <c r="F1336" s="101" t="s">
        <v>306</v>
      </c>
      <c r="G1336" s="108" t="s">
        <v>310</v>
      </c>
    </row>
    <row r="1337" spans="1:8">
      <c r="A1337" s="95"/>
      <c r="B1337" s="115"/>
      <c r="C1337" s="102"/>
      <c r="D1337" s="103"/>
      <c r="E1337" s="103" t="s">
        <v>309</v>
      </c>
      <c r="F1337" s="104" t="s">
        <v>307</v>
      </c>
      <c r="G1337" s="109"/>
    </row>
    <row r="1338" spans="1:8">
      <c r="A1338" s="127"/>
      <c r="B1338" s="826" t="str">
        <f>'MAQUINARIA Y EQUIPOS'!C28</f>
        <v>HERRAMIENTAS MENORES</v>
      </c>
      <c r="C1338" s="824"/>
      <c r="D1338" s="87">
        <v>1</v>
      </c>
      <c r="E1338" s="82">
        <f>ROUND(G1371*0.05,0)</f>
        <v>564</v>
      </c>
      <c r="F1338" s="81">
        <v>1</v>
      </c>
      <c r="G1338" s="110">
        <f>ROUND(D1338*E1338/F1338,0)</f>
        <v>564</v>
      </c>
    </row>
    <row r="1339" spans="1:8">
      <c r="A1339" s="95"/>
      <c r="B1339" s="835"/>
      <c r="C1339" s="836"/>
      <c r="D1339" s="37"/>
      <c r="E1339" s="129"/>
      <c r="F1339" s="83"/>
      <c r="G1339" s="111"/>
    </row>
    <row r="1340" spans="1:8">
      <c r="A1340" s="95"/>
      <c r="B1340" s="835"/>
      <c r="C1340" s="836"/>
      <c r="D1340" s="37"/>
      <c r="E1340" s="129"/>
      <c r="F1340" s="83"/>
      <c r="G1340" s="111"/>
    </row>
    <row r="1341" spans="1:8">
      <c r="A1341" s="95"/>
      <c r="B1341" s="835"/>
      <c r="C1341" s="836"/>
      <c r="D1341" s="89"/>
      <c r="E1341" s="82"/>
      <c r="F1341" s="83"/>
      <c r="G1341" s="111"/>
    </row>
    <row r="1342" spans="1:8">
      <c r="A1342" s="95"/>
      <c r="B1342" s="835" t="s">
        <v>841</v>
      </c>
      <c r="C1342" s="836"/>
      <c r="D1342" s="37"/>
      <c r="E1342" s="82"/>
      <c r="F1342" s="83"/>
      <c r="G1342" s="111"/>
    </row>
    <row r="1343" spans="1:8" ht="13.5" thickBot="1">
      <c r="A1343" s="95"/>
      <c r="B1343" s="839" t="s">
        <v>841</v>
      </c>
      <c r="C1343" s="840"/>
      <c r="D1343" s="77"/>
      <c r="E1343" s="106"/>
      <c r="F1343" s="86"/>
      <c r="G1343" s="112"/>
    </row>
    <row r="1344" spans="1:8" ht="14.25" thickTop="1" thickBot="1">
      <c r="A1344" s="95"/>
      <c r="B1344" s="808"/>
      <c r="C1344" s="808"/>
      <c r="D1344" s="808"/>
      <c r="E1344" s="809"/>
      <c r="F1344" s="119" t="s">
        <v>856</v>
      </c>
      <c r="G1344" s="118">
        <f>SUM(G1338:G1343)</f>
        <v>564</v>
      </c>
    </row>
    <row r="1345" spans="1:8" ht="14.25" thickTop="1" thickBot="1">
      <c r="A1345" s="95"/>
      <c r="B1345" s="830"/>
      <c r="C1345" s="830"/>
      <c r="D1345" s="830"/>
      <c r="E1345" s="830"/>
      <c r="F1345" s="830"/>
      <c r="G1345" s="830"/>
    </row>
    <row r="1346" spans="1:8" ht="13.5" thickTop="1">
      <c r="A1346" s="95"/>
      <c r="B1346" s="811" t="s">
        <v>311</v>
      </c>
      <c r="C1346" s="812"/>
      <c r="D1346" s="812"/>
      <c r="E1346" s="812"/>
      <c r="F1346" s="812"/>
      <c r="G1346" s="825"/>
    </row>
    <row r="1347" spans="1:8">
      <c r="A1347" s="95"/>
      <c r="B1347" s="817" t="s">
        <v>838</v>
      </c>
      <c r="C1347" s="818"/>
      <c r="D1347" s="98" t="s">
        <v>842</v>
      </c>
      <c r="E1347" s="98" t="s">
        <v>853</v>
      </c>
      <c r="F1347" s="99" t="s">
        <v>1047</v>
      </c>
      <c r="G1347" s="107" t="s">
        <v>840</v>
      </c>
    </row>
    <row r="1348" spans="1:8">
      <c r="A1348" s="95"/>
      <c r="B1348" s="115"/>
      <c r="C1348" s="102"/>
      <c r="D1348" s="103"/>
      <c r="E1348" s="100" t="s">
        <v>312</v>
      </c>
      <c r="F1348" s="101" t="s">
        <v>313</v>
      </c>
      <c r="G1348" s="108" t="s">
        <v>314</v>
      </c>
    </row>
    <row r="1349" spans="1:8" ht="14.25">
      <c r="A1349" s="125"/>
      <c r="B1349" s="841" t="str">
        <f>MATERIALES2!C124</f>
        <v>OLIMPIA 0.205x0.205</v>
      </c>
      <c r="C1349" s="842"/>
      <c r="D1349" s="37" t="s">
        <v>1067</v>
      </c>
      <c r="E1349" s="140">
        <v>1</v>
      </c>
      <c r="F1349" s="80">
        <f>MATERIALES2!E124</f>
        <v>19000</v>
      </c>
      <c r="G1349" s="110">
        <f>ROUND(E1349*F1349,0)</f>
        <v>19000</v>
      </c>
    </row>
    <row r="1350" spans="1:8">
      <c r="A1350" s="123"/>
      <c r="B1350" s="854" t="str">
        <f>MATERIALES2!C12</f>
        <v>CEMENTO BLANCO</v>
      </c>
      <c r="C1350" s="855"/>
      <c r="D1350" s="37" t="s">
        <v>925</v>
      </c>
      <c r="E1350" s="141">
        <v>1.5</v>
      </c>
      <c r="F1350" s="82">
        <f>MATERIALES2!E12</f>
        <v>750</v>
      </c>
      <c r="G1350" s="111">
        <f>ROUND(E1350*F1350,0)</f>
        <v>1125</v>
      </c>
    </row>
    <row r="1351" spans="1:8">
      <c r="A1351" s="123"/>
      <c r="B1351" s="854" t="str">
        <f>MATERIALES2!C13</f>
        <v>CEMENTO GRIS</v>
      </c>
      <c r="C1351" s="855"/>
      <c r="D1351" s="37" t="s">
        <v>925</v>
      </c>
      <c r="E1351" s="141">
        <v>7.28</v>
      </c>
      <c r="F1351" s="82">
        <f>MATERIALES2!E13</f>
        <v>420</v>
      </c>
      <c r="G1351" s="111">
        <f>ROUND(E1351*F1351,0)</f>
        <v>3058</v>
      </c>
    </row>
    <row r="1352" spans="1:8" ht="14.25">
      <c r="A1352" s="123"/>
      <c r="B1352" s="854" t="str">
        <f>MATERIALES2!C20</f>
        <v xml:space="preserve">ARENA </v>
      </c>
      <c r="C1352" s="855"/>
      <c r="D1352" s="37" t="s">
        <v>1066</v>
      </c>
      <c r="E1352" s="141">
        <v>2.3E-2</v>
      </c>
      <c r="F1352" s="82">
        <f>MATERIALES2!E20</f>
        <v>35000</v>
      </c>
      <c r="G1352" s="111">
        <f>ROUND(E1352*F1352,0)</f>
        <v>805</v>
      </c>
    </row>
    <row r="1353" spans="1:8">
      <c r="A1353" s="123"/>
      <c r="B1353" s="854" t="str">
        <f>MATERIALES2!C28</f>
        <v>AGUA</v>
      </c>
      <c r="C1353" s="855"/>
      <c r="D1353" s="37" t="s">
        <v>1071</v>
      </c>
      <c r="E1353" s="141">
        <v>4.74</v>
      </c>
      <c r="F1353" s="82">
        <f>MATERIALES2!E28</f>
        <v>50</v>
      </c>
      <c r="G1353" s="111">
        <f>ROUND(E1353*F1353,0)</f>
        <v>237</v>
      </c>
    </row>
    <row r="1354" spans="1:8">
      <c r="A1354" s="123"/>
      <c r="B1354" s="854"/>
      <c r="C1354" s="855"/>
      <c r="D1354" s="37"/>
      <c r="E1354" s="141"/>
      <c r="F1354" s="82"/>
      <c r="G1354" s="111"/>
    </row>
    <row r="1355" spans="1:8">
      <c r="A1355" s="123"/>
      <c r="B1355" s="854"/>
      <c r="C1355" s="855"/>
      <c r="D1355" s="37"/>
      <c r="E1355" s="141"/>
      <c r="F1355" s="82"/>
      <c r="G1355" s="111"/>
    </row>
    <row r="1356" spans="1:8">
      <c r="A1356" s="123"/>
      <c r="B1356" s="854"/>
      <c r="C1356" s="855"/>
      <c r="D1356" s="37"/>
      <c r="E1356" s="141"/>
      <c r="F1356" s="82"/>
      <c r="G1356" s="111"/>
      <c r="H1356" s="505" t="s">
        <v>1670</v>
      </c>
    </row>
    <row r="1357" spans="1:8" ht="13.5" thickBot="1">
      <c r="A1357" s="95"/>
      <c r="B1357" s="942" t="s">
        <v>841</v>
      </c>
      <c r="C1357" s="943"/>
      <c r="D1357" s="84" t="s">
        <v>841</v>
      </c>
      <c r="E1357" s="84"/>
      <c r="F1357" s="85"/>
      <c r="G1357" s="112"/>
    </row>
    <row r="1358" spans="1:8" ht="13.5" thickTop="1">
      <c r="A1358" s="95"/>
      <c r="B1358" s="808"/>
      <c r="C1358" s="809"/>
      <c r="D1358" s="801" t="s">
        <v>856</v>
      </c>
      <c r="E1358" s="802"/>
      <c r="F1358" s="9"/>
      <c r="G1358" s="113">
        <f>SUM(G1349:G1357)</f>
        <v>24225</v>
      </c>
    </row>
    <row r="1359" spans="1:8">
      <c r="A1359" s="95"/>
      <c r="B1359" s="819"/>
      <c r="C1359" s="820"/>
      <c r="D1359" s="801" t="s">
        <v>857</v>
      </c>
      <c r="E1359" s="802"/>
      <c r="F1359" s="79">
        <f>'MANO DE OBRA'!D60</f>
        <v>0.05</v>
      </c>
      <c r="G1359" s="113">
        <f>ROUND(G1358*F1359,0)</f>
        <v>1211</v>
      </c>
    </row>
    <row r="1360" spans="1:8" ht="13.5" thickBot="1">
      <c r="A1360" s="95"/>
      <c r="B1360" s="819"/>
      <c r="C1360" s="820"/>
      <c r="D1360" s="803" t="s">
        <v>320</v>
      </c>
      <c r="E1360" s="804"/>
      <c r="F1360" s="114"/>
      <c r="G1360" s="118">
        <f>+G1358+G1359</f>
        <v>25436</v>
      </c>
    </row>
    <row r="1361" spans="1:7" ht="14.25" thickTop="1" thickBot="1">
      <c r="A1361" s="95"/>
      <c r="B1361" s="830"/>
      <c r="C1361" s="830"/>
      <c r="D1361" s="830"/>
      <c r="E1361" s="830"/>
      <c r="F1361" s="830"/>
      <c r="G1361" s="830"/>
    </row>
    <row r="1362" spans="1:7" ht="13.5" thickTop="1">
      <c r="A1362" s="95"/>
      <c r="B1362" s="811" t="s">
        <v>858</v>
      </c>
      <c r="C1362" s="812"/>
      <c r="D1362" s="812"/>
      <c r="E1362" s="812"/>
      <c r="F1362" s="812"/>
      <c r="G1362" s="825"/>
    </row>
    <row r="1363" spans="1:7">
      <c r="A1363" s="95"/>
      <c r="B1363" s="817"/>
      <c r="C1363" s="818"/>
      <c r="D1363" s="98" t="s">
        <v>301</v>
      </c>
      <c r="E1363" s="98" t="s">
        <v>859</v>
      </c>
      <c r="F1363" s="99" t="s">
        <v>839</v>
      </c>
      <c r="G1363" s="107" t="s">
        <v>840</v>
      </c>
    </row>
    <row r="1364" spans="1:7">
      <c r="A1364" s="95"/>
      <c r="B1364" s="821" t="s">
        <v>838</v>
      </c>
      <c r="C1364" s="822"/>
      <c r="D1364" s="100" t="s">
        <v>316</v>
      </c>
      <c r="E1364" s="100" t="s">
        <v>315</v>
      </c>
      <c r="F1364" s="101" t="s">
        <v>306</v>
      </c>
      <c r="G1364" s="108" t="s">
        <v>319</v>
      </c>
    </row>
    <row r="1365" spans="1:7">
      <c r="A1365" s="95"/>
      <c r="B1365" s="115"/>
      <c r="C1365" s="102"/>
      <c r="D1365" s="103"/>
      <c r="E1365" s="103" t="s">
        <v>317</v>
      </c>
      <c r="F1365" s="104" t="s">
        <v>318</v>
      </c>
      <c r="G1365" s="109"/>
    </row>
    <row r="1366" spans="1:7">
      <c r="A1366" s="95"/>
      <c r="B1366" s="823" t="str">
        <f>'MANO DE OBRA'!B10</f>
        <v>AYUDANTE CUAD. TIPO AA</v>
      </c>
      <c r="C1366" s="824"/>
      <c r="D1366" s="87">
        <v>1</v>
      </c>
      <c r="E1366" s="80">
        <f>'MANO DE OBRA'!E10</f>
        <v>34680</v>
      </c>
      <c r="F1366" s="81">
        <v>9.41</v>
      </c>
      <c r="G1366" s="110">
        <f>ROUND(D1366*E1366/F1366,0)</f>
        <v>3685</v>
      </c>
    </row>
    <row r="1367" spans="1:7">
      <c r="A1367" s="95"/>
      <c r="B1367" s="835" t="str">
        <f>'MANO DE OBRA'!B15</f>
        <v xml:space="preserve">OFICIAL CUAD. TIPO AA </v>
      </c>
      <c r="C1367" s="836"/>
      <c r="D1367" s="37">
        <v>1</v>
      </c>
      <c r="E1367" s="82">
        <f>'MANO DE OBRA'!E15</f>
        <v>71474</v>
      </c>
      <c r="F1367" s="83">
        <v>9.41</v>
      </c>
      <c r="G1367" s="111">
        <f>ROUND(D1367*E1367/F1367,0)</f>
        <v>7596</v>
      </c>
    </row>
    <row r="1368" spans="1:7">
      <c r="A1368" s="95"/>
      <c r="B1368" s="835"/>
      <c r="C1368" s="836"/>
      <c r="D1368" s="89"/>
      <c r="E1368" s="82"/>
      <c r="F1368" s="83"/>
      <c r="G1368" s="111"/>
    </row>
    <row r="1369" spans="1:7">
      <c r="A1369" s="95"/>
      <c r="B1369" s="835" t="s">
        <v>841</v>
      </c>
      <c r="C1369" s="836"/>
      <c r="D1369" s="37"/>
      <c r="E1369" s="82"/>
      <c r="F1369" s="83"/>
      <c r="G1369" s="111"/>
    </row>
    <row r="1370" spans="1:7" ht="13.5" thickBot="1">
      <c r="A1370" s="95"/>
      <c r="B1370" s="828" t="s">
        <v>841</v>
      </c>
      <c r="C1370" s="829"/>
      <c r="D1370" s="77"/>
      <c r="E1370" s="82"/>
      <c r="F1370" s="86"/>
      <c r="G1370" s="112"/>
    </row>
    <row r="1371" spans="1:7" ht="14.25" thickTop="1" thickBot="1">
      <c r="A1371" s="95"/>
      <c r="B1371" s="808"/>
      <c r="C1371" s="808"/>
      <c r="D1371" s="808"/>
      <c r="E1371" s="809"/>
      <c r="F1371" s="120" t="s">
        <v>856</v>
      </c>
      <c r="G1371" s="118">
        <f>SUM(G1366:G1370)</f>
        <v>11281</v>
      </c>
    </row>
    <row r="1372" spans="1:7" ht="14.25" thickTop="1" thickBot="1">
      <c r="A1372" s="95"/>
      <c r="B1372" s="810"/>
      <c r="C1372" s="810"/>
      <c r="D1372" s="810"/>
      <c r="E1372" s="810"/>
      <c r="F1372" s="810"/>
      <c r="G1372" s="810"/>
    </row>
    <row r="1373" spans="1:7" ht="13.5" thickTop="1">
      <c r="A1373" s="95"/>
      <c r="B1373" s="811" t="s">
        <v>321</v>
      </c>
      <c r="C1373" s="812"/>
      <c r="D1373" s="812"/>
      <c r="E1373" s="812"/>
      <c r="F1373" s="812"/>
      <c r="G1373" s="825"/>
    </row>
    <row r="1374" spans="1:7">
      <c r="A1374" s="95"/>
      <c r="B1374" s="817" t="s">
        <v>838</v>
      </c>
      <c r="C1374" s="818"/>
      <c r="D1374" s="98" t="s">
        <v>301</v>
      </c>
      <c r="E1374" s="98" t="s">
        <v>297</v>
      </c>
      <c r="F1374" s="99" t="s">
        <v>839</v>
      </c>
      <c r="G1374" s="107" t="s">
        <v>840</v>
      </c>
    </row>
    <row r="1375" spans="1:7">
      <c r="A1375" s="95"/>
      <c r="B1375" s="115"/>
      <c r="C1375" s="102"/>
      <c r="D1375" s="103" t="s">
        <v>322</v>
      </c>
      <c r="E1375" s="103" t="s">
        <v>323</v>
      </c>
      <c r="F1375" s="104" t="s">
        <v>324</v>
      </c>
      <c r="G1375" s="109" t="s">
        <v>325</v>
      </c>
    </row>
    <row r="1376" spans="1:7">
      <c r="A1376" s="95"/>
      <c r="B1376" s="826"/>
      <c r="C1376" s="827"/>
      <c r="D1376" s="96"/>
      <c r="E1376" s="96"/>
      <c r="F1376" s="96"/>
      <c r="G1376" s="116"/>
    </row>
    <row r="1377" spans="1:8" ht="13.5" thickBot="1">
      <c r="A1377" s="95"/>
      <c r="B1377" s="828" t="s">
        <v>841</v>
      </c>
      <c r="C1377" s="829"/>
      <c r="D1377" s="77"/>
      <c r="E1377" s="82"/>
      <c r="F1377" s="86"/>
      <c r="G1377" s="112"/>
    </row>
    <row r="1378" spans="1:8" ht="14.25" thickTop="1" thickBot="1">
      <c r="A1378" s="95"/>
      <c r="B1378" s="808"/>
      <c r="C1378" s="808"/>
      <c r="D1378" s="808"/>
      <c r="E1378" s="809"/>
      <c r="F1378" s="120" t="s">
        <v>856</v>
      </c>
      <c r="G1378" s="118">
        <f>SUM(G1373:G1377)</f>
        <v>0</v>
      </c>
    </row>
    <row r="1379" spans="1:8" ht="14.25" thickTop="1" thickBot="1">
      <c r="A1379" s="95"/>
      <c r="B1379" s="810"/>
      <c r="C1379" s="810"/>
      <c r="D1379" s="810"/>
      <c r="E1379" s="810"/>
      <c r="F1379" s="810"/>
      <c r="G1379" s="834"/>
    </row>
    <row r="1380" spans="1:8" ht="13.5" thickTop="1">
      <c r="A1380" s="95"/>
      <c r="B1380" s="811" t="s">
        <v>326</v>
      </c>
      <c r="C1380" s="812"/>
      <c r="D1380" s="812"/>
      <c r="E1380" s="812"/>
      <c r="F1380" s="813"/>
      <c r="G1380" s="121">
        <f>+G1344+G1360+G1371</f>
        <v>37281</v>
      </c>
    </row>
    <row r="1381" spans="1:8">
      <c r="A1381" s="95"/>
      <c r="B1381" s="814" t="s">
        <v>861</v>
      </c>
      <c r="C1381" s="815"/>
      <c r="D1381" s="815"/>
      <c r="E1381" s="816"/>
      <c r="F1381" s="128">
        <f>'MANO DE OBRA'!D59</f>
        <v>0</v>
      </c>
      <c r="G1381" s="122">
        <f>ROUND(G1380*F1381,0)</f>
        <v>0</v>
      </c>
    </row>
    <row r="1382" spans="1:8" ht="13.5" thickBot="1">
      <c r="A1382" s="95"/>
      <c r="B1382" s="805" t="s">
        <v>1049</v>
      </c>
      <c r="C1382" s="806"/>
      <c r="D1382" s="806"/>
      <c r="E1382" s="806"/>
      <c r="F1382" s="807"/>
      <c r="G1382" s="118">
        <f>ROUND(G1380+G1381,-2)</f>
        <v>37300</v>
      </c>
      <c r="H1382" s="505" t="s">
        <v>1670</v>
      </c>
    </row>
    <row r="1383" spans="1:8" ht="15" thickTop="1">
      <c r="A1383" s="95"/>
      <c r="B1383" s="90" t="s">
        <v>303</v>
      </c>
      <c r="C1383" s="843"/>
      <c r="D1383" s="843"/>
      <c r="E1383" s="843"/>
      <c r="F1383" s="92" t="s">
        <v>781</v>
      </c>
      <c r="G1383" s="93" t="s">
        <v>1067</v>
      </c>
    </row>
    <row r="1384" spans="1:8">
      <c r="A1384" s="95"/>
      <c r="B1384" s="91" t="s">
        <v>834</v>
      </c>
      <c r="C1384" s="844" t="s">
        <v>1433</v>
      </c>
      <c r="D1384" s="844"/>
      <c r="E1384" s="844"/>
      <c r="F1384" s="15" t="s">
        <v>833</v>
      </c>
      <c r="G1384" s="165" t="str">
        <f>'MANO DE OBRA'!D61</f>
        <v>Agosto de 2010</v>
      </c>
    </row>
    <row r="1385" spans="1:8" ht="13.5" thickBot="1">
      <c r="A1385" s="127"/>
      <c r="B1385" s="94" t="s">
        <v>835</v>
      </c>
      <c r="C1385" s="845" t="s">
        <v>1462</v>
      </c>
      <c r="D1385" s="845"/>
      <c r="E1385" s="845"/>
      <c r="F1385" s="845"/>
      <c r="G1385" s="846"/>
    </row>
    <row r="1386" spans="1:8" ht="14.25" thickTop="1" thickBot="1">
      <c r="A1386" s="95"/>
      <c r="B1386" s="847"/>
      <c r="C1386" s="847"/>
      <c r="D1386" s="847"/>
      <c r="E1386" s="847"/>
      <c r="F1386" s="847"/>
      <c r="G1386" s="847"/>
    </row>
    <row r="1387" spans="1:8" ht="13.5" thickTop="1">
      <c r="A1387" s="95"/>
      <c r="B1387" s="811" t="s">
        <v>304</v>
      </c>
      <c r="C1387" s="812"/>
      <c r="D1387" s="812"/>
      <c r="E1387" s="812"/>
      <c r="F1387" s="812"/>
      <c r="G1387" s="825"/>
    </row>
    <row r="1388" spans="1:8">
      <c r="A1388" s="95"/>
      <c r="B1388" s="105"/>
      <c r="C1388" s="97"/>
      <c r="D1388" s="98" t="s">
        <v>301</v>
      </c>
      <c r="E1388" s="98" t="s">
        <v>1072</v>
      </c>
      <c r="F1388" s="99" t="s">
        <v>839</v>
      </c>
      <c r="G1388" s="107" t="s">
        <v>840</v>
      </c>
    </row>
    <row r="1389" spans="1:8">
      <c r="A1389" s="95"/>
      <c r="B1389" s="821" t="s">
        <v>838</v>
      </c>
      <c r="C1389" s="822"/>
      <c r="D1389" s="100" t="s">
        <v>308</v>
      </c>
      <c r="E1389" s="100" t="s">
        <v>305</v>
      </c>
      <c r="F1389" s="101" t="s">
        <v>306</v>
      </c>
      <c r="G1389" s="108" t="s">
        <v>310</v>
      </c>
    </row>
    <row r="1390" spans="1:8">
      <c r="A1390" s="95"/>
      <c r="B1390" s="115"/>
      <c r="C1390" s="102"/>
      <c r="D1390" s="103"/>
      <c r="E1390" s="103" t="s">
        <v>309</v>
      </c>
      <c r="F1390" s="104" t="s">
        <v>307</v>
      </c>
      <c r="G1390" s="109"/>
    </row>
    <row r="1391" spans="1:8">
      <c r="A1391" s="127"/>
      <c r="B1391" s="826" t="str">
        <f>'MAQUINARIA Y EQUIPOS'!C28</f>
        <v>HERRAMIENTAS MENORES</v>
      </c>
      <c r="C1391" s="824"/>
      <c r="D1391" s="87">
        <v>1</v>
      </c>
      <c r="E1391" s="82">
        <f>ROUND(G1424*0.05,0)</f>
        <v>564</v>
      </c>
      <c r="F1391" s="81">
        <v>1</v>
      </c>
      <c r="G1391" s="110">
        <f>ROUND(D1391*E1391/F1391,0)</f>
        <v>564</v>
      </c>
    </row>
    <row r="1392" spans="1:8">
      <c r="A1392" s="95"/>
      <c r="B1392" s="835"/>
      <c r="C1392" s="836"/>
      <c r="D1392" s="37"/>
      <c r="E1392" s="129"/>
      <c r="F1392" s="83"/>
      <c r="G1392" s="111"/>
    </row>
    <row r="1393" spans="1:7">
      <c r="A1393" s="95"/>
      <c r="B1393" s="835"/>
      <c r="C1393" s="836"/>
      <c r="D1393" s="37"/>
      <c r="E1393" s="129"/>
      <c r="F1393" s="83"/>
      <c r="G1393" s="111"/>
    </row>
    <row r="1394" spans="1:7">
      <c r="A1394" s="95"/>
      <c r="B1394" s="835"/>
      <c r="C1394" s="836"/>
      <c r="D1394" s="89"/>
      <c r="E1394" s="82"/>
      <c r="F1394" s="83"/>
      <c r="G1394" s="111"/>
    </row>
    <row r="1395" spans="1:7">
      <c r="A1395" s="95"/>
      <c r="B1395" s="835" t="s">
        <v>841</v>
      </c>
      <c r="C1395" s="836"/>
      <c r="D1395" s="37"/>
      <c r="E1395" s="82"/>
      <c r="F1395" s="83"/>
      <c r="G1395" s="111"/>
    </row>
    <row r="1396" spans="1:7" ht="13.5" thickBot="1">
      <c r="A1396" s="95"/>
      <c r="B1396" s="839" t="s">
        <v>841</v>
      </c>
      <c r="C1396" s="840"/>
      <c r="D1396" s="77"/>
      <c r="E1396" s="106"/>
      <c r="F1396" s="86"/>
      <c r="G1396" s="112"/>
    </row>
    <row r="1397" spans="1:7" ht="14.25" thickTop="1" thickBot="1">
      <c r="A1397" s="95"/>
      <c r="B1397" s="808"/>
      <c r="C1397" s="808"/>
      <c r="D1397" s="808"/>
      <c r="E1397" s="809"/>
      <c r="F1397" s="119" t="s">
        <v>856</v>
      </c>
      <c r="G1397" s="118">
        <f>SUM(G1391:G1396)</f>
        <v>564</v>
      </c>
    </row>
    <row r="1398" spans="1:7" ht="14.25" thickTop="1" thickBot="1">
      <c r="A1398" s="95"/>
      <c r="B1398" s="830"/>
      <c r="C1398" s="830"/>
      <c r="D1398" s="830"/>
      <c r="E1398" s="830"/>
      <c r="F1398" s="830"/>
      <c r="G1398" s="830"/>
    </row>
    <row r="1399" spans="1:7" ht="13.5" thickTop="1">
      <c r="A1399" s="95"/>
      <c r="B1399" s="811" t="s">
        <v>311</v>
      </c>
      <c r="C1399" s="812"/>
      <c r="D1399" s="812"/>
      <c r="E1399" s="812"/>
      <c r="F1399" s="812"/>
      <c r="G1399" s="825"/>
    </row>
    <row r="1400" spans="1:7">
      <c r="A1400" s="95"/>
      <c r="B1400" s="817" t="s">
        <v>838</v>
      </c>
      <c r="C1400" s="818"/>
      <c r="D1400" s="98" t="s">
        <v>842</v>
      </c>
      <c r="E1400" s="98" t="s">
        <v>853</v>
      </c>
      <c r="F1400" s="99" t="s">
        <v>1047</v>
      </c>
      <c r="G1400" s="107" t="s">
        <v>840</v>
      </c>
    </row>
    <row r="1401" spans="1:7">
      <c r="A1401" s="95"/>
      <c r="B1401" s="115"/>
      <c r="C1401" s="102"/>
      <c r="D1401" s="103"/>
      <c r="E1401" s="100" t="s">
        <v>312</v>
      </c>
      <c r="F1401" s="101" t="s">
        <v>313</v>
      </c>
      <c r="G1401" s="108" t="s">
        <v>314</v>
      </c>
    </row>
    <row r="1402" spans="1:7" ht="14.25">
      <c r="A1402" s="125"/>
      <c r="B1402" s="841" t="str">
        <f>MATERIALES2!C125</f>
        <v>TRACIA 0.205x0.205</v>
      </c>
      <c r="C1402" s="842"/>
      <c r="D1402" s="37" t="s">
        <v>1067</v>
      </c>
      <c r="E1402" s="140">
        <v>1</v>
      </c>
      <c r="F1402" s="80">
        <f>MATERIALES2!E125</f>
        <v>19000</v>
      </c>
      <c r="G1402" s="110">
        <f>ROUND(E1402*F1402,0)</f>
        <v>19000</v>
      </c>
    </row>
    <row r="1403" spans="1:7">
      <c r="A1403" s="123"/>
      <c r="B1403" s="854" t="str">
        <f>MATERIALES2!C12</f>
        <v>CEMENTO BLANCO</v>
      </c>
      <c r="C1403" s="855"/>
      <c r="D1403" s="37" t="s">
        <v>925</v>
      </c>
      <c r="E1403" s="141">
        <v>1.5</v>
      </c>
      <c r="F1403" s="82">
        <f>MATERIALES2!E12</f>
        <v>750</v>
      </c>
      <c r="G1403" s="111">
        <f>ROUND(E1403*F1403,0)</f>
        <v>1125</v>
      </c>
    </row>
    <row r="1404" spans="1:7">
      <c r="A1404" s="123"/>
      <c r="B1404" s="854" t="str">
        <f>MATERIALES2!C13</f>
        <v>CEMENTO GRIS</v>
      </c>
      <c r="C1404" s="855"/>
      <c r="D1404" s="37" t="s">
        <v>925</v>
      </c>
      <c r="E1404" s="141">
        <v>7.28</v>
      </c>
      <c r="F1404" s="82">
        <f>MATERIALES2!E13</f>
        <v>420</v>
      </c>
      <c r="G1404" s="111">
        <f>ROUND(E1404*F1404,0)</f>
        <v>3058</v>
      </c>
    </row>
    <row r="1405" spans="1:7" ht="14.25">
      <c r="A1405" s="123"/>
      <c r="B1405" s="854" t="str">
        <f>MATERIALES2!C20</f>
        <v xml:space="preserve">ARENA </v>
      </c>
      <c r="C1405" s="855"/>
      <c r="D1405" s="37" t="s">
        <v>1066</v>
      </c>
      <c r="E1405" s="141">
        <v>2.3E-2</v>
      </c>
      <c r="F1405" s="82">
        <f>MATERIALES2!E20</f>
        <v>35000</v>
      </c>
      <c r="G1405" s="111">
        <f>ROUND(E1405*F1405,0)</f>
        <v>805</v>
      </c>
    </row>
    <row r="1406" spans="1:7">
      <c r="A1406" s="123"/>
      <c r="B1406" s="854" t="str">
        <f>MATERIALES2!C28</f>
        <v>AGUA</v>
      </c>
      <c r="C1406" s="855"/>
      <c r="D1406" s="37" t="s">
        <v>1071</v>
      </c>
      <c r="E1406" s="141">
        <v>4.74</v>
      </c>
      <c r="F1406" s="82">
        <f>MATERIALES2!E28</f>
        <v>50</v>
      </c>
      <c r="G1406" s="111">
        <f>ROUND(E1406*F1406,0)</f>
        <v>237</v>
      </c>
    </row>
    <row r="1407" spans="1:7">
      <c r="A1407" s="123"/>
      <c r="B1407" s="854"/>
      <c r="C1407" s="855"/>
      <c r="D1407" s="37"/>
      <c r="E1407" s="141"/>
      <c r="F1407" s="82"/>
      <c r="G1407" s="111"/>
    </row>
    <row r="1408" spans="1:7">
      <c r="A1408" s="123"/>
      <c r="B1408" s="854"/>
      <c r="C1408" s="855"/>
      <c r="D1408" s="37"/>
      <c r="E1408" s="141"/>
      <c r="F1408" s="82"/>
      <c r="G1408" s="111"/>
    </row>
    <row r="1409" spans="1:8">
      <c r="A1409" s="123"/>
      <c r="B1409" s="854"/>
      <c r="C1409" s="855"/>
      <c r="D1409" s="37"/>
      <c r="E1409" s="141"/>
      <c r="F1409" s="82"/>
      <c r="G1409" s="111"/>
      <c r="H1409" s="505" t="s">
        <v>1670</v>
      </c>
    </row>
    <row r="1410" spans="1:8" ht="13.5" thickBot="1">
      <c r="A1410" s="95"/>
      <c r="B1410" s="942" t="s">
        <v>841</v>
      </c>
      <c r="C1410" s="943"/>
      <c r="D1410" s="84" t="s">
        <v>841</v>
      </c>
      <c r="E1410" s="84"/>
      <c r="F1410" s="85"/>
      <c r="G1410" s="112"/>
    </row>
    <row r="1411" spans="1:8" ht="13.5" thickTop="1">
      <c r="A1411" s="95"/>
      <c r="B1411" s="808"/>
      <c r="C1411" s="809"/>
      <c r="D1411" s="801" t="s">
        <v>856</v>
      </c>
      <c r="E1411" s="802"/>
      <c r="F1411" s="9"/>
      <c r="G1411" s="113">
        <f>SUM(G1402:G1410)</f>
        <v>24225</v>
      </c>
    </row>
    <row r="1412" spans="1:8">
      <c r="A1412" s="95"/>
      <c r="B1412" s="819"/>
      <c r="C1412" s="820"/>
      <c r="D1412" s="801" t="s">
        <v>857</v>
      </c>
      <c r="E1412" s="802"/>
      <c r="F1412" s="79">
        <f>'MANO DE OBRA'!D60</f>
        <v>0.05</v>
      </c>
      <c r="G1412" s="113">
        <f>ROUND(G1411*F1412,0)</f>
        <v>1211</v>
      </c>
    </row>
    <row r="1413" spans="1:8" ht="13.5" thickBot="1">
      <c r="A1413" s="95"/>
      <c r="B1413" s="819"/>
      <c r="C1413" s="820"/>
      <c r="D1413" s="803" t="s">
        <v>320</v>
      </c>
      <c r="E1413" s="804"/>
      <c r="F1413" s="114"/>
      <c r="G1413" s="118">
        <f>+G1411+G1412</f>
        <v>25436</v>
      </c>
    </row>
    <row r="1414" spans="1:8" ht="14.25" thickTop="1" thickBot="1">
      <c r="A1414" s="95"/>
      <c r="B1414" s="830"/>
      <c r="C1414" s="830"/>
      <c r="D1414" s="830"/>
      <c r="E1414" s="830"/>
      <c r="F1414" s="830"/>
      <c r="G1414" s="830"/>
    </row>
    <row r="1415" spans="1:8" ht="13.5" thickTop="1">
      <c r="A1415" s="95"/>
      <c r="B1415" s="811" t="s">
        <v>858</v>
      </c>
      <c r="C1415" s="812"/>
      <c r="D1415" s="812"/>
      <c r="E1415" s="812"/>
      <c r="F1415" s="812"/>
      <c r="G1415" s="825"/>
    </row>
    <row r="1416" spans="1:8">
      <c r="A1416" s="95"/>
      <c r="B1416" s="817"/>
      <c r="C1416" s="818"/>
      <c r="D1416" s="98" t="s">
        <v>301</v>
      </c>
      <c r="E1416" s="98" t="s">
        <v>859</v>
      </c>
      <c r="F1416" s="99" t="s">
        <v>839</v>
      </c>
      <c r="G1416" s="107" t="s">
        <v>840</v>
      </c>
    </row>
    <row r="1417" spans="1:8">
      <c r="A1417" s="95"/>
      <c r="B1417" s="821" t="s">
        <v>838</v>
      </c>
      <c r="C1417" s="822"/>
      <c r="D1417" s="100" t="s">
        <v>316</v>
      </c>
      <c r="E1417" s="100" t="s">
        <v>315</v>
      </c>
      <c r="F1417" s="101" t="s">
        <v>306</v>
      </c>
      <c r="G1417" s="108" t="s">
        <v>319</v>
      </c>
    </row>
    <row r="1418" spans="1:8">
      <c r="A1418" s="95"/>
      <c r="B1418" s="115"/>
      <c r="C1418" s="102"/>
      <c r="D1418" s="103"/>
      <c r="E1418" s="103" t="s">
        <v>317</v>
      </c>
      <c r="F1418" s="104" t="s">
        <v>318</v>
      </c>
      <c r="G1418" s="109"/>
    </row>
    <row r="1419" spans="1:8">
      <c r="A1419" s="95"/>
      <c r="B1419" s="823" t="str">
        <f>'MANO DE OBRA'!B10</f>
        <v>AYUDANTE CUAD. TIPO AA</v>
      </c>
      <c r="C1419" s="824"/>
      <c r="D1419" s="87">
        <v>1</v>
      </c>
      <c r="E1419" s="80">
        <f>'MANO DE OBRA'!E10</f>
        <v>34680</v>
      </c>
      <c r="F1419" s="81">
        <v>9.41</v>
      </c>
      <c r="G1419" s="110">
        <f>ROUND(D1419*E1419/F1419,0)</f>
        <v>3685</v>
      </c>
    </row>
    <row r="1420" spans="1:8">
      <c r="A1420" s="95"/>
      <c r="B1420" s="835" t="str">
        <f>'MANO DE OBRA'!B15</f>
        <v xml:space="preserve">OFICIAL CUAD. TIPO AA </v>
      </c>
      <c r="C1420" s="836"/>
      <c r="D1420" s="37">
        <v>1</v>
      </c>
      <c r="E1420" s="82">
        <f>'MANO DE OBRA'!E15</f>
        <v>71474</v>
      </c>
      <c r="F1420" s="83">
        <v>9.41</v>
      </c>
      <c r="G1420" s="111">
        <f>ROUND(D1420*E1420/F1420,0)</f>
        <v>7596</v>
      </c>
    </row>
    <row r="1421" spans="1:8">
      <c r="A1421" s="95"/>
      <c r="B1421" s="835"/>
      <c r="C1421" s="836"/>
      <c r="D1421" s="89"/>
      <c r="E1421" s="82"/>
      <c r="F1421" s="83"/>
      <c r="G1421" s="111"/>
    </row>
    <row r="1422" spans="1:8">
      <c r="A1422" s="95"/>
      <c r="B1422" s="835" t="s">
        <v>841</v>
      </c>
      <c r="C1422" s="836"/>
      <c r="D1422" s="37"/>
      <c r="E1422" s="82"/>
      <c r="F1422" s="83"/>
      <c r="G1422" s="111"/>
    </row>
    <row r="1423" spans="1:8" ht="13.5" thickBot="1">
      <c r="A1423" s="95"/>
      <c r="B1423" s="828" t="s">
        <v>841</v>
      </c>
      <c r="C1423" s="829"/>
      <c r="D1423" s="77"/>
      <c r="E1423" s="82"/>
      <c r="F1423" s="86"/>
      <c r="G1423" s="112"/>
    </row>
    <row r="1424" spans="1:8" ht="14.25" thickTop="1" thickBot="1">
      <c r="A1424" s="95"/>
      <c r="B1424" s="808"/>
      <c r="C1424" s="808"/>
      <c r="D1424" s="808"/>
      <c r="E1424" s="809"/>
      <c r="F1424" s="120" t="s">
        <v>856</v>
      </c>
      <c r="G1424" s="118">
        <f>SUM(G1419:G1423)</f>
        <v>11281</v>
      </c>
    </row>
    <row r="1425" spans="1:8" ht="14.25" thickTop="1" thickBot="1">
      <c r="A1425" s="95"/>
      <c r="B1425" s="810"/>
      <c r="C1425" s="810"/>
      <c r="D1425" s="810"/>
      <c r="E1425" s="810"/>
      <c r="F1425" s="810"/>
      <c r="G1425" s="810"/>
    </row>
    <row r="1426" spans="1:8" ht="13.5" thickTop="1">
      <c r="A1426" s="95"/>
      <c r="B1426" s="811" t="s">
        <v>321</v>
      </c>
      <c r="C1426" s="812"/>
      <c r="D1426" s="812"/>
      <c r="E1426" s="812"/>
      <c r="F1426" s="812"/>
      <c r="G1426" s="825"/>
    </row>
    <row r="1427" spans="1:8">
      <c r="A1427" s="95"/>
      <c r="B1427" s="817" t="s">
        <v>838</v>
      </c>
      <c r="C1427" s="818"/>
      <c r="D1427" s="98" t="s">
        <v>301</v>
      </c>
      <c r="E1427" s="98" t="s">
        <v>297</v>
      </c>
      <c r="F1427" s="99" t="s">
        <v>839</v>
      </c>
      <c r="G1427" s="107" t="s">
        <v>840</v>
      </c>
    </row>
    <row r="1428" spans="1:8">
      <c r="A1428" s="95"/>
      <c r="B1428" s="115"/>
      <c r="C1428" s="102"/>
      <c r="D1428" s="103" t="s">
        <v>322</v>
      </c>
      <c r="E1428" s="103" t="s">
        <v>323</v>
      </c>
      <c r="F1428" s="104" t="s">
        <v>324</v>
      </c>
      <c r="G1428" s="109" t="s">
        <v>325</v>
      </c>
    </row>
    <row r="1429" spans="1:8">
      <c r="A1429" s="95"/>
      <c r="B1429" s="826"/>
      <c r="C1429" s="827"/>
      <c r="D1429" s="96"/>
      <c r="E1429" s="96"/>
      <c r="F1429" s="96"/>
      <c r="G1429" s="116"/>
    </row>
    <row r="1430" spans="1:8" ht="13.5" thickBot="1">
      <c r="A1430" s="95"/>
      <c r="B1430" s="828" t="s">
        <v>841</v>
      </c>
      <c r="C1430" s="829"/>
      <c r="D1430" s="77"/>
      <c r="E1430" s="82"/>
      <c r="F1430" s="86"/>
      <c r="G1430" s="112"/>
    </row>
    <row r="1431" spans="1:8" ht="14.25" thickTop="1" thickBot="1">
      <c r="A1431" s="95"/>
      <c r="B1431" s="808"/>
      <c r="C1431" s="808"/>
      <c r="D1431" s="808"/>
      <c r="E1431" s="809"/>
      <c r="F1431" s="120" t="s">
        <v>856</v>
      </c>
      <c r="G1431" s="118">
        <f>SUM(G1426:G1430)</f>
        <v>0</v>
      </c>
    </row>
    <row r="1432" spans="1:8" ht="14.25" thickTop="1" thickBot="1">
      <c r="A1432" s="95"/>
      <c r="B1432" s="810"/>
      <c r="C1432" s="810"/>
      <c r="D1432" s="810"/>
      <c r="E1432" s="810"/>
      <c r="F1432" s="810"/>
      <c r="G1432" s="834"/>
    </row>
    <row r="1433" spans="1:8" ht="13.5" thickTop="1">
      <c r="A1433" s="95"/>
      <c r="B1433" s="811" t="s">
        <v>326</v>
      </c>
      <c r="C1433" s="812"/>
      <c r="D1433" s="812"/>
      <c r="E1433" s="812"/>
      <c r="F1433" s="813"/>
      <c r="G1433" s="121">
        <f>+G1397+G1413+G1424</f>
        <v>37281</v>
      </c>
    </row>
    <row r="1434" spans="1:8">
      <c r="A1434" s="95"/>
      <c r="B1434" s="814" t="s">
        <v>861</v>
      </c>
      <c r="C1434" s="815"/>
      <c r="D1434" s="815"/>
      <c r="E1434" s="816"/>
      <c r="F1434" s="128">
        <f>'MANO DE OBRA'!D59</f>
        <v>0</v>
      </c>
      <c r="G1434" s="122">
        <f>ROUND(G1433*F1434,0)</f>
        <v>0</v>
      </c>
    </row>
    <row r="1435" spans="1:8" ht="13.5" thickBot="1">
      <c r="A1435" s="95"/>
      <c r="B1435" s="805" t="s">
        <v>1049</v>
      </c>
      <c r="C1435" s="806"/>
      <c r="D1435" s="806"/>
      <c r="E1435" s="806"/>
      <c r="F1435" s="807"/>
      <c r="G1435" s="118">
        <f>ROUND(G1433+G1434,-2)</f>
        <v>37300</v>
      </c>
      <c r="H1435" s="505" t="s">
        <v>1670</v>
      </c>
    </row>
    <row r="1436" spans="1:8" ht="15" thickTop="1">
      <c r="A1436" s="95"/>
      <c r="B1436" s="90" t="s">
        <v>303</v>
      </c>
      <c r="C1436" s="843"/>
      <c r="D1436" s="843"/>
      <c r="E1436" s="843"/>
      <c r="F1436" s="92" t="s">
        <v>781</v>
      </c>
      <c r="G1436" s="93" t="s">
        <v>1067</v>
      </c>
    </row>
    <row r="1437" spans="1:8">
      <c r="A1437" s="95"/>
      <c r="B1437" s="91" t="s">
        <v>834</v>
      </c>
      <c r="C1437" s="844" t="s">
        <v>1433</v>
      </c>
      <c r="D1437" s="844"/>
      <c r="E1437" s="844"/>
      <c r="F1437" s="15" t="s">
        <v>833</v>
      </c>
      <c r="G1437" s="165" t="str">
        <f>'MANO DE OBRA'!D61</f>
        <v>Agosto de 2010</v>
      </c>
    </row>
    <row r="1438" spans="1:8" ht="13.5" thickBot="1">
      <c r="A1438" s="127"/>
      <c r="B1438" s="94" t="s">
        <v>835</v>
      </c>
      <c r="C1438" s="845" t="s">
        <v>1463</v>
      </c>
      <c r="D1438" s="845"/>
      <c r="E1438" s="845"/>
      <c r="F1438" s="845"/>
      <c r="G1438" s="846"/>
    </row>
    <row r="1439" spans="1:8" ht="14.25" thickTop="1" thickBot="1">
      <c r="A1439" s="95"/>
      <c r="B1439" s="847"/>
      <c r="C1439" s="847"/>
      <c r="D1439" s="847"/>
      <c r="E1439" s="847"/>
      <c r="F1439" s="847"/>
      <c r="G1439" s="847"/>
    </row>
    <row r="1440" spans="1:8" ht="13.5" thickTop="1">
      <c r="A1440" s="95"/>
      <c r="B1440" s="811" t="s">
        <v>304</v>
      </c>
      <c r="C1440" s="812"/>
      <c r="D1440" s="812"/>
      <c r="E1440" s="812"/>
      <c r="F1440" s="812"/>
      <c r="G1440" s="825"/>
    </row>
    <row r="1441" spans="1:7">
      <c r="A1441" s="95"/>
      <c r="B1441" s="105"/>
      <c r="C1441" s="97"/>
      <c r="D1441" s="98" t="s">
        <v>301</v>
      </c>
      <c r="E1441" s="98" t="s">
        <v>1072</v>
      </c>
      <c r="F1441" s="99" t="s">
        <v>839</v>
      </c>
      <c r="G1441" s="107" t="s">
        <v>840</v>
      </c>
    </row>
    <row r="1442" spans="1:7">
      <c r="A1442" s="95"/>
      <c r="B1442" s="821" t="s">
        <v>838</v>
      </c>
      <c r="C1442" s="822"/>
      <c r="D1442" s="100" t="s">
        <v>308</v>
      </c>
      <c r="E1442" s="100" t="s">
        <v>305</v>
      </c>
      <c r="F1442" s="101" t="s">
        <v>306</v>
      </c>
      <c r="G1442" s="108" t="s">
        <v>310</v>
      </c>
    </row>
    <row r="1443" spans="1:7">
      <c r="A1443" s="95"/>
      <c r="B1443" s="115"/>
      <c r="C1443" s="102"/>
      <c r="D1443" s="103"/>
      <c r="E1443" s="103" t="s">
        <v>309</v>
      </c>
      <c r="F1443" s="104" t="s">
        <v>307</v>
      </c>
      <c r="G1443" s="109"/>
    </row>
    <row r="1444" spans="1:7">
      <c r="A1444" s="127"/>
      <c r="B1444" s="826" t="str">
        <f>'MAQUINARIA Y EQUIPOS'!C28</f>
        <v>HERRAMIENTAS MENORES</v>
      </c>
      <c r="C1444" s="824"/>
      <c r="D1444" s="87">
        <v>1</v>
      </c>
      <c r="E1444" s="82">
        <f>ROUND(G1477*0.05,0)</f>
        <v>564</v>
      </c>
      <c r="F1444" s="81">
        <v>1</v>
      </c>
      <c r="G1444" s="110">
        <f>ROUND(D1444*E1444/F1444,0)</f>
        <v>564</v>
      </c>
    </row>
    <row r="1445" spans="1:7">
      <c r="A1445" s="95"/>
      <c r="B1445" s="835"/>
      <c r="C1445" s="836"/>
      <c r="D1445" s="37"/>
      <c r="E1445" s="129"/>
      <c r="F1445" s="83"/>
      <c r="G1445" s="111"/>
    </row>
    <row r="1446" spans="1:7">
      <c r="A1446" s="95"/>
      <c r="B1446" s="835"/>
      <c r="C1446" s="836"/>
      <c r="D1446" s="37"/>
      <c r="E1446" s="129"/>
      <c r="F1446" s="83"/>
      <c r="G1446" s="111"/>
    </row>
    <row r="1447" spans="1:7">
      <c r="A1447" s="95"/>
      <c r="B1447" s="835"/>
      <c r="C1447" s="836"/>
      <c r="D1447" s="89"/>
      <c r="E1447" s="82"/>
      <c r="F1447" s="83"/>
      <c r="G1447" s="111"/>
    </row>
    <row r="1448" spans="1:7">
      <c r="A1448" s="95"/>
      <c r="B1448" s="835" t="s">
        <v>841</v>
      </c>
      <c r="C1448" s="836"/>
      <c r="D1448" s="37"/>
      <c r="E1448" s="82"/>
      <c r="F1448" s="83"/>
      <c r="G1448" s="111"/>
    </row>
    <row r="1449" spans="1:7" ht="13.5" thickBot="1">
      <c r="A1449" s="95"/>
      <c r="B1449" s="839" t="s">
        <v>841</v>
      </c>
      <c r="C1449" s="840"/>
      <c r="D1449" s="77"/>
      <c r="E1449" s="106"/>
      <c r="F1449" s="86"/>
      <c r="G1449" s="112"/>
    </row>
    <row r="1450" spans="1:7" ht="14.25" thickTop="1" thickBot="1">
      <c r="A1450" s="95"/>
      <c r="B1450" s="808"/>
      <c r="C1450" s="808"/>
      <c r="D1450" s="808"/>
      <c r="E1450" s="809"/>
      <c r="F1450" s="119" t="s">
        <v>856</v>
      </c>
      <c r="G1450" s="118">
        <f>SUM(G1444:G1449)</f>
        <v>564</v>
      </c>
    </row>
    <row r="1451" spans="1:7" ht="14.25" thickTop="1" thickBot="1">
      <c r="A1451" s="95"/>
      <c r="B1451" s="830"/>
      <c r="C1451" s="830"/>
      <c r="D1451" s="830"/>
      <c r="E1451" s="830"/>
      <c r="F1451" s="830"/>
      <c r="G1451" s="830"/>
    </row>
    <row r="1452" spans="1:7" ht="13.5" thickTop="1">
      <c r="A1452" s="95"/>
      <c r="B1452" s="811" t="s">
        <v>311</v>
      </c>
      <c r="C1452" s="812"/>
      <c r="D1452" s="812"/>
      <c r="E1452" s="812"/>
      <c r="F1452" s="812"/>
      <c r="G1452" s="825"/>
    </row>
    <row r="1453" spans="1:7">
      <c r="A1453" s="95"/>
      <c r="B1453" s="817" t="s">
        <v>838</v>
      </c>
      <c r="C1453" s="818"/>
      <c r="D1453" s="98" t="s">
        <v>842</v>
      </c>
      <c r="E1453" s="98" t="s">
        <v>853</v>
      </c>
      <c r="F1453" s="99" t="s">
        <v>1047</v>
      </c>
      <c r="G1453" s="107" t="s">
        <v>840</v>
      </c>
    </row>
    <row r="1454" spans="1:7">
      <c r="A1454" s="95"/>
      <c r="B1454" s="115"/>
      <c r="C1454" s="102"/>
      <c r="D1454" s="103"/>
      <c r="E1454" s="100" t="s">
        <v>312</v>
      </c>
      <c r="F1454" s="101" t="s">
        <v>313</v>
      </c>
      <c r="G1454" s="108" t="s">
        <v>314</v>
      </c>
    </row>
    <row r="1455" spans="1:7" ht="14.25">
      <c r="A1455" s="125"/>
      <c r="B1455" s="841" t="str">
        <f>MATERIALES2!C122</f>
        <v>ESPARTA .205x.205 (Decorpiso)</v>
      </c>
      <c r="C1455" s="842"/>
      <c r="D1455" s="37" t="s">
        <v>1067</v>
      </c>
      <c r="E1455" s="140">
        <v>1</v>
      </c>
      <c r="F1455" s="80">
        <f>MATERIALES2!E122</f>
        <v>19000</v>
      </c>
      <c r="G1455" s="110">
        <f>ROUND(E1455*F1455,0)</f>
        <v>19000</v>
      </c>
    </row>
    <row r="1456" spans="1:7">
      <c r="A1456" s="123"/>
      <c r="B1456" s="854" t="str">
        <f>MATERIALES2!C12</f>
        <v>CEMENTO BLANCO</v>
      </c>
      <c r="C1456" s="855"/>
      <c r="D1456" s="37" t="s">
        <v>925</v>
      </c>
      <c r="E1456" s="141">
        <v>1.5</v>
      </c>
      <c r="F1456" s="82">
        <f>MATERIALES2!E12</f>
        <v>750</v>
      </c>
      <c r="G1456" s="111">
        <f>ROUND(E1456*F1456,0)</f>
        <v>1125</v>
      </c>
    </row>
    <row r="1457" spans="1:8">
      <c r="A1457" s="123"/>
      <c r="B1457" s="854" t="str">
        <f>MATERIALES2!C13</f>
        <v>CEMENTO GRIS</v>
      </c>
      <c r="C1457" s="855"/>
      <c r="D1457" s="37" t="s">
        <v>925</v>
      </c>
      <c r="E1457" s="141">
        <v>7.28</v>
      </c>
      <c r="F1457" s="82">
        <f>MATERIALES2!E13</f>
        <v>420</v>
      </c>
      <c r="G1457" s="111">
        <f>ROUND(E1457*F1457,0)</f>
        <v>3058</v>
      </c>
    </row>
    <row r="1458" spans="1:8" ht="14.25">
      <c r="A1458" s="123"/>
      <c r="B1458" s="854" t="str">
        <f>MATERIALES2!C20</f>
        <v xml:space="preserve">ARENA </v>
      </c>
      <c r="C1458" s="855"/>
      <c r="D1458" s="37" t="s">
        <v>1066</v>
      </c>
      <c r="E1458" s="141">
        <v>2.3E-2</v>
      </c>
      <c r="F1458" s="82">
        <f>MATERIALES2!E20</f>
        <v>35000</v>
      </c>
      <c r="G1458" s="111">
        <f>ROUND(E1458*F1458,0)</f>
        <v>805</v>
      </c>
    </row>
    <row r="1459" spans="1:8">
      <c r="A1459" s="123"/>
      <c r="B1459" s="854" t="str">
        <f>MATERIALES2!C28</f>
        <v>AGUA</v>
      </c>
      <c r="C1459" s="855"/>
      <c r="D1459" s="37" t="s">
        <v>1071</v>
      </c>
      <c r="E1459" s="141">
        <v>4.74</v>
      </c>
      <c r="F1459" s="82">
        <f>MATERIALES2!E28</f>
        <v>50</v>
      </c>
      <c r="G1459" s="111">
        <f>ROUND(E1459*F1459,0)</f>
        <v>237</v>
      </c>
    </row>
    <row r="1460" spans="1:8">
      <c r="A1460" s="123"/>
      <c r="B1460" s="854"/>
      <c r="C1460" s="855"/>
      <c r="D1460" s="37"/>
      <c r="E1460" s="141"/>
      <c r="F1460" s="82"/>
      <c r="G1460" s="111"/>
    </row>
    <row r="1461" spans="1:8">
      <c r="A1461" s="123"/>
      <c r="B1461" s="854"/>
      <c r="C1461" s="855"/>
      <c r="D1461" s="37"/>
      <c r="E1461" s="141"/>
      <c r="F1461" s="82"/>
      <c r="G1461" s="111"/>
    </row>
    <row r="1462" spans="1:8">
      <c r="A1462" s="123"/>
      <c r="B1462" s="854"/>
      <c r="C1462" s="855"/>
      <c r="D1462" s="37"/>
      <c r="E1462" s="141"/>
      <c r="F1462" s="82"/>
      <c r="G1462" s="111"/>
      <c r="H1462" s="505" t="s">
        <v>1670</v>
      </c>
    </row>
    <row r="1463" spans="1:8" ht="13.5" thickBot="1">
      <c r="A1463" s="95"/>
      <c r="B1463" s="942" t="s">
        <v>841</v>
      </c>
      <c r="C1463" s="943"/>
      <c r="D1463" s="84" t="s">
        <v>841</v>
      </c>
      <c r="E1463" s="84"/>
      <c r="F1463" s="85"/>
      <c r="G1463" s="112"/>
    </row>
    <row r="1464" spans="1:8" ht="13.5" thickTop="1">
      <c r="A1464" s="95"/>
      <c r="B1464" s="808"/>
      <c r="C1464" s="809"/>
      <c r="D1464" s="801" t="s">
        <v>856</v>
      </c>
      <c r="E1464" s="802"/>
      <c r="F1464" s="9"/>
      <c r="G1464" s="113">
        <f>SUM(G1455:G1463)</f>
        <v>24225</v>
      </c>
    </row>
    <row r="1465" spans="1:8">
      <c r="A1465" s="95"/>
      <c r="B1465" s="819"/>
      <c r="C1465" s="820"/>
      <c r="D1465" s="801" t="s">
        <v>857</v>
      </c>
      <c r="E1465" s="802"/>
      <c r="F1465" s="79">
        <f>'MANO DE OBRA'!D60</f>
        <v>0.05</v>
      </c>
      <c r="G1465" s="113">
        <f>ROUND(G1464*F1465,0)</f>
        <v>1211</v>
      </c>
    </row>
    <row r="1466" spans="1:8" ht="13.5" thickBot="1">
      <c r="A1466" s="95"/>
      <c r="B1466" s="819"/>
      <c r="C1466" s="820"/>
      <c r="D1466" s="803" t="s">
        <v>320</v>
      </c>
      <c r="E1466" s="804"/>
      <c r="F1466" s="114"/>
      <c r="G1466" s="118">
        <f>+G1464+G1465</f>
        <v>25436</v>
      </c>
    </row>
    <row r="1467" spans="1:8" ht="14.25" thickTop="1" thickBot="1">
      <c r="A1467" s="95"/>
      <c r="B1467" s="830"/>
      <c r="C1467" s="830"/>
      <c r="D1467" s="830"/>
      <c r="E1467" s="830"/>
      <c r="F1467" s="830"/>
      <c r="G1467" s="830"/>
    </row>
    <row r="1468" spans="1:8" ht="13.5" thickTop="1">
      <c r="A1468" s="95"/>
      <c r="B1468" s="811" t="s">
        <v>858</v>
      </c>
      <c r="C1468" s="812"/>
      <c r="D1468" s="812"/>
      <c r="E1468" s="812"/>
      <c r="F1468" s="812"/>
      <c r="G1468" s="825"/>
    </row>
    <row r="1469" spans="1:8">
      <c r="A1469" s="95"/>
      <c r="B1469" s="817"/>
      <c r="C1469" s="818"/>
      <c r="D1469" s="98" t="s">
        <v>301</v>
      </c>
      <c r="E1469" s="98" t="s">
        <v>859</v>
      </c>
      <c r="F1469" s="99" t="s">
        <v>839</v>
      </c>
      <c r="G1469" s="107" t="s">
        <v>840</v>
      </c>
    </row>
    <row r="1470" spans="1:8">
      <c r="A1470" s="95"/>
      <c r="B1470" s="821" t="s">
        <v>838</v>
      </c>
      <c r="C1470" s="822"/>
      <c r="D1470" s="100" t="s">
        <v>316</v>
      </c>
      <c r="E1470" s="100" t="s">
        <v>315</v>
      </c>
      <c r="F1470" s="101" t="s">
        <v>306</v>
      </c>
      <c r="G1470" s="108" t="s">
        <v>319</v>
      </c>
    </row>
    <row r="1471" spans="1:8">
      <c r="A1471" s="95"/>
      <c r="B1471" s="115"/>
      <c r="C1471" s="102"/>
      <c r="D1471" s="103"/>
      <c r="E1471" s="103" t="s">
        <v>317</v>
      </c>
      <c r="F1471" s="104" t="s">
        <v>318</v>
      </c>
      <c r="G1471" s="109"/>
    </row>
    <row r="1472" spans="1:8">
      <c r="A1472" s="95"/>
      <c r="B1472" s="823" t="str">
        <f>'MANO DE OBRA'!B10</f>
        <v>AYUDANTE CUAD. TIPO AA</v>
      </c>
      <c r="C1472" s="824"/>
      <c r="D1472" s="87">
        <v>1</v>
      </c>
      <c r="E1472" s="80">
        <f>'MANO DE OBRA'!E10</f>
        <v>34680</v>
      </c>
      <c r="F1472" s="81">
        <v>9.41</v>
      </c>
      <c r="G1472" s="110">
        <f>ROUND(D1472*E1472/F1472,0)</f>
        <v>3685</v>
      </c>
    </row>
    <row r="1473" spans="1:8">
      <c r="A1473" s="95"/>
      <c r="B1473" s="835" t="str">
        <f>'MANO DE OBRA'!B15</f>
        <v xml:space="preserve">OFICIAL CUAD. TIPO AA </v>
      </c>
      <c r="C1473" s="836"/>
      <c r="D1473" s="37">
        <v>1</v>
      </c>
      <c r="E1473" s="82">
        <f>'MANO DE OBRA'!E15</f>
        <v>71474</v>
      </c>
      <c r="F1473" s="83">
        <v>9.41</v>
      </c>
      <c r="G1473" s="111">
        <f>ROUND(D1473*E1473/F1473,0)</f>
        <v>7596</v>
      </c>
    </row>
    <row r="1474" spans="1:8">
      <c r="A1474" s="95"/>
      <c r="B1474" s="835"/>
      <c r="C1474" s="836"/>
      <c r="D1474" s="89"/>
      <c r="E1474" s="82"/>
      <c r="F1474" s="83"/>
      <c r="G1474" s="111"/>
    </row>
    <row r="1475" spans="1:8">
      <c r="A1475" s="95"/>
      <c r="B1475" s="835" t="s">
        <v>841</v>
      </c>
      <c r="C1475" s="836"/>
      <c r="D1475" s="37"/>
      <c r="E1475" s="82"/>
      <c r="F1475" s="83"/>
      <c r="G1475" s="111"/>
    </row>
    <row r="1476" spans="1:8" ht="13.5" thickBot="1">
      <c r="A1476" s="95"/>
      <c r="B1476" s="828" t="s">
        <v>841</v>
      </c>
      <c r="C1476" s="829"/>
      <c r="D1476" s="77"/>
      <c r="E1476" s="82"/>
      <c r="F1476" s="86"/>
      <c r="G1476" s="112"/>
    </row>
    <row r="1477" spans="1:8" ht="14.25" thickTop="1" thickBot="1">
      <c r="A1477" s="95"/>
      <c r="B1477" s="808"/>
      <c r="C1477" s="808"/>
      <c r="D1477" s="808"/>
      <c r="E1477" s="809"/>
      <c r="F1477" s="120" t="s">
        <v>856</v>
      </c>
      <c r="G1477" s="118">
        <f>SUM(G1472:G1476)</f>
        <v>11281</v>
      </c>
    </row>
    <row r="1478" spans="1:8" ht="14.25" thickTop="1" thickBot="1">
      <c r="A1478" s="95"/>
      <c r="B1478" s="810"/>
      <c r="C1478" s="810"/>
      <c r="D1478" s="810"/>
      <c r="E1478" s="810"/>
      <c r="F1478" s="810"/>
      <c r="G1478" s="810"/>
    </row>
    <row r="1479" spans="1:8" ht="13.5" thickTop="1">
      <c r="A1479" s="95"/>
      <c r="B1479" s="811" t="s">
        <v>321</v>
      </c>
      <c r="C1479" s="812"/>
      <c r="D1479" s="812"/>
      <c r="E1479" s="812"/>
      <c r="F1479" s="812"/>
      <c r="G1479" s="825"/>
    </row>
    <row r="1480" spans="1:8">
      <c r="A1480" s="95"/>
      <c r="B1480" s="817" t="s">
        <v>838</v>
      </c>
      <c r="C1480" s="818"/>
      <c r="D1480" s="98" t="s">
        <v>301</v>
      </c>
      <c r="E1480" s="98" t="s">
        <v>297</v>
      </c>
      <c r="F1480" s="99" t="s">
        <v>839</v>
      </c>
      <c r="G1480" s="107" t="s">
        <v>840</v>
      </c>
    </row>
    <row r="1481" spans="1:8">
      <c r="A1481" s="95"/>
      <c r="B1481" s="115"/>
      <c r="C1481" s="102"/>
      <c r="D1481" s="103" t="s">
        <v>322</v>
      </c>
      <c r="E1481" s="103" t="s">
        <v>323</v>
      </c>
      <c r="F1481" s="104" t="s">
        <v>324</v>
      </c>
      <c r="G1481" s="109" t="s">
        <v>325</v>
      </c>
    </row>
    <row r="1482" spans="1:8">
      <c r="A1482" s="95"/>
      <c r="B1482" s="826"/>
      <c r="C1482" s="827"/>
      <c r="D1482" s="96"/>
      <c r="E1482" s="96"/>
      <c r="F1482" s="96"/>
      <c r="G1482" s="116"/>
    </row>
    <row r="1483" spans="1:8" ht="13.5" thickBot="1">
      <c r="A1483" s="95"/>
      <c r="B1483" s="828" t="s">
        <v>841</v>
      </c>
      <c r="C1483" s="829"/>
      <c r="D1483" s="77"/>
      <c r="E1483" s="82"/>
      <c r="F1483" s="86"/>
      <c r="G1483" s="112"/>
    </row>
    <row r="1484" spans="1:8" ht="14.25" thickTop="1" thickBot="1">
      <c r="A1484" s="95"/>
      <c r="B1484" s="808"/>
      <c r="C1484" s="808"/>
      <c r="D1484" s="808"/>
      <c r="E1484" s="809"/>
      <c r="F1484" s="120" t="s">
        <v>856</v>
      </c>
      <c r="G1484" s="118">
        <f>SUM(G1479:G1483)</f>
        <v>0</v>
      </c>
    </row>
    <row r="1485" spans="1:8" ht="14.25" thickTop="1" thickBot="1">
      <c r="A1485" s="95"/>
      <c r="B1485" s="810"/>
      <c r="C1485" s="810"/>
      <c r="D1485" s="810"/>
      <c r="E1485" s="810"/>
      <c r="F1485" s="810"/>
      <c r="G1485" s="834"/>
    </row>
    <row r="1486" spans="1:8" ht="13.5" thickTop="1">
      <c r="A1486" s="95"/>
      <c r="B1486" s="811" t="s">
        <v>326</v>
      </c>
      <c r="C1486" s="812"/>
      <c r="D1486" s="812"/>
      <c r="E1486" s="812"/>
      <c r="F1486" s="813"/>
      <c r="G1486" s="121">
        <f>+G1450+G1466+G1477</f>
        <v>37281</v>
      </c>
    </row>
    <row r="1487" spans="1:8">
      <c r="A1487" s="95"/>
      <c r="B1487" s="814" t="s">
        <v>861</v>
      </c>
      <c r="C1487" s="815"/>
      <c r="D1487" s="815"/>
      <c r="E1487" s="816"/>
      <c r="F1487" s="128">
        <f>'MANO DE OBRA'!D59</f>
        <v>0</v>
      </c>
      <c r="G1487" s="122">
        <f>ROUND(G1486*F1487,0)</f>
        <v>0</v>
      </c>
    </row>
    <row r="1488" spans="1:8" ht="13.5" thickBot="1">
      <c r="A1488" s="95"/>
      <c r="B1488" s="805" t="s">
        <v>1049</v>
      </c>
      <c r="C1488" s="806"/>
      <c r="D1488" s="806"/>
      <c r="E1488" s="806"/>
      <c r="F1488" s="807"/>
      <c r="G1488" s="118">
        <f>ROUND(G1486+G1487,-2)</f>
        <v>37300</v>
      </c>
      <c r="H1488" s="505" t="s">
        <v>1670</v>
      </c>
    </row>
    <row r="1489" spans="1:7" ht="15" thickTop="1">
      <c r="A1489" s="95"/>
      <c r="B1489" s="90" t="s">
        <v>303</v>
      </c>
      <c r="C1489" s="843"/>
      <c r="D1489" s="843"/>
      <c r="E1489" s="843"/>
      <c r="F1489" s="92" t="s">
        <v>781</v>
      </c>
      <c r="G1489" s="93" t="s">
        <v>1067</v>
      </c>
    </row>
    <row r="1490" spans="1:7">
      <c r="A1490" s="95"/>
      <c r="B1490" s="91" t="s">
        <v>834</v>
      </c>
      <c r="C1490" s="844" t="s">
        <v>1433</v>
      </c>
      <c r="D1490" s="844"/>
      <c r="E1490" s="844"/>
      <c r="F1490" s="15" t="s">
        <v>833</v>
      </c>
      <c r="G1490" s="165" t="str">
        <f>'MANO DE OBRA'!D61</f>
        <v>Agosto de 2010</v>
      </c>
    </row>
    <row r="1491" spans="1:7" ht="13.5" thickBot="1">
      <c r="A1491" s="127"/>
      <c r="B1491" s="94" t="s">
        <v>835</v>
      </c>
      <c r="C1491" s="845" t="s">
        <v>1464</v>
      </c>
      <c r="D1491" s="845"/>
      <c r="E1491" s="845"/>
      <c r="F1491" s="845"/>
      <c r="G1491" s="846"/>
    </row>
    <row r="1492" spans="1:7" ht="14.25" thickTop="1" thickBot="1">
      <c r="A1492" s="95"/>
      <c r="B1492" s="847"/>
      <c r="C1492" s="847"/>
      <c r="D1492" s="847"/>
      <c r="E1492" s="847"/>
      <c r="F1492" s="847"/>
      <c r="G1492" s="847"/>
    </row>
    <row r="1493" spans="1:7" ht="13.5" thickTop="1">
      <c r="A1493" s="95"/>
      <c r="B1493" s="811" t="s">
        <v>304</v>
      </c>
      <c r="C1493" s="812"/>
      <c r="D1493" s="812"/>
      <c r="E1493" s="812"/>
      <c r="F1493" s="812"/>
      <c r="G1493" s="825"/>
    </row>
    <row r="1494" spans="1:7">
      <c r="A1494" s="95"/>
      <c r="B1494" s="105"/>
      <c r="C1494" s="97"/>
      <c r="D1494" s="98" t="s">
        <v>301</v>
      </c>
      <c r="E1494" s="98" t="s">
        <v>1072</v>
      </c>
      <c r="F1494" s="99" t="s">
        <v>839</v>
      </c>
      <c r="G1494" s="107" t="s">
        <v>840</v>
      </c>
    </row>
    <row r="1495" spans="1:7">
      <c r="A1495" s="95"/>
      <c r="B1495" s="821" t="s">
        <v>838</v>
      </c>
      <c r="C1495" s="822"/>
      <c r="D1495" s="100" t="s">
        <v>308</v>
      </c>
      <c r="E1495" s="100" t="s">
        <v>305</v>
      </c>
      <c r="F1495" s="101" t="s">
        <v>306</v>
      </c>
      <c r="G1495" s="108" t="s">
        <v>310</v>
      </c>
    </row>
    <row r="1496" spans="1:7">
      <c r="A1496" s="95"/>
      <c r="B1496" s="115"/>
      <c r="C1496" s="102"/>
      <c r="D1496" s="103"/>
      <c r="E1496" s="103" t="s">
        <v>309</v>
      </c>
      <c r="F1496" s="104" t="s">
        <v>307</v>
      </c>
      <c r="G1496" s="109"/>
    </row>
    <row r="1497" spans="1:7">
      <c r="A1497" s="127"/>
      <c r="B1497" s="826" t="str">
        <f>'MAQUINARIA Y EQUIPOS'!C28</f>
        <v>HERRAMIENTAS MENORES</v>
      </c>
      <c r="C1497" s="824"/>
      <c r="D1497" s="87">
        <v>1</v>
      </c>
      <c r="E1497" s="82">
        <f>ROUND(G1530*0.05,0)</f>
        <v>564</v>
      </c>
      <c r="F1497" s="81">
        <v>1</v>
      </c>
      <c r="G1497" s="110">
        <f>ROUND(D1497*E1497/F1497,0)</f>
        <v>564</v>
      </c>
    </row>
    <row r="1498" spans="1:7">
      <c r="A1498" s="95"/>
      <c r="B1498" s="835"/>
      <c r="C1498" s="836"/>
      <c r="D1498" s="37"/>
      <c r="E1498" s="129"/>
      <c r="F1498" s="83"/>
      <c r="G1498" s="111"/>
    </row>
    <row r="1499" spans="1:7">
      <c r="A1499" s="95"/>
      <c r="B1499" s="835"/>
      <c r="C1499" s="836"/>
      <c r="D1499" s="37"/>
      <c r="E1499" s="129"/>
      <c r="F1499" s="83"/>
      <c r="G1499" s="111"/>
    </row>
    <row r="1500" spans="1:7">
      <c r="A1500" s="95"/>
      <c r="B1500" s="835"/>
      <c r="C1500" s="836"/>
      <c r="D1500" s="89"/>
      <c r="E1500" s="82"/>
      <c r="F1500" s="83"/>
      <c r="G1500" s="111"/>
    </row>
    <row r="1501" spans="1:7">
      <c r="A1501" s="95"/>
      <c r="B1501" s="835" t="s">
        <v>841</v>
      </c>
      <c r="C1501" s="836"/>
      <c r="D1501" s="37"/>
      <c r="E1501" s="82"/>
      <c r="F1501" s="83"/>
      <c r="G1501" s="111"/>
    </row>
    <row r="1502" spans="1:7" ht="13.5" thickBot="1">
      <c r="A1502" s="95"/>
      <c r="B1502" s="839" t="s">
        <v>841</v>
      </c>
      <c r="C1502" s="840"/>
      <c r="D1502" s="77"/>
      <c r="E1502" s="106"/>
      <c r="F1502" s="86"/>
      <c r="G1502" s="112"/>
    </row>
    <row r="1503" spans="1:7" ht="14.25" thickTop="1" thickBot="1">
      <c r="A1503" s="95"/>
      <c r="B1503" s="808"/>
      <c r="C1503" s="808"/>
      <c r="D1503" s="808"/>
      <c r="E1503" s="809"/>
      <c r="F1503" s="119" t="s">
        <v>856</v>
      </c>
      <c r="G1503" s="118">
        <f>SUM(G1497:G1502)</f>
        <v>564</v>
      </c>
    </row>
    <row r="1504" spans="1:7" ht="14.25" thickTop="1" thickBot="1">
      <c r="A1504" s="95"/>
      <c r="B1504" s="830"/>
      <c r="C1504" s="830"/>
      <c r="D1504" s="830"/>
      <c r="E1504" s="830"/>
      <c r="F1504" s="830"/>
      <c r="G1504" s="830"/>
    </row>
    <row r="1505" spans="1:8" ht="13.5" thickTop="1">
      <c r="A1505" s="95"/>
      <c r="B1505" s="811" t="s">
        <v>311</v>
      </c>
      <c r="C1505" s="812"/>
      <c r="D1505" s="812"/>
      <c r="E1505" s="812"/>
      <c r="F1505" s="812"/>
      <c r="G1505" s="825"/>
    </row>
    <row r="1506" spans="1:8">
      <c r="A1506" s="95"/>
      <c r="B1506" s="817" t="s">
        <v>838</v>
      </c>
      <c r="C1506" s="818"/>
      <c r="D1506" s="98" t="s">
        <v>842</v>
      </c>
      <c r="E1506" s="98" t="s">
        <v>853</v>
      </c>
      <c r="F1506" s="99" t="s">
        <v>1047</v>
      </c>
      <c r="G1506" s="107" t="s">
        <v>840</v>
      </c>
    </row>
    <row r="1507" spans="1:8">
      <c r="A1507" s="95"/>
      <c r="B1507" s="115"/>
      <c r="C1507" s="102"/>
      <c r="D1507" s="103"/>
      <c r="E1507" s="100" t="s">
        <v>312</v>
      </c>
      <c r="F1507" s="101" t="s">
        <v>313</v>
      </c>
      <c r="G1507" s="108" t="s">
        <v>314</v>
      </c>
    </row>
    <row r="1508" spans="1:8" ht="14.25">
      <c r="A1508" s="125"/>
      <c r="B1508" s="841" t="str">
        <f>MATERIALES2!C112</f>
        <v>TABLON VITRIFICADO 7x 12</v>
      </c>
      <c r="C1508" s="842"/>
      <c r="D1508" s="37" t="s">
        <v>1067</v>
      </c>
      <c r="E1508" s="140">
        <v>1</v>
      </c>
      <c r="F1508" s="80">
        <f>MATERIALES2!E112</f>
        <v>7500</v>
      </c>
      <c r="G1508" s="110">
        <f>ROUND(E1508*F1508,0)</f>
        <v>7500</v>
      </c>
    </row>
    <row r="1509" spans="1:8">
      <c r="A1509" s="123"/>
      <c r="B1509" s="854" t="str">
        <f>MATERIALES2!C13</f>
        <v>CEMENTO GRIS</v>
      </c>
      <c r="C1509" s="855"/>
      <c r="D1509" s="37" t="s">
        <v>925</v>
      </c>
      <c r="E1509" s="141">
        <v>9.06</v>
      </c>
      <c r="F1509" s="82">
        <f>MATERIALES2!E13</f>
        <v>420</v>
      </c>
      <c r="G1509" s="111">
        <f>ROUND(E1509*F1509,0)</f>
        <v>3805</v>
      </c>
    </row>
    <row r="1510" spans="1:8" ht="14.25">
      <c r="A1510" s="123"/>
      <c r="B1510" s="854" t="str">
        <f>MATERIALES2!C20</f>
        <v xml:space="preserve">ARENA </v>
      </c>
      <c r="C1510" s="855"/>
      <c r="D1510" s="37" t="s">
        <v>1066</v>
      </c>
      <c r="E1510" s="141">
        <v>3.5999999999999997E-2</v>
      </c>
      <c r="F1510" s="82">
        <f>MATERIALES2!E20</f>
        <v>35000</v>
      </c>
      <c r="G1510" s="111">
        <f>ROUND(E1510*F1510,0)</f>
        <v>1260</v>
      </c>
    </row>
    <row r="1511" spans="1:8">
      <c r="A1511" s="123"/>
      <c r="B1511" s="854" t="str">
        <f>MATERIALES2!C28</f>
        <v>AGUA</v>
      </c>
      <c r="C1511" s="855"/>
      <c r="D1511" s="37" t="s">
        <v>1071</v>
      </c>
      <c r="E1511" s="141">
        <v>7.11</v>
      </c>
      <c r="F1511" s="82">
        <f>MATERIALES2!E28</f>
        <v>50</v>
      </c>
      <c r="G1511" s="111">
        <f>ROUND(E1511*F1511,0)</f>
        <v>356</v>
      </c>
    </row>
    <row r="1512" spans="1:8">
      <c r="A1512" s="123"/>
      <c r="B1512" s="854"/>
      <c r="C1512" s="855"/>
      <c r="D1512" s="37"/>
      <c r="E1512" s="141"/>
      <c r="F1512" s="82"/>
      <c r="G1512" s="111"/>
    </row>
    <row r="1513" spans="1:8">
      <c r="A1513" s="123"/>
      <c r="B1513" s="854"/>
      <c r="C1513" s="855"/>
      <c r="D1513" s="37"/>
      <c r="E1513" s="141"/>
      <c r="F1513" s="82"/>
      <c r="G1513" s="111"/>
    </row>
    <row r="1514" spans="1:8">
      <c r="A1514" s="123"/>
      <c r="B1514" s="854"/>
      <c r="C1514" s="855"/>
      <c r="D1514" s="37"/>
      <c r="E1514" s="141"/>
      <c r="F1514" s="82"/>
      <c r="G1514" s="111"/>
    </row>
    <row r="1515" spans="1:8">
      <c r="A1515" s="123"/>
      <c r="B1515" s="854"/>
      <c r="C1515" s="855"/>
      <c r="D1515" s="37"/>
      <c r="E1515" s="141"/>
      <c r="F1515" s="82"/>
      <c r="G1515" s="111"/>
      <c r="H1515" s="505" t="s">
        <v>1670</v>
      </c>
    </row>
    <row r="1516" spans="1:8" ht="13.5" thickBot="1">
      <c r="A1516" s="95"/>
      <c r="B1516" s="942" t="s">
        <v>841</v>
      </c>
      <c r="C1516" s="943"/>
      <c r="D1516" s="84" t="s">
        <v>841</v>
      </c>
      <c r="E1516" s="84"/>
      <c r="F1516" s="85"/>
      <c r="G1516" s="112"/>
    </row>
    <row r="1517" spans="1:8" ht="13.5" thickTop="1">
      <c r="A1517" s="95"/>
      <c r="B1517" s="808"/>
      <c r="C1517" s="809"/>
      <c r="D1517" s="801" t="s">
        <v>856</v>
      </c>
      <c r="E1517" s="802"/>
      <c r="F1517" s="9"/>
      <c r="G1517" s="113">
        <f>SUM(G1508:G1516)</f>
        <v>12921</v>
      </c>
    </row>
    <row r="1518" spans="1:8">
      <c r="A1518" s="95"/>
      <c r="B1518" s="819"/>
      <c r="C1518" s="820"/>
      <c r="D1518" s="801" t="s">
        <v>857</v>
      </c>
      <c r="E1518" s="802"/>
      <c r="F1518" s="79">
        <f>'MANO DE OBRA'!D60</f>
        <v>0.05</v>
      </c>
      <c r="G1518" s="113">
        <f>ROUND(G1517*F1518,0)</f>
        <v>646</v>
      </c>
    </row>
    <row r="1519" spans="1:8" ht="13.5" thickBot="1">
      <c r="A1519" s="95"/>
      <c r="B1519" s="819"/>
      <c r="C1519" s="820"/>
      <c r="D1519" s="803" t="s">
        <v>320</v>
      </c>
      <c r="E1519" s="804"/>
      <c r="F1519" s="114"/>
      <c r="G1519" s="118">
        <f>+G1517+G1518</f>
        <v>13567</v>
      </c>
    </row>
    <row r="1520" spans="1:8" ht="14.25" thickTop="1" thickBot="1">
      <c r="A1520" s="95"/>
      <c r="B1520" s="830"/>
      <c r="C1520" s="830"/>
      <c r="D1520" s="830"/>
      <c r="E1520" s="830"/>
      <c r="F1520" s="830"/>
      <c r="G1520" s="830"/>
    </row>
    <row r="1521" spans="1:7" ht="13.5" thickTop="1">
      <c r="A1521" s="95"/>
      <c r="B1521" s="811" t="s">
        <v>858</v>
      </c>
      <c r="C1521" s="812"/>
      <c r="D1521" s="812"/>
      <c r="E1521" s="812"/>
      <c r="F1521" s="812"/>
      <c r="G1521" s="825"/>
    </row>
    <row r="1522" spans="1:7">
      <c r="A1522" s="95"/>
      <c r="B1522" s="817"/>
      <c r="C1522" s="818"/>
      <c r="D1522" s="98" t="s">
        <v>301</v>
      </c>
      <c r="E1522" s="98" t="s">
        <v>859</v>
      </c>
      <c r="F1522" s="99" t="s">
        <v>839</v>
      </c>
      <c r="G1522" s="107" t="s">
        <v>840</v>
      </c>
    </row>
    <row r="1523" spans="1:7">
      <c r="A1523" s="95"/>
      <c r="B1523" s="821" t="s">
        <v>838</v>
      </c>
      <c r="C1523" s="822"/>
      <c r="D1523" s="100" t="s">
        <v>316</v>
      </c>
      <c r="E1523" s="100" t="s">
        <v>315</v>
      </c>
      <c r="F1523" s="101" t="s">
        <v>306</v>
      </c>
      <c r="G1523" s="108" t="s">
        <v>319</v>
      </c>
    </row>
    <row r="1524" spans="1:7">
      <c r="A1524" s="95"/>
      <c r="B1524" s="115"/>
      <c r="C1524" s="102"/>
      <c r="D1524" s="103"/>
      <c r="E1524" s="103" t="s">
        <v>317</v>
      </c>
      <c r="F1524" s="104" t="s">
        <v>318</v>
      </c>
      <c r="G1524" s="109"/>
    </row>
    <row r="1525" spans="1:7">
      <c r="A1525" s="95"/>
      <c r="B1525" s="823" t="str">
        <f>'MANO DE OBRA'!B10</f>
        <v>AYUDANTE CUAD. TIPO AA</v>
      </c>
      <c r="C1525" s="824"/>
      <c r="D1525" s="87">
        <v>1</v>
      </c>
      <c r="E1525" s="80">
        <f>'MANO DE OBRA'!E10</f>
        <v>34680</v>
      </c>
      <c r="F1525" s="81">
        <v>9.41</v>
      </c>
      <c r="G1525" s="110">
        <f>ROUND(D1525*E1525/F1525,0)</f>
        <v>3685</v>
      </c>
    </row>
    <row r="1526" spans="1:7">
      <c r="A1526" s="95"/>
      <c r="B1526" s="835" t="str">
        <f>'MANO DE OBRA'!B15</f>
        <v xml:space="preserve">OFICIAL CUAD. TIPO AA </v>
      </c>
      <c r="C1526" s="836"/>
      <c r="D1526" s="37">
        <v>1</v>
      </c>
      <c r="E1526" s="82">
        <f>'MANO DE OBRA'!E15</f>
        <v>71474</v>
      </c>
      <c r="F1526" s="83">
        <v>9.41</v>
      </c>
      <c r="G1526" s="111">
        <f>ROUND(D1526*E1526/F1526,0)</f>
        <v>7596</v>
      </c>
    </row>
    <row r="1527" spans="1:7">
      <c r="A1527" s="95"/>
      <c r="B1527" s="835"/>
      <c r="C1527" s="836"/>
      <c r="D1527" s="89"/>
      <c r="E1527" s="82"/>
      <c r="F1527" s="83"/>
      <c r="G1527" s="111"/>
    </row>
    <row r="1528" spans="1:7">
      <c r="A1528" s="95"/>
      <c r="B1528" s="835" t="s">
        <v>841</v>
      </c>
      <c r="C1528" s="836"/>
      <c r="D1528" s="37"/>
      <c r="E1528" s="82"/>
      <c r="F1528" s="83"/>
      <c r="G1528" s="111"/>
    </row>
    <row r="1529" spans="1:7" ht="13.5" thickBot="1">
      <c r="A1529" s="95"/>
      <c r="B1529" s="828" t="s">
        <v>841</v>
      </c>
      <c r="C1529" s="829"/>
      <c r="D1529" s="77"/>
      <c r="E1529" s="82"/>
      <c r="F1529" s="86"/>
      <c r="G1529" s="112"/>
    </row>
    <row r="1530" spans="1:7" ht="14.25" thickTop="1" thickBot="1">
      <c r="A1530" s="95"/>
      <c r="B1530" s="808"/>
      <c r="C1530" s="808"/>
      <c r="D1530" s="808"/>
      <c r="E1530" s="809"/>
      <c r="F1530" s="120" t="s">
        <v>856</v>
      </c>
      <c r="G1530" s="118">
        <f>SUM(G1525:G1529)</f>
        <v>11281</v>
      </c>
    </row>
    <row r="1531" spans="1:7" ht="14.25" thickTop="1" thickBot="1">
      <c r="A1531" s="95"/>
      <c r="B1531" s="810"/>
      <c r="C1531" s="810"/>
      <c r="D1531" s="810"/>
      <c r="E1531" s="810"/>
      <c r="F1531" s="810"/>
      <c r="G1531" s="810"/>
    </row>
    <row r="1532" spans="1:7" ht="13.5" thickTop="1">
      <c r="A1532" s="95"/>
      <c r="B1532" s="811" t="s">
        <v>321</v>
      </c>
      <c r="C1532" s="812"/>
      <c r="D1532" s="812"/>
      <c r="E1532" s="812"/>
      <c r="F1532" s="812"/>
      <c r="G1532" s="825"/>
    </row>
    <row r="1533" spans="1:7">
      <c r="A1533" s="95"/>
      <c r="B1533" s="817" t="s">
        <v>838</v>
      </c>
      <c r="C1533" s="818"/>
      <c r="D1533" s="98" t="s">
        <v>301</v>
      </c>
      <c r="E1533" s="98" t="s">
        <v>297</v>
      </c>
      <c r="F1533" s="99" t="s">
        <v>839</v>
      </c>
      <c r="G1533" s="107" t="s">
        <v>840</v>
      </c>
    </row>
    <row r="1534" spans="1:7">
      <c r="A1534" s="95"/>
      <c r="B1534" s="115"/>
      <c r="C1534" s="102"/>
      <c r="D1534" s="103" t="s">
        <v>322</v>
      </c>
      <c r="E1534" s="103" t="s">
        <v>323</v>
      </c>
      <c r="F1534" s="104" t="s">
        <v>324</v>
      </c>
      <c r="G1534" s="109" t="s">
        <v>325</v>
      </c>
    </row>
    <row r="1535" spans="1:7">
      <c r="A1535" s="95"/>
      <c r="B1535" s="826"/>
      <c r="C1535" s="827"/>
      <c r="D1535" s="96"/>
      <c r="E1535" s="96"/>
      <c r="F1535" s="96"/>
      <c r="G1535" s="116"/>
    </row>
    <row r="1536" spans="1:7" ht="13.5" thickBot="1">
      <c r="A1536" s="95"/>
      <c r="B1536" s="828" t="s">
        <v>841</v>
      </c>
      <c r="C1536" s="829"/>
      <c r="D1536" s="77"/>
      <c r="E1536" s="82"/>
      <c r="F1536" s="86"/>
      <c r="G1536" s="112"/>
    </row>
    <row r="1537" spans="1:8" ht="14.25" thickTop="1" thickBot="1">
      <c r="A1537" s="95"/>
      <c r="B1537" s="808"/>
      <c r="C1537" s="808"/>
      <c r="D1537" s="808"/>
      <c r="E1537" s="809"/>
      <c r="F1537" s="120" t="s">
        <v>856</v>
      </c>
      <c r="G1537" s="118">
        <f>SUM(G1532:G1536)</f>
        <v>0</v>
      </c>
    </row>
    <row r="1538" spans="1:8" ht="14.25" thickTop="1" thickBot="1">
      <c r="A1538" s="95"/>
      <c r="B1538" s="810"/>
      <c r="C1538" s="810"/>
      <c r="D1538" s="810"/>
      <c r="E1538" s="810"/>
      <c r="F1538" s="810"/>
      <c r="G1538" s="834"/>
    </row>
    <row r="1539" spans="1:8" ht="13.5" thickTop="1">
      <c r="A1539" s="95"/>
      <c r="B1539" s="811" t="s">
        <v>326</v>
      </c>
      <c r="C1539" s="812"/>
      <c r="D1539" s="812"/>
      <c r="E1539" s="812"/>
      <c r="F1539" s="813"/>
      <c r="G1539" s="121">
        <f>+G1503+G1519+G1530</f>
        <v>25412</v>
      </c>
    </row>
    <row r="1540" spans="1:8">
      <c r="A1540" s="95"/>
      <c r="B1540" s="814" t="s">
        <v>861</v>
      </c>
      <c r="C1540" s="815"/>
      <c r="D1540" s="815"/>
      <c r="E1540" s="816"/>
      <c r="F1540" s="128">
        <f>'MANO DE OBRA'!D59</f>
        <v>0</v>
      </c>
      <c r="G1540" s="122">
        <f>ROUND(G1539*F1540,0)</f>
        <v>0</v>
      </c>
    </row>
    <row r="1541" spans="1:8" ht="13.5" thickBot="1">
      <c r="A1541" s="95"/>
      <c r="B1541" s="805" t="s">
        <v>1049</v>
      </c>
      <c r="C1541" s="806"/>
      <c r="D1541" s="806"/>
      <c r="E1541" s="806"/>
      <c r="F1541" s="807"/>
      <c r="G1541" s="118">
        <f>ROUND(G1539+G1540,-2)</f>
        <v>25400</v>
      </c>
      <c r="H1541" s="505" t="s">
        <v>1670</v>
      </c>
    </row>
    <row r="1542" spans="1:8" ht="15" thickTop="1">
      <c r="A1542" s="95"/>
      <c r="B1542" s="90" t="s">
        <v>303</v>
      </c>
      <c r="C1542" s="843"/>
      <c r="D1542" s="843"/>
      <c r="E1542" s="843"/>
      <c r="F1542" s="92" t="s">
        <v>781</v>
      </c>
      <c r="G1542" s="93" t="s">
        <v>1067</v>
      </c>
    </row>
    <row r="1543" spans="1:8">
      <c r="A1543" s="95"/>
      <c r="B1543" s="91" t="s">
        <v>834</v>
      </c>
      <c r="C1543" s="844" t="s">
        <v>1433</v>
      </c>
      <c r="D1543" s="844"/>
      <c r="E1543" s="844"/>
      <c r="F1543" s="15" t="s">
        <v>833</v>
      </c>
      <c r="G1543" s="165" t="str">
        <f>'MANO DE OBRA'!D61</f>
        <v>Agosto de 2010</v>
      </c>
    </row>
    <row r="1544" spans="1:8" ht="13.5" thickBot="1">
      <c r="A1544" s="127"/>
      <c r="B1544" s="94" t="s">
        <v>835</v>
      </c>
      <c r="C1544" s="845" t="s">
        <v>1465</v>
      </c>
      <c r="D1544" s="845"/>
      <c r="E1544" s="845"/>
      <c r="F1544" s="845"/>
      <c r="G1544" s="846"/>
    </row>
    <row r="1545" spans="1:8" ht="14.25" thickTop="1" thickBot="1">
      <c r="A1545" s="95"/>
      <c r="B1545" s="847"/>
      <c r="C1545" s="847"/>
      <c r="D1545" s="847"/>
      <c r="E1545" s="847"/>
      <c r="F1545" s="847"/>
      <c r="G1545" s="847"/>
    </row>
    <row r="1546" spans="1:8" ht="13.5" thickTop="1">
      <c r="A1546" s="95"/>
      <c r="B1546" s="811" t="s">
        <v>304</v>
      </c>
      <c r="C1546" s="812"/>
      <c r="D1546" s="812"/>
      <c r="E1546" s="812"/>
      <c r="F1546" s="812"/>
      <c r="G1546" s="825"/>
    </row>
    <row r="1547" spans="1:8">
      <c r="A1547" s="95"/>
      <c r="B1547" s="105"/>
      <c r="C1547" s="97"/>
      <c r="D1547" s="98" t="s">
        <v>301</v>
      </c>
      <c r="E1547" s="98" t="s">
        <v>1072</v>
      </c>
      <c r="F1547" s="99" t="s">
        <v>839</v>
      </c>
      <c r="G1547" s="107" t="s">
        <v>840</v>
      </c>
    </row>
    <row r="1548" spans="1:8">
      <c r="A1548" s="95"/>
      <c r="B1548" s="821" t="s">
        <v>838</v>
      </c>
      <c r="C1548" s="822"/>
      <c r="D1548" s="100" t="s">
        <v>308</v>
      </c>
      <c r="E1548" s="100" t="s">
        <v>305</v>
      </c>
      <c r="F1548" s="101" t="s">
        <v>306</v>
      </c>
      <c r="G1548" s="108" t="s">
        <v>310</v>
      </c>
    </row>
    <row r="1549" spans="1:8">
      <c r="A1549" s="95"/>
      <c r="B1549" s="115"/>
      <c r="C1549" s="102"/>
      <c r="D1549" s="103"/>
      <c r="E1549" s="103" t="s">
        <v>309</v>
      </c>
      <c r="F1549" s="104" t="s">
        <v>307</v>
      </c>
      <c r="G1549" s="109"/>
    </row>
    <row r="1550" spans="1:8">
      <c r="A1550" s="127"/>
      <c r="B1550" s="826" t="str">
        <f>'MAQUINARIA Y EQUIPOS'!C28</f>
        <v>HERRAMIENTAS MENORES</v>
      </c>
      <c r="C1550" s="824"/>
      <c r="D1550" s="87">
        <v>1</v>
      </c>
      <c r="E1550" s="82">
        <f>ROUND(G1583*0.05,0)</f>
        <v>564</v>
      </c>
      <c r="F1550" s="81">
        <v>1</v>
      </c>
      <c r="G1550" s="110">
        <f>ROUND(D1550*E1550/F1550,0)</f>
        <v>564</v>
      </c>
    </row>
    <row r="1551" spans="1:8">
      <c r="A1551" s="95"/>
      <c r="B1551" s="835"/>
      <c r="C1551" s="836"/>
      <c r="D1551" s="37"/>
      <c r="E1551" s="129"/>
      <c r="F1551" s="83"/>
      <c r="G1551" s="111"/>
    </row>
    <row r="1552" spans="1:8">
      <c r="A1552" s="95"/>
      <c r="B1552" s="835"/>
      <c r="C1552" s="836"/>
      <c r="D1552" s="37"/>
      <c r="E1552" s="129"/>
      <c r="F1552" s="83"/>
      <c r="G1552" s="111"/>
    </row>
    <row r="1553" spans="1:8">
      <c r="A1553" s="95"/>
      <c r="B1553" s="835"/>
      <c r="C1553" s="836"/>
      <c r="D1553" s="89"/>
      <c r="E1553" s="82"/>
      <c r="F1553" s="83"/>
      <c r="G1553" s="111"/>
    </row>
    <row r="1554" spans="1:8">
      <c r="A1554" s="95"/>
      <c r="B1554" s="835" t="s">
        <v>841</v>
      </c>
      <c r="C1554" s="836"/>
      <c r="D1554" s="37"/>
      <c r="E1554" s="82"/>
      <c r="F1554" s="83"/>
      <c r="G1554" s="111"/>
    </row>
    <row r="1555" spans="1:8" ht="13.5" thickBot="1">
      <c r="A1555" s="95"/>
      <c r="B1555" s="839" t="s">
        <v>841</v>
      </c>
      <c r="C1555" s="840"/>
      <c r="D1555" s="77"/>
      <c r="E1555" s="106"/>
      <c r="F1555" s="86"/>
      <c r="G1555" s="112"/>
    </row>
    <row r="1556" spans="1:8" ht="14.25" thickTop="1" thickBot="1">
      <c r="A1556" s="95"/>
      <c r="B1556" s="808"/>
      <c r="C1556" s="808"/>
      <c r="D1556" s="808"/>
      <c r="E1556" s="809"/>
      <c r="F1556" s="119" t="s">
        <v>856</v>
      </c>
      <c r="G1556" s="118">
        <f>SUM(G1550:G1555)</f>
        <v>564</v>
      </c>
    </row>
    <row r="1557" spans="1:8" ht="14.25" thickTop="1" thickBot="1">
      <c r="A1557" s="95"/>
      <c r="B1557" s="830"/>
      <c r="C1557" s="830"/>
      <c r="D1557" s="830"/>
      <c r="E1557" s="830"/>
      <c r="F1557" s="830"/>
      <c r="G1557" s="830"/>
    </row>
    <row r="1558" spans="1:8" ht="13.5" thickTop="1">
      <c r="A1558" s="95"/>
      <c r="B1558" s="811" t="s">
        <v>311</v>
      </c>
      <c r="C1558" s="812"/>
      <c r="D1558" s="812"/>
      <c r="E1558" s="812"/>
      <c r="F1558" s="812"/>
      <c r="G1558" s="825"/>
    </row>
    <row r="1559" spans="1:8">
      <c r="A1559" s="95"/>
      <c r="B1559" s="817" t="s">
        <v>838</v>
      </c>
      <c r="C1559" s="818"/>
      <c r="D1559" s="98" t="s">
        <v>842</v>
      </c>
      <c r="E1559" s="98" t="s">
        <v>853</v>
      </c>
      <c r="F1559" s="99" t="s">
        <v>1047</v>
      </c>
      <c r="G1559" s="107" t="s">
        <v>840</v>
      </c>
    </row>
    <row r="1560" spans="1:8">
      <c r="A1560" s="95"/>
      <c r="B1560" s="115"/>
      <c r="C1560" s="102"/>
      <c r="D1560" s="103"/>
      <c r="E1560" s="100" t="s">
        <v>312</v>
      </c>
      <c r="F1560" s="101" t="s">
        <v>313</v>
      </c>
      <c r="G1560" s="108" t="s">
        <v>314</v>
      </c>
    </row>
    <row r="1561" spans="1:8" ht="14.25">
      <c r="A1561" s="125"/>
      <c r="B1561" s="841" t="str">
        <f>MATERIALES2!C114</f>
        <v>TABLON VITRIFICADO12x 25</v>
      </c>
      <c r="C1561" s="842"/>
      <c r="D1561" s="37" t="s">
        <v>1067</v>
      </c>
      <c r="E1561" s="140">
        <v>1</v>
      </c>
      <c r="F1561" s="80">
        <f>MATERIALES2!E114</f>
        <v>7500</v>
      </c>
      <c r="G1561" s="110">
        <f>ROUND(E1561*F1561,0)</f>
        <v>7500</v>
      </c>
    </row>
    <row r="1562" spans="1:8">
      <c r="A1562" s="123"/>
      <c r="B1562" s="854" t="str">
        <f>MATERIALES2!C13</f>
        <v>CEMENTO GRIS</v>
      </c>
      <c r="C1562" s="855"/>
      <c r="D1562" s="37" t="s">
        <v>925</v>
      </c>
      <c r="E1562" s="141">
        <v>9.06</v>
      </c>
      <c r="F1562" s="82">
        <f>MATERIALES2!E13</f>
        <v>420</v>
      </c>
      <c r="G1562" s="111">
        <f>ROUND(E1562*F1562,0)</f>
        <v>3805</v>
      </c>
    </row>
    <row r="1563" spans="1:8" ht="14.25">
      <c r="A1563" s="123"/>
      <c r="B1563" s="854" t="str">
        <f>MATERIALES2!C20</f>
        <v xml:space="preserve">ARENA </v>
      </c>
      <c r="C1563" s="855"/>
      <c r="D1563" s="37" t="s">
        <v>1066</v>
      </c>
      <c r="E1563" s="141">
        <v>3.5999999999999997E-2</v>
      </c>
      <c r="F1563" s="82">
        <f>MATERIALES2!E20</f>
        <v>35000</v>
      </c>
      <c r="G1563" s="111">
        <f>ROUND(E1563*F1563,0)</f>
        <v>1260</v>
      </c>
    </row>
    <row r="1564" spans="1:8">
      <c r="A1564" s="123"/>
      <c r="B1564" s="854" t="str">
        <f>MATERIALES2!C28</f>
        <v>AGUA</v>
      </c>
      <c r="C1564" s="855"/>
      <c r="D1564" s="37" t="s">
        <v>1071</v>
      </c>
      <c r="E1564" s="141">
        <v>7.11</v>
      </c>
      <c r="F1564" s="82">
        <f>MATERIALES2!E28</f>
        <v>50</v>
      </c>
      <c r="G1564" s="111">
        <f>ROUND(E1564*F1564,0)</f>
        <v>356</v>
      </c>
    </row>
    <row r="1565" spans="1:8">
      <c r="A1565" s="123"/>
      <c r="B1565" s="854"/>
      <c r="C1565" s="855"/>
      <c r="D1565" s="37"/>
      <c r="E1565" s="141"/>
      <c r="F1565" s="82"/>
      <c r="G1565" s="111"/>
    </row>
    <row r="1566" spans="1:8">
      <c r="A1566" s="123"/>
      <c r="B1566" s="854"/>
      <c r="C1566" s="855"/>
      <c r="D1566" s="37"/>
      <c r="E1566" s="141"/>
      <c r="F1566" s="82"/>
      <c r="G1566" s="111"/>
    </row>
    <row r="1567" spans="1:8">
      <c r="A1567" s="123"/>
      <c r="B1567" s="854"/>
      <c r="C1567" s="855"/>
      <c r="D1567" s="37"/>
      <c r="E1567" s="141"/>
      <c r="F1567" s="82"/>
      <c r="G1567" s="111"/>
    </row>
    <row r="1568" spans="1:8">
      <c r="A1568" s="123"/>
      <c r="B1568" s="854"/>
      <c r="C1568" s="855"/>
      <c r="D1568" s="37"/>
      <c r="E1568" s="141"/>
      <c r="F1568" s="82"/>
      <c r="G1568" s="111"/>
      <c r="H1568" s="505" t="s">
        <v>1670</v>
      </c>
    </row>
    <row r="1569" spans="1:7" ht="13.5" thickBot="1">
      <c r="A1569" s="95"/>
      <c r="B1569" s="942" t="s">
        <v>841</v>
      </c>
      <c r="C1569" s="943"/>
      <c r="D1569" s="84" t="s">
        <v>841</v>
      </c>
      <c r="E1569" s="84"/>
      <c r="F1569" s="85"/>
      <c r="G1569" s="112"/>
    </row>
    <row r="1570" spans="1:7" ht="13.5" thickTop="1">
      <c r="A1570" s="95"/>
      <c r="B1570" s="808"/>
      <c r="C1570" s="809"/>
      <c r="D1570" s="801" t="s">
        <v>856</v>
      </c>
      <c r="E1570" s="802"/>
      <c r="F1570" s="9"/>
      <c r="G1570" s="113">
        <f>SUM(G1561:G1569)</f>
        <v>12921</v>
      </c>
    </row>
    <row r="1571" spans="1:7">
      <c r="A1571" s="95"/>
      <c r="B1571" s="819"/>
      <c r="C1571" s="820"/>
      <c r="D1571" s="801" t="s">
        <v>857</v>
      </c>
      <c r="E1571" s="802"/>
      <c r="F1571" s="79">
        <f>'MANO DE OBRA'!D60</f>
        <v>0.05</v>
      </c>
      <c r="G1571" s="113">
        <f>ROUND(G1570*F1571,0)</f>
        <v>646</v>
      </c>
    </row>
    <row r="1572" spans="1:7" ht="13.5" thickBot="1">
      <c r="A1572" s="95"/>
      <c r="B1572" s="819"/>
      <c r="C1572" s="820"/>
      <c r="D1572" s="803" t="s">
        <v>320</v>
      </c>
      <c r="E1572" s="804"/>
      <c r="F1572" s="114"/>
      <c r="G1572" s="118">
        <f>+G1570+G1571</f>
        <v>13567</v>
      </c>
    </row>
    <row r="1573" spans="1:7" ht="14.25" thickTop="1" thickBot="1">
      <c r="A1573" s="95"/>
      <c r="B1573" s="830"/>
      <c r="C1573" s="830"/>
      <c r="D1573" s="830"/>
      <c r="E1573" s="830"/>
      <c r="F1573" s="830"/>
      <c r="G1573" s="830"/>
    </row>
    <row r="1574" spans="1:7" ht="13.5" thickTop="1">
      <c r="A1574" s="95"/>
      <c r="B1574" s="811" t="s">
        <v>858</v>
      </c>
      <c r="C1574" s="812"/>
      <c r="D1574" s="812"/>
      <c r="E1574" s="812"/>
      <c r="F1574" s="812"/>
      <c r="G1574" s="825"/>
    </row>
    <row r="1575" spans="1:7">
      <c r="A1575" s="95"/>
      <c r="B1575" s="817"/>
      <c r="C1575" s="818"/>
      <c r="D1575" s="98" t="s">
        <v>301</v>
      </c>
      <c r="E1575" s="98" t="s">
        <v>859</v>
      </c>
      <c r="F1575" s="99" t="s">
        <v>839</v>
      </c>
      <c r="G1575" s="107" t="s">
        <v>840</v>
      </c>
    </row>
    <row r="1576" spans="1:7">
      <c r="A1576" s="95"/>
      <c r="B1576" s="821" t="s">
        <v>838</v>
      </c>
      <c r="C1576" s="822"/>
      <c r="D1576" s="100" t="s">
        <v>316</v>
      </c>
      <c r="E1576" s="100" t="s">
        <v>315</v>
      </c>
      <c r="F1576" s="101" t="s">
        <v>306</v>
      </c>
      <c r="G1576" s="108" t="s">
        <v>319</v>
      </c>
    </row>
    <row r="1577" spans="1:7">
      <c r="A1577" s="95"/>
      <c r="B1577" s="115"/>
      <c r="C1577" s="102"/>
      <c r="D1577" s="103"/>
      <c r="E1577" s="103" t="s">
        <v>317</v>
      </c>
      <c r="F1577" s="104" t="s">
        <v>318</v>
      </c>
      <c r="G1577" s="109"/>
    </row>
    <row r="1578" spans="1:7">
      <c r="A1578" s="95"/>
      <c r="B1578" s="823" t="str">
        <f>'MANO DE OBRA'!B10</f>
        <v>AYUDANTE CUAD. TIPO AA</v>
      </c>
      <c r="C1578" s="824"/>
      <c r="D1578" s="87">
        <v>1</v>
      </c>
      <c r="E1578" s="80">
        <f>'MANO DE OBRA'!E10</f>
        <v>34680</v>
      </c>
      <c r="F1578" s="81">
        <v>9.41</v>
      </c>
      <c r="G1578" s="110">
        <f>ROUND(D1578*E1578/F1578,0)</f>
        <v>3685</v>
      </c>
    </row>
    <row r="1579" spans="1:7">
      <c r="A1579" s="95"/>
      <c r="B1579" s="835" t="str">
        <f>'MANO DE OBRA'!B15</f>
        <v xml:space="preserve">OFICIAL CUAD. TIPO AA </v>
      </c>
      <c r="C1579" s="836"/>
      <c r="D1579" s="37">
        <v>1</v>
      </c>
      <c r="E1579" s="82">
        <f>'MANO DE OBRA'!E15</f>
        <v>71474</v>
      </c>
      <c r="F1579" s="83">
        <v>9.41</v>
      </c>
      <c r="G1579" s="111">
        <f>ROUND(D1579*E1579/F1579,0)</f>
        <v>7596</v>
      </c>
    </row>
    <row r="1580" spans="1:7">
      <c r="A1580" s="95"/>
      <c r="B1580" s="835"/>
      <c r="C1580" s="836"/>
      <c r="D1580" s="89"/>
      <c r="E1580" s="82"/>
      <c r="F1580" s="83"/>
      <c r="G1580" s="111"/>
    </row>
    <row r="1581" spans="1:7">
      <c r="A1581" s="95"/>
      <c r="B1581" s="835" t="s">
        <v>841</v>
      </c>
      <c r="C1581" s="836"/>
      <c r="D1581" s="37"/>
      <c r="E1581" s="82"/>
      <c r="F1581" s="83"/>
      <c r="G1581" s="111"/>
    </row>
    <row r="1582" spans="1:7" ht="13.5" thickBot="1">
      <c r="A1582" s="95"/>
      <c r="B1582" s="828" t="s">
        <v>841</v>
      </c>
      <c r="C1582" s="829"/>
      <c r="D1582" s="77"/>
      <c r="E1582" s="82"/>
      <c r="F1582" s="86"/>
      <c r="G1582" s="112"/>
    </row>
    <row r="1583" spans="1:7" ht="14.25" thickTop="1" thickBot="1">
      <c r="A1583" s="95"/>
      <c r="B1583" s="808"/>
      <c r="C1583" s="808"/>
      <c r="D1583" s="808"/>
      <c r="E1583" s="809"/>
      <c r="F1583" s="120" t="s">
        <v>856</v>
      </c>
      <c r="G1583" s="118">
        <f>SUM(G1578:G1582)</f>
        <v>11281</v>
      </c>
    </row>
    <row r="1584" spans="1:7" ht="14.25" thickTop="1" thickBot="1">
      <c r="A1584" s="95"/>
      <c r="B1584" s="810"/>
      <c r="C1584" s="810"/>
      <c r="D1584" s="810"/>
      <c r="E1584" s="810"/>
      <c r="F1584" s="810"/>
      <c r="G1584" s="810"/>
    </row>
    <row r="1585" spans="1:8" ht="13.5" thickTop="1">
      <c r="A1585" s="95"/>
      <c r="B1585" s="811" t="s">
        <v>321</v>
      </c>
      <c r="C1585" s="812"/>
      <c r="D1585" s="812"/>
      <c r="E1585" s="812"/>
      <c r="F1585" s="812"/>
      <c r="G1585" s="825"/>
    </row>
    <row r="1586" spans="1:8">
      <c r="A1586" s="95"/>
      <c r="B1586" s="817" t="s">
        <v>838</v>
      </c>
      <c r="C1586" s="818"/>
      <c r="D1586" s="98" t="s">
        <v>301</v>
      </c>
      <c r="E1586" s="98" t="s">
        <v>297</v>
      </c>
      <c r="F1586" s="99" t="s">
        <v>839</v>
      </c>
      <c r="G1586" s="107" t="s">
        <v>840</v>
      </c>
    </row>
    <row r="1587" spans="1:8">
      <c r="A1587" s="95"/>
      <c r="B1587" s="115"/>
      <c r="C1587" s="102"/>
      <c r="D1587" s="103" t="s">
        <v>322</v>
      </c>
      <c r="E1587" s="103" t="s">
        <v>323</v>
      </c>
      <c r="F1587" s="104" t="s">
        <v>324</v>
      </c>
      <c r="G1587" s="109" t="s">
        <v>325</v>
      </c>
    </row>
    <row r="1588" spans="1:8">
      <c r="A1588" s="95"/>
      <c r="B1588" s="826"/>
      <c r="C1588" s="827"/>
      <c r="D1588" s="96"/>
      <c r="E1588" s="96"/>
      <c r="F1588" s="96"/>
      <c r="G1588" s="116"/>
    </row>
    <row r="1589" spans="1:8" ht="13.5" thickBot="1">
      <c r="A1589" s="95"/>
      <c r="B1589" s="828" t="s">
        <v>841</v>
      </c>
      <c r="C1589" s="829"/>
      <c r="D1589" s="77"/>
      <c r="E1589" s="82"/>
      <c r="F1589" s="86"/>
      <c r="G1589" s="112"/>
    </row>
    <row r="1590" spans="1:8" ht="14.25" thickTop="1" thickBot="1">
      <c r="A1590" s="95"/>
      <c r="B1590" s="808"/>
      <c r="C1590" s="808"/>
      <c r="D1590" s="808"/>
      <c r="E1590" s="809"/>
      <c r="F1590" s="120" t="s">
        <v>856</v>
      </c>
      <c r="G1590" s="118">
        <f>SUM(G1585:G1589)</f>
        <v>0</v>
      </c>
    </row>
    <row r="1591" spans="1:8" ht="14.25" thickTop="1" thickBot="1">
      <c r="A1591" s="95"/>
      <c r="B1591" s="810"/>
      <c r="C1591" s="810"/>
      <c r="D1591" s="810"/>
      <c r="E1591" s="810"/>
      <c r="F1591" s="810"/>
      <c r="G1591" s="834"/>
    </row>
    <row r="1592" spans="1:8" ht="13.5" thickTop="1">
      <c r="A1592" s="95"/>
      <c r="B1592" s="811" t="s">
        <v>326</v>
      </c>
      <c r="C1592" s="812"/>
      <c r="D1592" s="812"/>
      <c r="E1592" s="812"/>
      <c r="F1592" s="813"/>
      <c r="G1592" s="121">
        <f>+G1556+G1572+G1583</f>
        <v>25412</v>
      </c>
    </row>
    <row r="1593" spans="1:8">
      <c r="A1593" s="95"/>
      <c r="B1593" s="814" t="s">
        <v>861</v>
      </c>
      <c r="C1593" s="815"/>
      <c r="D1593" s="815"/>
      <c r="E1593" s="816"/>
      <c r="F1593" s="128">
        <f>'MANO DE OBRA'!D59</f>
        <v>0</v>
      </c>
      <c r="G1593" s="122">
        <f>ROUND(G1592*F1593,0)</f>
        <v>0</v>
      </c>
    </row>
    <row r="1594" spans="1:8" ht="13.5" thickBot="1">
      <c r="A1594" s="95"/>
      <c r="B1594" s="805" t="s">
        <v>1049</v>
      </c>
      <c r="C1594" s="806"/>
      <c r="D1594" s="806"/>
      <c r="E1594" s="806"/>
      <c r="F1594" s="807"/>
      <c r="G1594" s="118">
        <f>ROUND(G1592+G1593,-2)</f>
        <v>25400</v>
      </c>
      <c r="H1594" s="505" t="s">
        <v>1670</v>
      </c>
    </row>
    <row r="1595" spans="1:8" ht="15" thickTop="1">
      <c r="A1595" s="95"/>
      <c r="B1595" s="90" t="s">
        <v>303</v>
      </c>
      <c r="C1595" s="843"/>
      <c r="D1595" s="843"/>
      <c r="E1595" s="843"/>
      <c r="F1595" s="92" t="s">
        <v>781</v>
      </c>
      <c r="G1595" s="93" t="s">
        <v>1067</v>
      </c>
    </row>
    <row r="1596" spans="1:8">
      <c r="A1596" s="95"/>
      <c r="B1596" s="91" t="s">
        <v>834</v>
      </c>
      <c r="C1596" s="844" t="s">
        <v>1433</v>
      </c>
      <c r="D1596" s="844"/>
      <c r="E1596" s="844"/>
      <c r="F1596" s="15" t="s">
        <v>833</v>
      </c>
      <c r="G1596" s="165" t="str">
        <f>'MANO DE OBRA'!D61</f>
        <v>Agosto de 2010</v>
      </c>
    </row>
    <row r="1597" spans="1:8" ht="13.5" thickBot="1">
      <c r="A1597" s="127"/>
      <c r="B1597" s="94" t="s">
        <v>835</v>
      </c>
      <c r="C1597" s="845" t="s">
        <v>1466</v>
      </c>
      <c r="D1597" s="845"/>
      <c r="E1597" s="845"/>
      <c r="F1597" s="845"/>
      <c r="G1597" s="846"/>
    </row>
    <row r="1598" spans="1:8" ht="14.25" thickTop="1" thickBot="1">
      <c r="A1598" s="95"/>
      <c r="B1598" s="847"/>
      <c r="C1598" s="847"/>
      <c r="D1598" s="847"/>
      <c r="E1598" s="847"/>
      <c r="F1598" s="847"/>
      <c r="G1598" s="847"/>
    </row>
    <row r="1599" spans="1:8" ht="13.5" thickTop="1">
      <c r="A1599" s="95"/>
      <c r="B1599" s="811" t="s">
        <v>304</v>
      </c>
      <c r="C1599" s="812"/>
      <c r="D1599" s="812"/>
      <c r="E1599" s="812"/>
      <c r="F1599" s="812"/>
      <c r="G1599" s="825"/>
    </row>
    <row r="1600" spans="1:8">
      <c r="A1600" s="95"/>
      <c r="B1600" s="105"/>
      <c r="C1600" s="97"/>
      <c r="D1600" s="98" t="s">
        <v>301</v>
      </c>
      <c r="E1600" s="98" t="s">
        <v>1072</v>
      </c>
      <c r="F1600" s="99" t="s">
        <v>839</v>
      </c>
      <c r="G1600" s="107" t="s">
        <v>840</v>
      </c>
    </row>
    <row r="1601" spans="1:7">
      <c r="A1601" s="95"/>
      <c r="B1601" s="821" t="s">
        <v>838</v>
      </c>
      <c r="C1601" s="822"/>
      <c r="D1601" s="100" t="s">
        <v>308</v>
      </c>
      <c r="E1601" s="100" t="s">
        <v>305</v>
      </c>
      <c r="F1601" s="101" t="s">
        <v>306</v>
      </c>
      <c r="G1601" s="108" t="s">
        <v>310</v>
      </c>
    </row>
    <row r="1602" spans="1:7">
      <c r="A1602" s="95"/>
      <c r="B1602" s="115"/>
      <c r="C1602" s="102"/>
      <c r="D1602" s="103"/>
      <c r="E1602" s="103" t="s">
        <v>309</v>
      </c>
      <c r="F1602" s="104" t="s">
        <v>307</v>
      </c>
      <c r="G1602" s="109"/>
    </row>
    <row r="1603" spans="1:7">
      <c r="A1603" s="127"/>
      <c r="B1603" s="826" t="str">
        <f>'MAQUINARIA Y EQUIPOS'!C28</f>
        <v>HERRAMIENTAS MENORES</v>
      </c>
      <c r="C1603" s="824"/>
      <c r="D1603" s="87">
        <v>1</v>
      </c>
      <c r="E1603" s="82">
        <f>ROUND(G1636*0.05,0)</f>
        <v>564</v>
      </c>
      <c r="F1603" s="81">
        <v>1</v>
      </c>
      <c r="G1603" s="110">
        <f>ROUND(D1603*E1603/F1603,0)</f>
        <v>564</v>
      </c>
    </row>
    <row r="1604" spans="1:7">
      <c r="A1604" s="95"/>
      <c r="B1604" s="835"/>
      <c r="C1604" s="836"/>
      <c r="D1604" s="37"/>
      <c r="E1604" s="129"/>
      <c r="F1604" s="83"/>
      <c r="G1604" s="111"/>
    </row>
    <row r="1605" spans="1:7">
      <c r="A1605" s="95"/>
      <c r="B1605" s="835"/>
      <c r="C1605" s="836"/>
      <c r="D1605" s="37"/>
      <c r="E1605" s="129"/>
      <c r="F1605" s="83"/>
      <c r="G1605" s="111"/>
    </row>
    <row r="1606" spans="1:7">
      <c r="A1606" s="95"/>
      <c r="B1606" s="835"/>
      <c r="C1606" s="836"/>
      <c r="D1606" s="89"/>
      <c r="E1606" s="82"/>
      <c r="F1606" s="83"/>
      <c r="G1606" s="111"/>
    </row>
    <row r="1607" spans="1:7">
      <c r="A1607" s="95"/>
      <c r="B1607" s="835" t="s">
        <v>841</v>
      </c>
      <c r="C1607" s="836"/>
      <c r="D1607" s="37"/>
      <c r="E1607" s="82"/>
      <c r="F1607" s="83"/>
      <c r="G1607" s="111"/>
    </row>
    <row r="1608" spans="1:7" ht="13.5" thickBot="1">
      <c r="A1608" s="95"/>
      <c r="B1608" s="839" t="s">
        <v>841</v>
      </c>
      <c r="C1608" s="840"/>
      <c r="D1608" s="77"/>
      <c r="E1608" s="106"/>
      <c r="F1608" s="86"/>
      <c r="G1608" s="112"/>
    </row>
    <row r="1609" spans="1:7" ht="14.25" thickTop="1" thickBot="1">
      <c r="A1609" s="95"/>
      <c r="B1609" s="808"/>
      <c r="C1609" s="808"/>
      <c r="D1609" s="808"/>
      <c r="E1609" s="809"/>
      <c r="F1609" s="119" t="s">
        <v>856</v>
      </c>
      <c r="G1609" s="118">
        <f>SUM(G1603:G1608)</f>
        <v>564</v>
      </c>
    </row>
    <row r="1610" spans="1:7" ht="14.25" thickTop="1" thickBot="1">
      <c r="A1610" s="95"/>
      <c r="B1610" s="830"/>
      <c r="C1610" s="830"/>
      <c r="D1610" s="830"/>
      <c r="E1610" s="830"/>
      <c r="F1610" s="830"/>
      <c r="G1610" s="830"/>
    </row>
    <row r="1611" spans="1:7" ht="13.5" thickTop="1">
      <c r="A1611" s="95"/>
      <c r="B1611" s="811" t="s">
        <v>311</v>
      </c>
      <c r="C1611" s="812"/>
      <c r="D1611" s="812"/>
      <c r="E1611" s="812"/>
      <c r="F1611" s="812"/>
      <c r="G1611" s="825"/>
    </row>
    <row r="1612" spans="1:7">
      <c r="A1612" s="95"/>
      <c r="B1612" s="817" t="s">
        <v>838</v>
      </c>
      <c r="C1612" s="818"/>
      <c r="D1612" s="98" t="s">
        <v>842</v>
      </c>
      <c r="E1612" s="98" t="s">
        <v>853</v>
      </c>
      <c r="F1612" s="99" t="s">
        <v>1047</v>
      </c>
      <c r="G1612" s="107" t="s">
        <v>840</v>
      </c>
    </row>
    <row r="1613" spans="1:7">
      <c r="A1613" s="95"/>
      <c r="B1613" s="115"/>
      <c r="C1613" s="102"/>
      <c r="D1613" s="103"/>
      <c r="E1613" s="100" t="s">
        <v>312</v>
      </c>
      <c r="F1613" s="101" t="s">
        <v>313</v>
      </c>
      <c r="G1613" s="108" t="s">
        <v>314</v>
      </c>
    </row>
    <row r="1614" spans="1:7" ht="14.25">
      <c r="A1614" s="125"/>
      <c r="B1614" s="841" t="str">
        <f>MATERIALES2!C115</f>
        <v>TABLON VITRIFICADO 25x 25 GRAFILADO</v>
      </c>
      <c r="C1614" s="842"/>
      <c r="D1614" s="37" t="s">
        <v>1067</v>
      </c>
      <c r="E1614" s="140">
        <v>1</v>
      </c>
      <c r="F1614" s="80">
        <f>MATERIALES2!E115</f>
        <v>7500</v>
      </c>
      <c r="G1614" s="110">
        <f>ROUND(E1614*F1614,0)</f>
        <v>7500</v>
      </c>
    </row>
    <row r="1615" spans="1:7">
      <c r="A1615" s="123"/>
      <c r="B1615" s="854" t="str">
        <f>MATERIALES2!C13</f>
        <v>CEMENTO GRIS</v>
      </c>
      <c r="C1615" s="855"/>
      <c r="D1615" s="37" t="s">
        <v>925</v>
      </c>
      <c r="E1615" s="141">
        <v>9.06</v>
      </c>
      <c r="F1615" s="82">
        <f>MATERIALES2!E13</f>
        <v>420</v>
      </c>
      <c r="G1615" s="111">
        <f>ROUND(E1615*F1615,0)</f>
        <v>3805</v>
      </c>
    </row>
    <row r="1616" spans="1:7" ht="14.25">
      <c r="A1616" s="123"/>
      <c r="B1616" s="854" t="str">
        <f>MATERIALES2!C20</f>
        <v xml:space="preserve">ARENA </v>
      </c>
      <c r="C1616" s="855"/>
      <c r="D1616" s="37" t="s">
        <v>1066</v>
      </c>
      <c r="E1616" s="141">
        <v>3.5999999999999997E-2</v>
      </c>
      <c r="F1616" s="82">
        <f>MATERIALES2!E20</f>
        <v>35000</v>
      </c>
      <c r="G1616" s="111">
        <f>ROUND(E1616*F1616,0)</f>
        <v>1260</v>
      </c>
    </row>
    <row r="1617" spans="1:8">
      <c r="A1617" s="123"/>
      <c r="B1617" s="854" t="str">
        <f>MATERIALES2!C28</f>
        <v>AGUA</v>
      </c>
      <c r="C1617" s="855"/>
      <c r="D1617" s="37" t="s">
        <v>1071</v>
      </c>
      <c r="E1617" s="141">
        <v>7.11</v>
      </c>
      <c r="F1617" s="82">
        <f>MATERIALES2!E28</f>
        <v>50</v>
      </c>
      <c r="G1617" s="111">
        <f>ROUND(E1617*F1617,0)</f>
        <v>356</v>
      </c>
    </row>
    <row r="1618" spans="1:8">
      <c r="A1618" s="123"/>
      <c r="B1618" s="854"/>
      <c r="C1618" s="855"/>
      <c r="D1618" s="37"/>
      <c r="E1618" s="141"/>
      <c r="F1618" s="82"/>
      <c r="G1618" s="111"/>
    </row>
    <row r="1619" spans="1:8">
      <c r="A1619" s="123"/>
      <c r="B1619" s="854"/>
      <c r="C1619" s="855"/>
      <c r="D1619" s="37"/>
      <c r="E1619" s="141"/>
      <c r="F1619" s="82"/>
      <c r="G1619" s="111"/>
    </row>
    <row r="1620" spans="1:8">
      <c r="A1620" s="123"/>
      <c r="B1620" s="854"/>
      <c r="C1620" s="855"/>
      <c r="D1620" s="37"/>
      <c r="E1620" s="141"/>
      <c r="F1620" s="82"/>
      <c r="G1620" s="111"/>
    </row>
    <row r="1621" spans="1:8">
      <c r="A1621" s="123"/>
      <c r="B1621" s="854"/>
      <c r="C1621" s="855"/>
      <c r="D1621" s="37"/>
      <c r="E1621" s="141"/>
      <c r="F1621" s="82"/>
      <c r="G1621" s="111"/>
      <c r="H1621" s="505" t="s">
        <v>1670</v>
      </c>
    </row>
    <row r="1622" spans="1:8" ht="13.5" thickBot="1">
      <c r="A1622" s="95"/>
      <c r="B1622" s="942" t="s">
        <v>841</v>
      </c>
      <c r="C1622" s="943"/>
      <c r="D1622" s="84" t="s">
        <v>841</v>
      </c>
      <c r="E1622" s="84"/>
      <c r="F1622" s="85"/>
      <c r="G1622" s="112"/>
    </row>
    <row r="1623" spans="1:8" ht="13.5" thickTop="1">
      <c r="A1623" s="95"/>
      <c r="B1623" s="808"/>
      <c r="C1623" s="809"/>
      <c r="D1623" s="801" t="s">
        <v>856</v>
      </c>
      <c r="E1623" s="802"/>
      <c r="F1623" s="9"/>
      <c r="G1623" s="113">
        <f>SUM(G1614:G1622)</f>
        <v>12921</v>
      </c>
    </row>
    <row r="1624" spans="1:8">
      <c r="A1624" s="95"/>
      <c r="B1624" s="819"/>
      <c r="C1624" s="820"/>
      <c r="D1624" s="801" t="s">
        <v>857</v>
      </c>
      <c r="E1624" s="802"/>
      <c r="F1624" s="79">
        <f>'MANO DE OBRA'!D60</f>
        <v>0.05</v>
      </c>
      <c r="G1624" s="113">
        <f>ROUND(G1623*F1624,0)</f>
        <v>646</v>
      </c>
    </row>
    <row r="1625" spans="1:8" ht="13.5" thickBot="1">
      <c r="A1625" s="95"/>
      <c r="B1625" s="819"/>
      <c r="C1625" s="820"/>
      <c r="D1625" s="803" t="s">
        <v>320</v>
      </c>
      <c r="E1625" s="804"/>
      <c r="F1625" s="114"/>
      <c r="G1625" s="118">
        <f>+G1623+G1624</f>
        <v>13567</v>
      </c>
    </row>
    <row r="1626" spans="1:8" ht="14.25" thickTop="1" thickBot="1">
      <c r="A1626" s="95"/>
      <c r="B1626" s="830"/>
      <c r="C1626" s="830"/>
      <c r="D1626" s="830"/>
      <c r="E1626" s="830"/>
      <c r="F1626" s="830"/>
      <c r="G1626" s="830"/>
    </row>
    <row r="1627" spans="1:8" ht="13.5" thickTop="1">
      <c r="A1627" s="95"/>
      <c r="B1627" s="811" t="s">
        <v>858</v>
      </c>
      <c r="C1627" s="812"/>
      <c r="D1627" s="812"/>
      <c r="E1627" s="812"/>
      <c r="F1627" s="812"/>
      <c r="G1627" s="825"/>
    </row>
    <row r="1628" spans="1:8">
      <c r="A1628" s="95"/>
      <c r="B1628" s="817"/>
      <c r="C1628" s="818"/>
      <c r="D1628" s="98" t="s">
        <v>301</v>
      </c>
      <c r="E1628" s="98" t="s">
        <v>859</v>
      </c>
      <c r="F1628" s="99" t="s">
        <v>839</v>
      </c>
      <c r="G1628" s="107" t="s">
        <v>840</v>
      </c>
    </row>
    <row r="1629" spans="1:8">
      <c r="A1629" s="95"/>
      <c r="B1629" s="821" t="s">
        <v>838</v>
      </c>
      <c r="C1629" s="822"/>
      <c r="D1629" s="100" t="s">
        <v>316</v>
      </c>
      <c r="E1629" s="100" t="s">
        <v>315</v>
      </c>
      <c r="F1629" s="101" t="s">
        <v>306</v>
      </c>
      <c r="G1629" s="108" t="s">
        <v>319</v>
      </c>
    </row>
    <row r="1630" spans="1:8">
      <c r="A1630" s="95"/>
      <c r="B1630" s="115"/>
      <c r="C1630" s="102"/>
      <c r="D1630" s="103"/>
      <c r="E1630" s="103" t="s">
        <v>317</v>
      </c>
      <c r="F1630" s="104" t="s">
        <v>318</v>
      </c>
      <c r="G1630" s="109"/>
    </row>
    <row r="1631" spans="1:8">
      <c r="A1631" s="95"/>
      <c r="B1631" s="823" t="str">
        <f>'MANO DE OBRA'!B10</f>
        <v>AYUDANTE CUAD. TIPO AA</v>
      </c>
      <c r="C1631" s="824"/>
      <c r="D1631" s="87">
        <v>1</v>
      </c>
      <c r="E1631" s="80">
        <f>'MANO DE OBRA'!E10</f>
        <v>34680</v>
      </c>
      <c r="F1631" s="81">
        <v>9.41</v>
      </c>
      <c r="G1631" s="110">
        <f>ROUND(D1631*E1631/F1631,0)</f>
        <v>3685</v>
      </c>
    </row>
    <row r="1632" spans="1:8">
      <c r="A1632" s="95"/>
      <c r="B1632" s="835" t="str">
        <f>'MANO DE OBRA'!B15</f>
        <v xml:space="preserve">OFICIAL CUAD. TIPO AA </v>
      </c>
      <c r="C1632" s="836"/>
      <c r="D1632" s="37">
        <v>1</v>
      </c>
      <c r="E1632" s="82">
        <f>'MANO DE OBRA'!E15</f>
        <v>71474</v>
      </c>
      <c r="F1632" s="83">
        <v>9.41</v>
      </c>
      <c r="G1632" s="111">
        <f>ROUND(D1632*E1632/F1632,0)</f>
        <v>7596</v>
      </c>
    </row>
    <row r="1633" spans="1:8">
      <c r="A1633" s="95"/>
      <c r="B1633" s="835"/>
      <c r="C1633" s="836"/>
      <c r="D1633" s="89"/>
      <c r="E1633" s="82"/>
      <c r="F1633" s="83"/>
      <c r="G1633" s="111"/>
    </row>
    <row r="1634" spans="1:8">
      <c r="A1634" s="95"/>
      <c r="B1634" s="835" t="s">
        <v>841</v>
      </c>
      <c r="C1634" s="836"/>
      <c r="D1634" s="37"/>
      <c r="E1634" s="82"/>
      <c r="F1634" s="83"/>
      <c r="G1634" s="111"/>
    </row>
    <row r="1635" spans="1:8" ht="13.5" thickBot="1">
      <c r="A1635" s="95"/>
      <c r="B1635" s="828" t="s">
        <v>841</v>
      </c>
      <c r="C1635" s="829"/>
      <c r="D1635" s="77"/>
      <c r="E1635" s="82"/>
      <c r="F1635" s="86"/>
      <c r="G1635" s="112"/>
    </row>
    <row r="1636" spans="1:8" ht="14.25" thickTop="1" thickBot="1">
      <c r="A1636" s="95"/>
      <c r="B1636" s="808"/>
      <c r="C1636" s="808"/>
      <c r="D1636" s="808"/>
      <c r="E1636" s="809"/>
      <c r="F1636" s="120" t="s">
        <v>856</v>
      </c>
      <c r="G1636" s="118">
        <f>SUM(G1631:G1635)</f>
        <v>11281</v>
      </c>
    </row>
    <row r="1637" spans="1:8" ht="14.25" thickTop="1" thickBot="1">
      <c r="A1637" s="95"/>
      <c r="B1637" s="810"/>
      <c r="C1637" s="810"/>
      <c r="D1637" s="810"/>
      <c r="E1637" s="810"/>
      <c r="F1637" s="810"/>
      <c r="G1637" s="810"/>
    </row>
    <row r="1638" spans="1:8" ht="13.5" thickTop="1">
      <c r="A1638" s="95"/>
      <c r="B1638" s="811" t="s">
        <v>321</v>
      </c>
      <c r="C1638" s="812"/>
      <c r="D1638" s="812"/>
      <c r="E1638" s="812"/>
      <c r="F1638" s="812"/>
      <c r="G1638" s="825"/>
    </row>
    <row r="1639" spans="1:8">
      <c r="A1639" s="95"/>
      <c r="B1639" s="817" t="s">
        <v>838</v>
      </c>
      <c r="C1639" s="818"/>
      <c r="D1639" s="98" t="s">
        <v>301</v>
      </c>
      <c r="E1639" s="98" t="s">
        <v>297</v>
      </c>
      <c r="F1639" s="99" t="s">
        <v>839</v>
      </c>
      <c r="G1639" s="107" t="s">
        <v>840</v>
      </c>
    </row>
    <row r="1640" spans="1:8">
      <c r="A1640" s="95"/>
      <c r="B1640" s="115"/>
      <c r="C1640" s="102"/>
      <c r="D1640" s="103" t="s">
        <v>322</v>
      </c>
      <c r="E1640" s="103" t="s">
        <v>323</v>
      </c>
      <c r="F1640" s="104" t="s">
        <v>324</v>
      </c>
      <c r="G1640" s="109" t="s">
        <v>325</v>
      </c>
    </row>
    <row r="1641" spans="1:8">
      <c r="A1641" s="95"/>
      <c r="B1641" s="826"/>
      <c r="C1641" s="827"/>
      <c r="D1641" s="96"/>
      <c r="E1641" s="96"/>
      <c r="F1641" s="96"/>
      <c r="G1641" s="116"/>
    </row>
    <row r="1642" spans="1:8" ht="13.5" thickBot="1">
      <c r="A1642" s="95"/>
      <c r="B1642" s="828" t="s">
        <v>841</v>
      </c>
      <c r="C1642" s="829"/>
      <c r="D1642" s="77"/>
      <c r="E1642" s="82"/>
      <c r="F1642" s="86"/>
      <c r="G1642" s="112"/>
    </row>
    <row r="1643" spans="1:8" ht="14.25" thickTop="1" thickBot="1">
      <c r="A1643" s="95"/>
      <c r="B1643" s="808"/>
      <c r="C1643" s="808"/>
      <c r="D1643" s="808"/>
      <c r="E1643" s="809"/>
      <c r="F1643" s="120" t="s">
        <v>856</v>
      </c>
      <c r="G1643" s="118">
        <f>SUM(G1638:G1642)</f>
        <v>0</v>
      </c>
    </row>
    <row r="1644" spans="1:8" ht="14.25" thickTop="1" thickBot="1">
      <c r="A1644" s="95"/>
      <c r="B1644" s="810"/>
      <c r="C1644" s="810"/>
      <c r="D1644" s="810"/>
      <c r="E1644" s="810"/>
      <c r="F1644" s="810"/>
      <c r="G1644" s="834"/>
    </row>
    <row r="1645" spans="1:8" ht="13.5" thickTop="1">
      <c r="A1645" s="95"/>
      <c r="B1645" s="811" t="s">
        <v>326</v>
      </c>
      <c r="C1645" s="812"/>
      <c r="D1645" s="812"/>
      <c r="E1645" s="812"/>
      <c r="F1645" s="813"/>
      <c r="G1645" s="121">
        <f>+G1609+G1625+G1636</f>
        <v>25412</v>
      </c>
    </row>
    <row r="1646" spans="1:8">
      <c r="A1646" s="95"/>
      <c r="B1646" s="814" t="s">
        <v>861</v>
      </c>
      <c r="C1646" s="815"/>
      <c r="D1646" s="815"/>
      <c r="E1646" s="816"/>
      <c r="F1646" s="128">
        <f>'MANO DE OBRA'!D59</f>
        <v>0</v>
      </c>
      <c r="G1646" s="122">
        <f>ROUND(G1645*F1646,0)</f>
        <v>0</v>
      </c>
    </row>
    <row r="1647" spans="1:8" ht="13.5" thickBot="1">
      <c r="A1647" s="95"/>
      <c r="B1647" s="805" t="s">
        <v>1049</v>
      </c>
      <c r="C1647" s="806"/>
      <c r="D1647" s="806"/>
      <c r="E1647" s="806"/>
      <c r="F1647" s="807"/>
      <c r="G1647" s="118">
        <f>ROUND(G1645+G1646,-2)</f>
        <v>25400</v>
      </c>
      <c r="H1647" s="505" t="s">
        <v>1670</v>
      </c>
    </row>
    <row r="1648" spans="1:8" ht="15" thickTop="1">
      <c r="A1648" s="95"/>
      <c r="B1648" s="90" t="s">
        <v>303</v>
      </c>
      <c r="C1648" s="843"/>
      <c r="D1648" s="843"/>
      <c r="E1648" s="843"/>
      <c r="F1648" s="92" t="s">
        <v>781</v>
      </c>
      <c r="G1648" s="93" t="s">
        <v>1067</v>
      </c>
    </row>
    <row r="1649" spans="1:7">
      <c r="A1649" s="95"/>
      <c r="B1649" s="91" t="s">
        <v>834</v>
      </c>
      <c r="C1649" s="844" t="s">
        <v>1433</v>
      </c>
      <c r="D1649" s="844"/>
      <c r="E1649" s="844"/>
      <c r="F1649" s="15" t="s">
        <v>833</v>
      </c>
      <c r="G1649" s="165" t="str">
        <f>'MANO DE OBRA'!D61</f>
        <v>Agosto de 2010</v>
      </c>
    </row>
    <row r="1650" spans="1:7" ht="13.5" thickBot="1">
      <c r="A1650" s="127"/>
      <c r="B1650" s="94" t="s">
        <v>835</v>
      </c>
      <c r="C1650" s="845" t="s">
        <v>1467</v>
      </c>
      <c r="D1650" s="845"/>
      <c r="E1650" s="845"/>
      <c r="F1650" s="845"/>
      <c r="G1650" s="846"/>
    </row>
    <row r="1651" spans="1:7" ht="14.25" thickTop="1" thickBot="1">
      <c r="A1651" s="95"/>
      <c r="B1651" s="847"/>
      <c r="C1651" s="847"/>
      <c r="D1651" s="847"/>
      <c r="E1651" s="847"/>
      <c r="F1651" s="847"/>
      <c r="G1651" s="847"/>
    </row>
    <row r="1652" spans="1:7" ht="13.5" thickTop="1">
      <c r="A1652" s="95"/>
      <c r="B1652" s="811" t="s">
        <v>304</v>
      </c>
      <c r="C1652" s="812"/>
      <c r="D1652" s="812"/>
      <c r="E1652" s="812"/>
      <c r="F1652" s="812"/>
      <c r="G1652" s="825"/>
    </row>
    <row r="1653" spans="1:7">
      <c r="A1653" s="95"/>
      <c r="B1653" s="105"/>
      <c r="C1653" s="97"/>
      <c r="D1653" s="98" t="s">
        <v>301</v>
      </c>
      <c r="E1653" s="98" t="s">
        <v>1072</v>
      </c>
      <c r="F1653" s="99" t="s">
        <v>839</v>
      </c>
      <c r="G1653" s="107" t="s">
        <v>840</v>
      </c>
    </row>
    <row r="1654" spans="1:7">
      <c r="A1654" s="95"/>
      <c r="B1654" s="821" t="s">
        <v>838</v>
      </c>
      <c r="C1654" s="822"/>
      <c r="D1654" s="100" t="s">
        <v>308</v>
      </c>
      <c r="E1654" s="100" t="s">
        <v>305</v>
      </c>
      <c r="F1654" s="101" t="s">
        <v>306</v>
      </c>
      <c r="G1654" s="108" t="s">
        <v>310</v>
      </c>
    </row>
    <row r="1655" spans="1:7">
      <c r="A1655" s="95"/>
      <c r="B1655" s="115"/>
      <c r="C1655" s="102"/>
      <c r="D1655" s="103"/>
      <c r="E1655" s="103" t="s">
        <v>309</v>
      </c>
      <c r="F1655" s="104" t="s">
        <v>307</v>
      </c>
      <c r="G1655" s="109"/>
    </row>
    <row r="1656" spans="1:7">
      <c r="A1656" s="127"/>
      <c r="B1656" s="826" t="str">
        <f>'MAQUINARIA Y EQUIPOS'!C28</f>
        <v>HERRAMIENTAS MENORES</v>
      </c>
      <c r="C1656" s="824"/>
      <c r="D1656" s="87">
        <v>1</v>
      </c>
      <c r="E1656" s="82">
        <f>ROUND(G1689*0.05,0)</f>
        <v>564</v>
      </c>
      <c r="F1656" s="81">
        <v>1</v>
      </c>
      <c r="G1656" s="110">
        <f>ROUND(D1656*E1656/F1656,0)</f>
        <v>564</v>
      </c>
    </row>
    <row r="1657" spans="1:7">
      <c r="A1657" s="95"/>
      <c r="B1657" s="835"/>
      <c r="C1657" s="836"/>
      <c r="D1657" s="37"/>
      <c r="E1657" s="129"/>
      <c r="F1657" s="83"/>
      <c r="G1657" s="111"/>
    </row>
    <row r="1658" spans="1:7">
      <c r="A1658" s="95"/>
      <c r="B1658" s="835"/>
      <c r="C1658" s="836"/>
      <c r="D1658" s="37"/>
      <c r="E1658" s="129"/>
      <c r="F1658" s="83"/>
      <c r="G1658" s="111"/>
    </row>
    <row r="1659" spans="1:7">
      <c r="A1659" s="95"/>
      <c r="B1659" s="835"/>
      <c r="C1659" s="836"/>
      <c r="D1659" s="89"/>
      <c r="E1659" s="82"/>
      <c r="F1659" s="83"/>
      <c r="G1659" s="111"/>
    </row>
    <row r="1660" spans="1:7">
      <c r="A1660" s="95"/>
      <c r="B1660" s="835" t="s">
        <v>841</v>
      </c>
      <c r="C1660" s="836"/>
      <c r="D1660" s="37"/>
      <c r="E1660" s="82"/>
      <c r="F1660" s="83"/>
      <c r="G1660" s="111"/>
    </row>
    <row r="1661" spans="1:7" ht="13.5" thickBot="1">
      <c r="A1661" s="95"/>
      <c r="B1661" s="839" t="s">
        <v>841</v>
      </c>
      <c r="C1661" s="840"/>
      <c r="D1661" s="77"/>
      <c r="E1661" s="106"/>
      <c r="F1661" s="86"/>
      <c r="G1661" s="112"/>
    </row>
    <row r="1662" spans="1:7" ht="14.25" thickTop="1" thickBot="1">
      <c r="A1662" s="95"/>
      <c r="B1662" s="808"/>
      <c r="C1662" s="808"/>
      <c r="D1662" s="808"/>
      <c r="E1662" s="809"/>
      <c r="F1662" s="119" t="s">
        <v>856</v>
      </c>
      <c r="G1662" s="118">
        <f>SUM(G1656:G1661)</f>
        <v>564</v>
      </c>
    </row>
    <row r="1663" spans="1:7" ht="14.25" thickTop="1" thickBot="1">
      <c r="A1663" s="95"/>
      <c r="B1663" s="830"/>
      <c r="C1663" s="830"/>
      <c r="D1663" s="830"/>
      <c r="E1663" s="830"/>
      <c r="F1663" s="830"/>
      <c r="G1663" s="830"/>
    </row>
    <row r="1664" spans="1:7" ht="13.5" thickTop="1">
      <c r="A1664" s="95"/>
      <c r="B1664" s="811" t="s">
        <v>311</v>
      </c>
      <c r="C1664" s="812"/>
      <c r="D1664" s="812"/>
      <c r="E1664" s="812"/>
      <c r="F1664" s="812"/>
      <c r="G1664" s="825"/>
    </row>
    <row r="1665" spans="1:8">
      <c r="A1665" s="95"/>
      <c r="B1665" s="817" t="s">
        <v>838</v>
      </c>
      <c r="C1665" s="818"/>
      <c r="D1665" s="98" t="s">
        <v>842</v>
      </c>
      <c r="E1665" s="98" t="s">
        <v>853</v>
      </c>
      <c r="F1665" s="99" t="s">
        <v>1047</v>
      </c>
      <c r="G1665" s="107" t="s">
        <v>840</v>
      </c>
    </row>
    <row r="1666" spans="1:8">
      <c r="A1666" s="95"/>
      <c r="B1666" s="115"/>
      <c r="C1666" s="102"/>
      <c r="D1666" s="103"/>
      <c r="E1666" s="100" t="s">
        <v>312</v>
      </c>
      <c r="F1666" s="101" t="s">
        <v>313</v>
      </c>
      <c r="G1666" s="108" t="s">
        <v>314</v>
      </c>
    </row>
    <row r="1667" spans="1:8" ht="14.25">
      <c r="A1667" s="125"/>
      <c r="B1667" s="841" t="str">
        <f>MATERIALES2!C116</f>
        <v>TABLON VITRIFICADO 25x 25 TIPO A</v>
      </c>
      <c r="C1667" s="842"/>
      <c r="D1667" s="37" t="s">
        <v>1067</v>
      </c>
      <c r="E1667" s="140">
        <v>1</v>
      </c>
      <c r="F1667" s="80">
        <f>MATERIALES2!E116</f>
        <v>6000</v>
      </c>
      <c r="G1667" s="110">
        <f>ROUND(E1667*F1667,0)</f>
        <v>6000</v>
      </c>
    </row>
    <row r="1668" spans="1:8">
      <c r="A1668" s="123"/>
      <c r="B1668" s="854" t="str">
        <f>MATERIALES2!C13</f>
        <v>CEMENTO GRIS</v>
      </c>
      <c r="C1668" s="855"/>
      <c r="D1668" s="37" t="s">
        <v>925</v>
      </c>
      <c r="E1668" s="141">
        <v>9.06</v>
      </c>
      <c r="F1668" s="82">
        <f>MATERIALES2!E13</f>
        <v>420</v>
      </c>
      <c r="G1668" s="111">
        <f>ROUND(E1668*F1668,0)</f>
        <v>3805</v>
      </c>
    </row>
    <row r="1669" spans="1:8" ht="14.25">
      <c r="A1669" s="123"/>
      <c r="B1669" s="854" t="str">
        <f>MATERIALES2!C20</f>
        <v xml:space="preserve">ARENA </v>
      </c>
      <c r="C1669" s="855"/>
      <c r="D1669" s="37" t="s">
        <v>1066</v>
      </c>
      <c r="E1669" s="141">
        <v>3.5999999999999997E-2</v>
      </c>
      <c r="F1669" s="82">
        <f>MATERIALES2!E20</f>
        <v>35000</v>
      </c>
      <c r="G1669" s="111">
        <f>ROUND(E1669*F1669,0)</f>
        <v>1260</v>
      </c>
    </row>
    <row r="1670" spans="1:8">
      <c r="A1670" s="123"/>
      <c r="B1670" s="854" t="str">
        <f>MATERIALES2!C28</f>
        <v>AGUA</v>
      </c>
      <c r="C1670" s="855"/>
      <c r="D1670" s="37" t="s">
        <v>1071</v>
      </c>
      <c r="E1670" s="141">
        <v>7.11</v>
      </c>
      <c r="F1670" s="82">
        <f>MATERIALES2!E28</f>
        <v>50</v>
      </c>
      <c r="G1670" s="111">
        <f>ROUND(E1670*F1670,0)</f>
        <v>356</v>
      </c>
    </row>
    <row r="1671" spans="1:8">
      <c r="A1671" s="123"/>
      <c r="B1671" s="854"/>
      <c r="C1671" s="855"/>
      <c r="D1671" s="37"/>
      <c r="E1671" s="141"/>
      <c r="F1671" s="82"/>
      <c r="G1671" s="111"/>
    </row>
    <row r="1672" spans="1:8">
      <c r="A1672" s="123"/>
      <c r="B1672" s="854"/>
      <c r="C1672" s="855"/>
      <c r="D1672" s="37"/>
      <c r="E1672" s="141"/>
      <c r="F1672" s="82"/>
      <c r="G1672" s="111"/>
    </row>
    <row r="1673" spans="1:8">
      <c r="A1673" s="123"/>
      <c r="B1673" s="854"/>
      <c r="C1673" s="855"/>
      <c r="D1673" s="37"/>
      <c r="E1673" s="141"/>
      <c r="F1673" s="82"/>
      <c r="G1673" s="111"/>
      <c r="H1673" s="505" t="s">
        <v>1670</v>
      </c>
    </row>
    <row r="1674" spans="1:8">
      <c r="A1674" s="123"/>
      <c r="B1674" s="854"/>
      <c r="C1674" s="855"/>
      <c r="D1674" s="37"/>
      <c r="E1674" s="141"/>
      <c r="F1674" s="82"/>
      <c r="G1674" s="111"/>
    </row>
    <row r="1675" spans="1:8" ht="13.5" thickBot="1">
      <c r="A1675" s="95"/>
      <c r="B1675" s="942" t="s">
        <v>841</v>
      </c>
      <c r="C1675" s="943"/>
      <c r="D1675" s="84" t="s">
        <v>841</v>
      </c>
      <c r="E1675" s="84"/>
      <c r="F1675" s="85"/>
      <c r="G1675" s="112"/>
    </row>
    <row r="1676" spans="1:8" ht="13.5" thickTop="1">
      <c r="A1676" s="95"/>
      <c r="B1676" s="808"/>
      <c r="C1676" s="809"/>
      <c r="D1676" s="801" t="s">
        <v>856</v>
      </c>
      <c r="E1676" s="802"/>
      <c r="F1676" s="9"/>
      <c r="G1676" s="113">
        <f>SUM(G1667:G1675)</f>
        <v>11421</v>
      </c>
    </row>
    <row r="1677" spans="1:8">
      <c r="A1677" s="95"/>
      <c r="B1677" s="819"/>
      <c r="C1677" s="820"/>
      <c r="D1677" s="801" t="s">
        <v>857</v>
      </c>
      <c r="E1677" s="802"/>
      <c r="F1677" s="79">
        <f>'MANO DE OBRA'!D60</f>
        <v>0.05</v>
      </c>
      <c r="G1677" s="113">
        <f>ROUND(G1676*F1677,0)</f>
        <v>571</v>
      </c>
    </row>
    <row r="1678" spans="1:8" ht="13.5" thickBot="1">
      <c r="A1678" s="95"/>
      <c r="B1678" s="819"/>
      <c r="C1678" s="820"/>
      <c r="D1678" s="803" t="s">
        <v>320</v>
      </c>
      <c r="E1678" s="804"/>
      <c r="F1678" s="114"/>
      <c r="G1678" s="118">
        <f>+G1676+G1677</f>
        <v>11992</v>
      </c>
    </row>
    <row r="1679" spans="1:8" ht="14.25" thickTop="1" thickBot="1">
      <c r="A1679" s="95"/>
      <c r="B1679" s="830"/>
      <c r="C1679" s="830"/>
      <c r="D1679" s="830"/>
      <c r="E1679" s="830"/>
      <c r="F1679" s="830"/>
      <c r="G1679" s="830"/>
    </row>
    <row r="1680" spans="1:8" ht="13.5" thickTop="1">
      <c r="A1680" s="95"/>
      <c r="B1680" s="811" t="s">
        <v>858</v>
      </c>
      <c r="C1680" s="812"/>
      <c r="D1680" s="812"/>
      <c r="E1680" s="812"/>
      <c r="F1680" s="812"/>
      <c r="G1680" s="825"/>
    </row>
    <row r="1681" spans="1:7">
      <c r="A1681" s="95"/>
      <c r="B1681" s="817"/>
      <c r="C1681" s="818"/>
      <c r="D1681" s="98" t="s">
        <v>301</v>
      </c>
      <c r="E1681" s="98" t="s">
        <v>859</v>
      </c>
      <c r="F1681" s="99" t="s">
        <v>839</v>
      </c>
      <c r="G1681" s="107" t="s">
        <v>840</v>
      </c>
    </row>
    <row r="1682" spans="1:7">
      <c r="A1682" s="95"/>
      <c r="B1682" s="821" t="s">
        <v>838</v>
      </c>
      <c r="C1682" s="822"/>
      <c r="D1682" s="100" t="s">
        <v>316</v>
      </c>
      <c r="E1682" s="100" t="s">
        <v>315</v>
      </c>
      <c r="F1682" s="101" t="s">
        <v>306</v>
      </c>
      <c r="G1682" s="108" t="s">
        <v>319</v>
      </c>
    </row>
    <row r="1683" spans="1:7">
      <c r="A1683" s="95"/>
      <c r="B1683" s="115"/>
      <c r="C1683" s="102"/>
      <c r="D1683" s="103"/>
      <c r="E1683" s="103" t="s">
        <v>317</v>
      </c>
      <c r="F1683" s="104" t="s">
        <v>318</v>
      </c>
      <c r="G1683" s="109"/>
    </row>
    <row r="1684" spans="1:7">
      <c r="A1684" s="95"/>
      <c r="B1684" s="823" t="str">
        <f>'MANO DE OBRA'!B10</f>
        <v>AYUDANTE CUAD. TIPO AA</v>
      </c>
      <c r="C1684" s="824"/>
      <c r="D1684" s="87">
        <v>1</v>
      </c>
      <c r="E1684" s="80">
        <f>'MANO DE OBRA'!E10</f>
        <v>34680</v>
      </c>
      <c r="F1684" s="81">
        <v>9.41</v>
      </c>
      <c r="G1684" s="110">
        <f>ROUND(D1684*E1684/F1684,0)</f>
        <v>3685</v>
      </c>
    </row>
    <row r="1685" spans="1:7">
      <c r="A1685" s="95"/>
      <c r="B1685" s="835" t="str">
        <f>'MANO DE OBRA'!B15</f>
        <v xml:space="preserve">OFICIAL CUAD. TIPO AA </v>
      </c>
      <c r="C1685" s="836"/>
      <c r="D1685" s="37">
        <v>1</v>
      </c>
      <c r="E1685" s="82">
        <f>'MANO DE OBRA'!E15</f>
        <v>71474</v>
      </c>
      <c r="F1685" s="83">
        <v>9.41</v>
      </c>
      <c r="G1685" s="111">
        <f>ROUND(D1685*E1685/F1685,0)</f>
        <v>7596</v>
      </c>
    </row>
    <row r="1686" spans="1:7">
      <c r="A1686" s="95"/>
      <c r="B1686" s="835"/>
      <c r="C1686" s="836"/>
      <c r="D1686" s="89"/>
      <c r="E1686" s="82"/>
      <c r="F1686" s="83"/>
      <c r="G1686" s="111"/>
    </row>
    <row r="1687" spans="1:7">
      <c r="A1687" s="95"/>
      <c r="B1687" s="835" t="s">
        <v>841</v>
      </c>
      <c r="C1687" s="836"/>
      <c r="D1687" s="37"/>
      <c r="E1687" s="82"/>
      <c r="F1687" s="83"/>
      <c r="G1687" s="111"/>
    </row>
    <row r="1688" spans="1:7" ht="13.5" thickBot="1">
      <c r="A1688" s="95"/>
      <c r="B1688" s="828" t="s">
        <v>841</v>
      </c>
      <c r="C1688" s="829"/>
      <c r="D1688" s="77"/>
      <c r="E1688" s="82"/>
      <c r="F1688" s="86"/>
      <c r="G1688" s="112"/>
    </row>
    <row r="1689" spans="1:7" ht="14.25" thickTop="1" thickBot="1">
      <c r="A1689" s="95"/>
      <c r="B1689" s="808"/>
      <c r="C1689" s="808"/>
      <c r="D1689" s="808"/>
      <c r="E1689" s="809"/>
      <c r="F1689" s="120" t="s">
        <v>856</v>
      </c>
      <c r="G1689" s="118">
        <f>SUM(G1684:G1688)</f>
        <v>11281</v>
      </c>
    </row>
    <row r="1690" spans="1:7" ht="14.25" thickTop="1" thickBot="1">
      <c r="A1690" s="95"/>
      <c r="B1690" s="810"/>
      <c r="C1690" s="810"/>
      <c r="D1690" s="810"/>
      <c r="E1690" s="810"/>
      <c r="F1690" s="810"/>
      <c r="G1690" s="810"/>
    </row>
    <row r="1691" spans="1:7" ht="13.5" thickTop="1">
      <c r="A1691" s="95"/>
      <c r="B1691" s="811" t="s">
        <v>321</v>
      </c>
      <c r="C1691" s="812"/>
      <c r="D1691" s="812"/>
      <c r="E1691" s="812"/>
      <c r="F1691" s="812"/>
      <c r="G1691" s="825"/>
    </row>
    <row r="1692" spans="1:7">
      <c r="A1692" s="95"/>
      <c r="B1692" s="817" t="s">
        <v>838</v>
      </c>
      <c r="C1692" s="818"/>
      <c r="D1692" s="98" t="s">
        <v>301</v>
      </c>
      <c r="E1692" s="98" t="s">
        <v>297</v>
      </c>
      <c r="F1692" s="99" t="s">
        <v>839</v>
      </c>
      <c r="G1692" s="107" t="s">
        <v>840</v>
      </c>
    </row>
    <row r="1693" spans="1:7">
      <c r="A1693" s="95"/>
      <c r="B1693" s="115"/>
      <c r="C1693" s="102"/>
      <c r="D1693" s="103" t="s">
        <v>322</v>
      </c>
      <c r="E1693" s="103" t="s">
        <v>323</v>
      </c>
      <c r="F1693" s="104" t="s">
        <v>324</v>
      </c>
      <c r="G1693" s="109" t="s">
        <v>325</v>
      </c>
    </row>
    <row r="1694" spans="1:7">
      <c r="A1694" s="95"/>
      <c r="B1694" s="826"/>
      <c r="C1694" s="827"/>
      <c r="D1694" s="96"/>
      <c r="E1694" s="96"/>
      <c r="F1694" s="96"/>
      <c r="G1694" s="116"/>
    </row>
    <row r="1695" spans="1:7" ht="13.5" thickBot="1">
      <c r="A1695" s="95"/>
      <c r="B1695" s="828" t="s">
        <v>841</v>
      </c>
      <c r="C1695" s="829"/>
      <c r="D1695" s="77"/>
      <c r="E1695" s="82"/>
      <c r="F1695" s="86"/>
      <c r="G1695" s="112"/>
    </row>
    <row r="1696" spans="1:7" ht="14.25" thickTop="1" thickBot="1">
      <c r="A1696" s="95"/>
      <c r="B1696" s="808"/>
      <c r="C1696" s="808"/>
      <c r="D1696" s="808"/>
      <c r="E1696" s="809"/>
      <c r="F1696" s="120" t="s">
        <v>856</v>
      </c>
      <c r="G1696" s="118">
        <f>SUM(G1691:G1695)</f>
        <v>0</v>
      </c>
    </row>
    <row r="1697" spans="1:8" ht="14.25" thickTop="1" thickBot="1">
      <c r="A1697" s="95"/>
      <c r="B1697" s="810"/>
      <c r="C1697" s="810"/>
      <c r="D1697" s="810"/>
      <c r="E1697" s="810"/>
      <c r="F1697" s="810"/>
      <c r="G1697" s="834"/>
    </row>
    <row r="1698" spans="1:8" ht="13.5" thickTop="1">
      <c r="A1698" s="95"/>
      <c r="B1698" s="811" t="s">
        <v>326</v>
      </c>
      <c r="C1698" s="812"/>
      <c r="D1698" s="812"/>
      <c r="E1698" s="812"/>
      <c r="F1698" s="813"/>
      <c r="G1698" s="121">
        <f>+G1662+G1678+G1689</f>
        <v>23837</v>
      </c>
    </row>
    <row r="1699" spans="1:8">
      <c r="A1699" s="95"/>
      <c r="B1699" s="814" t="s">
        <v>861</v>
      </c>
      <c r="C1699" s="815"/>
      <c r="D1699" s="815"/>
      <c r="E1699" s="816"/>
      <c r="F1699" s="128">
        <f>'MANO DE OBRA'!D59</f>
        <v>0</v>
      </c>
      <c r="G1699" s="122">
        <f>ROUND(G1698*F1699,0)</f>
        <v>0</v>
      </c>
    </row>
    <row r="1700" spans="1:8" ht="13.5" thickBot="1">
      <c r="A1700" s="95"/>
      <c r="B1700" s="805" t="s">
        <v>1049</v>
      </c>
      <c r="C1700" s="806"/>
      <c r="D1700" s="806"/>
      <c r="E1700" s="806"/>
      <c r="F1700" s="807"/>
      <c r="G1700" s="118">
        <f>ROUND(G1698+G1699,-2)</f>
        <v>23800</v>
      </c>
      <c r="H1700" s="505" t="s">
        <v>1670</v>
      </c>
    </row>
    <row r="1701" spans="1:8" ht="15" thickTop="1">
      <c r="A1701" s="95"/>
      <c r="B1701" s="90" t="s">
        <v>303</v>
      </c>
      <c r="C1701" s="843"/>
      <c r="D1701" s="843"/>
      <c r="E1701" s="843"/>
      <c r="F1701" s="92" t="s">
        <v>781</v>
      </c>
      <c r="G1701" s="93" t="s">
        <v>1067</v>
      </c>
    </row>
    <row r="1702" spans="1:8">
      <c r="A1702" s="95"/>
      <c r="B1702" s="91" t="s">
        <v>834</v>
      </c>
      <c r="C1702" s="844" t="s">
        <v>1433</v>
      </c>
      <c r="D1702" s="844"/>
      <c r="E1702" s="844"/>
      <c r="F1702" s="15" t="s">
        <v>833</v>
      </c>
      <c r="G1702" s="165" t="str">
        <f>'MANO DE OBRA'!D61</f>
        <v>Agosto de 2010</v>
      </c>
    </row>
    <row r="1703" spans="1:8" ht="13.5" thickBot="1">
      <c r="A1703" s="127"/>
      <c r="B1703" s="94" t="s">
        <v>835</v>
      </c>
      <c r="C1703" s="845" t="s">
        <v>1015</v>
      </c>
      <c r="D1703" s="845"/>
      <c r="E1703" s="845"/>
      <c r="F1703" s="845"/>
      <c r="G1703" s="846"/>
    </row>
    <row r="1704" spans="1:8" ht="14.25" thickTop="1" thickBot="1">
      <c r="A1704" s="95"/>
      <c r="B1704" s="847"/>
      <c r="C1704" s="847"/>
      <c r="D1704" s="847"/>
      <c r="E1704" s="847"/>
      <c r="F1704" s="847"/>
      <c r="G1704" s="847"/>
    </row>
    <row r="1705" spans="1:8" ht="13.5" thickTop="1">
      <c r="A1705" s="95"/>
      <c r="B1705" s="811" t="s">
        <v>304</v>
      </c>
      <c r="C1705" s="812"/>
      <c r="D1705" s="812"/>
      <c r="E1705" s="812"/>
      <c r="F1705" s="812"/>
      <c r="G1705" s="825"/>
    </row>
    <row r="1706" spans="1:8">
      <c r="A1706" s="95"/>
      <c r="B1706" s="105"/>
      <c r="C1706" s="97"/>
      <c r="D1706" s="98" t="s">
        <v>301</v>
      </c>
      <c r="E1706" s="98" t="s">
        <v>1072</v>
      </c>
      <c r="F1706" s="99" t="s">
        <v>839</v>
      </c>
      <c r="G1706" s="107" t="s">
        <v>840</v>
      </c>
    </row>
    <row r="1707" spans="1:8">
      <c r="A1707" s="95"/>
      <c r="B1707" s="821" t="s">
        <v>838</v>
      </c>
      <c r="C1707" s="822"/>
      <c r="D1707" s="100" t="s">
        <v>308</v>
      </c>
      <c r="E1707" s="100" t="s">
        <v>305</v>
      </c>
      <c r="F1707" s="101" t="s">
        <v>306</v>
      </c>
      <c r="G1707" s="108" t="s">
        <v>310</v>
      </c>
    </row>
    <row r="1708" spans="1:8">
      <c r="A1708" s="95"/>
      <c r="B1708" s="115"/>
      <c r="C1708" s="102"/>
      <c r="D1708" s="103"/>
      <c r="E1708" s="103" t="s">
        <v>309</v>
      </c>
      <c r="F1708" s="104" t="s">
        <v>307</v>
      </c>
      <c r="G1708" s="109"/>
    </row>
    <row r="1709" spans="1:8">
      <c r="A1709" s="127"/>
      <c r="B1709" s="826" t="str">
        <f>'MAQUINARIA Y EQUIPOS'!C28</f>
        <v>HERRAMIENTAS MENORES</v>
      </c>
      <c r="C1709" s="824"/>
      <c r="D1709" s="87">
        <v>1</v>
      </c>
      <c r="E1709" s="82">
        <f>ROUND(G1742*0.05,0)</f>
        <v>542</v>
      </c>
      <c r="F1709" s="81">
        <v>1</v>
      </c>
      <c r="G1709" s="110">
        <f>ROUND(D1709*E1709/F1709,0)</f>
        <v>542</v>
      </c>
    </row>
    <row r="1710" spans="1:8">
      <c r="A1710" s="95"/>
      <c r="B1710" s="835"/>
      <c r="C1710" s="836"/>
      <c r="D1710" s="37"/>
      <c r="E1710" s="129"/>
      <c r="F1710" s="83"/>
      <c r="G1710" s="111"/>
    </row>
    <row r="1711" spans="1:8">
      <c r="A1711" s="95"/>
      <c r="B1711" s="835"/>
      <c r="C1711" s="836"/>
      <c r="D1711" s="37"/>
      <c r="E1711" s="129"/>
      <c r="F1711" s="83"/>
      <c r="G1711" s="111"/>
    </row>
    <row r="1712" spans="1:8">
      <c r="A1712" s="95"/>
      <c r="B1712" s="835"/>
      <c r="C1712" s="836"/>
      <c r="D1712" s="89"/>
      <c r="E1712" s="82"/>
      <c r="F1712" s="83"/>
      <c r="G1712" s="111"/>
    </row>
    <row r="1713" spans="1:8">
      <c r="A1713" s="95"/>
      <c r="B1713" s="835" t="s">
        <v>841</v>
      </c>
      <c r="C1713" s="836"/>
      <c r="D1713" s="37"/>
      <c r="E1713" s="82"/>
      <c r="F1713" s="83"/>
      <c r="G1713" s="111"/>
    </row>
    <row r="1714" spans="1:8" ht="13.5" thickBot="1">
      <c r="A1714" s="95"/>
      <c r="B1714" s="839" t="s">
        <v>841</v>
      </c>
      <c r="C1714" s="840"/>
      <c r="D1714" s="77"/>
      <c r="E1714" s="106"/>
      <c r="F1714" s="86"/>
      <c r="G1714" s="112"/>
    </row>
    <row r="1715" spans="1:8" ht="14.25" thickTop="1" thickBot="1">
      <c r="A1715" s="95"/>
      <c r="B1715" s="808"/>
      <c r="C1715" s="808"/>
      <c r="D1715" s="808"/>
      <c r="E1715" s="809"/>
      <c r="F1715" s="119" t="s">
        <v>856</v>
      </c>
      <c r="G1715" s="118">
        <f>SUM(G1709:G1714)</f>
        <v>542</v>
      </c>
    </row>
    <row r="1716" spans="1:8" ht="14.25" thickTop="1" thickBot="1">
      <c r="A1716" s="95"/>
      <c r="B1716" s="830"/>
      <c r="C1716" s="830"/>
      <c r="D1716" s="830"/>
      <c r="E1716" s="830"/>
      <c r="F1716" s="830"/>
      <c r="G1716" s="830"/>
    </row>
    <row r="1717" spans="1:8" ht="13.5" thickTop="1">
      <c r="A1717" s="95"/>
      <c r="B1717" s="811" t="s">
        <v>311</v>
      </c>
      <c r="C1717" s="812"/>
      <c r="D1717" s="812"/>
      <c r="E1717" s="812"/>
      <c r="F1717" s="812"/>
      <c r="G1717" s="825"/>
    </row>
    <row r="1718" spans="1:8">
      <c r="A1718" s="95"/>
      <c r="B1718" s="817" t="s">
        <v>838</v>
      </c>
      <c r="C1718" s="818"/>
      <c r="D1718" s="98" t="s">
        <v>842</v>
      </c>
      <c r="E1718" s="98" t="s">
        <v>853</v>
      </c>
      <c r="F1718" s="99" t="s">
        <v>1047</v>
      </c>
      <c r="G1718" s="107" t="s">
        <v>840</v>
      </c>
    </row>
    <row r="1719" spans="1:8">
      <c r="A1719" s="95"/>
      <c r="B1719" s="115"/>
      <c r="C1719" s="102"/>
      <c r="D1719" s="103"/>
      <c r="E1719" s="100" t="s">
        <v>312</v>
      </c>
      <c r="F1719" s="101" t="s">
        <v>313</v>
      </c>
      <c r="G1719" s="108" t="s">
        <v>314</v>
      </c>
    </row>
    <row r="1720" spans="1:8" ht="14.25">
      <c r="A1720" s="125"/>
      <c r="B1720" s="841" t="str">
        <f>MATERIALES2!C117</f>
        <v>TABLETA DE GRESS 20X20</v>
      </c>
      <c r="C1720" s="842"/>
      <c r="D1720" s="37" t="s">
        <v>1067</v>
      </c>
      <c r="E1720" s="140">
        <v>1.05</v>
      </c>
      <c r="F1720" s="80">
        <f>MATERIALES2!E117</f>
        <v>19500</v>
      </c>
      <c r="G1720" s="110">
        <f>ROUND(E1720*F1720,0)</f>
        <v>20475</v>
      </c>
    </row>
    <row r="1721" spans="1:8">
      <c r="A1721" s="123"/>
      <c r="B1721" s="854" t="str">
        <f>MATERIALES2!C13</f>
        <v>CEMENTO GRIS</v>
      </c>
      <c r="C1721" s="855"/>
      <c r="D1721" s="37" t="s">
        <v>925</v>
      </c>
      <c r="E1721" s="141">
        <v>6.8</v>
      </c>
      <c r="F1721" s="82">
        <f>MATERIALES2!E13</f>
        <v>420</v>
      </c>
      <c r="G1721" s="111">
        <f>ROUND(E1721*F1721,0)</f>
        <v>2856</v>
      </c>
    </row>
    <row r="1722" spans="1:8" ht="14.25">
      <c r="A1722" s="123"/>
      <c r="B1722" s="854" t="str">
        <f>MATERIALES2!C20</f>
        <v xml:space="preserve">ARENA </v>
      </c>
      <c r="C1722" s="855"/>
      <c r="D1722" s="37" t="s">
        <v>1066</v>
      </c>
      <c r="E1722" s="141">
        <v>0.02</v>
      </c>
      <c r="F1722" s="82">
        <f>MATERIALES2!E20</f>
        <v>35000</v>
      </c>
      <c r="G1722" s="111">
        <f>ROUND(E1722*F1722,0)</f>
        <v>700</v>
      </c>
    </row>
    <row r="1723" spans="1:8">
      <c r="A1723" s="123"/>
      <c r="B1723" s="854" t="str">
        <f>MATERIALES2!C28</f>
        <v>AGUA</v>
      </c>
      <c r="C1723" s="855"/>
      <c r="D1723" s="37" t="s">
        <v>1071</v>
      </c>
      <c r="E1723" s="141">
        <v>3</v>
      </c>
      <c r="F1723" s="82">
        <f>MATERIALES2!E28</f>
        <v>50</v>
      </c>
      <c r="G1723" s="111">
        <f>ROUND(E1723*F1723,0)</f>
        <v>150</v>
      </c>
    </row>
    <row r="1724" spans="1:8">
      <c r="A1724" s="123"/>
      <c r="B1724" s="854"/>
      <c r="C1724" s="855"/>
      <c r="D1724" s="37"/>
      <c r="E1724" s="141"/>
      <c r="F1724" s="82"/>
      <c r="G1724" s="111"/>
    </row>
    <row r="1725" spans="1:8">
      <c r="A1725" s="123"/>
      <c r="B1725" s="854"/>
      <c r="C1725" s="855"/>
      <c r="D1725" s="37"/>
      <c r="E1725" s="141"/>
      <c r="F1725" s="82"/>
      <c r="G1725" s="111"/>
    </row>
    <row r="1726" spans="1:8">
      <c r="A1726" s="123"/>
      <c r="B1726" s="854"/>
      <c r="C1726" s="855"/>
      <c r="D1726" s="37"/>
      <c r="E1726" s="141"/>
      <c r="F1726" s="82"/>
      <c r="G1726" s="111"/>
    </row>
    <row r="1727" spans="1:8">
      <c r="A1727" s="123"/>
      <c r="B1727" s="854"/>
      <c r="C1727" s="855"/>
      <c r="D1727" s="37"/>
      <c r="E1727" s="141"/>
      <c r="F1727" s="82"/>
      <c r="G1727" s="111"/>
      <c r="H1727" s="505" t="s">
        <v>1670</v>
      </c>
    </row>
    <row r="1728" spans="1:8" ht="13.5" thickBot="1">
      <c r="A1728" s="95"/>
      <c r="B1728" s="942" t="s">
        <v>841</v>
      </c>
      <c r="C1728" s="943"/>
      <c r="D1728" s="84" t="s">
        <v>841</v>
      </c>
      <c r="E1728" s="84"/>
      <c r="F1728" s="85"/>
      <c r="G1728" s="112"/>
    </row>
    <row r="1729" spans="1:7" ht="13.5" thickTop="1">
      <c r="A1729" s="95"/>
      <c r="B1729" s="808"/>
      <c r="C1729" s="809"/>
      <c r="D1729" s="801" t="s">
        <v>856</v>
      </c>
      <c r="E1729" s="802"/>
      <c r="F1729" s="9"/>
      <c r="G1729" s="113">
        <f>SUM(G1720:G1728)</f>
        <v>24181</v>
      </c>
    </row>
    <row r="1730" spans="1:7">
      <c r="A1730" s="95"/>
      <c r="B1730" s="819"/>
      <c r="C1730" s="820"/>
      <c r="D1730" s="801" t="s">
        <v>857</v>
      </c>
      <c r="E1730" s="802"/>
      <c r="F1730" s="79">
        <f>'MANO DE OBRA'!D60</f>
        <v>0.05</v>
      </c>
      <c r="G1730" s="113">
        <f>ROUND(G1729*F1730,0)</f>
        <v>1209</v>
      </c>
    </row>
    <row r="1731" spans="1:7" ht="13.5" thickBot="1">
      <c r="A1731" s="95"/>
      <c r="B1731" s="819"/>
      <c r="C1731" s="820"/>
      <c r="D1731" s="803" t="s">
        <v>320</v>
      </c>
      <c r="E1731" s="804"/>
      <c r="F1731" s="114"/>
      <c r="G1731" s="118">
        <f>+G1729+G1730</f>
        <v>25390</v>
      </c>
    </row>
    <row r="1732" spans="1:7" ht="14.25" thickTop="1" thickBot="1">
      <c r="A1732" s="95"/>
      <c r="B1732" s="830"/>
      <c r="C1732" s="830"/>
      <c r="D1732" s="830"/>
      <c r="E1732" s="830"/>
      <c r="F1732" s="830"/>
      <c r="G1732" s="830"/>
    </row>
    <row r="1733" spans="1:7" ht="13.5" thickTop="1">
      <c r="A1733" s="95"/>
      <c r="B1733" s="811" t="s">
        <v>858</v>
      </c>
      <c r="C1733" s="812"/>
      <c r="D1733" s="812"/>
      <c r="E1733" s="812"/>
      <c r="F1733" s="812"/>
      <c r="G1733" s="825"/>
    </row>
    <row r="1734" spans="1:7">
      <c r="A1734" s="95"/>
      <c r="B1734" s="817"/>
      <c r="C1734" s="818"/>
      <c r="D1734" s="98" t="s">
        <v>301</v>
      </c>
      <c r="E1734" s="98" t="s">
        <v>859</v>
      </c>
      <c r="F1734" s="99" t="s">
        <v>839</v>
      </c>
      <c r="G1734" s="107" t="s">
        <v>840</v>
      </c>
    </row>
    <row r="1735" spans="1:7">
      <c r="A1735" s="95"/>
      <c r="B1735" s="821" t="s">
        <v>838</v>
      </c>
      <c r="C1735" s="822"/>
      <c r="D1735" s="100" t="s">
        <v>316</v>
      </c>
      <c r="E1735" s="100" t="s">
        <v>315</v>
      </c>
      <c r="F1735" s="101" t="s">
        <v>306</v>
      </c>
      <c r="G1735" s="108" t="s">
        <v>319</v>
      </c>
    </row>
    <row r="1736" spans="1:7">
      <c r="A1736" s="95"/>
      <c r="B1736" s="115"/>
      <c r="C1736" s="102"/>
      <c r="D1736" s="103"/>
      <c r="E1736" s="103" t="s">
        <v>317</v>
      </c>
      <c r="F1736" s="104" t="s">
        <v>318</v>
      </c>
      <c r="G1736" s="109"/>
    </row>
    <row r="1737" spans="1:7">
      <c r="A1737" s="95"/>
      <c r="B1737" s="823" t="str">
        <f>'MANO DE OBRA'!B10</f>
        <v>AYUDANTE CUAD. TIPO AA</v>
      </c>
      <c r="C1737" s="824"/>
      <c r="D1737" s="87">
        <v>1</v>
      </c>
      <c r="E1737" s="80">
        <f>'MANO DE OBRA'!E10</f>
        <v>34680</v>
      </c>
      <c r="F1737" s="81">
        <v>9.8000000000000007</v>
      </c>
      <c r="G1737" s="110">
        <f>ROUND(D1737*E1737/F1737,0)</f>
        <v>3539</v>
      </c>
    </row>
    <row r="1738" spans="1:7">
      <c r="A1738" s="95"/>
      <c r="B1738" s="835" t="str">
        <f>'MANO DE OBRA'!B15</f>
        <v xml:space="preserve">OFICIAL CUAD. TIPO AA </v>
      </c>
      <c r="C1738" s="836"/>
      <c r="D1738" s="37">
        <v>1</v>
      </c>
      <c r="E1738" s="82">
        <f>'MANO DE OBRA'!E15</f>
        <v>71474</v>
      </c>
      <c r="F1738" s="83">
        <v>9.8000000000000007</v>
      </c>
      <c r="G1738" s="111">
        <f>ROUND(D1738*E1738/F1738,0)</f>
        <v>7293</v>
      </c>
    </row>
    <row r="1739" spans="1:7">
      <c r="A1739" s="95"/>
      <c r="B1739" s="835"/>
      <c r="C1739" s="836"/>
      <c r="D1739" s="89"/>
      <c r="E1739" s="82"/>
      <c r="F1739" s="83"/>
      <c r="G1739" s="111"/>
    </row>
    <row r="1740" spans="1:7">
      <c r="A1740" s="95"/>
      <c r="B1740" s="835" t="s">
        <v>841</v>
      </c>
      <c r="C1740" s="836"/>
      <c r="D1740" s="37"/>
      <c r="E1740" s="82"/>
      <c r="F1740" s="83"/>
      <c r="G1740" s="111"/>
    </row>
    <row r="1741" spans="1:7" ht="13.5" thickBot="1">
      <c r="A1741" s="95"/>
      <c r="B1741" s="828" t="s">
        <v>841</v>
      </c>
      <c r="C1741" s="829"/>
      <c r="D1741" s="77"/>
      <c r="E1741" s="82"/>
      <c r="F1741" s="86"/>
      <c r="G1741" s="112"/>
    </row>
    <row r="1742" spans="1:7" ht="14.25" thickTop="1" thickBot="1">
      <c r="A1742" s="95"/>
      <c r="B1742" s="808"/>
      <c r="C1742" s="808"/>
      <c r="D1742" s="808"/>
      <c r="E1742" s="809"/>
      <c r="F1742" s="120" t="s">
        <v>856</v>
      </c>
      <c r="G1742" s="118">
        <f>SUM(G1737:G1741)</f>
        <v>10832</v>
      </c>
    </row>
    <row r="1743" spans="1:7" ht="14.25" thickTop="1" thickBot="1">
      <c r="A1743" s="95"/>
      <c r="B1743" s="810"/>
      <c r="C1743" s="810"/>
      <c r="D1743" s="810"/>
      <c r="E1743" s="810"/>
      <c r="F1743" s="810"/>
      <c r="G1743" s="810"/>
    </row>
    <row r="1744" spans="1:7" ht="13.5" thickTop="1">
      <c r="A1744" s="95"/>
      <c r="B1744" s="811" t="s">
        <v>321</v>
      </c>
      <c r="C1744" s="812"/>
      <c r="D1744" s="812"/>
      <c r="E1744" s="812"/>
      <c r="F1744" s="812"/>
      <c r="G1744" s="825"/>
    </row>
    <row r="1745" spans="1:8">
      <c r="A1745" s="95"/>
      <c r="B1745" s="817" t="s">
        <v>838</v>
      </c>
      <c r="C1745" s="818"/>
      <c r="D1745" s="98" t="s">
        <v>301</v>
      </c>
      <c r="E1745" s="98" t="s">
        <v>297</v>
      </c>
      <c r="F1745" s="99" t="s">
        <v>839</v>
      </c>
      <c r="G1745" s="107" t="s">
        <v>840</v>
      </c>
    </row>
    <row r="1746" spans="1:8">
      <c r="A1746" s="95"/>
      <c r="B1746" s="115"/>
      <c r="C1746" s="102"/>
      <c r="D1746" s="103" t="s">
        <v>322</v>
      </c>
      <c r="E1746" s="103" t="s">
        <v>323</v>
      </c>
      <c r="F1746" s="104" t="s">
        <v>324</v>
      </c>
      <c r="G1746" s="109" t="s">
        <v>325</v>
      </c>
    </row>
    <row r="1747" spans="1:8">
      <c r="A1747" s="95"/>
      <c r="B1747" s="826"/>
      <c r="C1747" s="827"/>
      <c r="D1747" s="96"/>
      <c r="E1747" s="96"/>
      <c r="F1747" s="96"/>
      <c r="G1747" s="116"/>
    </row>
    <row r="1748" spans="1:8" ht="13.5" thickBot="1">
      <c r="A1748" s="95"/>
      <c r="B1748" s="828" t="s">
        <v>841</v>
      </c>
      <c r="C1748" s="829"/>
      <c r="D1748" s="77"/>
      <c r="E1748" s="82"/>
      <c r="F1748" s="86"/>
      <c r="G1748" s="112"/>
    </row>
    <row r="1749" spans="1:8" ht="14.25" thickTop="1" thickBot="1">
      <c r="A1749" s="95"/>
      <c r="B1749" s="808"/>
      <c r="C1749" s="808"/>
      <c r="D1749" s="808"/>
      <c r="E1749" s="809"/>
      <c r="F1749" s="120" t="s">
        <v>856</v>
      </c>
      <c r="G1749" s="118">
        <f>SUM(G1744:G1748)</f>
        <v>0</v>
      </c>
    </row>
    <row r="1750" spans="1:8" ht="14.25" thickTop="1" thickBot="1">
      <c r="A1750" s="95"/>
      <c r="B1750" s="810"/>
      <c r="C1750" s="810"/>
      <c r="D1750" s="810"/>
      <c r="E1750" s="810"/>
      <c r="F1750" s="810"/>
      <c r="G1750" s="834"/>
    </row>
    <row r="1751" spans="1:8" ht="13.5" thickTop="1">
      <c r="A1751" s="95"/>
      <c r="B1751" s="811" t="s">
        <v>326</v>
      </c>
      <c r="C1751" s="812"/>
      <c r="D1751" s="812"/>
      <c r="E1751" s="812"/>
      <c r="F1751" s="813"/>
      <c r="G1751" s="121">
        <f>+G1715+G1731+G1742</f>
        <v>36764</v>
      </c>
    </row>
    <row r="1752" spans="1:8">
      <c r="A1752" s="95"/>
      <c r="B1752" s="814" t="s">
        <v>861</v>
      </c>
      <c r="C1752" s="815"/>
      <c r="D1752" s="815"/>
      <c r="E1752" s="816"/>
      <c r="F1752" s="128">
        <f>'MANO DE OBRA'!D59</f>
        <v>0</v>
      </c>
      <c r="G1752" s="122">
        <f>ROUND(G1751*F1752,0)</f>
        <v>0</v>
      </c>
    </row>
    <row r="1753" spans="1:8" ht="13.5" thickBot="1">
      <c r="A1753" s="95"/>
      <c r="B1753" s="805" t="s">
        <v>1049</v>
      </c>
      <c r="C1753" s="806"/>
      <c r="D1753" s="806"/>
      <c r="E1753" s="806"/>
      <c r="F1753" s="807"/>
      <c r="G1753" s="118">
        <f>ROUND(G1751+G1752,-2)</f>
        <v>36800</v>
      </c>
      <c r="H1753" s="505" t="s">
        <v>1670</v>
      </c>
    </row>
    <row r="1754" spans="1:8" ht="15" thickTop="1">
      <c r="A1754" s="95"/>
      <c r="B1754" s="90" t="s">
        <v>303</v>
      </c>
      <c r="C1754" s="843"/>
      <c r="D1754" s="843"/>
      <c r="E1754" s="843"/>
      <c r="F1754" s="92" t="s">
        <v>781</v>
      </c>
      <c r="G1754" s="93" t="s">
        <v>1067</v>
      </c>
    </row>
    <row r="1755" spans="1:8">
      <c r="A1755" s="95"/>
      <c r="B1755" s="91" t="s">
        <v>834</v>
      </c>
      <c r="C1755" s="844" t="s">
        <v>400</v>
      </c>
      <c r="D1755" s="844"/>
      <c r="E1755" s="844"/>
      <c r="F1755" s="15" t="s">
        <v>833</v>
      </c>
      <c r="G1755" s="165" t="str">
        <f>'MANO DE OBRA'!D61</f>
        <v>Agosto de 2010</v>
      </c>
    </row>
    <row r="1756" spans="1:8" ht="13.5" thickBot="1">
      <c r="A1756" s="127"/>
      <c r="B1756" s="94" t="s">
        <v>835</v>
      </c>
      <c r="C1756" s="845" t="s">
        <v>406</v>
      </c>
      <c r="D1756" s="845"/>
      <c r="E1756" s="845"/>
      <c r="F1756" s="845"/>
      <c r="G1756" s="846"/>
    </row>
    <row r="1757" spans="1:8" ht="14.25" thickTop="1" thickBot="1">
      <c r="A1757" s="95"/>
      <c r="B1757" s="847"/>
      <c r="C1757" s="847"/>
      <c r="D1757" s="847"/>
      <c r="E1757" s="847"/>
      <c r="F1757" s="847"/>
      <c r="G1757" s="847"/>
    </row>
    <row r="1758" spans="1:8" ht="13.5" thickTop="1">
      <c r="A1758" s="95"/>
      <c r="B1758" s="811" t="s">
        <v>304</v>
      </c>
      <c r="C1758" s="812"/>
      <c r="D1758" s="812"/>
      <c r="E1758" s="812"/>
      <c r="F1758" s="812"/>
      <c r="G1758" s="825"/>
    </row>
    <row r="1759" spans="1:8">
      <c r="A1759" s="95"/>
      <c r="B1759" s="105"/>
      <c r="C1759" s="97"/>
      <c r="D1759" s="98" t="s">
        <v>301</v>
      </c>
      <c r="E1759" s="98" t="s">
        <v>1072</v>
      </c>
      <c r="F1759" s="99" t="s">
        <v>839</v>
      </c>
      <c r="G1759" s="107" t="s">
        <v>840</v>
      </c>
    </row>
    <row r="1760" spans="1:8">
      <c r="A1760" s="95"/>
      <c r="B1760" s="821" t="s">
        <v>838</v>
      </c>
      <c r="C1760" s="822"/>
      <c r="D1760" s="100" t="s">
        <v>308</v>
      </c>
      <c r="E1760" s="100" t="s">
        <v>305</v>
      </c>
      <c r="F1760" s="101" t="s">
        <v>306</v>
      </c>
      <c r="G1760" s="108" t="s">
        <v>310</v>
      </c>
    </row>
    <row r="1761" spans="1:7">
      <c r="A1761" s="95"/>
      <c r="B1761" s="115"/>
      <c r="C1761" s="102"/>
      <c r="D1761" s="103"/>
      <c r="E1761" s="103" t="s">
        <v>309</v>
      </c>
      <c r="F1761" s="104" t="s">
        <v>307</v>
      </c>
      <c r="G1761" s="109"/>
    </row>
    <row r="1762" spans="1:7">
      <c r="A1762" s="127"/>
      <c r="B1762" s="826" t="str">
        <f>'MAQUINARIA Y EQUIPOS'!C28</f>
        <v>HERRAMIENTAS MENORES</v>
      </c>
      <c r="C1762" s="824"/>
      <c r="D1762" s="87">
        <v>1</v>
      </c>
      <c r="E1762" s="82">
        <f>ROUND(G1794*0.05,0)</f>
        <v>577</v>
      </c>
      <c r="F1762" s="81">
        <v>1</v>
      </c>
      <c r="G1762" s="110">
        <f>ROUND(D1762*E1762/F1762,0)</f>
        <v>577</v>
      </c>
    </row>
    <row r="1763" spans="1:7">
      <c r="A1763" s="95"/>
      <c r="B1763" s="835"/>
      <c r="C1763" s="836"/>
      <c r="D1763" s="37"/>
      <c r="E1763" s="129"/>
      <c r="F1763" s="83"/>
      <c r="G1763" s="111"/>
    </row>
    <row r="1764" spans="1:7">
      <c r="A1764" s="95"/>
      <c r="B1764" s="835"/>
      <c r="C1764" s="836"/>
      <c r="D1764" s="37"/>
      <c r="E1764" s="129"/>
      <c r="F1764" s="83"/>
      <c r="G1764" s="111"/>
    </row>
    <row r="1765" spans="1:7">
      <c r="A1765" s="95"/>
      <c r="B1765" s="835"/>
      <c r="C1765" s="836"/>
      <c r="D1765" s="89"/>
      <c r="E1765" s="82"/>
      <c r="F1765" s="83"/>
      <c r="G1765" s="111"/>
    </row>
    <row r="1766" spans="1:7">
      <c r="A1766" s="95"/>
      <c r="B1766" s="835" t="s">
        <v>841</v>
      </c>
      <c r="C1766" s="836"/>
      <c r="D1766" s="37"/>
      <c r="E1766" s="82"/>
      <c r="F1766" s="83"/>
      <c r="G1766" s="111"/>
    </row>
    <row r="1767" spans="1:7" ht="13.5" thickBot="1">
      <c r="A1767" s="95"/>
      <c r="B1767" s="839" t="s">
        <v>841</v>
      </c>
      <c r="C1767" s="840"/>
      <c r="D1767" s="77"/>
      <c r="E1767" s="106"/>
      <c r="F1767" s="86"/>
      <c r="G1767" s="112"/>
    </row>
    <row r="1768" spans="1:7" ht="14.25" thickTop="1" thickBot="1">
      <c r="A1768" s="95"/>
      <c r="B1768" s="808"/>
      <c r="C1768" s="808"/>
      <c r="D1768" s="808"/>
      <c r="E1768" s="809"/>
      <c r="F1768" s="119" t="s">
        <v>856</v>
      </c>
      <c r="G1768" s="118">
        <f>SUM(G1762:G1767)</f>
        <v>577</v>
      </c>
    </row>
    <row r="1769" spans="1:7" ht="14.25" thickTop="1" thickBot="1">
      <c r="A1769" s="95"/>
      <c r="B1769" s="830"/>
      <c r="C1769" s="830"/>
      <c r="D1769" s="830"/>
      <c r="E1769" s="830"/>
      <c r="F1769" s="830"/>
      <c r="G1769" s="830"/>
    </row>
    <row r="1770" spans="1:7" ht="13.5" thickTop="1">
      <c r="A1770" s="95"/>
      <c r="B1770" s="811" t="s">
        <v>311</v>
      </c>
      <c r="C1770" s="812"/>
      <c r="D1770" s="812"/>
      <c r="E1770" s="812"/>
      <c r="F1770" s="812"/>
      <c r="G1770" s="825"/>
    </row>
    <row r="1771" spans="1:7">
      <c r="A1771" s="95"/>
      <c r="B1771" s="817" t="s">
        <v>838</v>
      </c>
      <c r="C1771" s="818"/>
      <c r="D1771" s="98" t="s">
        <v>842</v>
      </c>
      <c r="E1771" s="98" t="s">
        <v>853</v>
      </c>
      <c r="F1771" s="99" t="s">
        <v>1047</v>
      </c>
      <c r="G1771" s="107" t="s">
        <v>840</v>
      </c>
    </row>
    <row r="1772" spans="1:7">
      <c r="A1772" s="95"/>
      <c r="B1772" s="115"/>
      <c r="C1772" s="102"/>
      <c r="D1772" s="103"/>
      <c r="E1772" s="100" t="s">
        <v>312</v>
      </c>
      <c r="F1772" s="101" t="s">
        <v>313</v>
      </c>
      <c r="G1772" s="108" t="s">
        <v>314</v>
      </c>
    </row>
    <row r="1773" spans="1:7" ht="14.25">
      <c r="A1773" s="125"/>
      <c r="B1773" s="841" t="str">
        <f>MATERIALES2!C126</f>
        <v xml:space="preserve">CERAMICA PISO 20.5X20.5 CM </v>
      </c>
      <c r="C1773" s="842"/>
      <c r="D1773" s="37" t="s">
        <v>1067</v>
      </c>
      <c r="E1773" s="140">
        <v>1</v>
      </c>
      <c r="F1773" s="80">
        <f>MATERIALES2!E126</f>
        <v>21000</v>
      </c>
      <c r="G1773" s="110">
        <f>ROUND(E1773*F1773,0)</f>
        <v>21000</v>
      </c>
    </row>
    <row r="1774" spans="1:7">
      <c r="A1774" s="123"/>
      <c r="B1774" s="854" t="str">
        <f>MATERIALES2!C12</f>
        <v>CEMENTO BLANCO</v>
      </c>
      <c r="C1774" s="855"/>
      <c r="D1774" s="37" t="s">
        <v>925</v>
      </c>
      <c r="E1774" s="141">
        <v>1.5</v>
      </c>
      <c r="F1774" s="82">
        <f>MATERIALES2!E12</f>
        <v>750</v>
      </c>
      <c r="G1774" s="111">
        <f>ROUND(E1774*F1774,0)</f>
        <v>1125</v>
      </c>
    </row>
    <row r="1775" spans="1:7">
      <c r="A1775" s="123"/>
      <c r="B1775" s="854" t="str">
        <f>MATERIALES2!C323</f>
        <v>BINDA EXTRA 10 KG</v>
      </c>
      <c r="C1775" s="855"/>
      <c r="D1775" s="37" t="s">
        <v>925</v>
      </c>
      <c r="E1775" s="141">
        <v>0.35</v>
      </c>
      <c r="F1775" s="82">
        <f>MATERIALES2!E323</f>
        <v>5200</v>
      </c>
      <c r="G1775" s="111">
        <f>ROUND(E1775*F1775,0)</f>
        <v>1820</v>
      </c>
    </row>
    <row r="1776" spans="1:7">
      <c r="A1776" s="123"/>
      <c r="B1776" s="854" t="str">
        <f>MATERIALES2!C28</f>
        <v>AGUA</v>
      </c>
      <c r="C1776" s="855"/>
      <c r="D1776" s="37" t="s">
        <v>1071</v>
      </c>
      <c r="E1776" s="141">
        <v>4.74</v>
      </c>
      <c r="F1776" s="82">
        <f>MATERIALES2!E28</f>
        <v>50</v>
      </c>
      <c r="G1776" s="111">
        <f>ROUND(E1776*F1776,0)</f>
        <v>237</v>
      </c>
    </row>
    <row r="1777" spans="1:8">
      <c r="A1777" s="123"/>
      <c r="B1777" s="854"/>
      <c r="C1777" s="855"/>
      <c r="D1777" s="37"/>
      <c r="E1777" s="141"/>
      <c r="F1777" s="82"/>
      <c r="G1777" s="111"/>
    </row>
    <row r="1778" spans="1:8">
      <c r="A1778" s="123"/>
      <c r="B1778" s="854"/>
      <c r="C1778" s="855"/>
      <c r="D1778" s="37"/>
      <c r="E1778" s="141"/>
      <c r="F1778" s="82"/>
      <c r="G1778" s="111"/>
    </row>
    <row r="1779" spans="1:8">
      <c r="A1779" s="123"/>
      <c r="B1779" s="854"/>
      <c r="C1779" s="855"/>
      <c r="D1779" s="37"/>
      <c r="E1779" s="141"/>
      <c r="F1779" s="82"/>
      <c r="G1779" s="111"/>
      <c r="H1779" s="505" t="s">
        <v>1670</v>
      </c>
    </row>
    <row r="1780" spans="1:8" ht="13.5" thickBot="1">
      <c r="A1780" s="123"/>
      <c r="B1780" s="942" t="s">
        <v>841</v>
      </c>
      <c r="C1780" s="943"/>
      <c r="D1780" s="84" t="s">
        <v>841</v>
      </c>
      <c r="E1780" s="84"/>
      <c r="F1780" s="85"/>
      <c r="G1780" s="112"/>
    </row>
    <row r="1781" spans="1:8" ht="13.5" thickTop="1">
      <c r="A1781" s="95"/>
      <c r="B1781" s="808"/>
      <c r="C1781" s="809"/>
      <c r="D1781" s="801" t="s">
        <v>856</v>
      </c>
      <c r="E1781" s="802"/>
      <c r="F1781" s="9"/>
      <c r="G1781" s="113">
        <f>SUM(G1773:G1780)</f>
        <v>24182</v>
      </c>
    </row>
    <row r="1782" spans="1:8">
      <c r="A1782" s="95"/>
      <c r="B1782" s="819"/>
      <c r="C1782" s="820"/>
      <c r="D1782" s="801" t="s">
        <v>857</v>
      </c>
      <c r="E1782" s="802"/>
      <c r="F1782" s="79">
        <f>'MANO DE OBRA'!D60</f>
        <v>0.05</v>
      </c>
      <c r="G1782" s="113">
        <f>ROUND(G1781*F1782,0)</f>
        <v>1209</v>
      </c>
    </row>
    <row r="1783" spans="1:8" ht="13.5" thickBot="1">
      <c r="A1783" s="95"/>
      <c r="B1783" s="819"/>
      <c r="C1783" s="820"/>
      <c r="D1783" s="803" t="s">
        <v>320</v>
      </c>
      <c r="E1783" s="804"/>
      <c r="F1783" s="114"/>
      <c r="G1783" s="118">
        <f>+G1781+G1782</f>
        <v>25391</v>
      </c>
    </row>
    <row r="1784" spans="1:8" ht="14.25" thickTop="1" thickBot="1">
      <c r="A1784" s="95"/>
      <c r="B1784" s="830"/>
      <c r="C1784" s="830"/>
      <c r="D1784" s="830"/>
      <c r="E1784" s="830"/>
      <c r="F1784" s="830"/>
      <c r="G1784" s="830"/>
    </row>
    <row r="1785" spans="1:8" ht="13.5" thickTop="1">
      <c r="A1785" s="95"/>
      <c r="B1785" s="811" t="s">
        <v>858</v>
      </c>
      <c r="C1785" s="812"/>
      <c r="D1785" s="812"/>
      <c r="E1785" s="812"/>
      <c r="F1785" s="812"/>
      <c r="G1785" s="825"/>
    </row>
    <row r="1786" spans="1:8">
      <c r="A1786" s="95"/>
      <c r="B1786" s="817"/>
      <c r="C1786" s="818"/>
      <c r="D1786" s="98" t="s">
        <v>301</v>
      </c>
      <c r="E1786" s="98" t="s">
        <v>859</v>
      </c>
      <c r="F1786" s="99" t="s">
        <v>839</v>
      </c>
      <c r="G1786" s="107" t="s">
        <v>840</v>
      </c>
    </row>
    <row r="1787" spans="1:8">
      <c r="A1787" s="95"/>
      <c r="B1787" s="821" t="s">
        <v>838</v>
      </c>
      <c r="C1787" s="822"/>
      <c r="D1787" s="100" t="s">
        <v>316</v>
      </c>
      <c r="E1787" s="100" t="s">
        <v>315</v>
      </c>
      <c r="F1787" s="101" t="s">
        <v>306</v>
      </c>
      <c r="G1787" s="108" t="s">
        <v>319</v>
      </c>
    </row>
    <row r="1788" spans="1:8">
      <c r="A1788" s="95"/>
      <c r="B1788" s="115"/>
      <c r="C1788" s="102"/>
      <c r="D1788" s="103"/>
      <c r="E1788" s="103" t="s">
        <v>317</v>
      </c>
      <c r="F1788" s="104" t="s">
        <v>318</v>
      </c>
      <c r="G1788" s="109"/>
    </row>
    <row r="1789" spans="1:8">
      <c r="A1789" s="95"/>
      <c r="B1789" s="823" t="str">
        <f>'MANO DE OBRA'!B10</f>
        <v>AYUDANTE CUAD. TIPO AA</v>
      </c>
      <c r="C1789" s="824"/>
      <c r="D1789" s="87">
        <v>1</v>
      </c>
      <c r="E1789" s="80">
        <f>'MANO DE OBRA'!E10</f>
        <v>34680</v>
      </c>
      <c r="F1789" s="81">
        <v>9.1999999999999993</v>
      </c>
      <c r="G1789" s="110">
        <f>ROUND(D1789*E1789/F1789,0)</f>
        <v>3770</v>
      </c>
    </row>
    <row r="1790" spans="1:8">
      <c r="A1790" s="95"/>
      <c r="B1790" s="835" t="str">
        <f>'MANO DE OBRA'!B15</f>
        <v xml:space="preserve">OFICIAL CUAD. TIPO AA </v>
      </c>
      <c r="C1790" s="836"/>
      <c r="D1790" s="37">
        <v>1</v>
      </c>
      <c r="E1790" s="82">
        <f>'MANO DE OBRA'!E15</f>
        <v>71474</v>
      </c>
      <c r="F1790" s="83">
        <v>9.1999999999999993</v>
      </c>
      <c r="G1790" s="111">
        <f>ROUND(D1790*E1790/F1790,0)</f>
        <v>7769</v>
      </c>
    </row>
    <row r="1791" spans="1:8">
      <c r="A1791" s="95"/>
      <c r="B1791" s="835"/>
      <c r="C1791" s="836"/>
      <c r="D1791" s="89"/>
      <c r="E1791" s="82"/>
      <c r="F1791" s="83"/>
      <c r="G1791" s="111"/>
    </row>
    <row r="1792" spans="1:8">
      <c r="A1792" s="95"/>
      <c r="B1792" s="835" t="s">
        <v>841</v>
      </c>
      <c r="C1792" s="836"/>
      <c r="D1792" s="37"/>
      <c r="E1792" s="82"/>
      <c r="F1792" s="83"/>
      <c r="G1792" s="111"/>
    </row>
    <row r="1793" spans="1:8" ht="13.5" thickBot="1">
      <c r="A1793" s="95"/>
      <c r="B1793" s="828" t="s">
        <v>841</v>
      </c>
      <c r="C1793" s="829"/>
      <c r="D1793" s="77"/>
      <c r="E1793" s="82"/>
      <c r="F1793" s="86"/>
      <c r="G1793" s="112"/>
    </row>
    <row r="1794" spans="1:8" ht="14.25" thickTop="1" thickBot="1">
      <c r="A1794" s="95"/>
      <c r="B1794" s="808"/>
      <c r="C1794" s="808"/>
      <c r="D1794" s="808"/>
      <c r="E1794" s="809"/>
      <c r="F1794" s="120" t="s">
        <v>856</v>
      </c>
      <c r="G1794" s="118">
        <f>SUM(G1789:G1793)</f>
        <v>11539</v>
      </c>
    </row>
    <row r="1795" spans="1:8" ht="14.25" thickTop="1" thickBot="1">
      <c r="A1795" s="95"/>
      <c r="B1795" s="810"/>
      <c r="C1795" s="810"/>
      <c r="D1795" s="810"/>
      <c r="E1795" s="810"/>
      <c r="F1795" s="810"/>
      <c r="G1795" s="810"/>
    </row>
    <row r="1796" spans="1:8" ht="13.5" thickTop="1">
      <c r="A1796" s="95"/>
      <c r="B1796" s="811" t="s">
        <v>321</v>
      </c>
      <c r="C1796" s="812"/>
      <c r="D1796" s="812"/>
      <c r="E1796" s="812"/>
      <c r="F1796" s="812"/>
      <c r="G1796" s="825"/>
    </row>
    <row r="1797" spans="1:8">
      <c r="A1797" s="95"/>
      <c r="B1797" s="817" t="s">
        <v>838</v>
      </c>
      <c r="C1797" s="818"/>
      <c r="D1797" s="98" t="s">
        <v>301</v>
      </c>
      <c r="E1797" s="98" t="s">
        <v>297</v>
      </c>
      <c r="F1797" s="99" t="s">
        <v>839</v>
      </c>
      <c r="G1797" s="107" t="s">
        <v>840</v>
      </c>
    </row>
    <row r="1798" spans="1:8">
      <c r="A1798" s="95"/>
      <c r="B1798" s="115"/>
      <c r="C1798" s="102"/>
      <c r="D1798" s="103" t="s">
        <v>322</v>
      </c>
      <c r="E1798" s="103" t="s">
        <v>323</v>
      </c>
      <c r="F1798" s="104" t="s">
        <v>324</v>
      </c>
      <c r="G1798" s="109" t="s">
        <v>325</v>
      </c>
    </row>
    <row r="1799" spans="1:8">
      <c r="A1799" s="95"/>
      <c r="B1799" s="826"/>
      <c r="C1799" s="827"/>
      <c r="D1799" s="96"/>
      <c r="E1799" s="96"/>
      <c r="F1799" s="96"/>
      <c r="G1799" s="116"/>
    </row>
    <row r="1800" spans="1:8" ht="13.5" thickBot="1">
      <c r="A1800" s="95"/>
      <c r="B1800" s="828" t="s">
        <v>841</v>
      </c>
      <c r="C1800" s="829"/>
      <c r="D1800" s="77"/>
      <c r="E1800" s="82"/>
      <c r="F1800" s="86"/>
      <c r="G1800" s="112"/>
    </row>
    <row r="1801" spans="1:8" ht="14.25" thickTop="1" thickBot="1">
      <c r="A1801" s="95"/>
      <c r="B1801" s="808"/>
      <c r="C1801" s="808"/>
      <c r="D1801" s="808"/>
      <c r="E1801" s="809"/>
      <c r="F1801" s="120" t="s">
        <v>856</v>
      </c>
      <c r="G1801" s="118">
        <f>SUM(G1796:G1800)</f>
        <v>0</v>
      </c>
    </row>
    <row r="1802" spans="1:8" ht="14.25" thickTop="1" thickBot="1">
      <c r="A1802" s="95"/>
      <c r="B1802" s="810"/>
      <c r="C1802" s="810"/>
      <c r="D1802" s="810"/>
      <c r="E1802" s="810"/>
      <c r="F1802" s="810"/>
      <c r="G1802" s="834"/>
    </row>
    <row r="1803" spans="1:8" ht="13.5" thickTop="1">
      <c r="A1803" s="95"/>
      <c r="B1803" s="811" t="s">
        <v>326</v>
      </c>
      <c r="C1803" s="812"/>
      <c r="D1803" s="812"/>
      <c r="E1803" s="812"/>
      <c r="F1803" s="813"/>
      <c r="G1803" s="121">
        <f>+G1768+G1783+G1794</f>
        <v>37507</v>
      </c>
    </row>
    <row r="1804" spans="1:8">
      <c r="A1804" s="95"/>
      <c r="B1804" s="814" t="s">
        <v>861</v>
      </c>
      <c r="C1804" s="815"/>
      <c r="D1804" s="815"/>
      <c r="E1804" s="816"/>
      <c r="F1804" s="128">
        <f>'MANO DE OBRA'!D535</f>
        <v>0</v>
      </c>
      <c r="G1804" s="122">
        <f>ROUND(G1803*F1804,0)</f>
        <v>0</v>
      </c>
    </row>
    <row r="1805" spans="1:8" ht="13.5" thickBot="1">
      <c r="A1805" s="95"/>
      <c r="B1805" s="805" t="s">
        <v>1049</v>
      </c>
      <c r="C1805" s="806"/>
      <c r="D1805" s="806"/>
      <c r="E1805" s="806"/>
      <c r="F1805" s="807"/>
      <c r="G1805" s="118">
        <f>ROUND(G1803+G1804,-2)</f>
        <v>37500</v>
      </c>
      <c r="H1805" s="505" t="s">
        <v>1670</v>
      </c>
    </row>
    <row r="1806" spans="1:8" ht="13.5" thickTop="1"/>
    <row r="1808" spans="1:8" ht="13.5" customHeight="1"/>
    <row r="1825" ht="12.75" customHeight="1"/>
  </sheetData>
  <mergeCells count="1669">
    <mergeCell ref="C3:G3"/>
    <mergeCell ref="B4:G4"/>
    <mergeCell ref="C1:G1"/>
    <mergeCell ref="C2:G2"/>
    <mergeCell ref="B12:C12"/>
    <mergeCell ref="B14:C14"/>
    <mergeCell ref="C5:G5"/>
    <mergeCell ref="C6:E6"/>
    <mergeCell ref="C7:E7"/>
    <mergeCell ref="C8:G8"/>
    <mergeCell ref="B26:C26"/>
    <mergeCell ref="B27:C27"/>
    <mergeCell ref="B28:C28"/>
    <mergeCell ref="B29:C29"/>
    <mergeCell ref="B30:C30"/>
    <mergeCell ref="B31:C31"/>
    <mergeCell ref="B19:C19"/>
    <mergeCell ref="B20:E20"/>
    <mergeCell ref="B21:G21"/>
    <mergeCell ref="B22:G22"/>
    <mergeCell ref="B23:C23"/>
    <mergeCell ref="B25:C25"/>
    <mergeCell ref="B9:G9"/>
    <mergeCell ref="B10:G10"/>
    <mergeCell ref="B15:C15"/>
    <mergeCell ref="B16:C16"/>
    <mergeCell ref="B17:C17"/>
    <mergeCell ref="B18:C18"/>
    <mergeCell ref="B44:C44"/>
    <mergeCell ref="B45:C45"/>
    <mergeCell ref="B46:C46"/>
    <mergeCell ref="B47:E47"/>
    <mergeCell ref="B48:G48"/>
    <mergeCell ref="B49:G49"/>
    <mergeCell ref="B37:G37"/>
    <mergeCell ref="B38:G38"/>
    <mergeCell ref="B39:C39"/>
    <mergeCell ref="B40:C40"/>
    <mergeCell ref="B42:C42"/>
    <mergeCell ref="B43:C43"/>
    <mergeCell ref="B32:C32"/>
    <mergeCell ref="B33:C33"/>
    <mergeCell ref="B34:C36"/>
    <mergeCell ref="D34:E34"/>
    <mergeCell ref="D35:E35"/>
    <mergeCell ref="D36:E36"/>
    <mergeCell ref="B63:G63"/>
    <mergeCell ref="B65:C65"/>
    <mergeCell ref="B67:C67"/>
    <mergeCell ref="B68:C68"/>
    <mergeCell ref="B69:C69"/>
    <mergeCell ref="B70:C70"/>
    <mergeCell ref="B57:E57"/>
    <mergeCell ref="B58:F58"/>
    <mergeCell ref="C59:E59"/>
    <mergeCell ref="C60:E60"/>
    <mergeCell ref="C61:G61"/>
    <mergeCell ref="B62:G62"/>
    <mergeCell ref="B50:C50"/>
    <mergeCell ref="B52:C52"/>
    <mergeCell ref="B53:C53"/>
    <mergeCell ref="B54:E54"/>
    <mergeCell ref="B55:G55"/>
    <mergeCell ref="B56:F56"/>
    <mergeCell ref="B84:C84"/>
    <mergeCell ref="B85:C85"/>
    <mergeCell ref="B86:C86"/>
    <mergeCell ref="B87:C89"/>
    <mergeCell ref="D87:E87"/>
    <mergeCell ref="D88:E88"/>
    <mergeCell ref="D89:E89"/>
    <mergeCell ref="B78:C78"/>
    <mergeCell ref="B79:C79"/>
    <mergeCell ref="B80:C80"/>
    <mergeCell ref="B81:C81"/>
    <mergeCell ref="B82:C82"/>
    <mergeCell ref="B83:C83"/>
    <mergeCell ref="B71:C71"/>
    <mergeCell ref="B72:C72"/>
    <mergeCell ref="B73:E73"/>
    <mergeCell ref="B74:G74"/>
    <mergeCell ref="B75:G75"/>
    <mergeCell ref="B76:C76"/>
    <mergeCell ref="B103:C103"/>
    <mergeCell ref="B105:C105"/>
    <mergeCell ref="B106:C106"/>
    <mergeCell ref="B107:E107"/>
    <mergeCell ref="B108:G108"/>
    <mergeCell ref="B109:F109"/>
    <mergeCell ref="B97:C97"/>
    <mergeCell ref="B98:C98"/>
    <mergeCell ref="B99:C99"/>
    <mergeCell ref="B100:E100"/>
    <mergeCell ref="B101:G101"/>
    <mergeCell ref="B102:G102"/>
    <mergeCell ref="B90:G90"/>
    <mergeCell ref="B91:G91"/>
    <mergeCell ref="B92:C92"/>
    <mergeCell ref="B93:C93"/>
    <mergeCell ref="B95:C95"/>
    <mergeCell ref="B96:C96"/>
    <mergeCell ref="B124:C124"/>
    <mergeCell ref="B125:C125"/>
    <mergeCell ref="B126:E126"/>
    <mergeCell ref="B127:G127"/>
    <mergeCell ref="B128:G128"/>
    <mergeCell ref="B129:C129"/>
    <mergeCell ref="B116:G116"/>
    <mergeCell ref="B118:C118"/>
    <mergeCell ref="B120:C120"/>
    <mergeCell ref="B121:C121"/>
    <mergeCell ref="B122:C122"/>
    <mergeCell ref="B123:C123"/>
    <mergeCell ref="B110:E110"/>
    <mergeCell ref="B111:F111"/>
    <mergeCell ref="C112:E112"/>
    <mergeCell ref="C113:E113"/>
    <mergeCell ref="C114:G114"/>
    <mergeCell ref="B115:G115"/>
    <mergeCell ref="B143:G143"/>
    <mergeCell ref="B144:G144"/>
    <mergeCell ref="B145:C145"/>
    <mergeCell ref="B146:C146"/>
    <mergeCell ref="B148:C148"/>
    <mergeCell ref="B149:C149"/>
    <mergeCell ref="B137:C137"/>
    <mergeCell ref="B138:C138"/>
    <mergeCell ref="B139:C139"/>
    <mergeCell ref="B140:C142"/>
    <mergeCell ref="D140:E140"/>
    <mergeCell ref="D141:E141"/>
    <mergeCell ref="D142:E142"/>
    <mergeCell ref="B131:C131"/>
    <mergeCell ref="B132:C132"/>
    <mergeCell ref="B133:C133"/>
    <mergeCell ref="B134:C134"/>
    <mergeCell ref="B135:C135"/>
    <mergeCell ref="B136:C136"/>
    <mergeCell ref="B163:E163"/>
    <mergeCell ref="B164:F164"/>
    <mergeCell ref="C165:E165"/>
    <mergeCell ref="C166:E166"/>
    <mergeCell ref="C167:G167"/>
    <mergeCell ref="B168:G168"/>
    <mergeCell ref="B156:C156"/>
    <mergeCell ref="B158:C158"/>
    <mergeCell ref="B159:C159"/>
    <mergeCell ref="B160:E160"/>
    <mergeCell ref="B161:G161"/>
    <mergeCell ref="B162:F162"/>
    <mergeCell ref="B150:C150"/>
    <mergeCell ref="B151:C151"/>
    <mergeCell ref="B152:C152"/>
    <mergeCell ref="B153:E153"/>
    <mergeCell ref="B154:G154"/>
    <mergeCell ref="B155:G155"/>
    <mergeCell ref="B184:C184"/>
    <mergeCell ref="B185:C185"/>
    <mergeCell ref="B186:C186"/>
    <mergeCell ref="B187:C187"/>
    <mergeCell ref="B188:C188"/>
    <mergeCell ref="B189:C189"/>
    <mergeCell ref="B177:C177"/>
    <mergeCell ref="B178:C178"/>
    <mergeCell ref="B179:E179"/>
    <mergeCell ref="B180:G180"/>
    <mergeCell ref="B181:G181"/>
    <mergeCell ref="B182:C182"/>
    <mergeCell ref="B169:G169"/>
    <mergeCell ref="B171:C171"/>
    <mergeCell ref="B173:C173"/>
    <mergeCell ref="B174:C174"/>
    <mergeCell ref="B175:C175"/>
    <mergeCell ref="B176:C176"/>
    <mergeCell ref="B203:C203"/>
    <mergeCell ref="B204:C204"/>
    <mergeCell ref="B205:C205"/>
    <mergeCell ref="B206:E206"/>
    <mergeCell ref="B207:G207"/>
    <mergeCell ref="B208:G208"/>
    <mergeCell ref="B196:G196"/>
    <mergeCell ref="B197:G197"/>
    <mergeCell ref="B198:C198"/>
    <mergeCell ref="B199:C199"/>
    <mergeCell ref="B201:C201"/>
    <mergeCell ref="B202:C202"/>
    <mergeCell ref="B190:C190"/>
    <mergeCell ref="B191:C191"/>
    <mergeCell ref="B192:C192"/>
    <mergeCell ref="B193:C195"/>
    <mergeCell ref="D193:E193"/>
    <mergeCell ref="D194:E194"/>
    <mergeCell ref="D195:E195"/>
    <mergeCell ref="B222:G222"/>
    <mergeCell ref="B224:C224"/>
    <mergeCell ref="B226:C226"/>
    <mergeCell ref="B227:C227"/>
    <mergeCell ref="B228:C228"/>
    <mergeCell ref="B229:C229"/>
    <mergeCell ref="B216:E216"/>
    <mergeCell ref="B217:F217"/>
    <mergeCell ref="C218:E218"/>
    <mergeCell ref="C219:E219"/>
    <mergeCell ref="C220:G220"/>
    <mergeCell ref="B221:G221"/>
    <mergeCell ref="B209:C209"/>
    <mergeCell ref="B211:C211"/>
    <mergeCell ref="B212:C212"/>
    <mergeCell ref="B213:E213"/>
    <mergeCell ref="B214:G214"/>
    <mergeCell ref="B215:F215"/>
    <mergeCell ref="B243:C243"/>
    <mergeCell ref="B244:C244"/>
    <mergeCell ref="B245:C245"/>
    <mergeCell ref="B246:C248"/>
    <mergeCell ref="D246:E246"/>
    <mergeCell ref="D247:E247"/>
    <mergeCell ref="D248:E248"/>
    <mergeCell ref="B237:C237"/>
    <mergeCell ref="B238:C238"/>
    <mergeCell ref="B239:C239"/>
    <mergeCell ref="B240:C240"/>
    <mergeCell ref="B241:C241"/>
    <mergeCell ref="B242:C242"/>
    <mergeCell ref="B230:C230"/>
    <mergeCell ref="B231:C231"/>
    <mergeCell ref="B232:E232"/>
    <mergeCell ref="B233:G233"/>
    <mergeCell ref="B234:G234"/>
    <mergeCell ref="B235:C235"/>
    <mergeCell ref="B262:C262"/>
    <mergeCell ref="B264:C264"/>
    <mergeCell ref="B265:C265"/>
    <mergeCell ref="B266:E266"/>
    <mergeCell ref="B267:G267"/>
    <mergeCell ref="B268:F268"/>
    <mergeCell ref="B256:C256"/>
    <mergeCell ref="B257:C257"/>
    <mergeCell ref="B258:C258"/>
    <mergeCell ref="B259:E259"/>
    <mergeCell ref="B260:G260"/>
    <mergeCell ref="B261:G261"/>
    <mergeCell ref="B249:G249"/>
    <mergeCell ref="B250:G250"/>
    <mergeCell ref="B251:C251"/>
    <mergeCell ref="B252:C252"/>
    <mergeCell ref="B254:C254"/>
    <mergeCell ref="B255:C255"/>
    <mergeCell ref="B283:C283"/>
    <mergeCell ref="B284:C284"/>
    <mergeCell ref="B285:E285"/>
    <mergeCell ref="B286:G286"/>
    <mergeCell ref="B287:G287"/>
    <mergeCell ref="B288:C288"/>
    <mergeCell ref="B275:G275"/>
    <mergeCell ref="B277:C277"/>
    <mergeCell ref="B279:C279"/>
    <mergeCell ref="B280:C280"/>
    <mergeCell ref="B281:C281"/>
    <mergeCell ref="B282:C282"/>
    <mergeCell ref="B269:E269"/>
    <mergeCell ref="B270:F270"/>
    <mergeCell ref="C271:E271"/>
    <mergeCell ref="C272:E272"/>
    <mergeCell ref="C273:G273"/>
    <mergeCell ref="B274:G274"/>
    <mergeCell ref="B302:G302"/>
    <mergeCell ref="B303:G303"/>
    <mergeCell ref="B304:C304"/>
    <mergeCell ref="B305:C305"/>
    <mergeCell ref="B307:C307"/>
    <mergeCell ref="B308:C308"/>
    <mergeCell ref="B296:C296"/>
    <mergeCell ref="B297:C297"/>
    <mergeCell ref="B298:C298"/>
    <mergeCell ref="B299:C301"/>
    <mergeCell ref="D299:E299"/>
    <mergeCell ref="D300:E300"/>
    <mergeCell ref="D301:E301"/>
    <mergeCell ref="B290:C290"/>
    <mergeCell ref="B291:C291"/>
    <mergeCell ref="B292:C292"/>
    <mergeCell ref="B293:C293"/>
    <mergeCell ref="B294:C294"/>
    <mergeCell ref="B295:C295"/>
    <mergeCell ref="B322:E322"/>
    <mergeCell ref="B323:F323"/>
    <mergeCell ref="C324:E324"/>
    <mergeCell ref="C325:E325"/>
    <mergeCell ref="C326:G326"/>
    <mergeCell ref="B327:G327"/>
    <mergeCell ref="B315:C315"/>
    <mergeCell ref="B317:C317"/>
    <mergeCell ref="B318:C318"/>
    <mergeCell ref="B319:E319"/>
    <mergeCell ref="B320:G320"/>
    <mergeCell ref="B321:F321"/>
    <mergeCell ref="B309:C309"/>
    <mergeCell ref="B310:C310"/>
    <mergeCell ref="B311:C311"/>
    <mergeCell ref="B312:E312"/>
    <mergeCell ref="B313:G313"/>
    <mergeCell ref="B314:G314"/>
    <mergeCell ref="B343:C343"/>
    <mergeCell ref="B344:C344"/>
    <mergeCell ref="B345:C345"/>
    <mergeCell ref="B346:C346"/>
    <mergeCell ref="B347:C347"/>
    <mergeCell ref="B348:C348"/>
    <mergeCell ref="B336:C336"/>
    <mergeCell ref="B337:C337"/>
    <mergeCell ref="B338:E338"/>
    <mergeCell ref="B339:G339"/>
    <mergeCell ref="B340:G340"/>
    <mergeCell ref="B341:C341"/>
    <mergeCell ref="B328:G328"/>
    <mergeCell ref="B330:C330"/>
    <mergeCell ref="B332:C332"/>
    <mergeCell ref="B333:C333"/>
    <mergeCell ref="B334:C334"/>
    <mergeCell ref="B335:C335"/>
    <mergeCell ref="B362:C362"/>
    <mergeCell ref="B363:C363"/>
    <mergeCell ref="B364:C364"/>
    <mergeCell ref="B365:E365"/>
    <mergeCell ref="B366:G366"/>
    <mergeCell ref="B367:G367"/>
    <mergeCell ref="B355:G355"/>
    <mergeCell ref="B356:G356"/>
    <mergeCell ref="B357:C357"/>
    <mergeCell ref="B358:C358"/>
    <mergeCell ref="B360:C360"/>
    <mergeCell ref="B361:C361"/>
    <mergeCell ref="B349:C349"/>
    <mergeCell ref="B350:C350"/>
    <mergeCell ref="B351:C351"/>
    <mergeCell ref="B352:C354"/>
    <mergeCell ref="D352:E352"/>
    <mergeCell ref="D353:E353"/>
    <mergeCell ref="D354:E354"/>
    <mergeCell ref="B381:G381"/>
    <mergeCell ref="B383:C383"/>
    <mergeCell ref="B385:C385"/>
    <mergeCell ref="B386:C386"/>
    <mergeCell ref="B387:C387"/>
    <mergeCell ref="B388:C388"/>
    <mergeCell ref="B375:E375"/>
    <mergeCell ref="B376:F376"/>
    <mergeCell ref="C377:E377"/>
    <mergeCell ref="C378:E378"/>
    <mergeCell ref="C379:G379"/>
    <mergeCell ref="B380:G380"/>
    <mergeCell ref="B368:C368"/>
    <mergeCell ref="B370:C370"/>
    <mergeCell ref="B371:C371"/>
    <mergeCell ref="B372:E372"/>
    <mergeCell ref="B373:G373"/>
    <mergeCell ref="B374:F374"/>
    <mergeCell ref="B402:C402"/>
    <mergeCell ref="B403:C403"/>
    <mergeCell ref="B404:C404"/>
    <mergeCell ref="B405:C407"/>
    <mergeCell ref="D405:E405"/>
    <mergeCell ref="D406:E406"/>
    <mergeCell ref="D407:E407"/>
    <mergeCell ref="B396:C396"/>
    <mergeCell ref="B397:C397"/>
    <mergeCell ref="B398:C398"/>
    <mergeCell ref="B399:C399"/>
    <mergeCell ref="B400:C400"/>
    <mergeCell ref="B401:C401"/>
    <mergeCell ref="B389:C389"/>
    <mergeCell ref="B390:C390"/>
    <mergeCell ref="B391:E391"/>
    <mergeCell ref="B392:G392"/>
    <mergeCell ref="B393:G393"/>
    <mergeCell ref="B394:C394"/>
    <mergeCell ref="B421:C421"/>
    <mergeCell ref="B423:C423"/>
    <mergeCell ref="B424:C424"/>
    <mergeCell ref="B425:E425"/>
    <mergeCell ref="B426:G426"/>
    <mergeCell ref="B427:F427"/>
    <mergeCell ref="B415:C415"/>
    <mergeCell ref="B416:C416"/>
    <mergeCell ref="B417:C417"/>
    <mergeCell ref="B418:E418"/>
    <mergeCell ref="B419:G419"/>
    <mergeCell ref="B420:G420"/>
    <mergeCell ref="B408:G408"/>
    <mergeCell ref="B409:G409"/>
    <mergeCell ref="B410:C410"/>
    <mergeCell ref="B411:C411"/>
    <mergeCell ref="B413:C413"/>
    <mergeCell ref="B414:C414"/>
    <mergeCell ref="B442:C442"/>
    <mergeCell ref="B443:C443"/>
    <mergeCell ref="B444:E444"/>
    <mergeCell ref="B445:G445"/>
    <mergeCell ref="B446:G446"/>
    <mergeCell ref="B447:C447"/>
    <mergeCell ref="B434:G434"/>
    <mergeCell ref="B436:C436"/>
    <mergeCell ref="B438:C438"/>
    <mergeCell ref="B439:C439"/>
    <mergeCell ref="B440:C440"/>
    <mergeCell ref="B441:C441"/>
    <mergeCell ref="B428:E428"/>
    <mergeCell ref="B429:F429"/>
    <mergeCell ref="C430:E430"/>
    <mergeCell ref="C431:E431"/>
    <mergeCell ref="C432:G432"/>
    <mergeCell ref="B433:G433"/>
    <mergeCell ref="B461:G461"/>
    <mergeCell ref="B462:G462"/>
    <mergeCell ref="B463:C463"/>
    <mergeCell ref="B464:C464"/>
    <mergeCell ref="B466:C466"/>
    <mergeCell ref="B467:C467"/>
    <mergeCell ref="B455:C455"/>
    <mergeCell ref="B456:C456"/>
    <mergeCell ref="B457:C457"/>
    <mergeCell ref="B458:C460"/>
    <mergeCell ref="D458:E458"/>
    <mergeCell ref="D459:E459"/>
    <mergeCell ref="D460:E460"/>
    <mergeCell ref="B449:C449"/>
    <mergeCell ref="B450:C450"/>
    <mergeCell ref="B451:C451"/>
    <mergeCell ref="B452:C452"/>
    <mergeCell ref="B453:C453"/>
    <mergeCell ref="B454:C454"/>
    <mergeCell ref="B481:E481"/>
    <mergeCell ref="B482:F482"/>
    <mergeCell ref="C483:E483"/>
    <mergeCell ref="C484:E484"/>
    <mergeCell ref="C485:G485"/>
    <mergeCell ref="B486:G486"/>
    <mergeCell ref="B474:C474"/>
    <mergeCell ref="B476:C476"/>
    <mergeCell ref="B477:C477"/>
    <mergeCell ref="B478:E478"/>
    <mergeCell ref="B479:G479"/>
    <mergeCell ref="B480:F480"/>
    <mergeCell ref="B468:C468"/>
    <mergeCell ref="B469:C469"/>
    <mergeCell ref="B470:C470"/>
    <mergeCell ref="B471:E471"/>
    <mergeCell ref="B472:G472"/>
    <mergeCell ref="B473:G473"/>
    <mergeCell ref="B502:C502"/>
    <mergeCell ref="B503:C503"/>
    <mergeCell ref="B504:C504"/>
    <mergeCell ref="B505:C505"/>
    <mergeCell ref="B506:C506"/>
    <mergeCell ref="B507:C507"/>
    <mergeCell ref="B495:C495"/>
    <mergeCell ref="B496:C496"/>
    <mergeCell ref="B497:E497"/>
    <mergeCell ref="B498:G498"/>
    <mergeCell ref="B499:G499"/>
    <mergeCell ref="B500:C500"/>
    <mergeCell ref="B487:G487"/>
    <mergeCell ref="B489:C489"/>
    <mergeCell ref="B491:C491"/>
    <mergeCell ref="B492:C492"/>
    <mergeCell ref="B493:C493"/>
    <mergeCell ref="B494:C494"/>
    <mergeCell ref="B521:C521"/>
    <mergeCell ref="B522:C522"/>
    <mergeCell ref="B523:C523"/>
    <mergeCell ref="B524:E524"/>
    <mergeCell ref="B525:G525"/>
    <mergeCell ref="B526:G526"/>
    <mergeCell ref="B514:G514"/>
    <mergeCell ref="B515:G515"/>
    <mergeCell ref="B516:C516"/>
    <mergeCell ref="B517:C517"/>
    <mergeCell ref="B519:C519"/>
    <mergeCell ref="B520:C520"/>
    <mergeCell ref="B508:C508"/>
    <mergeCell ref="B509:C509"/>
    <mergeCell ref="B510:C510"/>
    <mergeCell ref="B511:C513"/>
    <mergeCell ref="D511:E511"/>
    <mergeCell ref="D512:E512"/>
    <mergeCell ref="D513:E513"/>
    <mergeCell ref="B540:G540"/>
    <mergeCell ref="B542:C542"/>
    <mergeCell ref="B544:C544"/>
    <mergeCell ref="B545:C545"/>
    <mergeCell ref="B546:C546"/>
    <mergeCell ref="B547:C547"/>
    <mergeCell ref="B534:E534"/>
    <mergeCell ref="B535:F535"/>
    <mergeCell ref="C536:E536"/>
    <mergeCell ref="C537:E537"/>
    <mergeCell ref="C538:G538"/>
    <mergeCell ref="B539:G539"/>
    <mergeCell ref="B527:C527"/>
    <mergeCell ref="B529:C529"/>
    <mergeCell ref="B530:C530"/>
    <mergeCell ref="B531:E531"/>
    <mergeCell ref="B532:G532"/>
    <mergeCell ref="B533:F533"/>
    <mergeCell ref="B561:C561"/>
    <mergeCell ref="B562:C562"/>
    <mergeCell ref="B563:C563"/>
    <mergeCell ref="B564:C566"/>
    <mergeCell ref="D564:E564"/>
    <mergeCell ref="D565:E565"/>
    <mergeCell ref="D566:E566"/>
    <mergeCell ref="B555:C555"/>
    <mergeCell ref="B556:C556"/>
    <mergeCell ref="B557:C557"/>
    <mergeCell ref="B558:C558"/>
    <mergeCell ref="B559:C559"/>
    <mergeCell ref="B560:C560"/>
    <mergeCell ref="B548:C548"/>
    <mergeCell ref="B549:C549"/>
    <mergeCell ref="B550:E550"/>
    <mergeCell ref="B551:G551"/>
    <mergeCell ref="B552:G552"/>
    <mergeCell ref="B553:C553"/>
    <mergeCell ref="B580:C580"/>
    <mergeCell ref="B582:C582"/>
    <mergeCell ref="B583:C583"/>
    <mergeCell ref="B584:E584"/>
    <mergeCell ref="B585:G585"/>
    <mergeCell ref="B586:F586"/>
    <mergeCell ref="B574:C574"/>
    <mergeCell ref="B575:C575"/>
    <mergeCell ref="B576:C576"/>
    <mergeCell ref="B577:E577"/>
    <mergeCell ref="B578:G578"/>
    <mergeCell ref="B579:G579"/>
    <mergeCell ref="B567:G567"/>
    <mergeCell ref="B568:G568"/>
    <mergeCell ref="B569:C569"/>
    <mergeCell ref="B570:C570"/>
    <mergeCell ref="B572:C572"/>
    <mergeCell ref="B573:C573"/>
    <mergeCell ref="B601:C601"/>
    <mergeCell ref="B602:C602"/>
    <mergeCell ref="B603:E603"/>
    <mergeCell ref="B604:G604"/>
    <mergeCell ref="B605:G605"/>
    <mergeCell ref="B606:C606"/>
    <mergeCell ref="B593:G593"/>
    <mergeCell ref="B595:C595"/>
    <mergeCell ref="B597:C597"/>
    <mergeCell ref="B598:C598"/>
    <mergeCell ref="B599:C599"/>
    <mergeCell ref="B600:C600"/>
    <mergeCell ref="B587:E587"/>
    <mergeCell ref="B588:F588"/>
    <mergeCell ref="C589:E589"/>
    <mergeCell ref="C590:E590"/>
    <mergeCell ref="C591:G591"/>
    <mergeCell ref="B592:G592"/>
    <mergeCell ref="B620:G620"/>
    <mergeCell ref="B621:G621"/>
    <mergeCell ref="B622:C622"/>
    <mergeCell ref="B623:C623"/>
    <mergeCell ref="B625:C625"/>
    <mergeCell ref="B626:C626"/>
    <mergeCell ref="B614:C614"/>
    <mergeCell ref="B615:C615"/>
    <mergeCell ref="B616:C616"/>
    <mergeCell ref="B617:C619"/>
    <mergeCell ref="D617:E617"/>
    <mergeCell ref="D618:E618"/>
    <mergeCell ref="D619:E619"/>
    <mergeCell ref="B608:C608"/>
    <mergeCell ref="B609:C609"/>
    <mergeCell ref="B610:C610"/>
    <mergeCell ref="B611:C611"/>
    <mergeCell ref="B612:C612"/>
    <mergeCell ref="B613:C613"/>
    <mergeCell ref="B640:E640"/>
    <mergeCell ref="B641:F641"/>
    <mergeCell ref="C642:E642"/>
    <mergeCell ref="C643:E643"/>
    <mergeCell ref="C644:G644"/>
    <mergeCell ref="B645:G645"/>
    <mergeCell ref="B633:C633"/>
    <mergeCell ref="B635:C635"/>
    <mergeCell ref="B636:C636"/>
    <mergeCell ref="B637:E637"/>
    <mergeCell ref="B638:G638"/>
    <mergeCell ref="B639:F639"/>
    <mergeCell ref="B627:C627"/>
    <mergeCell ref="B628:C628"/>
    <mergeCell ref="B629:C629"/>
    <mergeCell ref="B630:E630"/>
    <mergeCell ref="B631:G631"/>
    <mergeCell ref="B632:G632"/>
    <mergeCell ref="B661:C661"/>
    <mergeCell ref="B662:C662"/>
    <mergeCell ref="B663:C663"/>
    <mergeCell ref="B664:C664"/>
    <mergeCell ref="B665:C665"/>
    <mergeCell ref="B666:C666"/>
    <mergeCell ref="B654:C654"/>
    <mergeCell ref="B655:C655"/>
    <mergeCell ref="B656:E656"/>
    <mergeCell ref="B657:G657"/>
    <mergeCell ref="B658:G658"/>
    <mergeCell ref="B659:C659"/>
    <mergeCell ref="B646:G646"/>
    <mergeCell ref="B648:C648"/>
    <mergeCell ref="B650:C650"/>
    <mergeCell ref="B651:C651"/>
    <mergeCell ref="B652:C652"/>
    <mergeCell ref="B653:C653"/>
    <mergeCell ref="B680:C680"/>
    <mergeCell ref="B681:C681"/>
    <mergeCell ref="B682:C682"/>
    <mergeCell ref="B683:E683"/>
    <mergeCell ref="B684:G684"/>
    <mergeCell ref="B685:G685"/>
    <mergeCell ref="B673:G673"/>
    <mergeCell ref="B674:G674"/>
    <mergeCell ref="B675:C675"/>
    <mergeCell ref="B676:C676"/>
    <mergeCell ref="B678:C678"/>
    <mergeCell ref="B679:C679"/>
    <mergeCell ref="B667:C667"/>
    <mergeCell ref="B668:C668"/>
    <mergeCell ref="B669:C669"/>
    <mergeCell ref="B670:C672"/>
    <mergeCell ref="D670:E670"/>
    <mergeCell ref="D671:E671"/>
    <mergeCell ref="D672:E672"/>
    <mergeCell ref="B699:G699"/>
    <mergeCell ref="B701:C701"/>
    <mergeCell ref="B703:C703"/>
    <mergeCell ref="B704:C704"/>
    <mergeCell ref="B705:C705"/>
    <mergeCell ref="B706:C706"/>
    <mergeCell ref="B693:E693"/>
    <mergeCell ref="B694:F694"/>
    <mergeCell ref="C695:E695"/>
    <mergeCell ref="C696:E696"/>
    <mergeCell ref="C697:G697"/>
    <mergeCell ref="B698:G698"/>
    <mergeCell ref="B686:C686"/>
    <mergeCell ref="B688:C688"/>
    <mergeCell ref="B689:C689"/>
    <mergeCell ref="B690:E690"/>
    <mergeCell ref="B691:G691"/>
    <mergeCell ref="B692:F692"/>
    <mergeCell ref="B720:C720"/>
    <mergeCell ref="B721:C721"/>
    <mergeCell ref="B722:C722"/>
    <mergeCell ref="B723:C725"/>
    <mergeCell ref="D723:E723"/>
    <mergeCell ref="D724:E724"/>
    <mergeCell ref="D725:E725"/>
    <mergeCell ref="B714:C714"/>
    <mergeCell ref="B715:C715"/>
    <mergeCell ref="B716:C716"/>
    <mergeCell ref="B717:C717"/>
    <mergeCell ref="B718:C718"/>
    <mergeCell ref="B719:C719"/>
    <mergeCell ref="B707:C707"/>
    <mergeCell ref="B708:C708"/>
    <mergeCell ref="B709:E709"/>
    <mergeCell ref="B710:G710"/>
    <mergeCell ref="B711:G711"/>
    <mergeCell ref="B712:C712"/>
    <mergeCell ref="B739:C739"/>
    <mergeCell ref="B741:C741"/>
    <mergeCell ref="B742:C742"/>
    <mergeCell ref="B743:E743"/>
    <mergeCell ref="B744:G744"/>
    <mergeCell ref="B745:F745"/>
    <mergeCell ref="B733:C733"/>
    <mergeCell ref="B734:C734"/>
    <mergeCell ref="B735:C735"/>
    <mergeCell ref="B736:E736"/>
    <mergeCell ref="B737:G737"/>
    <mergeCell ref="B738:G738"/>
    <mergeCell ref="B726:G726"/>
    <mergeCell ref="B727:G727"/>
    <mergeCell ref="B728:C728"/>
    <mergeCell ref="B729:C729"/>
    <mergeCell ref="B731:C731"/>
    <mergeCell ref="B732:C732"/>
    <mergeCell ref="B760:C760"/>
    <mergeCell ref="B761:C761"/>
    <mergeCell ref="B762:E762"/>
    <mergeCell ref="B763:G763"/>
    <mergeCell ref="B764:G764"/>
    <mergeCell ref="B765:C765"/>
    <mergeCell ref="B752:G752"/>
    <mergeCell ref="B754:C754"/>
    <mergeCell ref="B756:C756"/>
    <mergeCell ref="B757:C757"/>
    <mergeCell ref="B758:C758"/>
    <mergeCell ref="B759:C759"/>
    <mergeCell ref="B746:E746"/>
    <mergeCell ref="B747:F747"/>
    <mergeCell ref="C748:E748"/>
    <mergeCell ref="C749:E749"/>
    <mergeCell ref="C750:G750"/>
    <mergeCell ref="B751:G751"/>
    <mergeCell ref="B779:G779"/>
    <mergeCell ref="B780:G780"/>
    <mergeCell ref="B781:C781"/>
    <mergeCell ref="B782:C782"/>
    <mergeCell ref="B784:C784"/>
    <mergeCell ref="B785:C785"/>
    <mergeCell ref="B773:C773"/>
    <mergeCell ref="B774:C774"/>
    <mergeCell ref="B775:C775"/>
    <mergeCell ref="B776:C778"/>
    <mergeCell ref="D776:E776"/>
    <mergeCell ref="D777:E777"/>
    <mergeCell ref="D778:E778"/>
    <mergeCell ref="B767:C767"/>
    <mergeCell ref="B768:C768"/>
    <mergeCell ref="B769:C769"/>
    <mergeCell ref="B770:C770"/>
    <mergeCell ref="B771:C771"/>
    <mergeCell ref="B772:C772"/>
    <mergeCell ref="B799:E799"/>
    <mergeCell ref="B800:F800"/>
    <mergeCell ref="C801:E801"/>
    <mergeCell ref="C802:E802"/>
    <mergeCell ref="C803:G803"/>
    <mergeCell ref="B804:G804"/>
    <mergeCell ref="B792:C792"/>
    <mergeCell ref="B794:C794"/>
    <mergeCell ref="B795:C795"/>
    <mergeCell ref="B796:E796"/>
    <mergeCell ref="B797:G797"/>
    <mergeCell ref="B798:F798"/>
    <mergeCell ref="B786:C786"/>
    <mergeCell ref="B787:C787"/>
    <mergeCell ref="B788:C788"/>
    <mergeCell ref="B789:E789"/>
    <mergeCell ref="B790:G790"/>
    <mergeCell ref="B791:G791"/>
    <mergeCell ref="B820:C820"/>
    <mergeCell ref="B821:C821"/>
    <mergeCell ref="B822:C822"/>
    <mergeCell ref="B823:C823"/>
    <mergeCell ref="B824:C824"/>
    <mergeCell ref="B825:C825"/>
    <mergeCell ref="B813:C813"/>
    <mergeCell ref="B814:C814"/>
    <mergeCell ref="B815:E815"/>
    <mergeCell ref="B816:G816"/>
    <mergeCell ref="B817:G817"/>
    <mergeCell ref="B818:C818"/>
    <mergeCell ref="B805:G805"/>
    <mergeCell ref="B807:C807"/>
    <mergeCell ref="B809:C809"/>
    <mergeCell ref="B810:C810"/>
    <mergeCell ref="B811:C811"/>
    <mergeCell ref="B812:C812"/>
    <mergeCell ref="B839:C839"/>
    <mergeCell ref="B840:C840"/>
    <mergeCell ref="B841:C841"/>
    <mergeCell ref="B842:E842"/>
    <mergeCell ref="B843:G843"/>
    <mergeCell ref="B844:G844"/>
    <mergeCell ref="B832:G832"/>
    <mergeCell ref="B833:G833"/>
    <mergeCell ref="B834:C834"/>
    <mergeCell ref="B835:C835"/>
    <mergeCell ref="B837:C837"/>
    <mergeCell ref="B838:C838"/>
    <mergeCell ref="B826:C826"/>
    <mergeCell ref="B827:C827"/>
    <mergeCell ref="B828:C828"/>
    <mergeCell ref="B829:C831"/>
    <mergeCell ref="D829:E829"/>
    <mergeCell ref="D830:E830"/>
    <mergeCell ref="D831:E831"/>
    <mergeCell ref="B858:G858"/>
    <mergeCell ref="B860:C860"/>
    <mergeCell ref="B862:C862"/>
    <mergeCell ref="B863:C863"/>
    <mergeCell ref="B864:C864"/>
    <mergeCell ref="B865:C865"/>
    <mergeCell ref="B852:E852"/>
    <mergeCell ref="B853:F853"/>
    <mergeCell ref="C854:E854"/>
    <mergeCell ref="C855:E855"/>
    <mergeCell ref="C856:G856"/>
    <mergeCell ref="B857:G857"/>
    <mergeCell ref="B845:C845"/>
    <mergeCell ref="B847:C847"/>
    <mergeCell ref="B848:C848"/>
    <mergeCell ref="B849:E849"/>
    <mergeCell ref="B850:G850"/>
    <mergeCell ref="B851:F851"/>
    <mergeCell ref="B879:C879"/>
    <mergeCell ref="B880:C880"/>
    <mergeCell ref="B881:C881"/>
    <mergeCell ref="B882:C884"/>
    <mergeCell ref="D882:E882"/>
    <mergeCell ref="D883:E883"/>
    <mergeCell ref="D884:E884"/>
    <mergeCell ref="B873:C873"/>
    <mergeCell ref="B874:C874"/>
    <mergeCell ref="B875:C875"/>
    <mergeCell ref="B876:C876"/>
    <mergeCell ref="B877:C877"/>
    <mergeCell ref="B878:C878"/>
    <mergeCell ref="B866:C866"/>
    <mergeCell ref="B867:C867"/>
    <mergeCell ref="B868:E868"/>
    <mergeCell ref="B869:G869"/>
    <mergeCell ref="B870:G870"/>
    <mergeCell ref="B871:C871"/>
    <mergeCell ref="B898:C898"/>
    <mergeCell ref="B900:C900"/>
    <mergeCell ref="B901:C901"/>
    <mergeCell ref="B902:E902"/>
    <mergeCell ref="B903:G903"/>
    <mergeCell ref="B904:F904"/>
    <mergeCell ref="B892:C892"/>
    <mergeCell ref="B893:C893"/>
    <mergeCell ref="B894:C894"/>
    <mergeCell ref="B895:E895"/>
    <mergeCell ref="B896:G896"/>
    <mergeCell ref="B897:G897"/>
    <mergeCell ref="B885:G885"/>
    <mergeCell ref="B886:G886"/>
    <mergeCell ref="B887:C887"/>
    <mergeCell ref="B888:C888"/>
    <mergeCell ref="B890:C890"/>
    <mergeCell ref="B891:C891"/>
    <mergeCell ref="B919:C919"/>
    <mergeCell ref="B920:C920"/>
    <mergeCell ref="B921:E921"/>
    <mergeCell ref="B922:G922"/>
    <mergeCell ref="B923:G923"/>
    <mergeCell ref="B924:C924"/>
    <mergeCell ref="B911:G911"/>
    <mergeCell ref="B913:C913"/>
    <mergeCell ref="B915:C915"/>
    <mergeCell ref="B916:C916"/>
    <mergeCell ref="B917:C917"/>
    <mergeCell ref="B918:C918"/>
    <mergeCell ref="B905:E905"/>
    <mergeCell ref="B906:F906"/>
    <mergeCell ref="C907:E907"/>
    <mergeCell ref="C908:E908"/>
    <mergeCell ref="C909:G909"/>
    <mergeCell ref="B910:G910"/>
    <mergeCell ref="B938:G938"/>
    <mergeCell ref="B939:G939"/>
    <mergeCell ref="B940:C940"/>
    <mergeCell ref="B941:C941"/>
    <mergeCell ref="B943:C943"/>
    <mergeCell ref="B944:C944"/>
    <mergeCell ref="B932:C932"/>
    <mergeCell ref="B933:C933"/>
    <mergeCell ref="B934:C934"/>
    <mergeCell ref="B935:C937"/>
    <mergeCell ref="D935:E935"/>
    <mergeCell ref="D936:E936"/>
    <mergeCell ref="D937:E937"/>
    <mergeCell ref="B926:C926"/>
    <mergeCell ref="B927:C927"/>
    <mergeCell ref="B928:C928"/>
    <mergeCell ref="B929:C929"/>
    <mergeCell ref="B930:C930"/>
    <mergeCell ref="B931:C931"/>
    <mergeCell ref="B958:E958"/>
    <mergeCell ref="B959:F959"/>
    <mergeCell ref="C960:E960"/>
    <mergeCell ref="C961:E961"/>
    <mergeCell ref="C962:G962"/>
    <mergeCell ref="B963:G963"/>
    <mergeCell ref="B951:C951"/>
    <mergeCell ref="B953:C953"/>
    <mergeCell ref="B954:C954"/>
    <mergeCell ref="B955:E955"/>
    <mergeCell ref="B956:G956"/>
    <mergeCell ref="B957:F957"/>
    <mergeCell ref="B945:C945"/>
    <mergeCell ref="B946:C946"/>
    <mergeCell ref="B947:C947"/>
    <mergeCell ref="B948:E948"/>
    <mergeCell ref="B949:G949"/>
    <mergeCell ref="B950:G950"/>
    <mergeCell ref="B979:C979"/>
    <mergeCell ref="B980:C980"/>
    <mergeCell ref="B981:C981"/>
    <mergeCell ref="B982:C982"/>
    <mergeCell ref="B983:C983"/>
    <mergeCell ref="B984:C984"/>
    <mergeCell ref="B972:C972"/>
    <mergeCell ref="B973:C973"/>
    <mergeCell ref="B974:E974"/>
    <mergeCell ref="B975:G975"/>
    <mergeCell ref="B976:G976"/>
    <mergeCell ref="B977:C977"/>
    <mergeCell ref="B964:G964"/>
    <mergeCell ref="B966:C966"/>
    <mergeCell ref="B968:C968"/>
    <mergeCell ref="B969:C969"/>
    <mergeCell ref="B970:C970"/>
    <mergeCell ref="B971:C971"/>
    <mergeCell ref="B998:C998"/>
    <mergeCell ref="B999:C999"/>
    <mergeCell ref="B1000:C1000"/>
    <mergeCell ref="B1001:E1001"/>
    <mergeCell ref="B1002:G1002"/>
    <mergeCell ref="B1003:G1003"/>
    <mergeCell ref="B991:G991"/>
    <mergeCell ref="B992:G992"/>
    <mergeCell ref="B993:C993"/>
    <mergeCell ref="B994:C994"/>
    <mergeCell ref="B996:C996"/>
    <mergeCell ref="B997:C997"/>
    <mergeCell ref="B985:C985"/>
    <mergeCell ref="B986:C986"/>
    <mergeCell ref="B987:C987"/>
    <mergeCell ref="B988:C990"/>
    <mergeCell ref="D988:E988"/>
    <mergeCell ref="D989:E989"/>
    <mergeCell ref="D990:E990"/>
    <mergeCell ref="B1017:G1017"/>
    <mergeCell ref="B1019:C1019"/>
    <mergeCell ref="B1021:C1021"/>
    <mergeCell ref="B1022:C1022"/>
    <mergeCell ref="B1023:C1023"/>
    <mergeCell ref="B1024:C1024"/>
    <mergeCell ref="B1011:E1011"/>
    <mergeCell ref="B1012:F1012"/>
    <mergeCell ref="C1013:E1013"/>
    <mergeCell ref="C1014:E1014"/>
    <mergeCell ref="C1015:G1015"/>
    <mergeCell ref="B1016:G1016"/>
    <mergeCell ref="B1004:C1004"/>
    <mergeCell ref="B1006:C1006"/>
    <mergeCell ref="B1007:C1007"/>
    <mergeCell ref="B1008:E1008"/>
    <mergeCell ref="B1009:G1009"/>
    <mergeCell ref="B1010:F1010"/>
    <mergeCell ref="B1038:C1038"/>
    <mergeCell ref="B1039:C1039"/>
    <mergeCell ref="B1040:C1040"/>
    <mergeCell ref="B1041:C1043"/>
    <mergeCell ref="D1041:E1041"/>
    <mergeCell ref="D1042:E1042"/>
    <mergeCell ref="D1043:E1043"/>
    <mergeCell ref="B1032:C1032"/>
    <mergeCell ref="B1033:C1033"/>
    <mergeCell ref="B1034:C1034"/>
    <mergeCell ref="B1035:C1035"/>
    <mergeCell ref="B1036:C1036"/>
    <mergeCell ref="B1037:C1037"/>
    <mergeCell ref="B1025:C1025"/>
    <mergeCell ref="B1026:C1026"/>
    <mergeCell ref="B1027:E1027"/>
    <mergeCell ref="B1028:G1028"/>
    <mergeCell ref="B1029:G1029"/>
    <mergeCell ref="B1030:C1030"/>
    <mergeCell ref="B1057:C1057"/>
    <mergeCell ref="B1059:C1059"/>
    <mergeCell ref="B1060:C1060"/>
    <mergeCell ref="B1061:E1061"/>
    <mergeCell ref="B1062:G1062"/>
    <mergeCell ref="B1063:F1063"/>
    <mergeCell ref="B1051:C1051"/>
    <mergeCell ref="B1052:C1052"/>
    <mergeCell ref="B1053:C1053"/>
    <mergeCell ref="B1054:E1054"/>
    <mergeCell ref="B1055:G1055"/>
    <mergeCell ref="B1056:G1056"/>
    <mergeCell ref="B1044:G1044"/>
    <mergeCell ref="B1045:G1045"/>
    <mergeCell ref="B1046:C1046"/>
    <mergeCell ref="B1047:C1047"/>
    <mergeCell ref="B1049:C1049"/>
    <mergeCell ref="B1050:C1050"/>
    <mergeCell ref="B1078:C1078"/>
    <mergeCell ref="B1079:C1079"/>
    <mergeCell ref="B1080:E1080"/>
    <mergeCell ref="B1081:G1081"/>
    <mergeCell ref="B1082:G1082"/>
    <mergeCell ref="B1083:C1083"/>
    <mergeCell ref="B1070:G1070"/>
    <mergeCell ref="B1072:C1072"/>
    <mergeCell ref="B1074:C1074"/>
    <mergeCell ref="B1075:C1075"/>
    <mergeCell ref="B1076:C1076"/>
    <mergeCell ref="B1077:C1077"/>
    <mergeCell ref="B1064:E1064"/>
    <mergeCell ref="B1065:F1065"/>
    <mergeCell ref="C1066:E1066"/>
    <mergeCell ref="C1067:E1067"/>
    <mergeCell ref="C1068:G1068"/>
    <mergeCell ref="B1069:G1069"/>
    <mergeCell ref="B1097:G1097"/>
    <mergeCell ref="B1098:G1098"/>
    <mergeCell ref="B1099:C1099"/>
    <mergeCell ref="B1100:C1100"/>
    <mergeCell ref="B1102:C1102"/>
    <mergeCell ref="B1103:C1103"/>
    <mergeCell ref="B1091:C1091"/>
    <mergeCell ref="B1092:C1092"/>
    <mergeCell ref="B1093:C1093"/>
    <mergeCell ref="B1094:C1096"/>
    <mergeCell ref="D1094:E1094"/>
    <mergeCell ref="D1095:E1095"/>
    <mergeCell ref="D1096:E1096"/>
    <mergeCell ref="B1085:C1085"/>
    <mergeCell ref="B1086:C1086"/>
    <mergeCell ref="B1087:C1087"/>
    <mergeCell ref="B1088:C1088"/>
    <mergeCell ref="B1089:C1089"/>
    <mergeCell ref="B1090:C1090"/>
    <mergeCell ref="B1117:E1117"/>
    <mergeCell ref="B1118:F1118"/>
    <mergeCell ref="C1119:E1119"/>
    <mergeCell ref="C1120:E1120"/>
    <mergeCell ref="C1121:G1121"/>
    <mergeCell ref="B1122:G1122"/>
    <mergeCell ref="B1110:C1110"/>
    <mergeCell ref="B1112:C1112"/>
    <mergeCell ref="B1113:C1113"/>
    <mergeCell ref="B1114:E1114"/>
    <mergeCell ref="B1115:G1115"/>
    <mergeCell ref="B1116:F1116"/>
    <mergeCell ref="B1104:C1104"/>
    <mergeCell ref="B1105:C1105"/>
    <mergeCell ref="B1106:C1106"/>
    <mergeCell ref="B1107:E1107"/>
    <mergeCell ref="B1108:G1108"/>
    <mergeCell ref="B1109:G1109"/>
    <mergeCell ref="B1138:C1138"/>
    <mergeCell ref="B1139:C1139"/>
    <mergeCell ref="B1140:C1140"/>
    <mergeCell ref="B1141:C1141"/>
    <mergeCell ref="B1142:C1142"/>
    <mergeCell ref="B1143:C1143"/>
    <mergeCell ref="B1131:C1131"/>
    <mergeCell ref="B1132:C1132"/>
    <mergeCell ref="B1133:E1133"/>
    <mergeCell ref="B1134:G1134"/>
    <mergeCell ref="B1135:G1135"/>
    <mergeCell ref="B1136:C1136"/>
    <mergeCell ref="B1123:G1123"/>
    <mergeCell ref="B1125:C1125"/>
    <mergeCell ref="B1127:C1127"/>
    <mergeCell ref="B1128:C1128"/>
    <mergeCell ref="B1129:C1129"/>
    <mergeCell ref="B1130:C1130"/>
    <mergeCell ref="B1157:C1157"/>
    <mergeCell ref="B1158:C1158"/>
    <mergeCell ref="B1159:C1159"/>
    <mergeCell ref="B1160:E1160"/>
    <mergeCell ref="B1161:G1161"/>
    <mergeCell ref="B1162:G1162"/>
    <mergeCell ref="B1150:G1150"/>
    <mergeCell ref="B1151:G1151"/>
    <mergeCell ref="B1152:C1152"/>
    <mergeCell ref="B1153:C1153"/>
    <mergeCell ref="B1155:C1155"/>
    <mergeCell ref="B1156:C1156"/>
    <mergeCell ref="B1144:C1144"/>
    <mergeCell ref="B1145:C1145"/>
    <mergeCell ref="B1146:C1146"/>
    <mergeCell ref="B1147:C1149"/>
    <mergeCell ref="D1147:E1147"/>
    <mergeCell ref="D1148:E1148"/>
    <mergeCell ref="D1149:E1149"/>
    <mergeCell ref="B1176:G1176"/>
    <mergeCell ref="B1178:C1178"/>
    <mergeCell ref="B1180:C1180"/>
    <mergeCell ref="B1181:C1181"/>
    <mergeCell ref="B1182:C1182"/>
    <mergeCell ref="B1183:C1183"/>
    <mergeCell ref="B1170:E1170"/>
    <mergeCell ref="B1171:F1171"/>
    <mergeCell ref="C1172:E1172"/>
    <mergeCell ref="C1173:E1173"/>
    <mergeCell ref="C1174:G1174"/>
    <mergeCell ref="B1175:G1175"/>
    <mergeCell ref="B1163:C1163"/>
    <mergeCell ref="B1165:C1165"/>
    <mergeCell ref="B1166:C1166"/>
    <mergeCell ref="B1167:E1167"/>
    <mergeCell ref="B1168:G1168"/>
    <mergeCell ref="B1169:F1169"/>
    <mergeCell ref="B1197:C1197"/>
    <mergeCell ref="B1198:C1198"/>
    <mergeCell ref="B1199:C1199"/>
    <mergeCell ref="B1200:C1202"/>
    <mergeCell ref="D1200:E1200"/>
    <mergeCell ref="D1201:E1201"/>
    <mergeCell ref="D1202:E1202"/>
    <mergeCell ref="B1191:C1191"/>
    <mergeCell ref="B1192:C1192"/>
    <mergeCell ref="B1193:C1193"/>
    <mergeCell ref="B1194:C1194"/>
    <mergeCell ref="B1195:C1195"/>
    <mergeCell ref="B1196:C1196"/>
    <mergeCell ref="B1184:C1184"/>
    <mergeCell ref="B1185:C1185"/>
    <mergeCell ref="B1186:E1186"/>
    <mergeCell ref="B1187:G1187"/>
    <mergeCell ref="B1188:G1188"/>
    <mergeCell ref="B1189:C1189"/>
    <mergeCell ref="B1216:C1216"/>
    <mergeCell ref="B1218:C1218"/>
    <mergeCell ref="B1219:C1219"/>
    <mergeCell ref="B1220:E1220"/>
    <mergeCell ref="B1221:G1221"/>
    <mergeCell ref="B1222:F1222"/>
    <mergeCell ref="B1210:C1210"/>
    <mergeCell ref="B1211:C1211"/>
    <mergeCell ref="B1212:C1212"/>
    <mergeCell ref="B1213:E1213"/>
    <mergeCell ref="B1214:G1214"/>
    <mergeCell ref="B1215:G1215"/>
    <mergeCell ref="B1203:G1203"/>
    <mergeCell ref="B1204:G1204"/>
    <mergeCell ref="B1205:C1205"/>
    <mergeCell ref="B1206:C1206"/>
    <mergeCell ref="B1208:C1208"/>
    <mergeCell ref="B1209:C1209"/>
    <mergeCell ref="B1237:C1237"/>
    <mergeCell ref="B1238:C1238"/>
    <mergeCell ref="B1239:E1239"/>
    <mergeCell ref="B1240:G1240"/>
    <mergeCell ref="B1241:G1241"/>
    <mergeCell ref="B1242:C1242"/>
    <mergeCell ref="B1229:G1229"/>
    <mergeCell ref="B1231:C1231"/>
    <mergeCell ref="B1233:C1233"/>
    <mergeCell ref="B1234:C1234"/>
    <mergeCell ref="B1235:C1235"/>
    <mergeCell ref="B1236:C1236"/>
    <mergeCell ref="B1223:E1223"/>
    <mergeCell ref="B1224:F1224"/>
    <mergeCell ref="C1225:E1225"/>
    <mergeCell ref="C1226:E1226"/>
    <mergeCell ref="C1227:G1227"/>
    <mergeCell ref="B1228:G1228"/>
    <mergeCell ref="B1256:G1256"/>
    <mergeCell ref="B1257:G1257"/>
    <mergeCell ref="B1258:C1258"/>
    <mergeCell ref="B1259:C1259"/>
    <mergeCell ref="B1261:C1261"/>
    <mergeCell ref="B1262:C1262"/>
    <mergeCell ref="B1250:C1250"/>
    <mergeCell ref="B1251:C1251"/>
    <mergeCell ref="B1252:C1252"/>
    <mergeCell ref="B1253:C1255"/>
    <mergeCell ref="D1253:E1253"/>
    <mergeCell ref="D1254:E1254"/>
    <mergeCell ref="D1255:E1255"/>
    <mergeCell ref="B1244:C1244"/>
    <mergeCell ref="B1245:C1245"/>
    <mergeCell ref="B1246:C1246"/>
    <mergeCell ref="B1247:C1247"/>
    <mergeCell ref="B1248:C1248"/>
    <mergeCell ref="B1249:C1249"/>
    <mergeCell ref="B1276:E1276"/>
    <mergeCell ref="B1277:F1277"/>
    <mergeCell ref="C1278:E1278"/>
    <mergeCell ref="C1279:E1279"/>
    <mergeCell ref="C1280:G1280"/>
    <mergeCell ref="B1281:G1281"/>
    <mergeCell ref="B1269:C1269"/>
    <mergeCell ref="B1271:C1271"/>
    <mergeCell ref="B1272:C1272"/>
    <mergeCell ref="B1273:E1273"/>
    <mergeCell ref="B1274:G1274"/>
    <mergeCell ref="B1275:F1275"/>
    <mergeCell ref="B1263:C1263"/>
    <mergeCell ref="B1264:C1264"/>
    <mergeCell ref="B1265:C1265"/>
    <mergeCell ref="B1266:E1266"/>
    <mergeCell ref="B1267:G1267"/>
    <mergeCell ref="B1268:G1268"/>
    <mergeCell ref="B1297:C1297"/>
    <mergeCell ref="B1298:C1298"/>
    <mergeCell ref="B1299:C1299"/>
    <mergeCell ref="B1300:C1300"/>
    <mergeCell ref="B1301:C1301"/>
    <mergeCell ref="B1302:C1302"/>
    <mergeCell ref="B1290:C1290"/>
    <mergeCell ref="B1291:C1291"/>
    <mergeCell ref="B1292:E1292"/>
    <mergeCell ref="B1293:G1293"/>
    <mergeCell ref="B1294:G1294"/>
    <mergeCell ref="B1295:C1295"/>
    <mergeCell ref="B1282:G1282"/>
    <mergeCell ref="B1284:C1284"/>
    <mergeCell ref="B1286:C1286"/>
    <mergeCell ref="B1287:C1287"/>
    <mergeCell ref="B1288:C1288"/>
    <mergeCell ref="B1289:C1289"/>
    <mergeCell ref="B1315:C1315"/>
    <mergeCell ref="B1316:C1316"/>
    <mergeCell ref="B1317:C1317"/>
    <mergeCell ref="B1318:E1318"/>
    <mergeCell ref="B1319:G1319"/>
    <mergeCell ref="B1320:G1320"/>
    <mergeCell ref="B1308:G1308"/>
    <mergeCell ref="B1309:G1309"/>
    <mergeCell ref="B1310:C1310"/>
    <mergeCell ref="B1311:C1311"/>
    <mergeCell ref="B1313:C1313"/>
    <mergeCell ref="B1314:C1314"/>
    <mergeCell ref="B1303:C1303"/>
    <mergeCell ref="B1304:C1304"/>
    <mergeCell ref="B1305:C1307"/>
    <mergeCell ref="D1305:E1305"/>
    <mergeCell ref="D1306:E1306"/>
    <mergeCell ref="D1307:E1307"/>
    <mergeCell ref="B1334:G1334"/>
    <mergeCell ref="B1336:C1336"/>
    <mergeCell ref="B1338:C1338"/>
    <mergeCell ref="B1339:C1339"/>
    <mergeCell ref="B1340:C1340"/>
    <mergeCell ref="B1341:C1341"/>
    <mergeCell ref="B1328:E1328"/>
    <mergeCell ref="B1329:F1329"/>
    <mergeCell ref="C1330:E1330"/>
    <mergeCell ref="C1331:E1331"/>
    <mergeCell ref="C1332:G1332"/>
    <mergeCell ref="B1333:G1333"/>
    <mergeCell ref="B1321:C1321"/>
    <mergeCell ref="B1323:C1323"/>
    <mergeCell ref="B1324:C1324"/>
    <mergeCell ref="B1325:E1325"/>
    <mergeCell ref="B1326:G1326"/>
    <mergeCell ref="B1327:F1327"/>
    <mergeCell ref="B1355:C1355"/>
    <mergeCell ref="B1356:C1356"/>
    <mergeCell ref="B1357:C1357"/>
    <mergeCell ref="B1358:C1360"/>
    <mergeCell ref="D1358:E1358"/>
    <mergeCell ref="D1359:E1359"/>
    <mergeCell ref="D1360:E1360"/>
    <mergeCell ref="B1349:C1349"/>
    <mergeCell ref="B1350:C1350"/>
    <mergeCell ref="B1351:C1351"/>
    <mergeCell ref="B1352:C1352"/>
    <mergeCell ref="B1353:C1353"/>
    <mergeCell ref="B1354:C1354"/>
    <mergeCell ref="B1342:C1342"/>
    <mergeCell ref="B1343:C1343"/>
    <mergeCell ref="B1344:E1344"/>
    <mergeCell ref="B1345:G1345"/>
    <mergeCell ref="B1346:G1346"/>
    <mergeCell ref="B1347:C1347"/>
    <mergeCell ref="B1374:C1374"/>
    <mergeCell ref="B1376:C1376"/>
    <mergeCell ref="B1377:C1377"/>
    <mergeCell ref="B1378:E1378"/>
    <mergeCell ref="B1379:G1379"/>
    <mergeCell ref="B1380:F1380"/>
    <mergeCell ref="B1368:C1368"/>
    <mergeCell ref="B1369:C1369"/>
    <mergeCell ref="B1370:C1370"/>
    <mergeCell ref="B1371:E1371"/>
    <mergeCell ref="B1372:G1372"/>
    <mergeCell ref="B1373:G1373"/>
    <mergeCell ref="B1361:G1361"/>
    <mergeCell ref="B1362:G1362"/>
    <mergeCell ref="B1363:C1363"/>
    <mergeCell ref="B1364:C1364"/>
    <mergeCell ref="B1366:C1366"/>
    <mergeCell ref="B1367:C1367"/>
    <mergeCell ref="B1395:C1395"/>
    <mergeCell ref="B1396:C1396"/>
    <mergeCell ref="B1397:E1397"/>
    <mergeCell ref="B1398:G1398"/>
    <mergeCell ref="B1399:G1399"/>
    <mergeCell ref="B1400:C1400"/>
    <mergeCell ref="B1387:G1387"/>
    <mergeCell ref="B1389:C1389"/>
    <mergeCell ref="B1391:C1391"/>
    <mergeCell ref="B1392:C1392"/>
    <mergeCell ref="B1393:C1393"/>
    <mergeCell ref="B1394:C1394"/>
    <mergeCell ref="B1381:E1381"/>
    <mergeCell ref="B1382:F1382"/>
    <mergeCell ref="C1383:E1383"/>
    <mergeCell ref="C1384:E1384"/>
    <mergeCell ref="C1385:G1385"/>
    <mergeCell ref="B1386:G1386"/>
    <mergeCell ref="B1414:G1414"/>
    <mergeCell ref="B1415:G1415"/>
    <mergeCell ref="B1416:C1416"/>
    <mergeCell ref="B1417:C1417"/>
    <mergeCell ref="B1419:C1419"/>
    <mergeCell ref="B1420:C1420"/>
    <mergeCell ref="B1408:C1408"/>
    <mergeCell ref="B1409:C1409"/>
    <mergeCell ref="B1410:C1410"/>
    <mergeCell ref="B1411:C1413"/>
    <mergeCell ref="D1411:E1411"/>
    <mergeCell ref="D1412:E1412"/>
    <mergeCell ref="D1413:E1413"/>
    <mergeCell ref="B1402:C1402"/>
    <mergeCell ref="B1403:C1403"/>
    <mergeCell ref="B1404:C1404"/>
    <mergeCell ref="B1405:C1405"/>
    <mergeCell ref="B1406:C1406"/>
    <mergeCell ref="B1407:C1407"/>
    <mergeCell ref="B1434:E1434"/>
    <mergeCell ref="B1435:F1435"/>
    <mergeCell ref="C1436:E1436"/>
    <mergeCell ref="C1437:E1437"/>
    <mergeCell ref="C1438:G1438"/>
    <mergeCell ref="B1439:G1439"/>
    <mergeCell ref="B1427:C1427"/>
    <mergeCell ref="B1429:C1429"/>
    <mergeCell ref="B1430:C1430"/>
    <mergeCell ref="B1431:E1431"/>
    <mergeCell ref="B1432:G1432"/>
    <mergeCell ref="B1433:F1433"/>
    <mergeCell ref="B1421:C1421"/>
    <mergeCell ref="B1422:C1422"/>
    <mergeCell ref="B1423:C1423"/>
    <mergeCell ref="B1424:E1424"/>
    <mergeCell ref="B1425:G1425"/>
    <mergeCell ref="B1426:G1426"/>
    <mergeCell ref="B1455:C1455"/>
    <mergeCell ref="B1456:C1456"/>
    <mergeCell ref="B1457:C1457"/>
    <mergeCell ref="B1458:C1458"/>
    <mergeCell ref="B1459:C1459"/>
    <mergeCell ref="B1460:C1460"/>
    <mergeCell ref="B1448:C1448"/>
    <mergeCell ref="B1449:C1449"/>
    <mergeCell ref="B1450:E1450"/>
    <mergeCell ref="B1451:G1451"/>
    <mergeCell ref="B1452:G1452"/>
    <mergeCell ref="B1453:C1453"/>
    <mergeCell ref="B1440:G1440"/>
    <mergeCell ref="B1442:C1442"/>
    <mergeCell ref="B1444:C1444"/>
    <mergeCell ref="B1445:C1445"/>
    <mergeCell ref="B1446:C1446"/>
    <mergeCell ref="B1447:C1447"/>
    <mergeCell ref="B1474:C1474"/>
    <mergeCell ref="B1475:C1475"/>
    <mergeCell ref="B1476:C1476"/>
    <mergeCell ref="B1477:E1477"/>
    <mergeCell ref="B1478:G1478"/>
    <mergeCell ref="B1479:G1479"/>
    <mergeCell ref="B1467:G1467"/>
    <mergeCell ref="B1468:G1468"/>
    <mergeCell ref="B1469:C1469"/>
    <mergeCell ref="B1470:C1470"/>
    <mergeCell ref="B1472:C1472"/>
    <mergeCell ref="B1473:C1473"/>
    <mergeCell ref="B1461:C1461"/>
    <mergeCell ref="B1462:C1462"/>
    <mergeCell ref="B1463:C1463"/>
    <mergeCell ref="B1464:C1466"/>
    <mergeCell ref="D1464:E1464"/>
    <mergeCell ref="D1465:E1465"/>
    <mergeCell ref="D1466:E1466"/>
    <mergeCell ref="B1493:G1493"/>
    <mergeCell ref="B1495:C1495"/>
    <mergeCell ref="B1497:C1497"/>
    <mergeCell ref="B1498:C1498"/>
    <mergeCell ref="B1499:C1499"/>
    <mergeCell ref="B1500:C1500"/>
    <mergeCell ref="B1487:E1487"/>
    <mergeCell ref="B1488:F1488"/>
    <mergeCell ref="C1489:E1489"/>
    <mergeCell ref="C1490:E1490"/>
    <mergeCell ref="C1491:G1491"/>
    <mergeCell ref="B1492:G1492"/>
    <mergeCell ref="B1480:C1480"/>
    <mergeCell ref="B1482:C1482"/>
    <mergeCell ref="B1483:C1483"/>
    <mergeCell ref="B1484:E1484"/>
    <mergeCell ref="B1485:G1485"/>
    <mergeCell ref="B1486:F1486"/>
    <mergeCell ref="B1514:C1514"/>
    <mergeCell ref="B1515:C1515"/>
    <mergeCell ref="B1516:C1516"/>
    <mergeCell ref="B1517:C1519"/>
    <mergeCell ref="D1517:E1517"/>
    <mergeCell ref="D1518:E1518"/>
    <mergeCell ref="D1519:E1519"/>
    <mergeCell ref="B1508:C1508"/>
    <mergeCell ref="B1509:C1509"/>
    <mergeCell ref="B1510:C1510"/>
    <mergeCell ref="B1511:C1511"/>
    <mergeCell ref="B1512:C1512"/>
    <mergeCell ref="B1513:C1513"/>
    <mergeCell ref="B1501:C1501"/>
    <mergeCell ref="B1502:C1502"/>
    <mergeCell ref="B1503:E1503"/>
    <mergeCell ref="B1504:G1504"/>
    <mergeCell ref="B1505:G1505"/>
    <mergeCell ref="B1506:C1506"/>
    <mergeCell ref="B1533:C1533"/>
    <mergeCell ref="B1535:C1535"/>
    <mergeCell ref="B1536:C1536"/>
    <mergeCell ref="B1537:E1537"/>
    <mergeCell ref="B1538:G1538"/>
    <mergeCell ref="B1539:F1539"/>
    <mergeCell ref="B1527:C1527"/>
    <mergeCell ref="B1528:C1528"/>
    <mergeCell ref="B1529:C1529"/>
    <mergeCell ref="B1530:E1530"/>
    <mergeCell ref="B1531:G1531"/>
    <mergeCell ref="B1532:G1532"/>
    <mergeCell ref="B1520:G1520"/>
    <mergeCell ref="B1521:G1521"/>
    <mergeCell ref="B1522:C1522"/>
    <mergeCell ref="B1523:C1523"/>
    <mergeCell ref="B1525:C1525"/>
    <mergeCell ref="B1526:C1526"/>
    <mergeCell ref="B1554:C1554"/>
    <mergeCell ref="B1555:C1555"/>
    <mergeCell ref="B1556:E1556"/>
    <mergeCell ref="B1557:G1557"/>
    <mergeCell ref="B1558:G1558"/>
    <mergeCell ref="B1559:C1559"/>
    <mergeCell ref="B1546:G1546"/>
    <mergeCell ref="B1548:C1548"/>
    <mergeCell ref="B1550:C1550"/>
    <mergeCell ref="B1551:C1551"/>
    <mergeCell ref="B1552:C1552"/>
    <mergeCell ref="B1553:C1553"/>
    <mergeCell ref="B1540:E1540"/>
    <mergeCell ref="B1541:F1541"/>
    <mergeCell ref="C1542:E1542"/>
    <mergeCell ref="C1543:E1543"/>
    <mergeCell ref="C1544:G1544"/>
    <mergeCell ref="B1545:G1545"/>
    <mergeCell ref="B1573:G1573"/>
    <mergeCell ref="B1574:G1574"/>
    <mergeCell ref="B1575:C1575"/>
    <mergeCell ref="B1576:C1576"/>
    <mergeCell ref="B1578:C1578"/>
    <mergeCell ref="B1579:C1579"/>
    <mergeCell ref="B1567:C1567"/>
    <mergeCell ref="B1568:C1568"/>
    <mergeCell ref="B1569:C1569"/>
    <mergeCell ref="B1570:C1572"/>
    <mergeCell ref="D1570:E1570"/>
    <mergeCell ref="D1571:E1571"/>
    <mergeCell ref="D1572:E1572"/>
    <mergeCell ref="B1561:C1561"/>
    <mergeCell ref="B1562:C1562"/>
    <mergeCell ref="B1563:C1563"/>
    <mergeCell ref="B1564:C1564"/>
    <mergeCell ref="B1565:C1565"/>
    <mergeCell ref="B1566:C1566"/>
    <mergeCell ref="B1593:E1593"/>
    <mergeCell ref="B1594:F1594"/>
    <mergeCell ref="C1595:E1595"/>
    <mergeCell ref="C1596:E1596"/>
    <mergeCell ref="C1597:G1597"/>
    <mergeCell ref="B1598:G1598"/>
    <mergeCell ref="B1586:C1586"/>
    <mergeCell ref="B1588:C1588"/>
    <mergeCell ref="B1589:C1589"/>
    <mergeCell ref="B1590:E1590"/>
    <mergeCell ref="B1591:G1591"/>
    <mergeCell ref="B1592:F1592"/>
    <mergeCell ref="B1580:C1580"/>
    <mergeCell ref="B1581:C1581"/>
    <mergeCell ref="B1582:C1582"/>
    <mergeCell ref="B1583:E1583"/>
    <mergeCell ref="B1584:G1584"/>
    <mergeCell ref="B1585:G1585"/>
    <mergeCell ref="B1614:C1614"/>
    <mergeCell ref="B1615:C1615"/>
    <mergeCell ref="B1616:C1616"/>
    <mergeCell ref="B1617:C1617"/>
    <mergeCell ref="B1618:C1618"/>
    <mergeCell ref="B1619:C1619"/>
    <mergeCell ref="B1607:C1607"/>
    <mergeCell ref="B1608:C1608"/>
    <mergeCell ref="B1609:E1609"/>
    <mergeCell ref="B1610:G1610"/>
    <mergeCell ref="B1611:G1611"/>
    <mergeCell ref="B1612:C1612"/>
    <mergeCell ref="B1599:G1599"/>
    <mergeCell ref="B1601:C1601"/>
    <mergeCell ref="B1603:C1603"/>
    <mergeCell ref="B1604:C1604"/>
    <mergeCell ref="B1605:C1605"/>
    <mergeCell ref="B1606:C1606"/>
    <mergeCell ref="B1633:C1633"/>
    <mergeCell ref="B1634:C1634"/>
    <mergeCell ref="B1635:C1635"/>
    <mergeCell ref="B1636:E1636"/>
    <mergeCell ref="B1637:G1637"/>
    <mergeCell ref="B1638:G1638"/>
    <mergeCell ref="B1626:G1626"/>
    <mergeCell ref="B1627:G1627"/>
    <mergeCell ref="B1628:C1628"/>
    <mergeCell ref="B1629:C1629"/>
    <mergeCell ref="B1631:C1631"/>
    <mergeCell ref="B1632:C1632"/>
    <mergeCell ref="B1620:C1620"/>
    <mergeCell ref="B1621:C1621"/>
    <mergeCell ref="B1622:C1622"/>
    <mergeCell ref="B1623:C1625"/>
    <mergeCell ref="D1623:E1623"/>
    <mergeCell ref="D1624:E1624"/>
    <mergeCell ref="D1625:E1625"/>
    <mergeCell ref="B1652:G1652"/>
    <mergeCell ref="B1654:C1654"/>
    <mergeCell ref="B1656:C1656"/>
    <mergeCell ref="B1657:C1657"/>
    <mergeCell ref="B1658:C1658"/>
    <mergeCell ref="B1659:C1659"/>
    <mergeCell ref="B1646:E1646"/>
    <mergeCell ref="B1647:F1647"/>
    <mergeCell ref="C1648:E1648"/>
    <mergeCell ref="C1649:E1649"/>
    <mergeCell ref="C1650:G1650"/>
    <mergeCell ref="B1651:G1651"/>
    <mergeCell ref="B1639:C1639"/>
    <mergeCell ref="B1641:C1641"/>
    <mergeCell ref="B1642:C1642"/>
    <mergeCell ref="B1643:E1643"/>
    <mergeCell ref="B1644:G1644"/>
    <mergeCell ref="B1645:F1645"/>
    <mergeCell ref="B1673:C1673"/>
    <mergeCell ref="B1674:C1674"/>
    <mergeCell ref="B1675:C1675"/>
    <mergeCell ref="B1676:C1678"/>
    <mergeCell ref="D1676:E1676"/>
    <mergeCell ref="D1677:E1677"/>
    <mergeCell ref="D1678:E1678"/>
    <mergeCell ref="B1667:C1667"/>
    <mergeCell ref="B1668:C1668"/>
    <mergeCell ref="B1669:C1669"/>
    <mergeCell ref="B1670:C1670"/>
    <mergeCell ref="B1671:C1671"/>
    <mergeCell ref="B1672:C1672"/>
    <mergeCell ref="B1660:C1660"/>
    <mergeCell ref="B1661:C1661"/>
    <mergeCell ref="B1662:E1662"/>
    <mergeCell ref="B1663:G1663"/>
    <mergeCell ref="B1664:G1664"/>
    <mergeCell ref="B1665:C1665"/>
    <mergeCell ref="B1692:C1692"/>
    <mergeCell ref="B1694:C1694"/>
    <mergeCell ref="B1695:C1695"/>
    <mergeCell ref="B1696:E1696"/>
    <mergeCell ref="B1697:G1697"/>
    <mergeCell ref="B1698:F1698"/>
    <mergeCell ref="B1686:C1686"/>
    <mergeCell ref="B1687:C1687"/>
    <mergeCell ref="B1688:C1688"/>
    <mergeCell ref="B1689:E1689"/>
    <mergeCell ref="B1690:G1690"/>
    <mergeCell ref="B1691:G1691"/>
    <mergeCell ref="B1679:G1679"/>
    <mergeCell ref="B1680:G1680"/>
    <mergeCell ref="B1681:C1681"/>
    <mergeCell ref="B1682:C1682"/>
    <mergeCell ref="B1684:C1684"/>
    <mergeCell ref="B1685:C1685"/>
    <mergeCell ref="B1713:C1713"/>
    <mergeCell ref="B1714:C1714"/>
    <mergeCell ref="B1715:E1715"/>
    <mergeCell ref="B1716:G1716"/>
    <mergeCell ref="B1717:G1717"/>
    <mergeCell ref="B1718:C1718"/>
    <mergeCell ref="B1705:G1705"/>
    <mergeCell ref="B1707:C1707"/>
    <mergeCell ref="B1709:C1709"/>
    <mergeCell ref="B1710:C1710"/>
    <mergeCell ref="B1711:C1711"/>
    <mergeCell ref="B1712:C1712"/>
    <mergeCell ref="B1699:E1699"/>
    <mergeCell ref="B1700:F1700"/>
    <mergeCell ref="C1701:E1701"/>
    <mergeCell ref="C1702:E1702"/>
    <mergeCell ref="C1703:G1703"/>
    <mergeCell ref="B1704:G1704"/>
    <mergeCell ref="B1732:G1732"/>
    <mergeCell ref="B1733:G1733"/>
    <mergeCell ref="B1734:C1734"/>
    <mergeCell ref="B1735:C1735"/>
    <mergeCell ref="B1737:C1737"/>
    <mergeCell ref="B1738:C1738"/>
    <mergeCell ref="B1726:C1726"/>
    <mergeCell ref="B1727:C1727"/>
    <mergeCell ref="B1728:C1728"/>
    <mergeCell ref="B1729:C1731"/>
    <mergeCell ref="D1729:E1729"/>
    <mergeCell ref="D1730:E1730"/>
    <mergeCell ref="D1731:E1731"/>
    <mergeCell ref="B1720:C1720"/>
    <mergeCell ref="B1721:C1721"/>
    <mergeCell ref="B1722:C1722"/>
    <mergeCell ref="B1723:C1723"/>
    <mergeCell ref="B1724:C1724"/>
    <mergeCell ref="B1725:C1725"/>
    <mergeCell ref="B1752:E1752"/>
    <mergeCell ref="B1753:F1753"/>
    <mergeCell ref="C1754:E1754"/>
    <mergeCell ref="C1755:E1755"/>
    <mergeCell ref="C1756:G1756"/>
    <mergeCell ref="B1757:G1757"/>
    <mergeCell ref="B1745:C1745"/>
    <mergeCell ref="B1747:C1747"/>
    <mergeCell ref="B1748:C1748"/>
    <mergeCell ref="B1749:E1749"/>
    <mergeCell ref="B1750:G1750"/>
    <mergeCell ref="B1751:F1751"/>
    <mergeCell ref="B1739:C1739"/>
    <mergeCell ref="B1740:C1740"/>
    <mergeCell ref="B1741:C1741"/>
    <mergeCell ref="B1742:E1742"/>
    <mergeCell ref="B1743:G1743"/>
    <mergeCell ref="B1744:G1744"/>
    <mergeCell ref="B1773:C1773"/>
    <mergeCell ref="B1774:C1774"/>
    <mergeCell ref="B1775:C1775"/>
    <mergeCell ref="B1776:C1776"/>
    <mergeCell ref="B1777:C1777"/>
    <mergeCell ref="B1778:C1778"/>
    <mergeCell ref="B1766:C1766"/>
    <mergeCell ref="B1767:C1767"/>
    <mergeCell ref="B1768:E1768"/>
    <mergeCell ref="B1769:G1769"/>
    <mergeCell ref="B1770:G1770"/>
    <mergeCell ref="B1771:C1771"/>
    <mergeCell ref="B1758:G1758"/>
    <mergeCell ref="B1760:C1760"/>
    <mergeCell ref="B1762:C1762"/>
    <mergeCell ref="B1763:C1763"/>
    <mergeCell ref="B1764:C1764"/>
    <mergeCell ref="B1765:C1765"/>
    <mergeCell ref="B1805:F1805"/>
    <mergeCell ref="B1789:C1789"/>
    <mergeCell ref="B1794:E1794"/>
    <mergeCell ref="B1795:G1795"/>
    <mergeCell ref="B1797:C1797"/>
    <mergeCell ref="B1796:G1796"/>
    <mergeCell ref="B1790:C1790"/>
    <mergeCell ref="B1791:C1791"/>
    <mergeCell ref="B1792:C1792"/>
    <mergeCell ref="B1793:C1793"/>
    <mergeCell ref="B1800:C1800"/>
    <mergeCell ref="B1799:C1799"/>
    <mergeCell ref="B1801:E1801"/>
    <mergeCell ref="B1802:G1802"/>
    <mergeCell ref="B1803:F1803"/>
    <mergeCell ref="B1804:E1804"/>
    <mergeCell ref="B1779:C1779"/>
    <mergeCell ref="B1780:C1780"/>
    <mergeCell ref="B1785:G1785"/>
    <mergeCell ref="B1787:C1787"/>
    <mergeCell ref="B1786:C1786"/>
    <mergeCell ref="D1782:E1782"/>
    <mergeCell ref="D1783:E1783"/>
    <mergeCell ref="B1781:C1783"/>
    <mergeCell ref="D1781:E1781"/>
    <mergeCell ref="B1784:G1784"/>
  </mergeCells>
  <phoneticPr fontId="0" type="noConversion"/>
  <hyperlinks>
    <hyperlink ref="H6" location="'ITEMS RESUMEN'!PISOS_Y_ENCHAPES" display="volver"/>
    <hyperlink ref="H32" location="'ITEMS RESUMEN'!PISOS_Y_ENCHAPES" display="volver"/>
    <hyperlink ref="H58" location="'ITEMS RESUMEN'!PISOS_Y_ENCHAPES" display="volver"/>
    <hyperlink ref="H85" location="'ITEMS RESUMEN'!PISOS_Y_ENCHAPES" display="volver"/>
    <hyperlink ref="H111" location="'ITEMS RESUMEN'!PISOS_Y_ENCHAPES" display="volver"/>
    <hyperlink ref="H138" location="'ITEMS RESUMEN'!PISOS_Y_ENCHAPES" display="volver"/>
    <hyperlink ref="H164" location="'ITEMS RESUMEN'!PISOS_Y_ENCHAPES" display="volver"/>
    <hyperlink ref="H191" location="'ITEMS RESUMEN'!PISOS_Y_ENCHAPES" display="volver"/>
    <hyperlink ref="H217" location="'ITEMS RESUMEN'!PISOS_Y_ENCHAPES" display="volver"/>
    <hyperlink ref="H244" location="'ITEMS RESUMEN'!PISOS_Y_ENCHAPES" display="volver"/>
    <hyperlink ref="H270" location="'ITEMS RESUMEN'!PISOS_Y_ENCHAPES" display="volver"/>
    <hyperlink ref="H297" location="'ITEMS RESUMEN'!PISOS_Y_ENCHAPES" display="volver"/>
    <hyperlink ref="H323" location="'ITEMS RESUMEN'!PISOS_Y_ENCHAPES" display="volver"/>
    <hyperlink ref="H350" location="'ITEMS RESUMEN'!PISOS_Y_ENCHAPES" display="volver"/>
    <hyperlink ref="H376" location="'ITEMS RESUMEN'!PISOS_Y_ENCHAPES" display="volver"/>
    <hyperlink ref="H403" location="'ITEMS RESUMEN'!PISOS_Y_ENCHAPES" display="volver"/>
    <hyperlink ref="H429" location="'ITEMS RESUMEN'!PISOS_Y_ENCHAPES" display="volver"/>
    <hyperlink ref="H456" location="'ITEMS RESUMEN'!PISOS_Y_ENCHAPES" display="volver"/>
    <hyperlink ref="H482" location="'ITEMS RESUMEN'!PISOS_Y_ENCHAPES" display="volver"/>
    <hyperlink ref="H509" location="'ITEMS RESUMEN'!PISOS_Y_ENCHAPES" display="volver"/>
    <hyperlink ref="H535" location="'ITEMS RESUMEN'!PISOS_Y_ENCHAPES" display="volver"/>
    <hyperlink ref="H562" location="'ITEMS RESUMEN'!PISOS_Y_ENCHAPES" display="volver"/>
    <hyperlink ref="H588" location="'ITEMS RESUMEN'!PISOS_Y_ENCHAPES" display="volver"/>
    <hyperlink ref="H615" location="'ITEMS RESUMEN'!PISOS_Y_ENCHAPES" display="volver"/>
    <hyperlink ref="H641" location="'ITEMS RESUMEN'!PISOS_Y_ENCHAPES" display="volver"/>
    <hyperlink ref="H668" location="'ITEMS RESUMEN'!PISOS_Y_ENCHAPES" display="volver"/>
    <hyperlink ref="H694" location="'ITEMS RESUMEN'!PISOS_Y_ENCHAPES" display="volver"/>
    <hyperlink ref="H721" location="'ITEMS RESUMEN'!PISOS_Y_ENCHAPES" display="volver"/>
    <hyperlink ref="H747" location="'ITEMS RESUMEN'!PISOS_Y_ENCHAPES" display="volver"/>
    <hyperlink ref="H774" location="'ITEMS RESUMEN'!PISOS_Y_ENCHAPES" display="volver"/>
    <hyperlink ref="H800" location="'ITEMS RESUMEN'!PISOS_Y_ENCHAPES" display="volver"/>
    <hyperlink ref="H827" location="'ITEMS RESUMEN'!PISOS_Y_ENCHAPES" display="volver"/>
    <hyperlink ref="H853" location="'ITEMS RESUMEN'!PISOS_Y_ENCHAPES" display="volver"/>
    <hyperlink ref="H880" location="'ITEMS RESUMEN'!PISOS_Y_ENCHAPES" display="volver"/>
    <hyperlink ref="H906" location="'ITEMS RESUMEN'!PISOS_Y_ENCHAPES" display="volver"/>
    <hyperlink ref="H933" location="'ITEMS RESUMEN'!PISOS_Y_ENCHAPES" display="volver"/>
    <hyperlink ref="H959" location="'ITEMS RESUMEN'!PISOS_Y_ENCHAPES" display="volver"/>
    <hyperlink ref="H986" location="'ITEMS RESUMEN'!PISOS_Y_ENCHAPES" display="volver"/>
    <hyperlink ref="H1012" location="'ITEMS RESUMEN'!PISOS_Y_ENCHAPES" display="volver"/>
    <hyperlink ref="H1039" location="'ITEMS RESUMEN'!PISOS_Y_ENCHAPES" display="volver"/>
    <hyperlink ref="H1065" location="'ITEMS RESUMEN'!PISOS_Y_ENCHAPES" display="volver"/>
    <hyperlink ref="H1092" location="'ITEMS RESUMEN'!PISOS_Y_ENCHAPES" display="volver"/>
    <hyperlink ref="H1118" location="'ITEMS RESUMEN'!PISOS_Y_ENCHAPES" display="volver"/>
    <hyperlink ref="H1145" location="'ITEMS RESUMEN'!PISOS_Y_ENCHAPES" display="volver"/>
    <hyperlink ref="H1171" location="'ITEMS RESUMEN'!PISOS_Y_ENCHAPES" display="volver"/>
    <hyperlink ref="H1197" location="'ITEMS RESUMEN'!PISOS_Y_ENCHAPES" display="volver"/>
    <hyperlink ref="H1224" location="'ITEMS RESUMEN'!PISOS_Y_ENCHAPES" display="volver"/>
    <hyperlink ref="H1251" location="'ITEMS RESUMEN'!PISOS_Y_ENCHAPES" display="volver"/>
    <hyperlink ref="H1277" location="'ITEMS RESUMEN'!PISOS_Y_ENCHAPES" display="volver"/>
    <hyperlink ref="H1302" location="'ITEMS RESUMEN'!PISOS_Y_ENCHAPES" display="volver"/>
    <hyperlink ref="H1329" location="'ITEMS RESUMEN'!PISOS_Y_ENCHAPES" display="volver"/>
    <hyperlink ref="H1356" location="'ITEMS RESUMEN'!PISOS_Y_ENCHAPES" display="volver"/>
    <hyperlink ref="H1382" location="'ITEMS RESUMEN'!PISOS_Y_ENCHAPES" display="volver"/>
    <hyperlink ref="H1409" location="'ITEMS RESUMEN'!PISOS_Y_ENCHAPES" display="volver"/>
    <hyperlink ref="H1435" location="'ITEMS RESUMEN'!PISOS_Y_ENCHAPES" display="volver"/>
    <hyperlink ref="H1462" location="'ITEMS RESUMEN'!PISOS_Y_ENCHAPES" display="volver"/>
    <hyperlink ref="H1488" location="'ITEMS RESUMEN'!PISOS_Y_ENCHAPES" display="volver"/>
    <hyperlink ref="H1515" location="'ITEMS RESUMEN'!PISOS_Y_ENCHAPES" display="volver"/>
    <hyperlink ref="H1541" location="'ITEMS RESUMEN'!PISOS_Y_ENCHAPES" display="volver"/>
    <hyperlink ref="H1568" location="'ITEMS RESUMEN'!PISOS_Y_ENCHAPES" display="volver"/>
    <hyperlink ref="H1594" location="'ITEMS RESUMEN'!PISOS_Y_ENCHAPES" display="volver"/>
    <hyperlink ref="H1621" location="'ITEMS RESUMEN'!PISOS_Y_ENCHAPES" display="volver"/>
    <hyperlink ref="H1647" location="'ITEMS RESUMEN'!PISOS_Y_ENCHAPES" display="volver"/>
    <hyperlink ref="H1673" location="'ITEMS RESUMEN'!PISOS_Y_ENCHAPES" display="volver"/>
    <hyperlink ref="H1700" location="'ITEMS RESUMEN'!PISOS_Y_ENCHAPES" display="volver"/>
    <hyperlink ref="H1727" location="'ITEMS RESUMEN'!PISOS_Y_ENCHAPES" display="volver"/>
    <hyperlink ref="H1753" location="'ITEMS RESUMEN'!PISOS_Y_ENCHAPES" display="volver"/>
    <hyperlink ref="H1779" location="'ITEMS RESUMEN'!PISOS_Y_ENCHAPES" display="volver"/>
    <hyperlink ref="H1805" location="'ITEMS RESUMEN'!PISOS_Y_ENCHAPES" display="volver"/>
  </hyperlinks>
  <printOptions horizontalCentered="1" verticalCentered="1"/>
  <pageMargins left="0" right="0" top="0" bottom="0" header="0" footer="0"/>
  <pageSetup scale="80" orientation="portrait" r:id="rId1"/>
  <headerFooter alignWithMargins="0"/>
  <rowBreaks count="33" manualBreakCount="33">
    <brk id="58" min="1" max="6" man="1"/>
    <brk id="111" min="1" max="6" man="1"/>
    <brk id="164" min="1" max="6" man="1"/>
    <brk id="217" min="1" max="6" man="1"/>
    <brk id="270" min="1" max="6" man="1"/>
    <brk id="323" min="1" max="6" man="1"/>
    <brk id="376" min="1" max="6" man="1"/>
    <brk id="429" min="1" max="6" man="1"/>
    <brk id="482" min="1" max="6" man="1"/>
    <brk id="535" min="1" max="6" man="1"/>
    <brk id="588" min="1" max="6" man="1"/>
    <brk id="641" min="1" max="6" man="1"/>
    <brk id="694" min="1" max="6" man="1"/>
    <brk id="747" min="1" max="6" man="1"/>
    <brk id="800" min="1" max="6" man="1"/>
    <brk id="853" min="1" max="6" man="1"/>
    <brk id="906" min="1" max="6" man="1"/>
    <brk id="959" min="1" max="6" man="1"/>
    <brk id="1012" min="1" max="6" man="1"/>
    <brk id="1065" min="1" max="6" man="1"/>
    <brk id="1118" min="1" max="6" man="1"/>
    <brk id="1171" min="1" max="6" man="1"/>
    <brk id="1224" min="1" max="6" man="1"/>
    <brk id="1277" min="1" max="6" man="1"/>
    <brk id="1329" min="1" max="6" man="1"/>
    <brk id="1382" min="1" max="6" man="1"/>
    <brk id="1435" min="1" max="6" man="1"/>
    <brk id="1488" min="1" max="6" man="1"/>
    <brk id="1541" min="1" max="6" man="1"/>
    <brk id="1594" min="1" max="6" man="1"/>
    <brk id="1647" min="1" max="6" man="1"/>
    <brk id="1700" min="1" max="6" man="1"/>
    <brk id="1753" min="1" max="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6">
    <tabColor indexed="39"/>
  </sheetPr>
  <dimension ref="A1:H1598"/>
  <sheetViews>
    <sheetView topLeftCell="A1371" zoomScale="85" zoomScaleNormal="85" zoomScaleSheetLayoutView="100" workbookViewId="0">
      <selection activeCell="H1597" sqref="H1597"/>
    </sheetView>
  </sheetViews>
  <sheetFormatPr baseColWidth="10" defaultRowHeight="12.75"/>
  <cols>
    <col min="2" max="2" width="12.7109375" customWidth="1"/>
    <col min="3" max="3" width="25.7109375" customWidth="1"/>
    <col min="4" max="4" width="12.7109375" customWidth="1"/>
    <col min="5" max="5" width="13.7109375" customWidth="1"/>
    <col min="6" max="6" width="14.7109375" customWidth="1"/>
    <col min="7" max="7" width="16.7109375" customWidth="1"/>
  </cols>
  <sheetData>
    <row r="1" spans="1:8" ht="19.5" thickTop="1">
      <c r="A1" s="95"/>
      <c r="B1" s="225"/>
      <c r="C1" s="848" t="s">
        <v>1054</v>
      </c>
      <c r="D1" s="848"/>
      <c r="E1" s="848"/>
      <c r="F1" s="848"/>
      <c r="G1" s="849"/>
    </row>
    <row r="2" spans="1:8" ht="18.75">
      <c r="A2" s="95"/>
      <c r="B2" s="226"/>
      <c r="C2" s="780" t="s">
        <v>1381</v>
      </c>
      <c r="D2" s="780"/>
      <c r="E2" s="780"/>
      <c r="F2" s="780"/>
      <c r="G2" s="850"/>
    </row>
    <row r="3" spans="1:8" ht="18.75">
      <c r="A3" s="95"/>
      <c r="B3" s="226"/>
      <c r="C3" s="781"/>
      <c r="D3" s="781"/>
      <c r="E3" s="781"/>
      <c r="F3" s="781"/>
      <c r="G3" s="851"/>
    </row>
    <row r="4" spans="1:8" ht="15.75">
      <c r="A4" s="95"/>
      <c r="B4" s="881" t="s">
        <v>780</v>
      </c>
      <c r="C4" s="852"/>
      <c r="D4" s="852"/>
      <c r="E4" s="852"/>
      <c r="F4" s="852"/>
      <c r="G4" s="853"/>
    </row>
    <row r="5" spans="1:8" ht="15.75" thickBot="1">
      <c r="A5" s="95"/>
      <c r="B5" s="227"/>
      <c r="C5" s="856"/>
      <c r="D5" s="856"/>
      <c r="E5" s="856"/>
      <c r="F5" s="856"/>
      <c r="G5" s="857"/>
    </row>
    <row r="6" spans="1:8" ht="15" thickTop="1">
      <c r="A6" s="95"/>
      <c r="B6" s="90" t="s">
        <v>303</v>
      </c>
      <c r="C6" s="843"/>
      <c r="D6" s="843"/>
      <c r="E6" s="843"/>
      <c r="F6" s="92" t="s">
        <v>781</v>
      </c>
      <c r="G6" s="93" t="s">
        <v>1067</v>
      </c>
      <c r="H6" s="505" t="s">
        <v>1670</v>
      </c>
    </row>
    <row r="7" spans="1:8">
      <c r="A7" s="95"/>
      <c r="B7" s="91" t="s">
        <v>834</v>
      </c>
      <c r="C7" s="844" t="s">
        <v>1408</v>
      </c>
      <c r="D7" s="844"/>
      <c r="E7" s="844"/>
      <c r="F7" s="15" t="s">
        <v>833</v>
      </c>
      <c r="G7" s="165" t="str">
        <f>'MANO DE OBRA'!D61</f>
        <v>Agosto de 2010</v>
      </c>
    </row>
    <row r="8" spans="1:8" ht="13.5" thickBot="1">
      <c r="A8" s="127"/>
      <c r="B8" s="94" t="s">
        <v>835</v>
      </c>
      <c r="C8" s="845" t="s">
        <v>465</v>
      </c>
      <c r="D8" s="845"/>
      <c r="E8" s="845"/>
      <c r="F8" s="845"/>
      <c r="G8" s="846"/>
    </row>
    <row r="9" spans="1:8" ht="14.25" thickTop="1" thickBot="1">
      <c r="A9" s="95"/>
      <c r="B9" s="847"/>
      <c r="C9" s="847"/>
      <c r="D9" s="847"/>
      <c r="E9" s="847"/>
      <c r="F9" s="847"/>
      <c r="G9" s="847"/>
    </row>
    <row r="10" spans="1:8" ht="13.5" thickTop="1">
      <c r="A10" s="95"/>
      <c r="B10" s="811" t="s">
        <v>304</v>
      </c>
      <c r="C10" s="812"/>
      <c r="D10" s="812"/>
      <c r="E10" s="812"/>
      <c r="F10" s="812"/>
      <c r="G10" s="825"/>
    </row>
    <row r="11" spans="1:8">
      <c r="A11" s="95"/>
      <c r="B11" s="105"/>
      <c r="C11" s="97"/>
      <c r="D11" s="98" t="s">
        <v>301</v>
      </c>
      <c r="E11" s="98" t="s">
        <v>1072</v>
      </c>
      <c r="F11" s="99" t="s">
        <v>839</v>
      </c>
      <c r="G11" s="107" t="s">
        <v>840</v>
      </c>
    </row>
    <row r="12" spans="1:8">
      <c r="A12" s="95"/>
      <c r="B12" s="821" t="s">
        <v>838</v>
      </c>
      <c r="C12" s="822"/>
      <c r="D12" s="100" t="s">
        <v>308</v>
      </c>
      <c r="E12" s="100" t="s">
        <v>305</v>
      </c>
      <c r="F12" s="101" t="s">
        <v>306</v>
      </c>
      <c r="G12" s="108" t="s">
        <v>310</v>
      </c>
    </row>
    <row r="13" spans="1:8">
      <c r="A13" s="95"/>
      <c r="B13" s="115"/>
      <c r="C13" s="102"/>
      <c r="D13" s="103"/>
      <c r="E13" s="103" t="s">
        <v>309</v>
      </c>
      <c r="F13" s="104" t="s">
        <v>307</v>
      </c>
      <c r="G13" s="109"/>
    </row>
    <row r="14" spans="1:8">
      <c r="A14" s="127"/>
      <c r="B14" s="823" t="str">
        <f>'MAQUINARIA Y EQUIPOS'!C28</f>
        <v>HERRAMIENTAS MENORES</v>
      </c>
      <c r="C14" s="824"/>
      <c r="D14" s="87">
        <v>1</v>
      </c>
      <c r="E14" s="82">
        <f>ROUND(G47*0.05,0)</f>
        <v>551</v>
      </c>
      <c r="F14" s="81">
        <v>1</v>
      </c>
      <c r="G14" s="110">
        <f>ROUND(D14*E14/F14,0)</f>
        <v>551</v>
      </c>
    </row>
    <row r="15" spans="1:8">
      <c r="A15" s="95"/>
      <c r="B15" s="835" t="str">
        <f>'MAQUINARIA Y EQUIPOS'!C9</f>
        <v>ANDAMIO TUBULAR 1.50 m</v>
      </c>
      <c r="C15" s="836"/>
      <c r="D15" s="37">
        <v>4</v>
      </c>
      <c r="E15" s="129">
        <f>'MAQUINARIA Y EQUIPOS'!D9</f>
        <v>754</v>
      </c>
      <c r="F15" s="83">
        <v>9.64</v>
      </c>
      <c r="G15" s="111">
        <f>ROUND(D15*E15/F15,0)</f>
        <v>313</v>
      </c>
    </row>
    <row r="16" spans="1:8">
      <c r="A16" s="95"/>
      <c r="B16" s="835" t="str">
        <f>'MAQUINARIA Y EQUIPOS'!C47</f>
        <v>TABLONES 3m</v>
      </c>
      <c r="C16" s="836"/>
      <c r="D16" s="37">
        <v>4</v>
      </c>
      <c r="E16" s="129">
        <f>'MAQUINARIA Y EQUIPOS'!D47</f>
        <v>348</v>
      </c>
      <c r="F16" s="83">
        <v>9.64</v>
      </c>
      <c r="G16" s="111">
        <f>ROUND(D16*E16/F16,0)</f>
        <v>144</v>
      </c>
    </row>
    <row r="17" spans="1:8">
      <c r="A17" s="95"/>
      <c r="B17" s="835"/>
      <c r="C17" s="836"/>
      <c r="D17" s="89"/>
      <c r="E17" s="82"/>
      <c r="F17" s="83"/>
      <c r="G17" s="111"/>
    </row>
    <row r="18" spans="1:8">
      <c r="A18" s="95"/>
      <c r="B18" s="835" t="s">
        <v>841</v>
      </c>
      <c r="C18" s="836"/>
      <c r="D18" s="37"/>
      <c r="E18" s="82"/>
      <c r="F18" s="83"/>
      <c r="G18" s="111"/>
    </row>
    <row r="19" spans="1:8" ht="13.5" thickBot="1">
      <c r="A19" s="95"/>
      <c r="B19" s="839" t="s">
        <v>841</v>
      </c>
      <c r="C19" s="840"/>
      <c r="D19" s="77"/>
      <c r="E19" s="106"/>
      <c r="F19" s="86"/>
      <c r="G19" s="112"/>
    </row>
    <row r="20" spans="1:8" ht="14.25" thickTop="1" thickBot="1">
      <c r="A20" s="95"/>
      <c r="B20" s="808"/>
      <c r="C20" s="808"/>
      <c r="D20" s="808"/>
      <c r="E20" s="809"/>
      <c r="F20" s="119" t="s">
        <v>856</v>
      </c>
      <c r="G20" s="118">
        <f>SUM(G14:G19)</f>
        <v>1008</v>
      </c>
    </row>
    <row r="21" spans="1:8" ht="14.25" thickTop="1" thickBot="1">
      <c r="A21" s="95"/>
      <c r="B21" s="830"/>
      <c r="C21" s="830"/>
      <c r="D21" s="830"/>
      <c r="E21" s="830"/>
      <c r="F21" s="830"/>
      <c r="G21" s="830"/>
    </row>
    <row r="22" spans="1:8" ht="13.5" thickTop="1">
      <c r="A22" s="95"/>
      <c r="B22" s="811" t="s">
        <v>311</v>
      </c>
      <c r="C22" s="812"/>
      <c r="D22" s="812"/>
      <c r="E22" s="812"/>
      <c r="F22" s="812"/>
      <c r="G22" s="825"/>
    </row>
    <row r="23" spans="1:8">
      <c r="A23" s="95"/>
      <c r="B23" s="817" t="s">
        <v>838</v>
      </c>
      <c r="C23" s="818"/>
      <c r="D23" s="98" t="s">
        <v>842</v>
      </c>
      <c r="E23" s="98" t="s">
        <v>853</v>
      </c>
      <c r="F23" s="99" t="s">
        <v>1047</v>
      </c>
      <c r="G23" s="107" t="s">
        <v>840</v>
      </c>
    </row>
    <row r="24" spans="1:8">
      <c r="A24" s="95"/>
      <c r="B24" s="115"/>
      <c r="C24" s="102"/>
      <c r="D24" s="100"/>
      <c r="E24" s="100" t="s">
        <v>312</v>
      </c>
      <c r="F24" s="101" t="s">
        <v>313</v>
      </c>
      <c r="G24" s="108" t="s">
        <v>314</v>
      </c>
    </row>
    <row r="25" spans="1:8">
      <c r="A25" s="125"/>
      <c r="B25" s="841" t="str">
        <f>MATERIALES2!C407</f>
        <v>CANALETA 43 DE 3.50 M</v>
      </c>
      <c r="C25" s="842"/>
      <c r="D25" s="87" t="s">
        <v>865</v>
      </c>
      <c r="E25" s="81">
        <v>0.7</v>
      </c>
      <c r="F25" s="80">
        <f>MATERIALES2!E407</f>
        <v>49248</v>
      </c>
      <c r="G25" s="110">
        <f>ROUND(E25*F25,0)</f>
        <v>34474</v>
      </c>
    </row>
    <row r="26" spans="1:8">
      <c r="A26" s="123"/>
      <c r="B26" s="854" t="str">
        <f>MATERIALES2!C427</f>
        <v>TORNILLO FIJACION CANALETA 43 MADERA</v>
      </c>
      <c r="C26" s="855"/>
      <c r="D26" s="37" t="s">
        <v>865</v>
      </c>
      <c r="E26" s="83">
        <v>1.41</v>
      </c>
      <c r="F26" s="82">
        <f>MATERIALES2!E427</f>
        <v>838</v>
      </c>
      <c r="G26" s="111">
        <f>ROUND(E26*F26,0)</f>
        <v>1182</v>
      </c>
    </row>
    <row r="27" spans="1:8">
      <c r="A27" s="95"/>
      <c r="B27" s="854" t="str">
        <f>MATERIALES2!C306</f>
        <v>JUNTAS (IGAS GRIS)</v>
      </c>
      <c r="C27" s="855"/>
      <c r="D27" s="37" t="s">
        <v>925</v>
      </c>
      <c r="E27" s="53">
        <v>0.17</v>
      </c>
      <c r="F27" s="82">
        <f>MATERIALES2!E306</f>
        <v>7800</v>
      </c>
      <c r="G27" s="111">
        <f>ROUND(E27*F27,0)</f>
        <v>1326</v>
      </c>
    </row>
    <row r="28" spans="1:8">
      <c r="A28" s="95"/>
      <c r="B28" s="854" t="str">
        <f>MATERIALES2!C429</f>
        <v>TORNILLO DE ALA CANALETA 43</v>
      </c>
      <c r="C28" s="855"/>
      <c r="D28" s="37" t="s">
        <v>865</v>
      </c>
      <c r="E28" s="83">
        <v>2.1</v>
      </c>
      <c r="F28" s="82">
        <f>MATERIALES2!E429</f>
        <v>625</v>
      </c>
      <c r="G28" s="111">
        <f>ROUND(E28*F28,0)</f>
        <v>1313</v>
      </c>
    </row>
    <row r="29" spans="1:8">
      <c r="A29" s="95"/>
      <c r="B29" s="854"/>
      <c r="C29" s="855"/>
      <c r="D29" s="37"/>
      <c r="E29" s="53"/>
      <c r="F29" s="82"/>
      <c r="G29" s="111"/>
    </row>
    <row r="30" spans="1:8">
      <c r="A30" s="95"/>
      <c r="B30" s="854"/>
      <c r="C30" s="855"/>
      <c r="D30" s="37"/>
      <c r="E30" s="53"/>
      <c r="F30" s="82"/>
      <c r="G30" s="111"/>
    </row>
    <row r="31" spans="1:8">
      <c r="A31" s="95"/>
      <c r="B31" s="854"/>
      <c r="C31" s="855"/>
      <c r="D31" s="37"/>
      <c r="E31" s="53"/>
      <c r="F31" s="82"/>
      <c r="G31" s="111"/>
    </row>
    <row r="32" spans="1:8">
      <c r="A32" s="95"/>
      <c r="B32" s="938" t="s">
        <v>841</v>
      </c>
      <c r="C32" s="939"/>
      <c r="D32" s="53" t="s">
        <v>841</v>
      </c>
      <c r="E32" s="53"/>
      <c r="F32" s="82"/>
      <c r="G32" s="111"/>
      <c r="H32" s="505" t="s">
        <v>1670</v>
      </c>
    </row>
    <row r="33" spans="1:7" ht="13.5" thickBot="1">
      <c r="A33" s="95"/>
      <c r="B33" s="839" t="s">
        <v>841</v>
      </c>
      <c r="C33" s="840"/>
      <c r="D33" s="84" t="s">
        <v>841</v>
      </c>
      <c r="E33" s="84"/>
      <c r="F33" s="85"/>
      <c r="G33" s="112"/>
    </row>
    <row r="34" spans="1:7" ht="13.5" thickTop="1">
      <c r="A34" s="95"/>
      <c r="B34" s="808"/>
      <c r="C34" s="809"/>
      <c r="D34" s="801" t="s">
        <v>856</v>
      </c>
      <c r="E34" s="802"/>
      <c r="F34" s="9"/>
      <c r="G34" s="113">
        <f>SUM(G25:G33)</f>
        <v>38295</v>
      </c>
    </row>
    <row r="35" spans="1:7">
      <c r="A35" s="95"/>
      <c r="B35" s="819"/>
      <c r="C35" s="820"/>
      <c r="D35" s="801" t="s">
        <v>857</v>
      </c>
      <c r="E35" s="802"/>
      <c r="F35" s="79">
        <f>'MANO DE OBRA'!D60</f>
        <v>0.05</v>
      </c>
      <c r="G35" s="113">
        <f>ROUND(G34*F35,0)</f>
        <v>1915</v>
      </c>
    </row>
    <row r="36" spans="1:7" ht="13.5" thickBot="1">
      <c r="A36" s="95"/>
      <c r="B36" s="819"/>
      <c r="C36" s="820"/>
      <c r="D36" s="803" t="s">
        <v>320</v>
      </c>
      <c r="E36" s="804"/>
      <c r="F36" s="114"/>
      <c r="G36" s="118">
        <f>+G34+G35</f>
        <v>40210</v>
      </c>
    </row>
    <row r="37" spans="1:7" ht="14.25" thickTop="1" thickBot="1">
      <c r="A37" s="95"/>
      <c r="B37" s="830"/>
      <c r="C37" s="830"/>
      <c r="D37" s="830"/>
      <c r="E37" s="830"/>
      <c r="F37" s="830"/>
      <c r="G37" s="830"/>
    </row>
    <row r="38" spans="1:7" ht="13.5" thickTop="1">
      <c r="A38" s="95"/>
      <c r="B38" s="811" t="s">
        <v>858</v>
      </c>
      <c r="C38" s="812"/>
      <c r="D38" s="812"/>
      <c r="E38" s="812"/>
      <c r="F38" s="812"/>
      <c r="G38" s="825"/>
    </row>
    <row r="39" spans="1:7">
      <c r="A39" s="95"/>
      <c r="B39" s="817"/>
      <c r="C39" s="818"/>
      <c r="D39" s="98" t="s">
        <v>301</v>
      </c>
      <c r="E39" s="98" t="s">
        <v>859</v>
      </c>
      <c r="F39" s="99" t="s">
        <v>839</v>
      </c>
      <c r="G39" s="107" t="s">
        <v>840</v>
      </c>
    </row>
    <row r="40" spans="1:7">
      <c r="A40" s="95"/>
      <c r="B40" s="821" t="s">
        <v>838</v>
      </c>
      <c r="C40" s="822"/>
      <c r="D40" s="100" t="s">
        <v>316</v>
      </c>
      <c r="E40" s="100" t="s">
        <v>315</v>
      </c>
      <c r="F40" s="101" t="s">
        <v>306</v>
      </c>
      <c r="G40" s="108" t="s">
        <v>319</v>
      </c>
    </row>
    <row r="41" spans="1:7">
      <c r="A41" s="95"/>
      <c r="B41" s="115"/>
      <c r="C41" s="102"/>
      <c r="D41" s="103"/>
      <c r="E41" s="103" t="s">
        <v>317</v>
      </c>
      <c r="F41" s="104" t="s">
        <v>318</v>
      </c>
      <c r="G41" s="109"/>
    </row>
    <row r="42" spans="1:7">
      <c r="A42" s="95"/>
      <c r="B42" s="823" t="str">
        <f>'MANO DE OBRA'!B10</f>
        <v>AYUDANTE CUAD. TIPO AA</v>
      </c>
      <c r="C42" s="824"/>
      <c r="D42" s="87">
        <v>1</v>
      </c>
      <c r="E42" s="80">
        <f>'MANO DE OBRA'!E10</f>
        <v>34680</v>
      </c>
      <c r="F42" s="81">
        <v>9.64</v>
      </c>
      <c r="G42" s="110">
        <f>ROUND(D42*E42/F42,0)</f>
        <v>3598</v>
      </c>
    </row>
    <row r="43" spans="1:7">
      <c r="A43" s="95"/>
      <c r="B43" s="835" t="str">
        <f>'MANO DE OBRA'!B15</f>
        <v xml:space="preserve">OFICIAL CUAD. TIPO AA </v>
      </c>
      <c r="C43" s="836"/>
      <c r="D43" s="37">
        <v>1</v>
      </c>
      <c r="E43" s="82">
        <f>'MANO DE OBRA'!E15</f>
        <v>71474</v>
      </c>
      <c r="F43" s="83">
        <v>9.64</v>
      </c>
      <c r="G43" s="111">
        <f>ROUND(D43*E43/F43,0)</f>
        <v>7414</v>
      </c>
    </row>
    <row r="44" spans="1:7">
      <c r="A44" s="95"/>
      <c r="B44" s="835"/>
      <c r="C44" s="836"/>
      <c r="D44" s="89"/>
      <c r="E44" s="82"/>
      <c r="F44" s="83"/>
      <c r="G44" s="111"/>
    </row>
    <row r="45" spans="1:7">
      <c r="A45" s="95"/>
      <c r="B45" s="835" t="s">
        <v>841</v>
      </c>
      <c r="C45" s="836"/>
      <c r="D45" s="37"/>
      <c r="E45" s="82"/>
      <c r="F45" s="83"/>
      <c r="G45" s="111"/>
    </row>
    <row r="46" spans="1:7" ht="13.5" thickBot="1">
      <c r="A46" s="95"/>
      <c r="B46" s="828" t="s">
        <v>841</v>
      </c>
      <c r="C46" s="829"/>
      <c r="D46" s="77"/>
      <c r="E46" s="82"/>
      <c r="F46" s="86"/>
      <c r="G46" s="112"/>
    </row>
    <row r="47" spans="1:7" ht="14.25" thickTop="1" thickBot="1">
      <c r="A47" s="95"/>
      <c r="B47" s="808"/>
      <c r="C47" s="808"/>
      <c r="D47" s="808"/>
      <c r="E47" s="809"/>
      <c r="F47" s="120" t="s">
        <v>856</v>
      </c>
      <c r="G47" s="118">
        <f>SUM(G42:G46)</f>
        <v>11012</v>
      </c>
    </row>
    <row r="48" spans="1:7" ht="14.25" thickTop="1" thickBot="1">
      <c r="A48" s="95"/>
      <c r="B48" s="810"/>
      <c r="C48" s="810"/>
      <c r="D48" s="810"/>
      <c r="E48" s="810"/>
      <c r="F48" s="810"/>
      <c r="G48" s="810"/>
    </row>
    <row r="49" spans="1:8" ht="13.5" thickTop="1">
      <c r="A49" s="95"/>
      <c r="B49" s="811" t="s">
        <v>321</v>
      </c>
      <c r="C49" s="812"/>
      <c r="D49" s="812"/>
      <c r="E49" s="812"/>
      <c r="F49" s="812"/>
      <c r="G49" s="825"/>
    </row>
    <row r="50" spans="1:8">
      <c r="A50" s="95"/>
      <c r="B50" s="817" t="s">
        <v>838</v>
      </c>
      <c r="C50" s="818"/>
      <c r="D50" s="98" t="s">
        <v>301</v>
      </c>
      <c r="E50" s="98" t="s">
        <v>297</v>
      </c>
      <c r="F50" s="99" t="s">
        <v>839</v>
      </c>
      <c r="G50" s="107" t="s">
        <v>840</v>
      </c>
    </row>
    <row r="51" spans="1:8">
      <c r="A51" s="95"/>
      <c r="B51" s="115"/>
      <c r="C51" s="102"/>
      <c r="D51" s="103" t="s">
        <v>322</v>
      </c>
      <c r="E51" s="103" t="s">
        <v>323</v>
      </c>
      <c r="F51" s="104" t="s">
        <v>324</v>
      </c>
      <c r="G51" s="109" t="s">
        <v>325</v>
      </c>
    </row>
    <row r="52" spans="1:8">
      <c r="A52" s="95"/>
      <c r="B52" s="826"/>
      <c r="C52" s="827"/>
      <c r="D52" s="96"/>
      <c r="E52" s="96"/>
      <c r="F52" s="96"/>
      <c r="G52" s="116"/>
    </row>
    <row r="53" spans="1:8" ht="13.5" thickBot="1">
      <c r="A53" s="95"/>
      <c r="B53" s="828" t="s">
        <v>841</v>
      </c>
      <c r="C53" s="829"/>
      <c r="D53" s="77"/>
      <c r="E53" s="82"/>
      <c r="F53" s="86"/>
      <c r="G53" s="112"/>
    </row>
    <row r="54" spans="1:8" ht="14.25" thickTop="1" thickBot="1">
      <c r="A54" s="95"/>
      <c r="B54" s="808"/>
      <c r="C54" s="808"/>
      <c r="D54" s="808"/>
      <c r="E54" s="809"/>
      <c r="F54" s="120" t="s">
        <v>856</v>
      </c>
      <c r="G54" s="118">
        <f>SUM(G49:G53)</f>
        <v>0</v>
      </c>
    </row>
    <row r="55" spans="1:8" ht="14.25" thickTop="1" thickBot="1">
      <c r="A55" s="95"/>
      <c r="B55" s="810"/>
      <c r="C55" s="810"/>
      <c r="D55" s="810"/>
      <c r="E55" s="810"/>
      <c r="F55" s="810"/>
      <c r="G55" s="834"/>
    </row>
    <row r="56" spans="1:8" ht="13.5" thickTop="1">
      <c r="A56" s="95"/>
      <c r="B56" s="811" t="s">
        <v>326</v>
      </c>
      <c r="C56" s="812"/>
      <c r="D56" s="812"/>
      <c r="E56" s="812"/>
      <c r="F56" s="813"/>
      <c r="G56" s="121">
        <f>+G20+G36+G47</f>
        <v>52230</v>
      </c>
    </row>
    <row r="57" spans="1:8">
      <c r="A57" s="95"/>
      <c r="B57" s="814" t="s">
        <v>861</v>
      </c>
      <c r="C57" s="815"/>
      <c r="D57" s="815"/>
      <c r="E57" s="816"/>
      <c r="F57" s="128">
        <f>'MANO DE OBRA'!D59</f>
        <v>0</v>
      </c>
      <c r="G57" s="122">
        <f>ROUND(G56*F57,0)</f>
        <v>0</v>
      </c>
    </row>
    <row r="58" spans="1:8" ht="13.5" thickBot="1">
      <c r="A58" s="95"/>
      <c r="B58" s="805" t="s">
        <v>1049</v>
      </c>
      <c r="C58" s="806"/>
      <c r="D58" s="806"/>
      <c r="E58" s="806"/>
      <c r="F58" s="807"/>
      <c r="G58" s="118">
        <f>ROUND(G56+G57,-2)</f>
        <v>52200</v>
      </c>
      <c r="H58" s="505" t="s">
        <v>1670</v>
      </c>
    </row>
    <row r="59" spans="1:8" ht="15" thickTop="1">
      <c r="A59" s="95"/>
      <c r="B59" s="90" t="s">
        <v>303</v>
      </c>
      <c r="C59" s="843"/>
      <c r="D59" s="843"/>
      <c r="E59" s="843"/>
      <c r="F59" s="92" t="s">
        <v>781</v>
      </c>
      <c r="G59" s="93" t="s">
        <v>1067</v>
      </c>
    </row>
    <row r="60" spans="1:8">
      <c r="A60" s="95"/>
      <c r="B60" s="91" t="s">
        <v>834</v>
      </c>
      <c r="C60" s="844" t="s">
        <v>1408</v>
      </c>
      <c r="D60" s="844"/>
      <c r="E60" s="844"/>
      <c r="F60" s="15" t="s">
        <v>833</v>
      </c>
      <c r="G60" s="165" t="str">
        <f>'MANO DE OBRA'!D61</f>
        <v>Agosto de 2010</v>
      </c>
    </row>
    <row r="61" spans="1:8" ht="13.5" thickBot="1">
      <c r="A61" s="127"/>
      <c r="B61" s="94" t="s">
        <v>835</v>
      </c>
      <c r="C61" s="845" t="s">
        <v>467</v>
      </c>
      <c r="D61" s="845"/>
      <c r="E61" s="845"/>
      <c r="F61" s="845"/>
      <c r="G61" s="846"/>
    </row>
    <row r="62" spans="1:8" ht="14.25" thickTop="1" thickBot="1">
      <c r="A62" s="95"/>
      <c r="B62" s="847"/>
      <c r="C62" s="847"/>
      <c r="D62" s="847"/>
      <c r="E62" s="847"/>
      <c r="F62" s="847"/>
      <c r="G62" s="847"/>
    </row>
    <row r="63" spans="1:8" ht="13.5" thickTop="1">
      <c r="A63" s="95"/>
      <c r="B63" s="811" t="s">
        <v>304</v>
      </c>
      <c r="C63" s="812"/>
      <c r="D63" s="812"/>
      <c r="E63" s="812"/>
      <c r="F63" s="812"/>
      <c r="G63" s="825"/>
    </row>
    <row r="64" spans="1:8">
      <c r="A64" s="95"/>
      <c r="B64" s="105"/>
      <c r="C64" s="97"/>
      <c r="D64" s="98" t="s">
        <v>301</v>
      </c>
      <c r="E64" s="98" t="s">
        <v>1072</v>
      </c>
      <c r="F64" s="99" t="s">
        <v>839</v>
      </c>
      <c r="G64" s="107" t="s">
        <v>840</v>
      </c>
    </row>
    <row r="65" spans="1:7">
      <c r="A65" s="95"/>
      <c r="B65" s="821" t="s">
        <v>838</v>
      </c>
      <c r="C65" s="822"/>
      <c r="D65" s="100" t="s">
        <v>308</v>
      </c>
      <c r="E65" s="100" t="s">
        <v>305</v>
      </c>
      <c r="F65" s="101" t="s">
        <v>306</v>
      </c>
      <c r="G65" s="108" t="s">
        <v>310</v>
      </c>
    </row>
    <row r="66" spans="1:7">
      <c r="A66" s="95"/>
      <c r="B66" s="115"/>
      <c r="C66" s="102"/>
      <c r="D66" s="103"/>
      <c r="E66" s="103" t="s">
        <v>309</v>
      </c>
      <c r="F66" s="104" t="s">
        <v>307</v>
      </c>
      <c r="G66" s="109"/>
    </row>
    <row r="67" spans="1:7">
      <c r="A67" s="127"/>
      <c r="B67" s="823" t="str">
        <f>'MAQUINARIA Y EQUIPOS'!C28</f>
        <v>HERRAMIENTAS MENORES</v>
      </c>
      <c r="C67" s="824"/>
      <c r="D67" s="87">
        <v>1</v>
      </c>
      <c r="E67" s="82">
        <f>ROUND(G100*0.05,0)</f>
        <v>551</v>
      </c>
      <c r="F67" s="81">
        <v>1</v>
      </c>
      <c r="G67" s="110">
        <f>ROUND(D67*E67/F67,0)</f>
        <v>551</v>
      </c>
    </row>
    <row r="68" spans="1:7">
      <c r="A68" s="95"/>
      <c r="B68" s="835" t="str">
        <f>'MAQUINARIA Y EQUIPOS'!C9</f>
        <v>ANDAMIO TUBULAR 1.50 m</v>
      </c>
      <c r="C68" s="836"/>
      <c r="D68" s="37">
        <v>4</v>
      </c>
      <c r="E68" s="129">
        <f>'MAQUINARIA Y EQUIPOS'!D9</f>
        <v>754</v>
      </c>
      <c r="F68" s="83">
        <v>9.64</v>
      </c>
      <c r="G68" s="111">
        <f>ROUND(D68*E68/F68,0)</f>
        <v>313</v>
      </c>
    </row>
    <row r="69" spans="1:7">
      <c r="A69" s="95"/>
      <c r="B69" s="835" t="str">
        <f>'MAQUINARIA Y EQUIPOS'!C47</f>
        <v>TABLONES 3m</v>
      </c>
      <c r="C69" s="836"/>
      <c r="D69" s="37">
        <v>4</v>
      </c>
      <c r="E69" s="129">
        <f>'MAQUINARIA Y EQUIPOS'!D47</f>
        <v>348</v>
      </c>
      <c r="F69" s="83">
        <v>9.64</v>
      </c>
      <c r="G69" s="111">
        <f>ROUND(D69*E69/F69,0)</f>
        <v>144</v>
      </c>
    </row>
    <row r="70" spans="1:7">
      <c r="A70" s="95"/>
      <c r="B70" s="835"/>
      <c r="C70" s="836"/>
      <c r="D70" s="89"/>
      <c r="E70" s="82"/>
      <c r="F70" s="83"/>
      <c r="G70" s="111"/>
    </row>
    <row r="71" spans="1:7">
      <c r="A71" s="95"/>
      <c r="B71" s="835" t="s">
        <v>841</v>
      </c>
      <c r="C71" s="836"/>
      <c r="D71" s="37"/>
      <c r="E71" s="82"/>
      <c r="F71" s="83"/>
      <c r="G71" s="111"/>
    </row>
    <row r="72" spans="1:7" ht="13.5" thickBot="1">
      <c r="A72" s="95"/>
      <c r="B72" s="839" t="s">
        <v>841</v>
      </c>
      <c r="C72" s="840"/>
      <c r="D72" s="77"/>
      <c r="E72" s="106"/>
      <c r="F72" s="86"/>
      <c r="G72" s="112"/>
    </row>
    <row r="73" spans="1:7" ht="14.25" thickTop="1" thickBot="1">
      <c r="A73" s="95"/>
      <c r="B73" s="808"/>
      <c r="C73" s="808"/>
      <c r="D73" s="808"/>
      <c r="E73" s="809"/>
      <c r="F73" s="119" t="s">
        <v>856</v>
      </c>
      <c r="G73" s="118">
        <f>SUM(G67:G72)</f>
        <v>1008</v>
      </c>
    </row>
    <row r="74" spans="1:7" ht="14.25" thickTop="1" thickBot="1">
      <c r="A74" s="95"/>
      <c r="B74" s="830"/>
      <c r="C74" s="830"/>
      <c r="D74" s="830"/>
      <c r="E74" s="830"/>
      <c r="F74" s="830"/>
      <c r="G74" s="830"/>
    </row>
    <row r="75" spans="1:7" ht="13.5" thickTop="1">
      <c r="A75" s="95"/>
      <c r="B75" s="811" t="s">
        <v>311</v>
      </c>
      <c r="C75" s="812"/>
      <c r="D75" s="812"/>
      <c r="E75" s="812"/>
      <c r="F75" s="812"/>
      <c r="G75" s="825"/>
    </row>
    <row r="76" spans="1:7">
      <c r="A76" s="95"/>
      <c r="B76" s="817" t="s">
        <v>838</v>
      </c>
      <c r="C76" s="818"/>
      <c r="D76" s="98" t="s">
        <v>842</v>
      </c>
      <c r="E76" s="98" t="s">
        <v>853</v>
      </c>
      <c r="F76" s="99" t="s">
        <v>1047</v>
      </c>
      <c r="G76" s="107" t="s">
        <v>840</v>
      </c>
    </row>
    <row r="77" spans="1:7">
      <c r="A77" s="95"/>
      <c r="B77" s="115"/>
      <c r="C77" s="102"/>
      <c r="D77" s="100"/>
      <c r="E77" s="100" t="s">
        <v>312</v>
      </c>
      <c r="F77" s="101" t="s">
        <v>313</v>
      </c>
      <c r="G77" s="108" t="s">
        <v>314</v>
      </c>
    </row>
    <row r="78" spans="1:7">
      <c r="A78" s="125"/>
      <c r="B78" s="841" t="str">
        <f>MATERIALES2!C408</f>
        <v>CANALETA 43 DE 4.00 M</v>
      </c>
      <c r="C78" s="842"/>
      <c r="D78" s="87" t="s">
        <v>865</v>
      </c>
      <c r="E78" s="81">
        <v>0.61</v>
      </c>
      <c r="F78" s="80">
        <f>MATERIALES2!E408</f>
        <v>58084</v>
      </c>
      <c r="G78" s="110">
        <f>ROUND(E78*F78,0)</f>
        <v>35431</v>
      </c>
    </row>
    <row r="79" spans="1:7">
      <c r="A79" s="123"/>
      <c r="B79" s="854" t="str">
        <f>MATERIALES2!C427</f>
        <v>TORNILLO FIJACION CANALETA 43 MADERA</v>
      </c>
      <c r="C79" s="855"/>
      <c r="D79" s="37" t="s">
        <v>865</v>
      </c>
      <c r="E79" s="83">
        <v>1.22</v>
      </c>
      <c r="F79" s="82">
        <f>MATERIALES2!E427</f>
        <v>838</v>
      </c>
      <c r="G79" s="111">
        <f>ROUND(E79*F79,0)</f>
        <v>1022</v>
      </c>
    </row>
    <row r="80" spans="1:7">
      <c r="A80" s="95"/>
      <c r="B80" s="854" t="str">
        <f>MATERIALES2!C306</f>
        <v>JUNTAS (IGAS GRIS)</v>
      </c>
      <c r="C80" s="855"/>
      <c r="D80" s="37" t="s">
        <v>925</v>
      </c>
      <c r="E80" s="53">
        <v>0.17</v>
      </c>
      <c r="F80" s="82">
        <f>MATERIALES2!E306</f>
        <v>7800</v>
      </c>
      <c r="G80" s="111">
        <f>ROUND(E80*F80,0)</f>
        <v>1326</v>
      </c>
    </row>
    <row r="81" spans="1:8">
      <c r="A81" s="95"/>
      <c r="B81" s="854" t="str">
        <f>MATERIALES2!C429</f>
        <v>TORNILLO DE ALA CANALETA 43</v>
      </c>
      <c r="C81" s="855"/>
      <c r="D81" s="37" t="s">
        <v>865</v>
      </c>
      <c r="E81" s="83">
        <v>1.83</v>
      </c>
      <c r="F81" s="82">
        <f>MATERIALES2!E429</f>
        <v>625</v>
      </c>
      <c r="G81" s="111">
        <f>ROUND(E81*F81,0)</f>
        <v>1144</v>
      </c>
    </row>
    <row r="82" spans="1:8">
      <c r="A82" s="95"/>
      <c r="B82" s="854"/>
      <c r="C82" s="855"/>
      <c r="D82" s="37"/>
      <c r="E82" s="53"/>
      <c r="F82" s="82"/>
      <c r="G82" s="111"/>
    </row>
    <row r="83" spans="1:8">
      <c r="A83" s="95"/>
      <c r="B83" s="854"/>
      <c r="C83" s="855"/>
      <c r="D83" s="37"/>
      <c r="E83" s="53"/>
      <c r="F83" s="82"/>
      <c r="G83" s="111"/>
    </row>
    <row r="84" spans="1:8">
      <c r="A84" s="95"/>
      <c r="B84" s="854"/>
      <c r="C84" s="855"/>
      <c r="D84" s="37"/>
      <c r="E84" s="53"/>
      <c r="F84" s="82"/>
      <c r="G84" s="111"/>
    </row>
    <row r="85" spans="1:8">
      <c r="A85" s="95"/>
      <c r="B85" s="938" t="s">
        <v>841</v>
      </c>
      <c r="C85" s="939"/>
      <c r="D85" s="53" t="s">
        <v>841</v>
      </c>
      <c r="E85" s="53"/>
      <c r="F85" s="82"/>
      <c r="G85" s="111"/>
      <c r="H85" s="505" t="s">
        <v>1670</v>
      </c>
    </row>
    <row r="86" spans="1:8" ht="13.5" thickBot="1">
      <c r="A86" s="95"/>
      <c r="B86" s="942" t="s">
        <v>841</v>
      </c>
      <c r="C86" s="943"/>
      <c r="D86" s="84" t="s">
        <v>841</v>
      </c>
      <c r="E86" s="84"/>
      <c r="F86" s="85"/>
      <c r="G86" s="112"/>
    </row>
    <row r="87" spans="1:8" ht="13.5" thickTop="1">
      <c r="A87" s="95"/>
      <c r="B87" s="808"/>
      <c r="C87" s="809"/>
      <c r="D87" s="801" t="s">
        <v>856</v>
      </c>
      <c r="E87" s="802"/>
      <c r="F87" s="9"/>
      <c r="G87" s="113">
        <f>SUM(G78:G86)</f>
        <v>38923</v>
      </c>
    </row>
    <row r="88" spans="1:8">
      <c r="A88" s="95"/>
      <c r="B88" s="819"/>
      <c r="C88" s="820"/>
      <c r="D88" s="801" t="s">
        <v>857</v>
      </c>
      <c r="E88" s="802"/>
      <c r="F88" s="79">
        <f>'MANO DE OBRA'!D60</f>
        <v>0.05</v>
      </c>
      <c r="G88" s="113">
        <f>ROUND(G87*F88,0)</f>
        <v>1946</v>
      </c>
    </row>
    <row r="89" spans="1:8" ht="13.5" thickBot="1">
      <c r="A89" s="95"/>
      <c r="B89" s="819"/>
      <c r="C89" s="820"/>
      <c r="D89" s="803" t="s">
        <v>320</v>
      </c>
      <c r="E89" s="804"/>
      <c r="F89" s="114"/>
      <c r="G89" s="118">
        <f>+G87+G88</f>
        <v>40869</v>
      </c>
    </row>
    <row r="90" spans="1:8" ht="14.25" thickTop="1" thickBot="1">
      <c r="A90" s="95"/>
      <c r="B90" s="830"/>
      <c r="C90" s="830"/>
      <c r="D90" s="830"/>
      <c r="E90" s="830"/>
      <c r="F90" s="830"/>
      <c r="G90" s="830"/>
    </row>
    <row r="91" spans="1:8" ht="13.5" thickTop="1">
      <c r="A91" s="95"/>
      <c r="B91" s="811" t="s">
        <v>858</v>
      </c>
      <c r="C91" s="812"/>
      <c r="D91" s="812"/>
      <c r="E91" s="812"/>
      <c r="F91" s="812"/>
      <c r="G91" s="825"/>
    </row>
    <row r="92" spans="1:8">
      <c r="A92" s="95"/>
      <c r="B92" s="817"/>
      <c r="C92" s="818"/>
      <c r="D92" s="98" t="s">
        <v>301</v>
      </c>
      <c r="E92" s="98" t="s">
        <v>859</v>
      </c>
      <c r="F92" s="99" t="s">
        <v>839</v>
      </c>
      <c r="G92" s="107" t="s">
        <v>840</v>
      </c>
    </row>
    <row r="93" spans="1:8">
      <c r="A93" s="95"/>
      <c r="B93" s="821" t="s">
        <v>838</v>
      </c>
      <c r="C93" s="822"/>
      <c r="D93" s="100" t="s">
        <v>316</v>
      </c>
      <c r="E93" s="100" t="s">
        <v>315</v>
      </c>
      <c r="F93" s="101" t="s">
        <v>306</v>
      </c>
      <c r="G93" s="108" t="s">
        <v>319</v>
      </c>
    </row>
    <row r="94" spans="1:8">
      <c r="A94" s="95"/>
      <c r="B94" s="115"/>
      <c r="C94" s="102"/>
      <c r="D94" s="103"/>
      <c r="E94" s="103" t="s">
        <v>317</v>
      </c>
      <c r="F94" s="104" t="s">
        <v>318</v>
      </c>
      <c r="G94" s="109"/>
    </row>
    <row r="95" spans="1:8">
      <c r="A95" s="95"/>
      <c r="B95" s="823" t="str">
        <f>'MANO DE OBRA'!B10</f>
        <v>AYUDANTE CUAD. TIPO AA</v>
      </c>
      <c r="C95" s="824"/>
      <c r="D95" s="87">
        <v>1</v>
      </c>
      <c r="E95" s="80">
        <f>'MANO DE OBRA'!E10</f>
        <v>34680</v>
      </c>
      <c r="F95" s="81">
        <v>9.64</v>
      </c>
      <c r="G95" s="110">
        <f>ROUND(D95*E95/F95,0)</f>
        <v>3598</v>
      </c>
    </row>
    <row r="96" spans="1:8">
      <c r="A96" s="95"/>
      <c r="B96" s="835" t="str">
        <f>'MANO DE OBRA'!B15</f>
        <v xml:space="preserve">OFICIAL CUAD. TIPO AA </v>
      </c>
      <c r="C96" s="836"/>
      <c r="D96" s="37">
        <v>1</v>
      </c>
      <c r="E96" s="82">
        <f>'MANO DE OBRA'!E15</f>
        <v>71474</v>
      </c>
      <c r="F96" s="83">
        <v>9.64</v>
      </c>
      <c r="G96" s="111">
        <f>ROUND(D96*E96/F96,0)</f>
        <v>7414</v>
      </c>
    </row>
    <row r="97" spans="1:8">
      <c r="A97" s="95"/>
      <c r="B97" s="835"/>
      <c r="C97" s="836"/>
      <c r="D97" s="89"/>
      <c r="E97" s="82"/>
      <c r="F97" s="83"/>
      <c r="G97" s="111"/>
    </row>
    <row r="98" spans="1:8">
      <c r="A98" s="95"/>
      <c r="B98" s="835" t="s">
        <v>841</v>
      </c>
      <c r="C98" s="836"/>
      <c r="D98" s="37"/>
      <c r="E98" s="82"/>
      <c r="F98" s="83"/>
      <c r="G98" s="111"/>
    </row>
    <row r="99" spans="1:8" ht="13.5" thickBot="1">
      <c r="A99" s="95"/>
      <c r="B99" s="828" t="s">
        <v>841</v>
      </c>
      <c r="C99" s="829"/>
      <c r="D99" s="77"/>
      <c r="E99" s="82"/>
      <c r="F99" s="86"/>
      <c r="G99" s="112"/>
    </row>
    <row r="100" spans="1:8" ht="14.25" thickTop="1" thickBot="1">
      <c r="A100" s="95"/>
      <c r="B100" s="808"/>
      <c r="C100" s="808"/>
      <c r="D100" s="808"/>
      <c r="E100" s="809"/>
      <c r="F100" s="120" t="s">
        <v>856</v>
      </c>
      <c r="G100" s="118">
        <f>SUM(G95:G99)</f>
        <v>11012</v>
      </c>
    </row>
    <row r="101" spans="1:8" ht="14.25" thickTop="1" thickBot="1">
      <c r="A101" s="95"/>
      <c r="B101" s="810"/>
      <c r="C101" s="810"/>
      <c r="D101" s="810"/>
      <c r="E101" s="810"/>
      <c r="F101" s="810"/>
      <c r="G101" s="810"/>
    </row>
    <row r="102" spans="1:8" ht="13.5" thickTop="1">
      <c r="A102" s="95"/>
      <c r="B102" s="811" t="s">
        <v>321</v>
      </c>
      <c r="C102" s="812"/>
      <c r="D102" s="812"/>
      <c r="E102" s="812"/>
      <c r="F102" s="812"/>
      <c r="G102" s="825"/>
    </row>
    <row r="103" spans="1:8">
      <c r="A103" s="95"/>
      <c r="B103" s="817" t="s">
        <v>838</v>
      </c>
      <c r="C103" s="818"/>
      <c r="D103" s="98" t="s">
        <v>301</v>
      </c>
      <c r="E103" s="98" t="s">
        <v>297</v>
      </c>
      <c r="F103" s="99" t="s">
        <v>839</v>
      </c>
      <c r="G103" s="107" t="s">
        <v>840</v>
      </c>
    </row>
    <row r="104" spans="1:8">
      <c r="A104" s="95"/>
      <c r="B104" s="115"/>
      <c r="C104" s="102"/>
      <c r="D104" s="103" t="s">
        <v>322</v>
      </c>
      <c r="E104" s="103" t="s">
        <v>323</v>
      </c>
      <c r="F104" s="104" t="s">
        <v>324</v>
      </c>
      <c r="G104" s="109" t="s">
        <v>325</v>
      </c>
    </row>
    <row r="105" spans="1:8">
      <c r="A105" s="95"/>
      <c r="B105" s="826"/>
      <c r="C105" s="827"/>
      <c r="D105" s="96"/>
      <c r="E105" s="96"/>
      <c r="F105" s="96"/>
      <c r="G105" s="116"/>
    </row>
    <row r="106" spans="1:8" ht="13.5" thickBot="1">
      <c r="A106" s="95"/>
      <c r="B106" s="828" t="s">
        <v>841</v>
      </c>
      <c r="C106" s="829"/>
      <c r="D106" s="77"/>
      <c r="E106" s="82"/>
      <c r="F106" s="86"/>
      <c r="G106" s="112"/>
    </row>
    <row r="107" spans="1:8" ht="14.25" thickTop="1" thickBot="1">
      <c r="A107" s="95"/>
      <c r="B107" s="808"/>
      <c r="C107" s="808"/>
      <c r="D107" s="808"/>
      <c r="E107" s="809"/>
      <c r="F107" s="120" t="s">
        <v>856</v>
      </c>
      <c r="G107" s="118">
        <f>SUM(G102:G106)</f>
        <v>0</v>
      </c>
    </row>
    <row r="108" spans="1:8" ht="14.25" thickTop="1" thickBot="1">
      <c r="A108" s="95"/>
      <c r="B108" s="810"/>
      <c r="C108" s="810"/>
      <c r="D108" s="810"/>
      <c r="E108" s="810"/>
      <c r="F108" s="810"/>
      <c r="G108" s="834"/>
    </row>
    <row r="109" spans="1:8" ht="13.5" thickTop="1">
      <c r="A109" s="95"/>
      <c r="B109" s="811" t="s">
        <v>326</v>
      </c>
      <c r="C109" s="812"/>
      <c r="D109" s="812"/>
      <c r="E109" s="812"/>
      <c r="F109" s="813"/>
      <c r="G109" s="121">
        <f>+G73+G89+G100</f>
        <v>52889</v>
      </c>
    </row>
    <row r="110" spans="1:8">
      <c r="A110" s="95"/>
      <c r="B110" s="814" t="s">
        <v>861</v>
      </c>
      <c r="C110" s="815"/>
      <c r="D110" s="815"/>
      <c r="E110" s="816"/>
      <c r="F110" s="128">
        <f>'MANO DE OBRA'!D59</f>
        <v>0</v>
      </c>
      <c r="G110" s="122">
        <f>ROUND(G109*F110,0)</f>
        <v>0</v>
      </c>
    </row>
    <row r="111" spans="1:8" ht="13.5" thickBot="1">
      <c r="A111" s="95"/>
      <c r="B111" s="805" t="s">
        <v>1049</v>
      </c>
      <c r="C111" s="806"/>
      <c r="D111" s="806"/>
      <c r="E111" s="806"/>
      <c r="F111" s="807"/>
      <c r="G111" s="118">
        <f>ROUND(G109+G110,-2)</f>
        <v>52900</v>
      </c>
      <c r="H111" s="505" t="s">
        <v>1670</v>
      </c>
    </row>
    <row r="112" spans="1:8" ht="15" thickTop="1">
      <c r="A112" s="95"/>
      <c r="B112" s="90" t="s">
        <v>303</v>
      </c>
      <c r="C112" s="843"/>
      <c r="D112" s="843"/>
      <c r="E112" s="843"/>
      <c r="F112" s="92" t="s">
        <v>781</v>
      </c>
      <c r="G112" s="93" t="s">
        <v>1067</v>
      </c>
    </row>
    <row r="113" spans="1:7">
      <c r="A113" s="95"/>
      <c r="B113" s="91" t="s">
        <v>834</v>
      </c>
      <c r="C113" s="844" t="s">
        <v>1408</v>
      </c>
      <c r="D113" s="844"/>
      <c r="E113" s="844"/>
      <c r="F113" s="15" t="s">
        <v>833</v>
      </c>
      <c r="G113" s="165" t="str">
        <f>'MANO DE OBRA'!D61</f>
        <v>Agosto de 2010</v>
      </c>
    </row>
    <row r="114" spans="1:7" ht="13.5" thickBot="1">
      <c r="A114" s="127"/>
      <c r="B114" s="94" t="s">
        <v>835</v>
      </c>
      <c r="C114" s="845" t="s">
        <v>468</v>
      </c>
      <c r="D114" s="845"/>
      <c r="E114" s="845"/>
      <c r="F114" s="845"/>
      <c r="G114" s="846"/>
    </row>
    <row r="115" spans="1:7" ht="14.25" thickTop="1" thickBot="1">
      <c r="A115" s="95"/>
      <c r="B115" s="847"/>
      <c r="C115" s="847"/>
      <c r="D115" s="847"/>
      <c r="E115" s="847"/>
      <c r="F115" s="847"/>
      <c r="G115" s="847"/>
    </row>
    <row r="116" spans="1:7" ht="13.5" thickTop="1">
      <c r="A116" s="95"/>
      <c r="B116" s="811" t="s">
        <v>304</v>
      </c>
      <c r="C116" s="812"/>
      <c r="D116" s="812"/>
      <c r="E116" s="812"/>
      <c r="F116" s="812"/>
      <c r="G116" s="825"/>
    </row>
    <row r="117" spans="1:7">
      <c r="A117" s="95"/>
      <c r="B117" s="105"/>
      <c r="C117" s="97"/>
      <c r="D117" s="98" t="s">
        <v>301</v>
      </c>
      <c r="E117" s="98" t="s">
        <v>1072</v>
      </c>
      <c r="F117" s="99" t="s">
        <v>839</v>
      </c>
      <c r="G117" s="107" t="s">
        <v>840</v>
      </c>
    </row>
    <row r="118" spans="1:7">
      <c r="A118" s="95"/>
      <c r="B118" s="821" t="s">
        <v>838</v>
      </c>
      <c r="C118" s="822"/>
      <c r="D118" s="100" t="s">
        <v>308</v>
      </c>
      <c r="E118" s="100" t="s">
        <v>305</v>
      </c>
      <c r="F118" s="101" t="s">
        <v>306</v>
      </c>
      <c r="G118" s="108" t="s">
        <v>310</v>
      </c>
    </row>
    <row r="119" spans="1:7">
      <c r="A119" s="95"/>
      <c r="B119" s="115"/>
      <c r="C119" s="102"/>
      <c r="D119" s="103"/>
      <c r="E119" s="103" t="s">
        <v>309</v>
      </c>
      <c r="F119" s="104" t="s">
        <v>307</v>
      </c>
      <c r="G119" s="109"/>
    </row>
    <row r="120" spans="1:7">
      <c r="A120" s="127"/>
      <c r="B120" s="823" t="str">
        <f>'MAQUINARIA Y EQUIPOS'!C28</f>
        <v>HERRAMIENTAS MENORES</v>
      </c>
      <c r="C120" s="824"/>
      <c r="D120" s="87">
        <v>1</v>
      </c>
      <c r="E120" s="82">
        <f>ROUND(G153*0.05,0)</f>
        <v>551</v>
      </c>
      <c r="F120" s="81">
        <v>1</v>
      </c>
      <c r="G120" s="110">
        <f>ROUND(D120*E120/F120,0)</f>
        <v>551</v>
      </c>
    </row>
    <row r="121" spans="1:7">
      <c r="A121" s="95"/>
      <c r="B121" s="835" t="str">
        <f>'MAQUINARIA Y EQUIPOS'!C9</f>
        <v>ANDAMIO TUBULAR 1.50 m</v>
      </c>
      <c r="C121" s="836"/>
      <c r="D121" s="37">
        <v>4</v>
      </c>
      <c r="E121" s="129">
        <f>'MAQUINARIA Y EQUIPOS'!D9</f>
        <v>754</v>
      </c>
      <c r="F121" s="83">
        <v>9.64</v>
      </c>
      <c r="G121" s="111">
        <f>ROUND(D121*E121/F121,0)</f>
        <v>313</v>
      </c>
    </row>
    <row r="122" spans="1:7">
      <c r="A122" s="95"/>
      <c r="B122" s="835" t="str">
        <f>'MAQUINARIA Y EQUIPOS'!C47</f>
        <v>TABLONES 3m</v>
      </c>
      <c r="C122" s="836"/>
      <c r="D122" s="37">
        <v>4</v>
      </c>
      <c r="E122" s="129">
        <f>'MAQUINARIA Y EQUIPOS'!D47</f>
        <v>348</v>
      </c>
      <c r="F122" s="83">
        <v>9.64</v>
      </c>
      <c r="G122" s="111">
        <f>ROUND(D122*E122/F122,0)</f>
        <v>144</v>
      </c>
    </row>
    <row r="123" spans="1:7">
      <c r="A123" s="95"/>
      <c r="B123" s="835"/>
      <c r="C123" s="836"/>
      <c r="D123" s="89"/>
      <c r="E123" s="82"/>
      <c r="F123" s="83"/>
      <c r="G123" s="111"/>
    </row>
    <row r="124" spans="1:7">
      <c r="A124" s="95"/>
      <c r="B124" s="835" t="s">
        <v>841</v>
      </c>
      <c r="C124" s="836"/>
      <c r="D124" s="37"/>
      <c r="E124" s="82"/>
      <c r="F124" s="83"/>
      <c r="G124" s="111"/>
    </row>
    <row r="125" spans="1:7" ht="13.5" thickBot="1">
      <c r="A125" s="95"/>
      <c r="B125" s="839" t="s">
        <v>841</v>
      </c>
      <c r="C125" s="840"/>
      <c r="D125" s="77"/>
      <c r="E125" s="106"/>
      <c r="F125" s="86"/>
      <c r="G125" s="112"/>
    </row>
    <row r="126" spans="1:7" ht="14.25" thickTop="1" thickBot="1">
      <c r="A126" s="95"/>
      <c r="B126" s="808"/>
      <c r="C126" s="808"/>
      <c r="D126" s="808"/>
      <c r="E126" s="809"/>
      <c r="F126" s="119" t="s">
        <v>856</v>
      </c>
      <c r="G126" s="118">
        <f>SUM(G120:G125)</f>
        <v>1008</v>
      </c>
    </row>
    <row r="127" spans="1:7" ht="14.25" thickTop="1" thickBot="1">
      <c r="A127" s="95"/>
      <c r="B127" s="830"/>
      <c r="C127" s="830"/>
      <c r="D127" s="830"/>
      <c r="E127" s="830"/>
      <c r="F127" s="830"/>
      <c r="G127" s="830"/>
    </row>
    <row r="128" spans="1:7" ht="13.5" thickTop="1">
      <c r="A128" s="95"/>
      <c r="B128" s="811" t="s">
        <v>311</v>
      </c>
      <c r="C128" s="812"/>
      <c r="D128" s="812"/>
      <c r="E128" s="812"/>
      <c r="F128" s="812"/>
      <c r="G128" s="825"/>
    </row>
    <row r="129" spans="1:8">
      <c r="A129" s="95"/>
      <c r="B129" s="817" t="s">
        <v>838</v>
      </c>
      <c r="C129" s="818"/>
      <c r="D129" s="98" t="s">
        <v>842</v>
      </c>
      <c r="E129" s="98" t="s">
        <v>853</v>
      </c>
      <c r="F129" s="99" t="s">
        <v>1047</v>
      </c>
      <c r="G129" s="107" t="s">
        <v>840</v>
      </c>
    </row>
    <row r="130" spans="1:8">
      <c r="A130" s="95"/>
      <c r="B130" s="115"/>
      <c r="C130" s="102"/>
      <c r="D130" s="100"/>
      <c r="E130" s="100" t="s">
        <v>312</v>
      </c>
      <c r="F130" s="101" t="s">
        <v>313</v>
      </c>
      <c r="G130" s="108" t="s">
        <v>314</v>
      </c>
    </row>
    <row r="131" spans="1:8">
      <c r="A131" s="125"/>
      <c r="B131" s="841" t="str">
        <f>MATERIALES2!C409</f>
        <v>CANALETA 43 DE 4.50 M</v>
      </c>
      <c r="C131" s="842"/>
      <c r="D131" s="87" t="s">
        <v>865</v>
      </c>
      <c r="E131" s="81">
        <v>0.54</v>
      </c>
      <c r="F131" s="80">
        <f>MATERIALES2!E409</f>
        <v>61466</v>
      </c>
      <c r="G131" s="110">
        <f>ROUND(E131*F131,0)</f>
        <v>33192</v>
      </c>
    </row>
    <row r="132" spans="1:8">
      <c r="A132" s="123"/>
      <c r="B132" s="854" t="str">
        <f>MATERIALES2!C427</f>
        <v>TORNILLO FIJACION CANALETA 43 MADERA</v>
      </c>
      <c r="C132" s="855"/>
      <c r="D132" s="37" t="s">
        <v>865</v>
      </c>
      <c r="E132" s="83">
        <v>1.08</v>
      </c>
      <c r="F132" s="82">
        <f>MATERIALES2!E427</f>
        <v>838</v>
      </c>
      <c r="G132" s="111">
        <f>ROUND(E132*F132,0)</f>
        <v>905</v>
      </c>
    </row>
    <row r="133" spans="1:8">
      <c r="A133" s="95"/>
      <c r="B133" s="854" t="str">
        <f>MATERIALES2!C306</f>
        <v>JUNTAS (IGAS GRIS)</v>
      </c>
      <c r="C133" s="855"/>
      <c r="D133" s="37" t="s">
        <v>925</v>
      </c>
      <c r="E133" s="53">
        <v>0.17</v>
      </c>
      <c r="F133" s="82">
        <f>MATERIALES2!E306</f>
        <v>7800</v>
      </c>
      <c r="G133" s="111">
        <f>ROUND(E133*F133,0)</f>
        <v>1326</v>
      </c>
    </row>
    <row r="134" spans="1:8">
      <c r="A134" s="95"/>
      <c r="B134" s="854" t="str">
        <f>MATERIALES2!C429</f>
        <v>TORNILLO DE ALA CANALETA 43</v>
      </c>
      <c r="C134" s="855"/>
      <c r="D134" s="37" t="s">
        <v>865</v>
      </c>
      <c r="E134" s="83">
        <v>1.62</v>
      </c>
      <c r="F134" s="82">
        <f>MATERIALES2!E429</f>
        <v>625</v>
      </c>
      <c r="G134" s="111">
        <f>ROUND(E134*F134,0)</f>
        <v>1013</v>
      </c>
    </row>
    <row r="135" spans="1:8">
      <c r="A135" s="95"/>
      <c r="B135" s="854"/>
      <c r="C135" s="855"/>
      <c r="D135" s="37"/>
      <c r="E135" s="53"/>
      <c r="F135" s="82"/>
      <c r="G135" s="111"/>
    </row>
    <row r="136" spans="1:8">
      <c r="A136" s="95"/>
      <c r="B136" s="854"/>
      <c r="C136" s="855"/>
      <c r="D136" s="37"/>
      <c r="E136" s="53"/>
      <c r="F136" s="82"/>
      <c r="G136" s="111"/>
    </row>
    <row r="137" spans="1:8">
      <c r="A137" s="95"/>
      <c r="B137" s="854"/>
      <c r="C137" s="855"/>
      <c r="D137" s="37"/>
      <c r="E137" s="53"/>
      <c r="F137" s="82"/>
      <c r="G137" s="111"/>
    </row>
    <row r="138" spans="1:8">
      <c r="A138" s="95"/>
      <c r="B138" s="938" t="s">
        <v>841</v>
      </c>
      <c r="C138" s="939"/>
      <c r="D138" s="53" t="s">
        <v>841</v>
      </c>
      <c r="E138" s="53"/>
      <c r="F138" s="82"/>
      <c r="G138" s="111"/>
      <c r="H138" s="505" t="s">
        <v>1670</v>
      </c>
    </row>
    <row r="139" spans="1:8" ht="13.5" thickBot="1">
      <c r="A139" s="95"/>
      <c r="B139" s="942" t="s">
        <v>841</v>
      </c>
      <c r="C139" s="943"/>
      <c r="D139" s="84" t="s">
        <v>841</v>
      </c>
      <c r="E139" s="84"/>
      <c r="F139" s="85"/>
      <c r="G139" s="112"/>
    </row>
    <row r="140" spans="1:8" ht="13.5" thickTop="1">
      <c r="A140" s="95"/>
      <c r="B140" s="808"/>
      <c r="C140" s="809"/>
      <c r="D140" s="801" t="s">
        <v>856</v>
      </c>
      <c r="E140" s="802"/>
      <c r="F140" s="9"/>
      <c r="G140" s="113">
        <f>SUM(G131:G139)</f>
        <v>36436</v>
      </c>
    </row>
    <row r="141" spans="1:8">
      <c r="A141" s="95"/>
      <c r="B141" s="819"/>
      <c r="C141" s="820"/>
      <c r="D141" s="801" t="s">
        <v>857</v>
      </c>
      <c r="E141" s="802"/>
      <c r="F141" s="79">
        <f>'MANO DE OBRA'!D60</f>
        <v>0.05</v>
      </c>
      <c r="G141" s="113">
        <f>ROUND(G140*F141,0)</f>
        <v>1822</v>
      </c>
    </row>
    <row r="142" spans="1:8" ht="13.5" thickBot="1">
      <c r="A142" s="95"/>
      <c r="B142" s="819"/>
      <c r="C142" s="820"/>
      <c r="D142" s="803" t="s">
        <v>320</v>
      </c>
      <c r="E142" s="804"/>
      <c r="F142" s="114"/>
      <c r="G142" s="118">
        <f>+G140+G141</f>
        <v>38258</v>
      </c>
    </row>
    <row r="143" spans="1:8" ht="14.25" thickTop="1" thickBot="1">
      <c r="A143" s="95"/>
      <c r="B143" s="830"/>
      <c r="C143" s="830"/>
      <c r="D143" s="830"/>
      <c r="E143" s="830"/>
      <c r="F143" s="830"/>
      <c r="G143" s="830"/>
    </row>
    <row r="144" spans="1:8" ht="13.5" thickTop="1">
      <c r="A144" s="95"/>
      <c r="B144" s="811" t="s">
        <v>858</v>
      </c>
      <c r="C144" s="812"/>
      <c r="D144" s="812"/>
      <c r="E144" s="812"/>
      <c r="F144" s="812"/>
      <c r="G144" s="825"/>
    </row>
    <row r="145" spans="1:7">
      <c r="A145" s="95"/>
      <c r="B145" s="817"/>
      <c r="C145" s="818"/>
      <c r="D145" s="98" t="s">
        <v>301</v>
      </c>
      <c r="E145" s="98" t="s">
        <v>859</v>
      </c>
      <c r="F145" s="99" t="s">
        <v>839</v>
      </c>
      <c r="G145" s="107" t="s">
        <v>840</v>
      </c>
    </row>
    <row r="146" spans="1:7">
      <c r="A146" s="95"/>
      <c r="B146" s="821" t="s">
        <v>838</v>
      </c>
      <c r="C146" s="822"/>
      <c r="D146" s="100" t="s">
        <v>316</v>
      </c>
      <c r="E146" s="100" t="s">
        <v>315</v>
      </c>
      <c r="F146" s="101" t="s">
        <v>306</v>
      </c>
      <c r="G146" s="108" t="s">
        <v>319</v>
      </c>
    </row>
    <row r="147" spans="1:7">
      <c r="A147" s="95"/>
      <c r="B147" s="115"/>
      <c r="C147" s="102"/>
      <c r="D147" s="103"/>
      <c r="E147" s="103" t="s">
        <v>317</v>
      </c>
      <c r="F147" s="104" t="s">
        <v>318</v>
      </c>
      <c r="G147" s="109"/>
    </row>
    <row r="148" spans="1:7">
      <c r="A148" s="95"/>
      <c r="B148" s="823" t="str">
        <f>'MANO DE OBRA'!B10</f>
        <v>AYUDANTE CUAD. TIPO AA</v>
      </c>
      <c r="C148" s="824"/>
      <c r="D148" s="87">
        <v>1</v>
      </c>
      <c r="E148" s="80">
        <f>'MANO DE OBRA'!E10</f>
        <v>34680</v>
      </c>
      <c r="F148" s="81">
        <v>9.64</v>
      </c>
      <c r="G148" s="110">
        <f>ROUND(D148*E148/F148,0)</f>
        <v>3598</v>
      </c>
    </row>
    <row r="149" spans="1:7">
      <c r="A149" s="95"/>
      <c r="B149" s="835" t="str">
        <f>'MANO DE OBRA'!B15</f>
        <v xml:space="preserve">OFICIAL CUAD. TIPO AA </v>
      </c>
      <c r="C149" s="836"/>
      <c r="D149" s="37">
        <v>1</v>
      </c>
      <c r="E149" s="82">
        <f>'MANO DE OBRA'!E15</f>
        <v>71474</v>
      </c>
      <c r="F149" s="83">
        <v>9.64</v>
      </c>
      <c r="G149" s="111">
        <f>ROUND(D149*E149/F149,0)</f>
        <v>7414</v>
      </c>
    </row>
    <row r="150" spans="1:7">
      <c r="A150" s="95"/>
      <c r="B150" s="835"/>
      <c r="C150" s="836"/>
      <c r="D150" s="89"/>
      <c r="E150" s="82"/>
      <c r="F150" s="83"/>
      <c r="G150" s="111"/>
    </row>
    <row r="151" spans="1:7">
      <c r="A151" s="95"/>
      <c r="B151" s="835" t="s">
        <v>841</v>
      </c>
      <c r="C151" s="836"/>
      <c r="D151" s="37"/>
      <c r="E151" s="82"/>
      <c r="F151" s="83"/>
      <c r="G151" s="111"/>
    </row>
    <row r="152" spans="1:7" ht="13.5" thickBot="1">
      <c r="A152" s="95"/>
      <c r="B152" s="828" t="s">
        <v>841</v>
      </c>
      <c r="C152" s="829"/>
      <c r="D152" s="77"/>
      <c r="E152" s="82"/>
      <c r="F152" s="86"/>
      <c r="G152" s="112"/>
    </row>
    <row r="153" spans="1:7" ht="14.25" thickTop="1" thickBot="1">
      <c r="A153" s="95"/>
      <c r="B153" s="808"/>
      <c r="C153" s="808"/>
      <c r="D153" s="808"/>
      <c r="E153" s="809"/>
      <c r="F153" s="120" t="s">
        <v>856</v>
      </c>
      <c r="G153" s="118">
        <f>SUM(G148:G152)</f>
        <v>11012</v>
      </c>
    </row>
    <row r="154" spans="1:7" ht="14.25" thickTop="1" thickBot="1">
      <c r="A154" s="95"/>
      <c r="B154" s="810"/>
      <c r="C154" s="810"/>
      <c r="D154" s="810"/>
      <c r="E154" s="810"/>
      <c r="F154" s="810"/>
      <c r="G154" s="810"/>
    </row>
    <row r="155" spans="1:7" ht="13.5" thickTop="1">
      <c r="A155" s="95"/>
      <c r="B155" s="811" t="s">
        <v>321</v>
      </c>
      <c r="C155" s="812"/>
      <c r="D155" s="812"/>
      <c r="E155" s="812"/>
      <c r="F155" s="812"/>
      <c r="G155" s="825"/>
    </row>
    <row r="156" spans="1:7">
      <c r="A156" s="95"/>
      <c r="B156" s="817" t="s">
        <v>838</v>
      </c>
      <c r="C156" s="818"/>
      <c r="D156" s="98" t="s">
        <v>301</v>
      </c>
      <c r="E156" s="98" t="s">
        <v>297</v>
      </c>
      <c r="F156" s="99" t="s">
        <v>839</v>
      </c>
      <c r="G156" s="107" t="s">
        <v>840</v>
      </c>
    </row>
    <row r="157" spans="1:7">
      <c r="A157" s="95"/>
      <c r="B157" s="115"/>
      <c r="C157" s="102"/>
      <c r="D157" s="103" t="s">
        <v>322</v>
      </c>
      <c r="E157" s="103" t="s">
        <v>323</v>
      </c>
      <c r="F157" s="104" t="s">
        <v>324</v>
      </c>
      <c r="G157" s="109" t="s">
        <v>325</v>
      </c>
    </row>
    <row r="158" spans="1:7">
      <c r="A158" s="95"/>
      <c r="B158" s="826"/>
      <c r="C158" s="827"/>
      <c r="D158" s="96"/>
      <c r="E158" s="96"/>
      <c r="F158" s="96"/>
      <c r="G158" s="116"/>
    </row>
    <row r="159" spans="1:7" ht="13.5" thickBot="1">
      <c r="A159" s="95"/>
      <c r="B159" s="828" t="s">
        <v>841</v>
      </c>
      <c r="C159" s="829"/>
      <c r="D159" s="77"/>
      <c r="E159" s="82"/>
      <c r="F159" s="86"/>
      <c r="G159" s="112"/>
    </row>
    <row r="160" spans="1:7" ht="14.25" thickTop="1" thickBot="1">
      <c r="A160" s="95"/>
      <c r="B160" s="808"/>
      <c r="C160" s="808"/>
      <c r="D160" s="808"/>
      <c r="E160" s="809"/>
      <c r="F160" s="120" t="s">
        <v>856</v>
      </c>
      <c r="G160" s="118">
        <f>SUM(G155:G159)</f>
        <v>0</v>
      </c>
    </row>
    <row r="161" spans="1:8" ht="14.25" thickTop="1" thickBot="1">
      <c r="A161" s="95"/>
      <c r="B161" s="810"/>
      <c r="C161" s="810"/>
      <c r="D161" s="810"/>
      <c r="E161" s="810"/>
      <c r="F161" s="810"/>
      <c r="G161" s="834"/>
    </row>
    <row r="162" spans="1:8" ht="13.5" thickTop="1">
      <c r="A162" s="95"/>
      <c r="B162" s="811" t="s">
        <v>326</v>
      </c>
      <c r="C162" s="812"/>
      <c r="D162" s="812"/>
      <c r="E162" s="812"/>
      <c r="F162" s="813"/>
      <c r="G162" s="121">
        <f>+G126+G142+G153</f>
        <v>50278</v>
      </c>
    </row>
    <row r="163" spans="1:8">
      <c r="A163" s="95"/>
      <c r="B163" s="814" t="s">
        <v>861</v>
      </c>
      <c r="C163" s="815"/>
      <c r="D163" s="815"/>
      <c r="E163" s="816"/>
      <c r="F163" s="128">
        <f>'MANO DE OBRA'!D59</f>
        <v>0</v>
      </c>
      <c r="G163" s="122">
        <f>ROUND(G162*F163,0)</f>
        <v>0</v>
      </c>
    </row>
    <row r="164" spans="1:8" ht="13.5" thickBot="1">
      <c r="A164" s="95"/>
      <c r="B164" s="805" t="s">
        <v>1049</v>
      </c>
      <c r="C164" s="806"/>
      <c r="D164" s="806"/>
      <c r="E164" s="806"/>
      <c r="F164" s="807"/>
      <c r="G164" s="118">
        <f>ROUND(G162+G163,-2)</f>
        <v>50300</v>
      </c>
      <c r="H164" s="505" t="s">
        <v>1670</v>
      </c>
    </row>
    <row r="165" spans="1:8" ht="15" thickTop="1">
      <c r="A165" s="95"/>
      <c r="B165" s="90" t="s">
        <v>303</v>
      </c>
      <c r="C165" s="843"/>
      <c r="D165" s="843"/>
      <c r="E165" s="843"/>
      <c r="F165" s="92" t="s">
        <v>781</v>
      </c>
      <c r="G165" s="93" t="s">
        <v>1067</v>
      </c>
    </row>
    <row r="166" spans="1:8">
      <c r="A166" s="95"/>
      <c r="B166" s="91" t="s">
        <v>834</v>
      </c>
      <c r="C166" s="844" t="s">
        <v>1408</v>
      </c>
      <c r="D166" s="844"/>
      <c r="E166" s="844"/>
      <c r="F166" s="15" t="s">
        <v>833</v>
      </c>
      <c r="G166" s="165" t="str">
        <f>'MANO DE OBRA'!D61</f>
        <v>Agosto de 2010</v>
      </c>
    </row>
    <row r="167" spans="1:8" ht="13.5" thickBot="1">
      <c r="A167" s="127"/>
      <c r="B167" s="94" t="s">
        <v>835</v>
      </c>
      <c r="C167" s="845" t="s">
        <v>469</v>
      </c>
      <c r="D167" s="845"/>
      <c r="E167" s="845"/>
      <c r="F167" s="845"/>
      <c r="G167" s="846"/>
    </row>
    <row r="168" spans="1:8" ht="14.25" thickTop="1" thickBot="1">
      <c r="A168" s="95"/>
      <c r="B168" s="847"/>
      <c r="C168" s="847"/>
      <c r="D168" s="847"/>
      <c r="E168" s="847"/>
      <c r="F168" s="847"/>
      <c r="G168" s="847"/>
    </row>
    <row r="169" spans="1:8" ht="13.5" thickTop="1">
      <c r="A169" s="95"/>
      <c r="B169" s="811" t="s">
        <v>304</v>
      </c>
      <c r="C169" s="812"/>
      <c r="D169" s="812"/>
      <c r="E169" s="812"/>
      <c r="F169" s="812"/>
      <c r="G169" s="825"/>
    </row>
    <row r="170" spans="1:8">
      <c r="A170" s="95"/>
      <c r="B170" s="105"/>
      <c r="C170" s="97"/>
      <c r="D170" s="98" t="s">
        <v>301</v>
      </c>
      <c r="E170" s="98" t="s">
        <v>1072</v>
      </c>
      <c r="F170" s="99" t="s">
        <v>839</v>
      </c>
      <c r="G170" s="107" t="s">
        <v>840</v>
      </c>
    </row>
    <row r="171" spans="1:8">
      <c r="A171" s="95"/>
      <c r="B171" s="821" t="s">
        <v>838</v>
      </c>
      <c r="C171" s="822"/>
      <c r="D171" s="100" t="s">
        <v>308</v>
      </c>
      <c r="E171" s="100" t="s">
        <v>305</v>
      </c>
      <c r="F171" s="101" t="s">
        <v>306</v>
      </c>
      <c r="G171" s="108" t="s">
        <v>310</v>
      </c>
    </row>
    <row r="172" spans="1:8">
      <c r="A172" s="95"/>
      <c r="B172" s="115"/>
      <c r="C172" s="102"/>
      <c r="D172" s="103"/>
      <c r="E172" s="103" t="s">
        <v>309</v>
      </c>
      <c r="F172" s="104" t="s">
        <v>307</v>
      </c>
      <c r="G172" s="109"/>
    </row>
    <row r="173" spans="1:8">
      <c r="A173" s="127"/>
      <c r="B173" s="823" t="str">
        <f>'MAQUINARIA Y EQUIPOS'!C28</f>
        <v>HERRAMIENTAS MENORES</v>
      </c>
      <c r="C173" s="824"/>
      <c r="D173" s="87">
        <v>1</v>
      </c>
      <c r="E173" s="82">
        <f>ROUND(G206*0.05,0)</f>
        <v>597</v>
      </c>
      <c r="F173" s="81">
        <v>1</v>
      </c>
      <c r="G173" s="110">
        <f>ROUND(D173*E173/F173,0)</f>
        <v>597</v>
      </c>
    </row>
    <row r="174" spans="1:8">
      <c r="A174" s="95"/>
      <c r="B174" s="835" t="str">
        <f>'MAQUINARIA Y EQUIPOS'!C9</f>
        <v>ANDAMIO TUBULAR 1.50 m</v>
      </c>
      <c r="C174" s="836"/>
      <c r="D174" s="37">
        <v>4</v>
      </c>
      <c r="E174" s="129">
        <f>'MAQUINARIA Y EQUIPOS'!D9</f>
        <v>754</v>
      </c>
      <c r="F174" s="83">
        <v>8.89</v>
      </c>
      <c r="G174" s="111">
        <f>ROUND(D174*E174/F174,0)</f>
        <v>339</v>
      </c>
    </row>
    <row r="175" spans="1:8">
      <c r="A175" s="95"/>
      <c r="B175" s="835" t="str">
        <f>'MAQUINARIA Y EQUIPOS'!C47</f>
        <v>TABLONES 3m</v>
      </c>
      <c r="C175" s="836"/>
      <c r="D175" s="37">
        <v>4</v>
      </c>
      <c r="E175" s="129">
        <f>'MAQUINARIA Y EQUIPOS'!D47</f>
        <v>348</v>
      </c>
      <c r="F175" s="83">
        <v>8.89</v>
      </c>
      <c r="G175" s="111">
        <f>ROUND(D175*E175/F175,0)</f>
        <v>157</v>
      </c>
    </row>
    <row r="176" spans="1:8">
      <c r="A176" s="95"/>
      <c r="B176" s="835"/>
      <c r="C176" s="836"/>
      <c r="D176" s="89"/>
      <c r="E176" s="82"/>
      <c r="F176" s="83"/>
      <c r="G176" s="111"/>
    </row>
    <row r="177" spans="1:8">
      <c r="A177" s="95"/>
      <c r="B177" s="835" t="s">
        <v>841</v>
      </c>
      <c r="C177" s="836"/>
      <c r="D177" s="37"/>
      <c r="E177" s="82"/>
      <c r="F177" s="83"/>
      <c r="G177" s="111"/>
    </row>
    <row r="178" spans="1:8" ht="13.5" thickBot="1">
      <c r="A178" s="95"/>
      <c r="B178" s="839" t="s">
        <v>841</v>
      </c>
      <c r="C178" s="840"/>
      <c r="D178" s="77"/>
      <c r="E178" s="106"/>
      <c r="F178" s="86"/>
      <c r="G178" s="112"/>
    </row>
    <row r="179" spans="1:8" ht="14.25" thickTop="1" thickBot="1">
      <c r="A179" s="95"/>
      <c r="B179" s="808"/>
      <c r="C179" s="808"/>
      <c r="D179" s="808"/>
      <c r="E179" s="809"/>
      <c r="F179" s="119" t="s">
        <v>856</v>
      </c>
      <c r="G179" s="118">
        <f>SUM(G173:G178)</f>
        <v>1093</v>
      </c>
    </row>
    <row r="180" spans="1:8" ht="14.25" thickTop="1" thickBot="1">
      <c r="A180" s="95"/>
      <c r="B180" s="830"/>
      <c r="C180" s="830"/>
      <c r="D180" s="830"/>
      <c r="E180" s="830"/>
      <c r="F180" s="830"/>
      <c r="G180" s="830"/>
    </row>
    <row r="181" spans="1:8" ht="13.5" thickTop="1">
      <c r="A181" s="95"/>
      <c r="B181" s="811" t="s">
        <v>311</v>
      </c>
      <c r="C181" s="812"/>
      <c r="D181" s="812"/>
      <c r="E181" s="812"/>
      <c r="F181" s="812"/>
      <c r="G181" s="825"/>
    </row>
    <row r="182" spans="1:8">
      <c r="A182" s="95"/>
      <c r="B182" s="817" t="s">
        <v>838</v>
      </c>
      <c r="C182" s="818"/>
      <c r="D182" s="98" t="s">
        <v>842</v>
      </c>
      <c r="E182" s="98" t="s">
        <v>853</v>
      </c>
      <c r="F182" s="99" t="s">
        <v>1047</v>
      </c>
      <c r="G182" s="107" t="s">
        <v>840</v>
      </c>
    </row>
    <row r="183" spans="1:8">
      <c r="A183" s="95"/>
      <c r="B183" s="115"/>
      <c r="C183" s="102"/>
      <c r="D183" s="100"/>
      <c r="E183" s="100" t="s">
        <v>312</v>
      </c>
      <c r="F183" s="101" t="s">
        <v>313</v>
      </c>
      <c r="G183" s="108" t="s">
        <v>314</v>
      </c>
    </row>
    <row r="184" spans="1:8">
      <c r="A184" s="125"/>
      <c r="B184" s="841" t="str">
        <f>MATERIALES2!C410</f>
        <v>CANALETA 43 DE 5.00 M</v>
      </c>
      <c r="C184" s="842"/>
      <c r="D184" s="87" t="s">
        <v>865</v>
      </c>
      <c r="E184" s="81">
        <v>0.48</v>
      </c>
      <c r="F184" s="80">
        <f>MATERIALES2!E410</f>
        <v>66056</v>
      </c>
      <c r="G184" s="110">
        <f>ROUND(E184*F184,0)</f>
        <v>31707</v>
      </c>
    </row>
    <row r="185" spans="1:8">
      <c r="A185" s="123"/>
      <c r="B185" s="854" t="str">
        <f>MATERIALES2!C427</f>
        <v>TORNILLO FIJACION CANALETA 43 MADERA</v>
      </c>
      <c r="C185" s="855"/>
      <c r="D185" s="37" t="s">
        <v>865</v>
      </c>
      <c r="E185" s="83">
        <v>0.96</v>
      </c>
      <c r="F185" s="82">
        <f>MATERIALES2!E427</f>
        <v>838</v>
      </c>
      <c r="G185" s="111">
        <f>ROUND(E185*F185,0)</f>
        <v>804</v>
      </c>
    </row>
    <row r="186" spans="1:8">
      <c r="A186" s="95"/>
      <c r="B186" s="854" t="str">
        <f>MATERIALES2!C306</f>
        <v>JUNTAS (IGAS GRIS)</v>
      </c>
      <c r="C186" s="855"/>
      <c r="D186" s="37" t="s">
        <v>925</v>
      </c>
      <c r="E186" s="53">
        <v>0.17</v>
      </c>
      <c r="F186" s="82">
        <f>MATERIALES2!E306</f>
        <v>7800</v>
      </c>
      <c r="G186" s="111">
        <f>ROUND(E186*F186,0)</f>
        <v>1326</v>
      </c>
    </row>
    <row r="187" spans="1:8">
      <c r="A187" s="95"/>
      <c r="B187" s="854" t="str">
        <f>MATERIALES2!C429</f>
        <v>TORNILLO DE ALA CANALETA 43</v>
      </c>
      <c r="C187" s="855"/>
      <c r="D187" s="37" t="s">
        <v>865</v>
      </c>
      <c r="E187" s="83">
        <v>1.92</v>
      </c>
      <c r="F187" s="82">
        <f>MATERIALES2!E429</f>
        <v>625</v>
      </c>
      <c r="G187" s="111">
        <f>ROUND(E187*F187,0)</f>
        <v>1200</v>
      </c>
    </row>
    <row r="188" spans="1:8">
      <c r="A188" s="95"/>
      <c r="B188" s="854"/>
      <c r="C188" s="855"/>
      <c r="D188" s="37"/>
      <c r="E188" s="53"/>
      <c r="F188" s="82"/>
      <c r="G188" s="111"/>
    </row>
    <row r="189" spans="1:8">
      <c r="A189" s="95"/>
      <c r="B189" s="854"/>
      <c r="C189" s="855"/>
      <c r="D189" s="37"/>
      <c r="E189" s="53"/>
      <c r="F189" s="82"/>
      <c r="G189" s="111"/>
    </row>
    <row r="190" spans="1:8">
      <c r="A190" s="95"/>
      <c r="B190" s="854"/>
      <c r="C190" s="855"/>
      <c r="D190" s="37"/>
      <c r="E190" s="53"/>
      <c r="F190" s="82"/>
      <c r="G190" s="111"/>
    </row>
    <row r="191" spans="1:8">
      <c r="A191" s="95"/>
      <c r="B191" s="837" t="s">
        <v>841</v>
      </c>
      <c r="C191" s="838"/>
      <c r="D191" s="53" t="s">
        <v>841</v>
      </c>
      <c r="E191" s="53"/>
      <c r="F191" s="82"/>
      <c r="G191" s="111"/>
      <c r="H191" s="505" t="s">
        <v>1670</v>
      </c>
    </row>
    <row r="192" spans="1:8" ht="13.5" thickBot="1">
      <c r="A192" s="95"/>
      <c r="B192" s="839" t="s">
        <v>841</v>
      </c>
      <c r="C192" s="840"/>
      <c r="D192" s="84" t="s">
        <v>841</v>
      </c>
      <c r="E192" s="84"/>
      <c r="F192" s="85"/>
      <c r="G192" s="112"/>
    </row>
    <row r="193" spans="1:7" ht="13.5" thickTop="1">
      <c r="A193" s="95"/>
      <c r="B193" s="808"/>
      <c r="C193" s="809"/>
      <c r="D193" s="801" t="s">
        <v>856</v>
      </c>
      <c r="E193" s="802"/>
      <c r="F193" s="9"/>
      <c r="G193" s="113">
        <f>SUM(G184:G192)</f>
        <v>35037</v>
      </c>
    </row>
    <row r="194" spans="1:7">
      <c r="A194" s="95"/>
      <c r="B194" s="819"/>
      <c r="C194" s="820"/>
      <c r="D194" s="801" t="s">
        <v>857</v>
      </c>
      <c r="E194" s="802"/>
      <c r="F194" s="79">
        <f>'MANO DE OBRA'!D60</f>
        <v>0.05</v>
      </c>
      <c r="G194" s="113">
        <f>ROUND(G193*F194,0)</f>
        <v>1752</v>
      </c>
    </row>
    <row r="195" spans="1:7" ht="13.5" thickBot="1">
      <c r="A195" s="95"/>
      <c r="B195" s="819"/>
      <c r="C195" s="820"/>
      <c r="D195" s="803" t="s">
        <v>320</v>
      </c>
      <c r="E195" s="804"/>
      <c r="F195" s="114"/>
      <c r="G195" s="118">
        <f>+G193+G194</f>
        <v>36789</v>
      </c>
    </row>
    <row r="196" spans="1:7" ht="14.25" thickTop="1" thickBot="1">
      <c r="A196" s="95"/>
      <c r="B196" s="830"/>
      <c r="C196" s="830"/>
      <c r="D196" s="830"/>
      <c r="E196" s="830"/>
      <c r="F196" s="830"/>
      <c r="G196" s="830"/>
    </row>
    <row r="197" spans="1:7" ht="13.5" thickTop="1">
      <c r="A197" s="95"/>
      <c r="B197" s="811" t="s">
        <v>858</v>
      </c>
      <c r="C197" s="812"/>
      <c r="D197" s="812"/>
      <c r="E197" s="812"/>
      <c r="F197" s="812"/>
      <c r="G197" s="825"/>
    </row>
    <row r="198" spans="1:7">
      <c r="A198" s="95"/>
      <c r="B198" s="817"/>
      <c r="C198" s="818"/>
      <c r="D198" s="98" t="s">
        <v>301</v>
      </c>
      <c r="E198" s="98" t="s">
        <v>859</v>
      </c>
      <c r="F198" s="99" t="s">
        <v>839</v>
      </c>
      <c r="G198" s="107" t="s">
        <v>840</v>
      </c>
    </row>
    <row r="199" spans="1:7">
      <c r="A199" s="95"/>
      <c r="B199" s="821" t="s">
        <v>838</v>
      </c>
      <c r="C199" s="822"/>
      <c r="D199" s="100" t="s">
        <v>316</v>
      </c>
      <c r="E199" s="100" t="s">
        <v>315</v>
      </c>
      <c r="F199" s="101" t="s">
        <v>306</v>
      </c>
      <c r="G199" s="108" t="s">
        <v>319</v>
      </c>
    </row>
    <row r="200" spans="1:7">
      <c r="A200" s="95"/>
      <c r="B200" s="115"/>
      <c r="C200" s="102"/>
      <c r="D200" s="103"/>
      <c r="E200" s="103" t="s">
        <v>317</v>
      </c>
      <c r="F200" s="104" t="s">
        <v>318</v>
      </c>
      <c r="G200" s="109"/>
    </row>
    <row r="201" spans="1:7">
      <c r="A201" s="95"/>
      <c r="B201" s="823" t="str">
        <f>'MANO DE OBRA'!B10</f>
        <v>AYUDANTE CUAD. TIPO AA</v>
      </c>
      <c r="C201" s="824"/>
      <c r="D201" s="87">
        <v>1</v>
      </c>
      <c r="E201" s="80">
        <f>'MANO DE OBRA'!E10</f>
        <v>34680</v>
      </c>
      <c r="F201" s="81">
        <v>8.89</v>
      </c>
      <c r="G201" s="110">
        <f>ROUND(D201*E201/F201,0)</f>
        <v>3901</v>
      </c>
    </row>
    <row r="202" spans="1:7">
      <c r="A202" s="95"/>
      <c r="B202" s="835" t="str">
        <f>'MANO DE OBRA'!B15</f>
        <v xml:space="preserve">OFICIAL CUAD. TIPO AA </v>
      </c>
      <c r="C202" s="836"/>
      <c r="D202" s="37">
        <v>1</v>
      </c>
      <c r="E202" s="82">
        <f>'MANO DE OBRA'!E15</f>
        <v>71474</v>
      </c>
      <c r="F202" s="83">
        <v>8.89</v>
      </c>
      <c r="G202" s="111">
        <f>ROUND(D202*E202/F202,0)</f>
        <v>8040</v>
      </c>
    </row>
    <row r="203" spans="1:7">
      <c r="A203" s="95"/>
      <c r="B203" s="835"/>
      <c r="C203" s="836"/>
      <c r="D203" s="89"/>
      <c r="E203" s="82"/>
      <c r="F203" s="83"/>
      <c r="G203" s="111"/>
    </row>
    <row r="204" spans="1:7">
      <c r="A204" s="95"/>
      <c r="B204" s="835" t="s">
        <v>841</v>
      </c>
      <c r="C204" s="836"/>
      <c r="D204" s="37"/>
      <c r="E204" s="82"/>
      <c r="F204" s="83"/>
      <c r="G204" s="111"/>
    </row>
    <row r="205" spans="1:7" ht="13.5" thickBot="1">
      <c r="A205" s="95"/>
      <c r="B205" s="828" t="s">
        <v>841</v>
      </c>
      <c r="C205" s="829"/>
      <c r="D205" s="77"/>
      <c r="E205" s="82"/>
      <c r="F205" s="86"/>
      <c r="G205" s="112"/>
    </row>
    <row r="206" spans="1:7" ht="14.25" thickTop="1" thickBot="1">
      <c r="A206" s="95"/>
      <c r="B206" s="808"/>
      <c r="C206" s="808"/>
      <c r="D206" s="808"/>
      <c r="E206" s="809"/>
      <c r="F206" s="120" t="s">
        <v>856</v>
      </c>
      <c r="G206" s="118">
        <f>SUM(G201:G205)</f>
        <v>11941</v>
      </c>
    </row>
    <row r="207" spans="1:7" ht="14.25" thickTop="1" thickBot="1">
      <c r="A207" s="95"/>
      <c r="B207" s="810"/>
      <c r="C207" s="810"/>
      <c r="D207" s="810"/>
      <c r="E207" s="810"/>
      <c r="F207" s="810"/>
      <c r="G207" s="810"/>
    </row>
    <row r="208" spans="1:7" ht="13.5" thickTop="1">
      <c r="A208" s="95"/>
      <c r="B208" s="811" t="s">
        <v>321</v>
      </c>
      <c r="C208" s="812"/>
      <c r="D208" s="812"/>
      <c r="E208" s="812"/>
      <c r="F208" s="812"/>
      <c r="G208" s="825"/>
    </row>
    <row r="209" spans="1:8">
      <c r="A209" s="95"/>
      <c r="B209" s="817" t="s">
        <v>838</v>
      </c>
      <c r="C209" s="818"/>
      <c r="D209" s="98" t="s">
        <v>301</v>
      </c>
      <c r="E209" s="98" t="s">
        <v>297</v>
      </c>
      <c r="F209" s="99" t="s">
        <v>839</v>
      </c>
      <c r="G209" s="107" t="s">
        <v>840</v>
      </c>
    </row>
    <row r="210" spans="1:8">
      <c r="A210" s="95"/>
      <c r="B210" s="115"/>
      <c r="C210" s="102"/>
      <c r="D210" s="103" t="s">
        <v>322</v>
      </c>
      <c r="E210" s="103" t="s">
        <v>323</v>
      </c>
      <c r="F210" s="104" t="s">
        <v>324</v>
      </c>
      <c r="G210" s="109" t="s">
        <v>325</v>
      </c>
    </row>
    <row r="211" spans="1:8">
      <c r="A211" s="95"/>
      <c r="B211" s="826"/>
      <c r="C211" s="827"/>
      <c r="D211" s="96"/>
      <c r="E211" s="96"/>
      <c r="F211" s="96"/>
      <c r="G211" s="116"/>
    </row>
    <row r="212" spans="1:8" ht="13.5" thickBot="1">
      <c r="A212" s="95"/>
      <c r="B212" s="828" t="s">
        <v>841</v>
      </c>
      <c r="C212" s="829"/>
      <c r="D212" s="77"/>
      <c r="E212" s="82"/>
      <c r="F212" s="86"/>
      <c r="G212" s="112"/>
    </row>
    <row r="213" spans="1:8" ht="14.25" thickTop="1" thickBot="1">
      <c r="A213" s="95"/>
      <c r="B213" s="808"/>
      <c r="C213" s="808"/>
      <c r="D213" s="808"/>
      <c r="E213" s="809"/>
      <c r="F213" s="120" t="s">
        <v>856</v>
      </c>
      <c r="G213" s="118">
        <f>SUM(G208:G212)</f>
        <v>0</v>
      </c>
    </row>
    <row r="214" spans="1:8" ht="14.25" thickTop="1" thickBot="1">
      <c r="A214" s="95"/>
      <c r="B214" s="810"/>
      <c r="C214" s="810"/>
      <c r="D214" s="810"/>
      <c r="E214" s="810"/>
      <c r="F214" s="810"/>
      <c r="G214" s="834"/>
    </row>
    <row r="215" spans="1:8" ht="13.5" thickTop="1">
      <c r="A215" s="95"/>
      <c r="B215" s="811" t="s">
        <v>326</v>
      </c>
      <c r="C215" s="812"/>
      <c r="D215" s="812"/>
      <c r="E215" s="812"/>
      <c r="F215" s="813"/>
      <c r="G215" s="121">
        <f>+G179+G195+G206</f>
        <v>49823</v>
      </c>
    </row>
    <row r="216" spans="1:8">
      <c r="A216" s="95"/>
      <c r="B216" s="814" t="s">
        <v>861</v>
      </c>
      <c r="C216" s="815"/>
      <c r="D216" s="815"/>
      <c r="E216" s="816"/>
      <c r="F216" s="128">
        <f>'MANO DE OBRA'!D59</f>
        <v>0</v>
      </c>
      <c r="G216" s="122">
        <f>ROUND(G215*F216,0)</f>
        <v>0</v>
      </c>
    </row>
    <row r="217" spans="1:8" ht="13.5" thickBot="1">
      <c r="A217" s="95"/>
      <c r="B217" s="805" t="s">
        <v>1049</v>
      </c>
      <c r="C217" s="806"/>
      <c r="D217" s="806"/>
      <c r="E217" s="806"/>
      <c r="F217" s="807"/>
      <c r="G217" s="118">
        <f>ROUND(G215+G216,-2)</f>
        <v>49800</v>
      </c>
      <c r="H217" s="505" t="s">
        <v>1670</v>
      </c>
    </row>
    <row r="218" spans="1:8" ht="15" thickTop="1">
      <c r="A218" s="95"/>
      <c r="B218" s="90" t="s">
        <v>303</v>
      </c>
      <c r="C218" s="843"/>
      <c r="D218" s="843"/>
      <c r="E218" s="843"/>
      <c r="F218" s="92" t="s">
        <v>781</v>
      </c>
      <c r="G218" s="93" t="s">
        <v>1067</v>
      </c>
    </row>
    <row r="219" spans="1:8">
      <c r="A219" s="95"/>
      <c r="B219" s="91" t="s">
        <v>834</v>
      </c>
      <c r="C219" s="844" t="s">
        <v>1408</v>
      </c>
      <c r="D219" s="844"/>
      <c r="E219" s="844"/>
      <c r="F219" s="15" t="s">
        <v>833</v>
      </c>
      <c r="G219" s="165" t="str">
        <f>'MANO DE OBRA'!D61</f>
        <v>Agosto de 2010</v>
      </c>
    </row>
    <row r="220" spans="1:8" ht="13.5" thickBot="1">
      <c r="A220" s="127"/>
      <c r="B220" s="94" t="s">
        <v>835</v>
      </c>
      <c r="C220" s="845" t="s">
        <v>485</v>
      </c>
      <c r="D220" s="845"/>
      <c r="E220" s="845"/>
      <c r="F220" s="845"/>
      <c r="G220" s="846"/>
    </row>
    <row r="221" spans="1:8" ht="14.25" thickTop="1" thickBot="1">
      <c r="A221" s="95"/>
      <c r="B221" s="847" t="s">
        <v>1409</v>
      </c>
      <c r="C221" s="847"/>
      <c r="D221" s="847"/>
      <c r="E221" s="847"/>
      <c r="F221" s="847"/>
      <c r="G221" s="847"/>
    </row>
    <row r="222" spans="1:8" ht="13.5" thickTop="1">
      <c r="A222" s="95"/>
      <c r="B222" s="811" t="s">
        <v>304</v>
      </c>
      <c r="C222" s="812"/>
      <c r="D222" s="812"/>
      <c r="E222" s="812"/>
      <c r="F222" s="812"/>
      <c r="G222" s="825"/>
    </row>
    <row r="223" spans="1:8">
      <c r="A223" s="95"/>
      <c r="B223" s="105"/>
      <c r="C223" s="97"/>
      <c r="D223" s="98" t="s">
        <v>301</v>
      </c>
      <c r="E223" s="98" t="s">
        <v>1072</v>
      </c>
      <c r="F223" s="99" t="s">
        <v>839</v>
      </c>
      <c r="G223" s="107" t="s">
        <v>840</v>
      </c>
    </row>
    <row r="224" spans="1:8">
      <c r="A224" s="95"/>
      <c r="B224" s="821" t="s">
        <v>838</v>
      </c>
      <c r="C224" s="822"/>
      <c r="D224" s="100" t="s">
        <v>308</v>
      </c>
      <c r="E224" s="100" t="s">
        <v>305</v>
      </c>
      <c r="F224" s="101" t="s">
        <v>306</v>
      </c>
      <c r="G224" s="108" t="s">
        <v>310</v>
      </c>
    </row>
    <row r="225" spans="1:7">
      <c r="A225" s="95"/>
      <c r="B225" s="115"/>
      <c r="C225" s="102"/>
      <c r="D225" s="103"/>
      <c r="E225" s="103" t="s">
        <v>309</v>
      </c>
      <c r="F225" s="104" t="s">
        <v>307</v>
      </c>
      <c r="G225" s="109"/>
    </row>
    <row r="226" spans="1:7">
      <c r="A226" s="127"/>
      <c r="B226" s="823" t="str">
        <f>'MAQUINARIA Y EQUIPOS'!C28</f>
        <v>HERRAMIENTAS MENORES</v>
      </c>
      <c r="C226" s="824"/>
      <c r="D226" s="87">
        <v>1</v>
      </c>
      <c r="E226" s="82">
        <f>ROUND(G259*0.05,0)</f>
        <v>597</v>
      </c>
      <c r="F226" s="81">
        <v>1</v>
      </c>
      <c r="G226" s="110">
        <f>ROUND(D226*E226/F226,0)</f>
        <v>597</v>
      </c>
    </row>
    <row r="227" spans="1:7">
      <c r="A227" s="95"/>
      <c r="B227" s="835" t="str">
        <f>'MAQUINARIA Y EQUIPOS'!C9</f>
        <v>ANDAMIO TUBULAR 1.50 m</v>
      </c>
      <c r="C227" s="836"/>
      <c r="D227" s="37">
        <v>4</v>
      </c>
      <c r="E227" s="129">
        <f>'MAQUINARIA Y EQUIPOS'!D9</f>
        <v>754</v>
      </c>
      <c r="F227" s="83">
        <v>8.89</v>
      </c>
      <c r="G227" s="111">
        <f>ROUND(D227*E227/F227,0)</f>
        <v>339</v>
      </c>
    </row>
    <row r="228" spans="1:7">
      <c r="A228" s="95"/>
      <c r="B228" s="835" t="str">
        <f>'MAQUINARIA Y EQUIPOS'!C47</f>
        <v>TABLONES 3m</v>
      </c>
      <c r="C228" s="836"/>
      <c r="D228" s="37">
        <v>4</v>
      </c>
      <c r="E228" s="129">
        <f>'MAQUINARIA Y EQUIPOS'!D47</f>
        <v>348</v>
      </c>
      <c r="F228" s="83">
        <v>8.89</v>
      </c>
      <c r="G228" s="111">
        <f>ROUND(D228*E228/F228,0)</f>
        <v>157</v>
      </c>
    </row>
    <row r="229" spans="1:7">
      <c r="A229" s="95"/>
      <c r="B229" s="835"/>
      <c r="C229" s="836"/>
      <c r="D229" s="89"/>
      <c r="E229" s="82"/>
      <c r="F229" s="83"/>
      <c r="G229" s="111"/>
    </row>
    <row r="230" spans="1:7">
      <c r="A230" s="95"/>
      <c r="B230" s="835" t="s">
        <v>841</v>
      </c>
      <c r="C230" s="836"/>
      <c r="D230" s="37"/>
      <c r="E230" s="82"/>
      <c r="F230" s="83"/>
      <c r="G230" s="111"/>
    </row>
    <row r="231" spans="1:7" ht="13.5" thickBot="1">
      <c r="A231" s="95"/>
      <c r="B231" s="839" t="s">
        <v>841</v>
      </c>
      <c r="C231" s="840"/>
      <c r="D231" s="77"/>
      <c r="E231" s="106"/>
      <c r="F231" s="86"/>
      <c r="G231" s="112"/>
    </row>
    <row r="232" spans="1:7" ht="14.25" thickTop="1" thickBot="1">
      <c r="A232" s="95"/>
      <c r="B232" s="808"/>
      <c r="C232" s="808"/>
      <c r="D232" s="808"/>
      <c r="E232" s="809"/>
      <c r="F232" s="119" t="s">
        <v>856</v>
      </c>
      <c r="G232" s="118">
        <f>SUM(G226:G231)</f>
        <v>1093</v>
      </c>
    </row>
    <row r="233" spans="1:7" ht="14.25" thickTop="1" thickBot="1">
      <c r="A233" s="95"/>
      <c r="B233" s="830"/>
      <c r="C233" s="830"/>
      <c r="D233" s="830"/>
      <c r="E233" s="830"/>
      <c r="F233" s="830"/>
      <c r="G233" s="830"/>
    </row>
    <row r="234" spans="1:7" ht="13.5" thickTop="1">
      <c r="A234" s="95"/>
      <c r="B234" s="811" t="s">
        <v>311</v>
      </c>
      <c r="C234" s="812"/>
      <c r="D234" s="812"/>
      <c r="E234" s="812"/>
      <c r="F234" s="812"/>
      <c r="G234" s="825"/>
    </row>
    <row r="235" spans="1:7">
      <c r="A235" s="95"/>
      <c r="B235" s="817" t="s">
        <v>838</v>
      </c>
      <c r="C235" s="818"/>
      <c r="D235" s="98" t="s">
        <v>842</v>
      </c>
      <c r="E235" s="98" t="s">
        <v>853</v>
      </c>
      <c r="F235" s="99" t="s">
        <v>1047</v>
      </c>
      <c r="G235" s="107" t="s">
        <v>840</v>
      </c>
    </row>
    <row r="236" spans="1:7">
      <c r="A236" s="95"/>
      <c r="B236" s="115"/>
      <c r="C236" s="102"/>
      <c r="D236" s="100"/>
      <c r="E236" s="100" t="s">
        <v>312</v>
      </c>
      <c r="F236" s="101" t="s">
        <v>313</v>
      </c>
      <c r="G236" s="108" t="s">
        <v>314</v>
      </c>
    </row>
    <row r="237" spans="1:7">
      <c r="A237" s="125"/>
      <c r="B237" s="841" t="str">
        <f>MATERIALES2!C411</f>
        <v>CANALETA 43 DE 5.50 M</v>
      </c>
      <c r="C237" s="842"/>
      <c r="D237" s="87" t="s">
        <v>865</v>
      </c>
      <c r="E237" s="81">
        <v>0.44</v>
      </c>
      <c r="F237" s="80">
        <f>MATERIALES2!E411</f>
        <v>71705</v>
      </c>
      <c r="G237" s="110">
        <f>ROUND(E237*F237,0)</f>
        <v>31550</v>
      </c>
    </row>
    <row r="238" spans="1:7">
      <c r="A238" s="123"/>
      <c r="B238" s="854" t="str">
        <f>MATERIALES2!C427</f>
        <v>TORNILLO FIJACION CANALETA 43 MADERA</v>
      </c>
      <c r="C238" s="855"/>
      <c r="D238" s="37" t="s">
        <v>865</v>
      </c>
      <c r="E238" s="83">
        <v>0.87</v>
      </c>
      <c r="F238" s="82">
        <f>MATERIALES2!E427</f>
        <v>838</v>
      </c>
      <c r="G238" s="111">
        <f>ROUND(E238*F238,0)</f>
        <v>729</v>
      </c>
    </row>
    <row r="239" spans="1:7">
      <c r="A239" s="95"/>
      <c r="B239" s="854" t="str">
        <f>MATERIALES2!C306</f>
        <v>JUNTAS (IGAS GRIS)</v>
      </c>
      <c r="C239" s="855"/>
      <c r="D239" s="37" t="s">
        <v>925</v>
      </c>
      <c r="E239" s="53">
        <v>0.17</v>
      </c>
      <c r="F239" s="82">
        <f>MATERIALES2!E306</f>
        <v>7800</v>
      </c>
      <c r="G239" s="111">
        <f>ROUND(E239*F239,0)</f>
        <v>1326</v>
      </c>
    </row>
    <row r="240" spans="1:7">
      <c r="A240" s="95"/>
      <c r="B240" s="854" t="str">
        <f>MATERIALES2!C429</f>
        <v>TORNILLO DE ALA CANALETA 43</v>
      </c>
      <c r="C240" s="855"/>
      <c r="D240" s="37" t="s">
        <v>865</v>
      </c>
      <c r="E240" s="83">
        <v>1.76</v>
      </c>
      <c r="F240" s="82">
        <f>MATERIALES2!E429</f>
        <v>625</v>
      </c>
      <c r="G240" s="111">
        <f>ROUND(E240*F240,0)</f>
        <v>1100</v>
      </c>
    </row>
    <row r="241" spans="1:8">
      <c r="A241" s="95"/>
      <c r="B241" s="854"/>
      <c r="C241" s="855"/>
      <c r="D241" s="37"/>
      <c r="E241" s="53"/>
      <c r="F241" s="82"/>
      <c r="G241" s="111"/>
    </row>
    <row r="242" spans="1:8">
      <c r="A242" s="95"/>
      <c r="B242" s="854"/>
      <c r="C242" s="855"/>
      <c r="D242" s="37"/>
      <c r="E242" s="53"/>
      <c r="F242" s="82"/>
      <c r="G242" s="111"/>
    </row>
    <row r="243" spans="1:8">
      <c r="A243" s="95"/>
      <c r="B243" s="854"/>
      <c r="C243" s="855"/>
      <c r="D243" s="37"/>
      <c r="E243" s="53"/>
      <c r="F243" s="82"/>
      <c r="G243" s="111"/>
    </row>
    <row r="244" spans="1:8">
      <c r="A244" s="95"/>
      <c r="B244" s="938" t="s">
        <v>841</v>
      </c>
      <c r="C244" s="939"/>
      <c r="D244" s="53" t="s">
        <v>841</v>
      </c>
      <c r="E244" s="53"/>
      <c r="F244" s="82"/>
      <c r="G244" s="111"/>
      <c r="H244" s="505" t="s">
        <v>1670</v>
      </c>
    </row>
    <row r="245" spans="1:8" ht="13.5" thickBot="1">
      <c r="A245" s="95"/>
      <c r="B245" s="942" t="s">
        <v>841</v>
      </c>
      <c r="C245" s="943"/>
      <c r="D245" s="84" t="s">
        <v>841</v>
      </c>
      <c r="E245" s="84"/>
      <c r="F245" s="85"/>
      <c r="G245" s="112"/>
    </row>
    <row r="246" spans="1:8" ht="13.5" thickTop="1">
      <c r="A246" s="95"/>
      <c r="B246" s="808"/>
      <c r="C246" s="809"/>
      <c r="D246" s="801" t="s">
        <v>856</v>
      </c>
      <c r="E246" s="802"/>
      <c r="F246" s="9"/>
      <c r="G246" s="113">
        <f>SUM(G237:G245)</f>
        <v>34705</v>
      </c>
    </row>
    <row r="247" spans="1:8">
      <c r="A247" s="95"/>
      <c r="B247" s="819"/>
      <c r="C247" s="820"/>
      <c r="D247" s="801" t="s">
        <v>857</v>
      </c>
      <c r="E247" s="802"/>
      <c r="F247" s="79">
        <f>'MANO DE OBRA'!D60</f>
        <v>0.05</v>
      </c>
      <c r="G247" s="113">
        <f>ROUND(G246*F247,0)</f>
        <v>1735</v>
      </c>
    </row>
    <row r="248" spans="1:8" ht="13.5" thickBot="1">
      <c r="A248" s="95"/>
      <c r="B248" s="819"/>
      <c r="C248" s="820"/>
      <c r="D248" s="803" t="s">
        <v>320</v>
      </c>
      <c r="E248" s="804"/>
      <c r="F248" s="114"/>
      <c r="G248" s="118">
        <f>+G246+G247</f>
        <v>36440</v>
      </c>
    </row>
    <row r="249" spans="1:8" ht="14.25" thickTop="1" thickBot="1">
      <c r="A249" s="95"/>
      <c r="B249" s="830"/>
      <c r="C249" s="830"/>
      <c r="D249" s="830"/>
      <c r="E249" s="830"/>
      <c r="F249" s="830"/>
      <c r="G249" s="830"/>
    </row>
    <row r="250" spans="1:8" ht="13.5" thickTop="1">
      <c r="A250" s="95"/>
      <c r="B250" s="811" t="s">
        <v>858</v>
      </c>
      <c r="C250" s="812"/>
      <c r="D250" s="812"/>
      <c r="E250" s="812"/>
      <c r="F250" s="812"/>
      <c r="G250" s="825"/>
    </row>
    <row r="251" spans="1:8">
      <c r="A251" s="95"/>
      <c r="B251" s="817"/>
      <c r="C251" s="818"/>
      <c r="D251" s="98" t="s">
        <v>301</v>
      </c>
      <c r="E251" s="98" t="s">
        <v>859</v>
      </c>
      <c r="F251" s="99" t="s">
        <v>839</v>
      </c>
      <c r="G251" s="107" t="s">
        <v>840</v>
      </c>
    </row>
    <row r="252" spans="1:8">
      <c r="A252" s="95"/>
      <c r="B252" s="821" t="s">
        <v>838</v>
      </c>
      <c r="C252" s="822"/>
      <c r="D252" s="100" t="s">
        <v>316</v>
      </c>
      <c r="E252" s="100" t="s">
        <v>315</v>
      </c>
      <c r="F252" s="101" t="s">
        <v>306</v>
      </c>
      <c r="G252" s="108" t="s">
        <v>319</v>
      </c>
    </row>
    <row r="253" spans="1:8">
      <c r="A253" s="95"/>
      <c r="B253" s="115"/>
      <c r="C253" s="102"/>
      <c r="D253" s="103"/>
      <c r="E253" s="103" t="s">
        <v>317</v>
      </c>
      <c r="F253" s="104" t="s">
        <v>318</v>
      </c>
      <c r="G253" s="109"/>
    </row>
    <row r="254" spans="1:8">
      <c r="A254" s="95"/>
      <c r="B254" s="823" t="str">
        <f>'MANO DE OBRA'!B10</f>
        <v>AYUDANTE CUAD. TIPO AA</v>
      </c>
      <c r="C254" s="824"/>
      <c r="D254" s="87">
        <v>1</v>
      </c>
      <c r="E254" s="80">
        <f>'MANO DE OBRA'!E10</f>
        <v>34680</v>
      </c>
      <c r="F254" s="81">
        <v>8.89</v>
      </c>
      <c r="G254" s="110">
        <f>ROUND(D254*E254/F254,0)</f>
        <v>3901</v>
      </c>
    </row>
    <row r="255" spans="1:8">
      <c r="A255" s="95"/>
      <c r="B255" s="835" t="str">
        <f>'MANO DE OBRA'!B15</f>
        <v xml:space="preserve">OFICIAL CUAD. TIPO AA </v>
      </c>
      <c r="C255" s="836"/>
      <c r="D255" s="37">
        <v>1</v>
      </c>
      <c r="E255" s="82">
        <f>'MANO DE OBRA'!E15</f>
        <v>71474</v>
      </c>
      <c r="F255" s="83">
        <v>8.89</v>
      </c>
      <c r="G255" s="111">
        <f>ROUND(D255*E255/F255,0)</f>
        <v>8040</v>
      </c>
    </row>
    <row r="256" spans="1:8">
      <c r="A256" s="95"/>
      <c r="B256" s="835"/>
      <c r="C256" s="836"/>
      <c r="D256" s="89"/>
      <c r="E256" s="82"/>
      <c r="F256" s="83"/>
      <c r="G256" s="111"/>
    </row>
    <row r="257" spans="1:8">
      <c r="A257" s="95"/>
      <c r="B257" s="835" t="s">
        <v>841</v>
      </c>
      <c r="C257" s="836"/>
      <c r="D257" s="37"/>
      <c r="E257" s="82"/>
      <c r="F257" s="83"/>
      <c r="G257" s="111"/>
    </row>
    <row r="258" spans="1:8" ht="13.5" thickBot="1">
      <c r="A258" s="95"/>
      <c r="B258" s="828" t="s">
        <v>841</v>
      </c>
      <c r="C258" s="829"/>
      <c r="D258" s="77"/>
      <c r="E258" s="82"/>
      <c r="F258" s="86"/>
      <c r="G258" s="112"/>
    </row>
    <row r="259" spans="1:8" ht="14.25" thickTop="1" thickBot="1">
      <c r="A259" s="95"/>
      <c r="B259" s="808"/>
      <c r="C259" s="808"/>
      <c r="D259" s="808"/>
      <c r="E259" s="809"/>
      <c r="F259" s="120" t="s">
        <v>856</v>
      </c>
      <c r="G259" s="118">
        <f>SUM(G254:G258)</f>
        <v>11941</v>
      </c>
    </row>
    <row r="260" spans="1:8" ht="14.25" thickTop="1" thickBot="1">
      <c r="A260" s="95"/>
      <c r="B260" s="810"/>
      <c r="C260" s="810"/>
      <c r="D260" s="810"/>
      <c r="E260" s="810"/>
      <c r="F260" s="810"/>
      <c r="G260" s="810"/>
    </row>
    <row r="261" spans="1:8" ht="13.5" thickTop="1">
      <c r="A261" s="95"/>
      <c r="B261" s="811" t="s">
        <v>321</v>
      </c>
      <c r="C261" s="812"/>
      <c r="D261" s="812"/>
      <c r="E261" s="812"/>
      <c r="F261" s="812"/>
      <c r="G261" s="825"/>
    </row>
    <row r="262" spans="1:8">
      <c r="A262" s="95"/>
      <c r="B262" s="817" t="s">
        <v>838</v>
      </c>
      <c r="C262" s="818"/>
      <c r="D262" s="98" t="s">
        <v>301</v>
      </c>
      <c r="E262" s="98" t="s">
        <v>297</v>
      </c>
      <c r="F262" s="99" t="s">
        <v>839</v>
      </c>
      <c r="G262" s="107" t="s">
        <v>840</v>
      </c>
    </row>
    <row r="263" spans="1:8">
      <c r="A263" s="95"/>
      <c r="B263" s="115"/>
      <c r="C263" s="102"/>
      <c r="D263" s="103" t="s">
        <v>322</v>
      </c>
      <c r="E263" s="103" t="s">
        <v>323</v>
      </c>
      <c r="F263" s="104" t="s">
        <v>324</v>
      </c>
      <c r="G263" s="109" t="s">
        <v>325</v>
      </c>
    </row>
    <row r="264" spans="1:8">
      <c r="A264" s="95"/>
      <c r="B264" s="826"/>
      <c r="C264" s="827"/>
      <c r="D264" s="96"/>
      <c r="E264" s="96"/>
      <c r="F264" s="96"/>
      <c r="G264" s="116"/>
    </row>
    <row r="265" spans="1:8" ht="13.5" thickBot="1">
      <c r="A265" s="95"/>
      <c r="B265" s="828" t="s">
        <v>841</v>
      </c>
      <c r="C265" s="829"/>
      <c r="D265" s="77"/>
      <c r="E265" s="82"/>
      <c r="F265" s="86"/>
      <c r="G265" s="112"/>
    </row>
    <row r="266" spans="1:8" ht="14.25" thickTop="1" thickBot="1">
      <c r="A266" s="95"/>
      <c r="B266" s="808"/>
      <c r="C266" s="808"/>
      <c r="D266" s="808"/>
      <c r="E266" s="809"/>
      <c r="F266" s="120" t="s">
        <v>856</v>
      </c>
      <c r="G266" s="118">
        <f>SUM(G261:G265)</f>
        <v>0</v>
      </c>
    </row>
    <row r="267" spans="1:8" ht="14.25" thickTop="1" thickBot="1">
      <c r="A267" s="95"/>
      <c r="B267" s="810"/>
      <c r="C267" s="810"/>
      <c r="D267" s="810"/>
      <c r="E267" s="810"/>
      <c r="F267" s="810"/>
      <c r="G267" s="834"/>
    </row>
    <row r="268" spans="1:8" ht="13.5" thickTop="1">
      <c r="A268" s="95"/>
      <c r="B268" s="811" t="s">
        <v>326</v>
      </c>
      <c r="C268" s="812"/>
      <c r="D268" s="812"/>
      <c r="E268" s="812"/>
      <c r="F268" s="813"/>
      <c r="G268" s="121">
        <f>+G232+G248+G259</f>
        <v>49474</v>
      </c>
    </row>
    <row r="269" spans="1:8">
      <c r="A269" s="95"/>
      <c r="B269" s="814" t="s">
        <v>861</v>
      </c>
      <c r="C269" s="815"/>
      <c r="D269" s="815"/>
      <c r="E269" s="816"/>
      <c r="F269" s="128">
        <f>'MANO DE OBRA'!D59</f>
        <v>0</v>
      </c>
      <c r="G269" s="122">
        <f>ROUND(G268*F269,0)</f>
        <v>0</v>
      </c>
    </row>
    <row r="270" spans="1:8" ht="13.5" thickBot="1">
      <c r="A270" s="95"/>
      <c r="B270" s="805" t="s">
        <v>1049</v>
      </c>
      <c r="C270" s="806"/>
      <c r="D270" s="806"/>
      <c r="E270" s="806"/>
      <c r="F270" s="807"/>
      <c r="G270" s="118">
        <f>ROUND(G268+G269,-2)</f>
        <v>49500</v>
      </c>
      <c r="H270" s="505" t="s">
        <v>1670</v>
      </c>
    </row>
    <row r="271" spans="1:8" ht="15" thickTop="1">
      <c r="A271" s="95"/>
      <c r="B271" s="90" t="s">
        <v>303</v>
      </c>
      <c r="C271" s="843"/>
      <c r="D271" s="843"/>
      <c r="E271" s="843"/>
      <c r="F271" s="92" t="s">
        <v>781</v>
      </c>
      <c r="G271" s="93" t="s">
        <v>1067</v>
      </c>
    </row>
    <row r="272" spans="1:8">
      <c r="A272" s="95"/>
      <c r="B272" s="91" t="s">
        <v>834</v>
      </c>
      <c r="C272" s="844" t="s">
        <v>1408</v>
      </c>
      <c r="D272" s="844"/>
      <c r="E272" s="844"/>
      <c r="F272" s="15" t="s">
        <v>833</v>
      </c>
      <c r="G272" s="165" t="str">
        <f>'MANO DE OBRA'!D61</f>
        <v>Agosto de 2010</v>
      </c>
    </row>
    <row r="273" spans="1:7" ht="13.5" thickBot="1">
      <c r="A273" s="127"/>
      <c r="B273" s="94" t="s">
        <v>835</v>
      </c>
      <c r="C273" s="845" t="s">
        <v>486</v>
      </c>
      <c r="D273" s="845"/>
      <c r="E273" s="845"/>
      <c r="F273" s="845"/>
      <c r="G273" s="846"/>
    </row>
    <row r="274" spans="1:7" ht="14.25" thickTop="1" thickBot="1">
      <c r="A274" s="95"/>
      <c r="B274" s="847" t="s">
        <v>1409</v>
      </c>
      <c r="C274" s="847"/>
      <c r="D274" s="847"/>
      <c r="E274" s="847"/>
      <c r="F274" s="847"/>
      <c r="G274" s="847"/>
    </row>
    <row r="275" spans="1:7" ht="13.5" thickTop="1">
      <c r="A275" s="95"/>
      <c r="B275" s="811" t="s">
        <v>304</v>
      </c>
      <c r="C275" s="812"/>
      <c r="D275" s="812"/>
      <c r="E275" s="812"/>
      <c r="F275" s="812"/>
      <c r="G275" s="825"/>
    </row>
    <row r="276" spans="1:7">
      <c r="A276" s="95"/>
      <c r="B276" s="105"/>
      <c r="C276" s="97"/>
      <c r="D276" s="98" t="s">
        <v>301</v>
      </c>
      <c r="E276" s="98" t="s">
        <v>1072</v>
      </c>
      <c r="F276" s="99" t="s">
        <v>839</v>
      </c>
      <c r="G276" s="107" t="s">
        <v>840</v>
      </c>
    </row>
    <row r="277" spans="1:7">
      <c r="A277" s="95"/>
      <c r="B277" s="821" t="s">
        <v>838</v>
      </c>
      <c r="C277" s="822"/>
      <c r="D277" s="100" t="s">
        <v>308</v>
      </c>
      <c r="E277" s="100" t="s">
        <v>305</v>
      </c>
      <c r="F277" s="101" t="s">
        <v>306</v>
      </c>
      <c r="G277" s="108" t="s">
        <v>310</v>
      </c>
    </row>
    <row r="278" spans="1:7">
      <c r="A278" s="95"/>
      <c r="B278" s="115"/>
      <c r="C278" s="102"/>
      <c r="D278" s="103"/>
      <c r="E278" s="103" t="s">
        <v>309</v>
      </c>
      <c r="F278" s="104" t="s">
        <v>307</v>
      </c>
      <c r="G278" s="109"/>
    </row>
    <row r="279" spans="1:7">
      <c r="A279" s="127"/>
      <c r="B279" s="823" t="str">
        <f>'MAQUINARIA Y EQUIPOS'!C28</f>
        <v>HERRAMIENTAS MENORES</v>
      </c>
      <c r="C279" s="824"/>
      <c r="D279" s="87">
        <v>1</v>
      </c>
      <c r="E279" s="82">
        <f>ROUND(G312*0.05,0)</f>
        <v>597</v>
      </c>
      <c r="F279" s="81">
        <v>1</v>
      </c>
      <c r="G279" s="110">
        <f>ROUND(D279*E279/F279,0)</f>
        <v>597</v>
      </c>
    </row>
    <row r="280" spans="1:7">
      <c r="A280" s="95"/>
      <c r="B280" s="835" t="str">
        <f>'MAQUINARIA Y EQUIPOS'!C9</f>
        <v>ANDAMIO TUBULAR 1.50 m</v>
      </c>
      <c r="C280" s="836"/>
      <c r="D280" s="37">
        <v>4</v>
      </c>
      <c r="E280" s="129">
        <f>'MAQUINARIA Y EQUIPOS'!D9</f>
        <v>754</v>
      </c>
      <c r="F280" s="83">
        <v>8.89</v>
      </c>
      <c r="G280" s="111">
        <f>ROUND(D280*E280/F280,0)</f>
        <v>339</v>
      </c>
    </row>
    <row r="281" spans="1:7">
      <c r="A281" s="95"/>
      <c r="B281" s="835" t="str">
        <f>'MAQUINARIA Y EQUIPOS'!C47</f>
        <v>TABLONES 3m</v>
      </c>
      <c r="C281" s="836"/>
      <c r="D281" s="37">
        <v>4</v>
      </c>
      <c r="E281" s="129">
        <f>'MAQUINARIA Y EQUIPOS'!D47</f>
        <v>348</v>
      </c>
      <c r="F281" s="83">
        <v>8.89</v>
      </c>
      <c r="G281" s="111">
        <f>ROUND(D281*E281/F281,0)</f>
        <v>157</v>
      </c>
    </row>
    <row r="282" spans="1:7">
      <c r="A282" s="95"/>
      <c r="B282" s="835"/>
      <c r="C282" s="836"/>
      <c r="D282" s="89"/>
      <c r="E282" s="82"/>
      <c r="F282" s="83"/>
      <c r="G282" s="111"/>
    </row>
    <row r="283" spans="1:7">
      <c r="A283" s="95"/>
      <c r="B283" s="835" t="s">
        <v>841</v>
      </c>
      <c r="C283" s="836"/>
      <c r="D283" s="37"/>
      <c r="E283" s="82"/>
      <c r="F283" s="83"/>
      <c r="G283" s="111"/>
    </row>
    <row r="284" spans="1:7" ht="13.5" thickBot="1">
      <c r="A284" s="95"/>
      <c r="B284" s="839" t="s">
        <v>841</v>
      </c>
      <c r="C284" s="840"/>
      <c r="D284" s="77"/>
      <c r="E284" s="106"/>
      <c r="F284" s="86"/>
      <c r="G284" s="112"/>
    </row>
    <row r="285" spans="1:7" ht="14.25" thickTop="1" thickBot="1">
      <c r="A285" s="95"/>
      <c r="B285" s="808"/>
      <c r="C285" s="808"/>
      <c r="D285" s="808"/>
      <c r="E285" s="809"/>
      <c r="F285" s="119" t="s">
        <v>856</v>
      </c>
      <c r="G285" s="118">
        <f>SUM(G279:G284)</f>
        <v>1093</v>
      </c>
    </row>
    <row r="286" spans="1:7" ht="14.25" thickTop="1" thickBot="1">
      <c r="A286" s="95"/>
      <c r="B286" s="830"/>
      <c r="C286" s="830"/>
      <c r="D286" s="830"/>
      <c r="E286" s="830"/>
      <c r="F286" s="830"/>
      <c r="G286" s="830"/>
    </row>
    <row r="287" spans="1:7" ht="13.5" thickTop="1">
      <c r="A287" s="95"/>
      <c r="B287" s="811" t="s">
        <v>311</v>
      </c>
      <c r="C287" s="812"/>
      <c r="D287" s="812"/>
      <c r="E287" s="812"/>
      <c r="F287" s="812"/>
      <c r="G287" s="825"/>
    </row>
    <row r="288" spans="1:7">
      <c r="A288" s="95"/>
      <c r="B288" s="817" t="s">
        <v>838</v>
      </c>
      <c r="C288" s="818"/>
      <c r="D288" s="98" t="s">
        <v>842</v>
      </c>
      <c r="E288" s="98" t="s">
        <v>853</v>
      </c>
      <c r="F288" s="99" t="s">
        <v>1047</v>
      </c>
      <c r="G288" s="107" t="s">
        <v>840</v>
      </c>
    </row>
    <row r="289" spans="1:8">
      <c r="A289" s="95"/>
      <c r="B289" s="115"/>
      <c r="C289" s="102"/>
      <c r="D289" s="100"/>
      <c r="E289" s="100" t="s">
        <v>312</v>
      </c>
      <c r="F289" s="101" t="s">
        <v>313</v>
      </c>
      <c r="G289" s="108" t="s">
        <v>314</v>
      </c>
    </row>
    <row r="290" spans="1:8">
      <c r="A290" s="125"/>
      <c r="B290" s="841" t="str">
        <f>MATERIALES2!C412</f>
        <v>CANALETA 43 DE 6.00 M</v>
      </c>
      <c r="C290" s="842"/>
      <c r="D290" s="87" t="s">
        <v>865</v>
      </c>
      <c r="E290" s="81">
        <v>0.4</v>
      </c>
      <c r="F290" s="80">
        <f>MATERIALES2!E412</f>
        <v>78054</v>
      </c>
      <c r="G290" s="110">
        <f>ROUND(E290*F290,0)</f>
        <v>31222</v>
      </c>
    </row>
    <row r="291" spans="1:8">
      <c r="A291" s="123"/>
      <c r="B291" s="854" t="str">
        <f>MATERIALES2!C427</f>
        <v>TORNILLO FIJACION CANALETA 43 MADERA</v>
      </c>
      <c r="C291" s="855"/>
      <c r="D291" s="37" t="s">
        <v>865</v>
      </c>
      <c r="E291" s="83">
        <v>1.2</v>
      </c>
      <c r="F291" s="82">
        <f>MATERIALES2!E427</f>
        <v>838</v>
      </c>
      <c r="G291" s="111">
        <f>ROUND(E291*F291,0)</f>
        <v>1006</v>
      </c>
    </row>
    <row r="292" spans="1:8">
      <c r="A292" s="95"/>
      <c r="B292" s="854" t="str">
        <f>MATERIALES2!C306</f>
        <v>JUNTAS (IGAS GRIS)</v>
      </c>
      <c r="C292" s="855"/>
      <c r="D292" s="37" t="s">
        <v>925</v>
      </c>
      <c r="E292" s="53">
        <v>0.17</v>
      </c>
      <c r="F292" s="82">
        <f>MATERIALES2!E306</f>
        <v>7800</v>
      </c>
      <c r="G292" s="111">
        <f>ROUND(E292*F292,0)</f>
        <v>1326</v>
      </c>
    </row>
    <row r="293" spans="1:8">
      <c r="A293" s="95"/>
      <c r="B293" s="854" t="str">
        <f>MATERIALES2!C429</f>
        <v>TORNILLO DE ALA CANALETA 43</v>
      </c>
      <c r="C293" s="855"/>
      <c r="D293" s="37" t="s">
        <v>865</v>
      </c>
      <c r="E293" s="83">
        <v>1.6</v>
      </c>
      <c r="F293" s="82">
        <f>MATERIALES2!E429</f>
        <v>625</v>
      </c>
      <c r="G293" s="111">
        <f>ROUND(E293*F293,0)</f>
        <v>1000</v>
      </c>
    </row>
    <row r="294" spans="1:8">
      <c r="A294" s="95"/>
      <c r="B294" s="854"/>
      <c r="C294" s="855"/>
      <c r="D294" s="37"/>
      <c r="E294" s="53"/>
      <c r="F294" s="82"/>
      <c r="G294" s="111"/>
    </row>
    <row r="295" spans="1:8">
      <c r="A295" s="95"/>
      <c r="B295" s="854"/>
      <c r="C295" s="855"/>
      <c r="D295" s="37"/>
      <c r="E295" s="53"/>
      <c r="F295" s="82"/>
      <c r="G295" s="111"/>
    </row>
    <row r="296" spans="1:8">
      <c r="A296" s="95"/>
      <c r="B296" s="854"/>
      <c r="C296" s="855"/>
      <c r="D296" s="37"/>
      <c r="E296" s="53"/>
      <c r="F296" s="82"/>
      <c r="G296" s="111"/>
    </row>
    <row r="297" spans="1:8">
      <c r="A297" s="95"/>
      <c r="B297" s="938" t="s">
        <v>841</v>
      </c>
      <c r="C297" s="939"/>
      <c r="D297" s="53" t="s">
        <v>841</v>
      </c>
      <c r="E297" s="53"/>
      <c r="F297" s="82"/>
      <c r="G297" s="111"/>
      <c r="H297" s="505" t="s">
        <v>1670</v>
      </c>
    </row>
    <row r="298" spans="1:8" ht="13.5" thickBot="1">
      <c r="A298" s="95"/>
      <c r="B298" s="942" t="s">
        <v>841</v>
      </c>
      <c r="C298" s="943"/>
      <c r="D298" s="84" t="s">
        <v>841</v>
      </c>
      <c r="E298" s="84"/>
      <c r="F298" s="85"/>
      <c r="G298" s="112"/>
    </row>
    <row r="299" spans="1:8" ht="13.5" thickTop="1">
      <c r="A299" s="95"/>
      <c r="B299" s="808"/>
      <c r="C299" s="809"/>
      <c r="D299" s="801" t="s">
        <v>856</v>
      </c>
      <c r="E299" s="802"/>
      <c r="F299" s="9"/>
      <c r="G299" s="113">
        <f>SUM(G290:G298)</f>
        <v>34554</v>
      </c>
    </row>
    <row r="300" spans="1:8">
      <c r="A300" s="95"/>
      <c r="B300" s="819"/>
      <c r="C300" s="820"/>
      <c r="D300" s="801" t="s">
        <v>857</v>
      </c>
      <c r="E300" s="802"/>
      <c r="F300" s="79">
        <f>'MANO DE OBRA'!D60</f>
        <v>0.05</v>
      </c>
      <c r="G300" s="113">
        <f>ROUND(G299*F300,0)</f>
        <v>1728</v>
      </c>
    </row>
    <row r="301" spans="1:8" ht="13.5" thickBot="1">
      <c r="A301" s="95"/>
      <c r="B301" s="819"/>
      <c r="C301" s="820"/>
      <c r="D301" s="803" t="s">
        <v>320</v>
      </c>
      <c r="E301" s="804"/>
      <c r="F301" s="114"/>
      <c r="G301" s="118">
        <f>+G299+G300</f>
        <v>36282</v>
      </c>
    </row>
    <row r="302" spans="1:8" ht="14.25" thickTop="1" thickBot="1">
      <c r="A302" s="95"/>
      <c r="B302" s="830"/>
      <c r="C302" s="830"/>
      <c r="D302" s="830"/>
      <c r="E302" s="830"/>
      <c r="F302" s="830"/>
      <c r="G302" s="830"/>
    </row>
    <row r="303" spans="1:8" ht="13.5" thickTop="1">
      <c r="A303" s="95"/>
      <c r="B303" s="811" t="s">
        <v>858</v>
      </c>
      <c r="C303" s="812"/>
      <c r="D303" s="812"/>
      <c r="E303" s="812"/>
      <c r="F303" s="812"/>
      <c r="G303" s="825"/>
    </row>
    <row r="304" spans="1:8">
      <c r="A304" s="95"/>
      <c r="B304" s="817"/>
      <c r="C304" s="818"/>
      <c r="D304" s="98" t="s">
        <v>301</v>
      </c>
      <c r="E304" s="98" t="s">
        <v>859</v>
      </c>
      <c r="F304" s="99" t="s">
        <v>839</v>
      </c>
      <c r="G304" s="107" t="s">
        <v>840</v>
      </c>
    </row>
    <row r="305" spans="1:7">
      <c r="A305" s="95"/>
      <c r="B305" s="821" t="s">
        <v>838</v>
      </c>
      <c r="C305" s="822"/>
      <c r="D305" s="100" t="s">
        <v>316</v>
      </c>
      <c r="E305" s="100" t="s">
        <v>315</v>
      </c>
      <c r="F305" s="101" t="s">
        <v>306</v>
      </c>
      <c r="G305" s="108" t="s">
        <v>319</v>
      </c>
    </row>
    <row r="306" spans="1:7">
      <c r="A306" s="95"/>
      <c r="B306" s="115"/>
      <c r="C306" s="102"/>
      <c r="D306" s="103"/>
      <c r="E306" s="103" t="s">
        <v>317</v>
      </c>
      <c r="F306" s="104" t="s">
        <v>318</v>
      </c>
      <c r="G306" s="109"/>
    </row>
    <row r="307" spans="1:7">
      <c r="A307" s="95"/>
      <c r="B307" s="823" t="str">
        <f>'MANO DE OBRA'!B10</f>
        <v>AYUDANTE CUAD. TIPO AA</v>
      </c>
      <c r="C307" s="824"/>
      <c r="D307" s="87">
        <v>1</v>
      </c>
      <c r="E307" s="80">
        <f>'MANO DE OBRA'!E10</f>
        <v>34680</v>
      </c>
      <c r="F307" s="81">
        <v>8.89</v>
      </c>
      <c r="G307" s="110">
        <f>ROUND(D307*E307/F307,0)</f>
        <v>3901</v>
      </c>
    </row>
    <row r="308" spans="1:7">
      <c r="A308" s="95"/>
      <c r="B308" s="835" t="str">
        <f>'MANO DE OBRA'!B15</f>
        <v xml:space="preserve">OFICIAL CUAD. TIPO AA </v>
      </c>
      <c r="C308" s="836"/>
      <c r="D308" s="37">
        <v>1</v>
      </c>
      <c r="E308" s="82">
        <f>'MANO DE OBRA'!E15</f>
        <v>71474</v>
      </c>
      <c r="F308" s="83">
        <v>8.89</v>
      </c>
      <c r="G308" s="111">
        <f>ROUND(D308*E308/F308,0)</f>
        <v>8040</v>
      </c>
    </row>
    <row r="309" spans="1:7">
      <c r="A309" s="95"/>
      <c r="B309" s="835"/>
      <c r="C309" s="836"/>
      <c r="D309" s="89"/>
      <c r="E309" s="82"/>
      <c r="F309" s="83"/>
      <c r="G309" s="111"/>
    </row>
    <row r="310" spans="1:7">
      <c r="A310" s="95"/>
      <c r="B310" s="835" t="s">
        <v>841</v>
      </c>
      <c r="C310" s="836"/>
      <c r="D310" s="37"/>
      <c r="E310" s="82"/>
      <c r="F310" s="83"/>
      <c r="G310" s="111"/>
    </row>
    <row r="311" spans="1:7" ht="13.5" thickBot="1">
      <c r="A311" s="95"/>
      <c r="B311" s="828" t="s">
        <v>841</v>
      </c>
      <c r="C311" s="829"/>
      <c r="D311" s="77"/>
      <c r="E311" s="82"/>
      <c r="F311" s="86"/>
      <c r="G311" s="112"/>
    </row>
    <row r="312" spans="1:7" ht="14.25" thickTop="1" thickBot="1">
      <c r="A312" s="95"/>
      <c r="B312" s="808"/>
      <c r="C312" s="808"/>
      <c r="D312" s="808"/>
      <c r="E312" s="809"/>
      <c r="F312" s="120" t="s">
        <v>856</v>
      </c>
      <c r="G312" s="118">
        <f>SUM(G307:G311)</f>
        <v>11941</v>
      </c>
    </row>
    <row r="313" spans="1:7" ht="14.25" thickTop="1" thickBot="1">
      <c r="A313" s="95"/>
      <c r="B313" s="810"/>
      <c r="C313" s="810"/>
      <c r="D313" s="810"/>
      <c r="E313" s="810"/>
      <c r="F313" s="810"/>
      <c r="G313" s="810"/>
    </row>
    <row r="314" spans="1:7" ht="13.5" thickTop="1">
      <c r="A314" s="95"/>
      <c r="B314" s="811" t="s">
        <v>321</v>
      </c>
      <c r="C314" s="812"/>
      <c r="D314" s="812"/>
      <c r="E314" s="812"/>
      <c r="F314" s="812"/>
      <c r="G314" s="825"/>
    </row>
    <row r="315" spans="1:7">
      <c r="A315" s="95"/>
      <c r="B315" s="817" t="s">
        <v>838</v>
      </c>
      <c r="C315" s="818"/>
      <c r="D315" s="98" t="s">
        <v>301</v>
      </c>
      <c r="E315" s="98" t="s">
        <v>297</v>
      </c>
      <c r="F315" s="99" t="s">
        <v>839</v>
      </c>
      <c r="G315" s="107" t="s">
        <v>840</v>
      </c>
    </row>
    <row r="316" spans="1:7">
      <c r="A316" s="95"/>
      <c r="B316" s="115"/>
      <c r="C316" s="102"/>
      <c r="D316" s="103" t="s">
        <v>322</v>
      </c>
      <c r="E316" s="103" t="s">
        <v>323</v>
      </c>
      <c r="F316" s="104" t="s">
        <v>324</v>
      </c>
      <c r="G316" s="109" t="s">
        <v>325</v>
      </c>
    </row>
    <row r="317" spans="1:7">
      <c r="A317" s="95"/>
      <c r="B317" s="826"/>
      <c r="C317" s="827"/>
      <c r="D317" s="96"/>
      <c r="E317" s="96"/>
      <c r="F317" s="96"/>
      <c r="G317" s="116"/>
    </row>
    <row r="318" spans="1:7" ht="13.5" thickBot="1">
      <c r="A318" s="95"/>
      <c r="B318" s="828" t="s">
        <v>841</v>
      </c>
      <c r="C318" s="829"/>
      <c r="D318" s="77"/>
      <c r="E318" s="82"/>
      <c r="F318" s="86"/>
      <c r="G318" s="112"/>
    </row>
    <row r="319" spans="1:7" ht="14.25" thickTop="1" thickBot="1">
      <c r="A319" s="95"/>
      <c r="B319" s="808"/>
      <c r="C319" s="808"/>
      <c r="D319" s="808"/>
      <c r="E319" s="809"/>
      <c r="F319" s="120" t="s">
        <v>856</v>
      </c>
      <c r="G319" s="118">
        <f>SUM(G314:G318)</f>
        <v>0</v>
      </c>
    </row>
    <row r="320" spans="1:7" ht="14.25" thickTop="1" thickBot="1">
      <c r="A320" s="95"/>
      <c r="B320" s="810"/>
      <c r="C320" s="810"/>
      <c r="D320" s="810"/>
      <c r="E320" s="810"/>
      <c r="F320" s="810"/>
      <c r="G320" s="834"/>
    </row>
    <row r="321" spans="1:8" ht="13.5" thickTop="1">
      <c r="A321" s="95"/>
      <c r="B321" s="811" t="s">
        <v>326</v>
      </c>
      <c r="C321" s="812"/>
      <c r="D321" s="812"/>
      <c r="E321" s="812"/>
      <c r="F321" s="813"/>
      <c r="G321" s="121">
        <f>+G285+G301+G312</f>
        <v>49316</v>
      </c>
    </row>
    <row r="322" spans="1:8">
      <c r="A322" s="95"/>
      <c r="B322" s="814" t="s">
        <v>861</v>
      </c>
      <c r="C322" s="815"/>
      <c r="D322" s="815"/>
      <c r="E322" s="816"/>
      <c r="F322" s="128">
        <f>'MANO DE OBRA'!D59</f>
        <v>0</v>
      </c>
      <c r="G322" s="122">
        <f>ROUND(G321*F322,0)</f>
        <v>0</v>
      </c>
    </row>
    <row r="323" spans="1:8" ht="13.5" thickBot="1">
      <c r="A323" s="95"/>
      <c r="B323" s="805" t="s">
        <v>1049</v>
      </c>
      <c r="C323" s="806"/>
      <c r="D323" s="806"/>
      <c r="E323" s="806"/>
      <c r="F323" s="807"/>
      <c r="G323" s="118">
        <f>ROUND(G321+G322,-2)</f>
        <v>49300</v>
      </c>
      <c r="H323" s="505" t="s">
        <v>1670</v>
      </c>
    </row>
    <row r="324" spans="1:8" ht="15" thickTop="1">
      <c r="A324" s="95"/>
      <c r="B324" s="90" t="s">
        <v>303</v>
      </c>
      <c r="C324" s="843"/>
      <c r="D324" s="843"/>
      <c r="E324" s="843"/>
      <c r="F324" s="92" t="s">
        <v>781</v>
      </c>
      <c r="G324" s="93" t="s">
        <v>1067</v>
      </c>
    </row>
    <row r="325" spans="1:8">
      <c r="A325" s="95"/>
      <c r="B325" s="91" t="s">
        <v>834</v>
      </c>
      <c r="C325" s="844" t="s">
        <v>1408</v>
      </c>
      <c r="D325" s="844"/>
      <c r="E325" s="844"/>
      <c r="F325" s="15" t="s">
        <v>833</v>
      </c>
      <c r="G325" s="165" t="str">
        <f>'MANO DE OBRA'!D61</f>
        <v>Agosto de 2010</v>
      </c>
    </row>
    <row r="326" spans="1:8" ht="13.5" thickBot="1">
      <c r="A326" s="127"/>
      <c r="B326" s="94" t="s">
        <v>835</v>
      </c>
      <c r="C326" s="845" t="s">
        <v>487</v>
      </c>
      <c r="D326" s="845"/>
      <c r="E326" s="845"/>
      <c r="F326" s="845"/>
      <c r="G326" s="846"/>
    </row>
    <row r="327" spans="1:8" ht="14.25" thickTop="1" thickBot="1">
      <c r="A327" s="95"/>
      <c r="B327" s="847" t="s">
        <v>1409</v>
      </c>
      <c r="C327" s="847"/>
      <c r="D327" s="847"/>
      <c r="E327" s="847"/>
      <c r="F327" s="847"/>
      <c r="G327" s="847"/>
    </row>
    <row r="328" spans="1:8" ht="13.5" thickTop="1">
      <c r="A328" s="95"/>
      <c r="B328" s="811" t="s">
        <v>304</v>
      </c>
      <c r="C328" s="812"/>
      <c r="D328" s="812"/>
      <c r="E328" s="812"/>
      <c r="F328" s="812"/>
      <c r="G328" s="825"/>
    </row>
    <row r="329" spans="1:8">
      <c r="A329" s="95"/>
      <c r="B329" s="105"/>
      <c r="C329" s="97"/>
      <c r="D329" s="98" t="s">
        <v>301</v>
      </c>
      <c r="E329" s="98" t="s">
        <v>1072</v>
      </c>
      <c r="F329" s="99" t="s">
        <v>839</v>
      </c>
      <c r="G329" s="107" t="s">
        <v>840</v>
      </c>
    </row>
    <row r="330" spans="1:8">
      <c r="A330" s="95"/>
      <c r="B330" s="821" t="s">
        <v>838</v>
      </c>
      <c r="C330" s="822"/>
      <c r="D330" s="100" t="s">
        <v>308</v>
      </c>
      <c r="E330" s="100" t="s">
        <v>305</v>
      </c>
      <c r="F330" s="101" t="s">
        <v>306</v>
      </c>
      <c r="G330" s="108" t="s">
        <v>310</v>
      </c>
    </row>
    <row r="331" spans="1:8">
      <c r="A331" s="95"/>
      <c r="B331" s="115"/>
      <c r="C331" s="102"/>
      <c r="D331" s="103"/>
      <c r="E331" s="103" t="s">
        <v>309</v>
      </c>
      <c r="F331" s="104" t="s">
        <v>307</v>
      </c>
      <c r="G331" s="109"/>
    </row>
    <row r="332" spans="1:8">
      <c r="A332" s="127"/>
      <c r="B332" s="823" t="str">
        <f>'MAQUINARIA Y EQUIPOS'!C28</f>
        <v>HERRAMIENTAS MENORES</v>
      </c>
      <c r="C332" s="824"/>
      <c r="D332" s="87">
        <v>1</v>
      </c>
      <c r="E332" s="82">
        <f>ROUND(G365*0.05,0)</f>
        <v>497</v>
      </c>
      <c r="F332" s="81">
        <v>1</v>
      </c>
      <c r="G332" s="110">
        <f>ROUND(D332*E332/F332,0)</f>
        <v>497</v>
      </c>
    </row>
    <row r="333" spans="1:8">
      <c r="A333" s="95"/>
      <c r="B333" s="835" t="str">
        <f>'MAQUINARIA Y EQUIPOS'!C9</f>
        <v>ANDAMIO TUBULAR 1.50 m</v>
      </c>
      <c r="C333" s="836"/>
      <c r="D333" s="37">
        <v>4</v>
      </c>
      <c r="E333" s="129">
        <f>'MAQUINARIA Y EQUIPOS'!D9</f>
        <v>754</v>
      </c>
      <c r="F333" s="83">
        <v>10.67</v>
      </c>
      <c r="G333" s="111">
        <f>ROUND(D333*E333/F333,0)</f>
        <v>283</v>
      </c>
    </row>
    <row r="334" spans="1:8">
      <c r="A334" s="95"/>
      <c r="B334" s="835" t="str">
        <f>'MAQUINARIA Y EQUIPOS'!C47</f>
        <v>TABLONES 3m</v>
      </c>
      <c r="C334" s="836"/>
      <c r="D334" s="37">
        <v>4</v>
      </c>
      <c r="E334" s="129">
        <f>'MAQUINARIA Y EQUIPOS'!D47</f>
        <v>348</v>
      </c>
      <c r="F334" s="83">
        <v>10.67</v>
      </c>
      <c r="G334" s="111">
        <f>ROUND(D334*E334/F334,0)</f>
        <v>130</v>
      </c>
    </row>
    <row r="335" spans="1:8">
      <c r="A335" s="95"/>
      <c r="B335" s="835"/>
      <c r="C335" s="836"/>
      <c r="D335" s="89"/>
      <c r="E335" s="82"/>
      <c r="F335" s="83"/>
      <c r="G335" s="111"/>
    </row>
    <row r="336" spans="1:8">
      <c r="A336" s="95"/>
      <c r="B336" s="835" t="s">
        <v>841</v>
      </c>
      <c r="C336" s="836"/>
      <c r="D336" s="37"/>
      <c r="E336" s="82"/>
      <c r="F336" s="83"/>
      <c r="G336" s="111"/>
    </row>
    <row r="337" spans="1:8" ht="13.5" thickBot="1">
      <c r="A337" s="95"/>
      <c r="B337" s="839" t="s">
        <v>841</v>
      </c>
      <c r="C337" s="840"/>
      <c r="D337" s="77"/>
      <c r="E337" s="106"/>
      <c r="F337" s="86"/>
      <c r="G337" s="112"/>
    </row>
    <row r="338" spans="1:8" ht="14.25" thickTop="1" thickBot="1">
      <c r="A338" s="95"/>
      <c r="B338" s="808"/>
      <c r="C338" s="808"/>
      <c r="D338" s="808"/>
      <c r="E338" s="809"/>
      <c r="F338" s="119" t="s">
        <v>856</v>
      </c>
      <c r="G338" s="118">
        <f>SUM(G332:G337)</f>
        <v>910</v>
      </c>
    </row>
    <row r="339" spans="1:8" ht="14.25" thickTop="1" thickBot="1">
      <c r="A339" s="95"/>
      <c r="B339" s="830"/>
      <c r="C339" s="830"/>
      <c r="D339" s="830"/>
      <c r="E339" s="830"/>
      <c r="F339" s="830"/>
      <c r="G339" s="830"/>
    </row>
    <row r="340" spans="1:8" ht="13.5" thickTop="1">
      <c r="A340" s="95"/>
      <c r="B340" s="811" t="s">
        <v>311</v>
      </c>
      <c r="C340" s="812"/>
      <c r="D340" s="812"/>
      <c r="E340" s="812"/>
      <c r="F340" s="812"/>
      <c r="G340" s="825"/>
    </row>
    <row r="341" spans="1:8">
      <c r="A341" s="95"/>
      <c r="B341" s="817" t="s">
        <v>838</v>
      </c>
      <c r="C341" s="818"/>
      <c r="D341" s="98" t="s">
        <v>842</v>
      </c>
      <c r="E341" s="98" t="s">
        <v>853</v>
      </c>
      <c r="F341" s="99" t="s">
        <v>1047</v>
      </c>
      <c r="G341" s="107" t="s">
        <v>840</v>
      </c>
    </row>
    <row r="342" spans="1:8">
      <c r="A342" s="95"/>
      <c r="B342" s="115"/>
      <c r="C342" s="102"/>
      <c r="D342" s="100"/>
      <c r="E342" s="100" t="s">
        <v>312</v>
      </c>
      <c r="F342" s="101" t="s">
        <v>313</v>
      </c>
      <c r="G342" s="108" t="s">
        <v>314</v>
      </c>
    </row>
    <row r="343" spans="1:8">
      <c r="A343" s="125"/>
      <c r="B343" s="841" t="str">
        <f>MATERIALES2!C413</f>
        <v>CANALETA 90 DE 3.75 M</v>
      </c>
      <c r="C343" s="842"/>
      <c r="D343" s="87" t="s">
        <v>865</v>
      </c>
      <c r="E343" s="81">
        <v>0.31</v>
      </c>
      <c r="F343" s="80">
        <f>MATERIALES2!E413</f>
        <v>100073</v>
      </c>
      <c r="G343" s="110">
        <f>ROUND(E343*F343,0)</f>
        <v>31023</v>
      </c>
    </row>
    <row r="344" spans="1:8">
      <c r="A344" s="123"/>
      <c r="B344" s="854" t="str">
        <f>MATERIALES2!C430</f>
        <v>TORNILLO FIJACION CANALETA 90</v>
      </c>
      <c r="C344" s="855"/>
      <c r="D344" s="37" t="s">
        <v>865</v>
      </c>
      <c r="E344" s="83">
        <v>0.63</v>
      </c>
      <c r="F344" s="82">
        <f>MATERIALES2!E430</f>
        <v>1021</v>
      </c>
      <c r="G344" s="111">
        <f>ROUND(E344*F344,0)</f>
        <v>643</v>
      </c>
    </row>
    <row r="345" spans="1:8">
      <c r="A345" s="95"/>
      <c r="B345" s="854" t="str">
        <f>MATERIALES2!C306</f>
        <v>JUNTAS (IGAS GRIS)</v>
      </c>
      <c r="C345" s="855"/>
      <c r="D345" s="37" t="s">
        <v>925</v>
      </c>
      <c r="E345" s="53">
        <v>0.17</v>
      </c>
      <c r="F345" s="82">
        <f>MATERIALES2!E306</f>
        <v>7800</v>
      </c>
      <c r="G345" s="111">
        <f>ROUND(E345*F345,0)</f>
        <v>1326</v>
      </c>
    </row>
    <row r="346" spans="1:8">
      <c r="A346" s="95"/>
      <c r="B346" s="854" t="str">
        <f>MATERIALES2!C431</f>
        <v>TORNILLO DE ALA CANALETA 90</v>
      </c>
      <c r="C346" s="855"/>
      <c r="D346" s="37" t="s">
        <v>865</v>
      </c>
      <c r="E346" s="53">
        <v>0.93</v>
      </c>
      <c r="F346" s="82">
        <f>MATERIALES2!E431</f>
        <v>749</v>
      </c>
      <c r="G346" s="111">
        <f>ROUND(E346*F346,0)</f>
        <v>697</v>
      </c>
    </row>
    <row r="347" spans="1:8">
      <c r="A347" s="95"/>
      <c r="B347" s="854"/>
      <c r="C347" s="855"/>
      <c r="D347" s="37"/>
      <c r="E347" s="53"/>
      <c r="F347" s="82"/>
      <c r="G347" s="111"/>
    </row>
    <row r="348" spans="1:8">
      <c r="A348" s="95"/>
      <c r="B348" s="854"/>
      <c r="C348" s="855"/>
      <c r="D348" s="37"/>
      <c r="E348" s="53"/>
      <c r="F348" s="82"/>
      <c r="G348" s="111"/>
    </row>
    <row r="349" spans="1:8">
      <c r="A349" s="95"/>
      <c r="B349" s="854"/>
      <c r="C349" s="855"/>
      <c r="D349" s="37"/>
      <c r="E349" s="53"/>
      <c r="F349" s="82"/>
      <c r="G349" s="111"/>
    </row>
    <row r="350" spans="1:8">
      <c r="A350" s="95"/>
      <c r="B350" s="938" t="s">
        <v>841</v>
      </c>
      <c r="C350" s="939"/>
      <c r="D350" s="53" t="s">
        <v>841</v>
      </c>
      <c r="E350" s="53"/>
      <c r="F350" s="82"/>
      <c r="G350" s="111"/>
      <c r="H350" s="505" t="s">
        <v>1670</v>
      </c>
    </row>
    <row r="351" spans="1:8" ht="13.5" thickBot="1">
      <c r="A351" s="95"/>
      <c r="B351" s="942" t="s">
        <v>841</v>
      </c>
      <c r="C351" s="943"/>
      <c r="D351" s="84" t="s">
        <v>841</v>
      </c>
      <c r="E351" s="84"/>
      <c r="F351" s="85"/>
      <c r="G351" s="112"/>
    </row>
    <row r="352" spans="1:8" ht="13.5" thickTop="1">
      <c r="A352" s="95"/>
      <c r="B352" s="808"/>
      <c r="C352" s="809"/>
      <c r="D352" s="801" t="s">
        <v>856</v>
      </c>
      <c r="E352" s="802"/>
      <c r="F352" s="9"/>
      <c r="G352" s="113">
        <f>SUM(G343:G351)</f>
        <v>33689</v>
      </c>
    </row>
    <row r="353" spans="1:7">
      <c r="A353" s="95"/>
      <c r="B353" s="819"/>
      <c r="C353" s="820"/>
      <c r="D353" s="801" t="s">
        <v>857</v>
      </c>
      <c r="E353" s="802"/>
      <c r="F353" s="79">
        <f>'MANO DE OBRA'!D60</f>
        <v>0.05</v>
      </c>
      <c r="G353" s="113">
        <f>ROUND(G352*F353,0)</f>
        <v>1684</v>
      </c>
    </row>
    <row r="354" spans="1:7" ht="13.5" thickBot="1">
      <c r="A354" s="95"/>
      <c r="B354" s="819"/>
      <c r="C354" s="820"/>
      <c r="D354" s="803" t="s">
        <v>320</v>
      </c>
      <c r="E354" s="804"/>
      <c r="F354" s="114"/>
      <c r="G354" s="118">
        <f>+G352+G353</f>
        <v>35373</v>
      </c>
    </row>
    <row r="355" spans="1:7" ht="14.25" thickTop="1" thickBot="1">
      <c r="A355" s="95"/>
      <c r="B355" s="830"/>
      <c r="C355" s="830"/>
      <c r="D355" s="830"/>
      <c r="E355" s="830"/>
      <c r="F355" s="830"/>
      <c r="G355" s="830"/>
    </row>
    <row r="356" spans="1:7" ht="13.5" thickTop="1">
      <c r="A356" s="95"/>
      <c r="B356" s="811" t="s">
        <v>858</v>
      </c>
      <c r="C356" s="812"/>
      <c r="D356" s="812"/>
      <c r="E356" s="812"/>
      <c r="F356" s="812"/>
      <c r="G356" s="825"/>
    </row>
    <row r="357" spans="1:7">
      <c r="A357" s="95"/>
      <c r="B357" s="817"/>
      <c r="C357" s="818"/>
      <c r="D357" s="98" t="s">
        <v>301</v>
      </c>
      <c r="E357" s="98" t="s">
        <v>859</v>
      </c>
      <c r="F357" s="99" t="s">
        <v>839</v>
      </c>
      <c r="G357" s="107" t="s">
        <v>840</v>
      </c>
    </row>
    <row r="358" spans="1:7">
      <c r="A358" s="95"/>
      <c r="B358" s="821" t="s">
        <v>838</v>
      </c>
      <c r="C358" s="822"/>
      <c r="D358" s="100" t="s">
        <v>316</v>
      </c>
      <c r="E358" s="100" t="s">
        <v>315</v>
      </c>
      <c r="F358" s="101" t="s">
        <v>306</v>
      </c>
      <c r="G358" s="108" t="s">
        <v>319</v>
      </c>
    </row>
    <row r="359" spans="1:7">
      <c r="A359" s="95"/>
      <c r="B359" s="115"/>
      <c r="C359" s="102"/>
      <c r="D359" s="103"/>
      <c r="E359" s="103" t="s">
        <v>317</v>
      </c>
      <c r="F359" s="104" t="s">
        <v>318</v>
      </c>
      <c r="G359" s="109"/>
    </row>
    <row r="360" spans="1:7">
      <c r="A360" s="95"/>
      <c r="B360" s="823" t="str">
        <f>'MANO DE OBRA'!B10</f>
        <v>AYUDANTE CUAD. TIPO AA</v>
      </c>
      <c r="C360" s="824"/>
      <c r="D360" s="87">
        <v>1</v>
      </c>
      <c r="E360" s="80">
        <f>'MANO DE OBRA'!E10</f>
        <v>34680</v>
      </c>
      <c r="F360" s="81">
        <v>10.67</v>
      </c>
      <c r="G360" s="110">
        <f>ROUND(D360*E360/F360,0)</f>
        <v>3250</v>
      </c>
    </row>
    <row r="361" spans="1:7">
      <c r="A361" s="95"/>
      <c r="B361" s="835" t="str">
        <f>'MANO DE OBRA'!B15</f>
        <v xml:space="preserve">OFICIAL CUAD. TIPO AA </v>
      </c>
      <c r="C361" s="836"/>
      <c r="D361" s="37">
        <v>1</v>
      </c>
      <c r="E361" s="82">
        <f>'MANO DE OBRA'!E15</f>
        <v>71474</v>
      </c>
      <c r="F361" s="83">
        <v>10.67</v>
      </c>
      <c r="G361" s="111">
        <f>ROUND(D361*E361/F361,0)</f>
        <v>6699</v>
      </c>
    </row>
    <row r="362" spans="1:7">
      <c r="A362" s="95"/>
      <c r="B362" s="835"/>
      <c r="C362" s="836"/>
      <c r="D362" s="89"/>
      <c r="E362" s="82"/>
      <c r="F362" s="83"/>
      <c r="G362" s="111"/>
    </row>
    <row r="363" spans="1:7">
      <c r="A363" s="95"/>
      <c r="B363" s="835" t="s">
        <v>841</v>
      </c>
      <c r="C363" s="836"/>
      <c r="D363" s="37"/>
      <c r="E363" s="82"/>
      <c r="F363" s="83"/>
      <c r="G363" s="111"/>
    </row>
    <row r="364" spans="1:7" ht="13.5" thickBot="1">
      <c r="A364" s="95"/>
      <c r="B364" s="828" t="s">
        <v>841</v>
      </c>
      <c r="C364" s="829"/>
      <c r="D364" s="77"/>
      <c r="E364" s="82"/>
      <c r="F364" s="86"/>
      <c r="G364" s="112"/>
    </row>
    <row r="365" spans="1:7" ht="14.25" thickTop="1" thickBot="1">
      <c r="A365" s="95"/>
      <c r="B365" s="808"/>
      <c r="C365" s="808"/>
      <c r="D365" s="808"/>
      <c r="E365" s="809"/>
      <c r="F365" s="120" t="s">
        <v>856</v>
      </c>
      <c r="G365" s="118">
        <f>SUM(G360:G364)</f>
        <v>9949</v>
      </c>
    </row>
    <row r="366" spans="1:7" ht="14.25" thickTop="1" thickBot="1">
      <c r="A366" s="95"/>
      <c r="B366" s="810"/>
      <c r="C366" s="810"/>
      <c r="D366" s="810"/>
      <c r="E366" s="810"/>
      <c r="F366" s="810"/>
      <c r="G366" s="810"/>
    </row>
    <row r="367" spans="1:7" ht="13.5" thickTop="1">
      <c r="A367" s="95"/>
      <c r="B367" s="811" t="s">
        <v>321</v>
      </c>
      <c r="C367" s="812"/>
      <c r="D367" s="812"/>
      <c r="E367" s="812"/>
      <c r="F367" s="812"/>
      <c r="G367" s="825"/>
    </row>
    <row r="368" spans="1:7">
      <c r="A368" s="95"/>
      <c r="B368" s="817" t="s">
        <v>838</v>
      </c>
      <c r="C368" s="818"/>
      <c r="D368" s="98" t="s">
        <v>301</v>
      </c>
      <c r="E368" s="98" t="s">
        <v>297</v>
      </c>
      <c r="F368" s="99" t="s">
        <v>839</v>
      </c>
      <c r="G368" s="107" t="s">
        <v>840</v>
      </c>
    </row>
    <row r="369" spans="1:8">
      <c r="A369" s="95"/>
      <c r="B369" s="115"/>
      <c r="C369" s="102"/>
      <c r="D369" s="103" t="s">
        <v>322</v>
      </c>
      <c r="E369" s="103" t="s">
        <v>323</v>
      </c>
      <c r="F369" s="104" t="s">
        <v>324</v>
      </c>
      <c r="G369" s="109" t="s">
        <v>325</v>
      </c>
    </row>
    <row r="370" spans="1:8">
      <c r="A370" s="95"/>
      <c r="B370" s="826"/>
      <c r="C370" s="827"/>
      <c r="D370" s="96"/>
      <c r="E370" s="96"/>
      <c r="F370" s="96"/>
      <c r="G370" s="116"/>
    </row>
    <row r="371" spans="1:8" ht="13.5" thickBot="1">
      <c r="A371" s="95"/>
      <c r="B371" s="828" t="s">
        <v>841</v>
      </c>
      <c r="C371" s="829"/>
      <c r="D371" s="77"/>
      <c r="E371" s="82"/>
      <c r="F371" s="86"/>
      <c r="G371" s="112"/>
    </row>
    <row r="372" spans="1:8" ht="14.25" thickTop="1" thickBot="1">
      <c r="A372" s="95"/>
      <c r="B372" s="808"/>
      <c r="C372" s="808"/>
      <c r="D372" s="808"/>
      <c r="E372" s="809"/>
      <c r="F372" s="120" t="s">
        <v>856</v>
      </c>
      <c r="G372" s="118">
        <f>SUM(G367:G371)</f>
        <v>0</v>
      </c>
    </row>
    <row r="373" spans="1:8" ht="14.25" thickTop="1" thickBot="1">
      <c r="A373" s="95"/>
      <c r="B373" s="810"/>
      <c r="C373" s="810"/>
      <c r="D373" s="810"/>
      <c r="E373" s="810"/>
      <c r="F373" s="810"/>
      <c r="G373" s="834"/>
    </row>
    <row r="374" spans="1:8" ht="13.5" thickTop="1">
      <c r="A374" s="95"/>
      <c r="B374" s="811" t="s">
        <v>326</v>
      </c>
      <c r="C374" s="812"/>
      <c r="D374" s="812"/>
      <c r="E374" s="812"/>
      <c r="F374" s="813"/>
      <c r="G374" s="121">
        <f>+G338+G354+G365</f>
        <v>46232</v>
      </c>
    </row>
    <row r="375" spans="1:8">
      <c r="A375" s="95"/>
      <c r="B375" s="814" t="s">
        <v>861</v>
      </c>
      <c r="C375" s="815"/>
      <c r="D375" s="815"/>
      <c r="E375" s="816"/>
      <c r="F375" s="128">
        <f>'MANO DE OBRA'!D59</f>
        <v>0</v>
      </c>
      <c r="G375" s="122">
        <f>ROUND(G374*F375,0)</f>
        <v>0</v>
      </c>
    </row>
    <row r="376" spans="1:8" ht="13.5" thickBot="1">
      <c r="A376" s="95"/>
      <c r="B376" s="805" t="s">
        <v>1049</v>
      </c>
      <c r="C376" s="806"/>
      <c r="D376" s="806"/>
      <c r="E376" s="806"/>
      <c r="F376" s="807"/>
      <c r="G376" s="118">
        <f>ROUND(G374+G375,-2)</f>
        <v>46200</v>
      </c>
      <c r="H376" s="505" t="s">
        <v>1670</v>
      </c>
    </row>
    <row r="377" spans="1:8" ht="15" thickTop="1">
      <c r="A377" s="95"/>
      <c r="B377" s="90" t="s">
        <v>303</v>
      </c>
      <c r="C377" s="843"/>
      <c r="D377" s="843"/>
      <c r="E377" s="843"/>
      <c r="F377" s="92" t="s">
        <v>781</v>
      </c>
      <c r="G377" s="93" t="s">
        <v>1067</v>
      </c>
    </row>
    <row r="378" spans="1:8">
      <c r="A378" s="95"/>
      <c r="B378" s="91" t="s">
        <v>834</v>
      </c>
      <c r="C378" s="844" t="s">
        <v>1408</v>
      </c>
      <c r="D378" s="844"/>
      <c r="E378" s="844"/>
      <c r="F378" s="15" t="s">
        <v>833</v>
      </c>
      <c r="G378" s="165" t="str">
        <f>'MANO DE OBRA'!D61</f>
        <v>Agosto de 2010</v>
      </c>
    </row>
    <row r="379" spans="1:8" ht="13.5" thickBot="1">
      <c r="A379" s="127"/>
      <c r="B379" s="94" t="s">
        <v>835</v>
      </c>
      <c r="C379" s="845" t="s">
        <v>488</v>
      </c>
      <c r="D379" s="845"/>
      <c r="E379" s="845"/>
      <c r="F379" s="845"/>
      <c r="G379" s="846"/>
    </row>
    <row r="380" spans="1:8" ht="14.25" thickTop="1" thickBot="1">
      <c r="A380" s="95"/>
      <c r="B380" s="847" t="s">
        <v>1409</v>
      </c>
      <c r="C380" s="847"/>
      <c r="D380" s="847"/>
      <c r="E380" s="847"/>
      <c r="F380" s="847"/>
      <c r="G380" s="847"/>
    </row>
    <row r="381" spans="1:8" ht="13.5" thickTop="1">
      <c r="A381" s="95"/>
      <c r="B381" s="811" t="s">
        <v>304</v>
      </c>
      <c r="C381" s="812"/>
      <c r="D381" s="812"/>
      <c r="E381" s="812"/>
      <c r="F381" s="812"/>
      <c r="G381" s="825"/>
    </row>
    <row r="382" spans="1:8">
      <c r="A382" s="95"/>
      <c r="B382" s="105"/>
      <c r="C382" s="97"/>
      <c r="D382" s="98" t="s">
        <v>301</v>
      </c>
      <c r="E382" s="98" t="s">
        <v>1072</v>
      </c>
      <c r="F382" s="99" t="s">
        <v>839</v>
      </c>
      <c r="G382" s="107" t="s">
        <v>840</v>
      </c>
    </row>
    <row r="383" spans="1:8">
      <c r="A383" s="95"/>
      <c r="B383" s="821" t="s">
        <v>838</v>
      </c>
      <c r="C383" s="822"/>
      <c r="D383" s="100" t="s">
        <v>308</v>
      </c>
      <c r="E383" s="100" t="s">
        <v>305</v>
      </c>
      <c r="F383" s="101" t="s">
        <v>306</v>
      </c>
      <c r="G383" s="108" t="s">
        <v>310</v>
      </c>
    </row>
    <row r="384" spans="1:8">
      <c r="A384" s="95"/>
      <c r="B384" s="115"/>
      <c r="C384" s="102"/>
      <c r="D384" s="103"/>
      <c r="E384" s="103" t="s">
        <v>309</v>
      </c>
      <c r="F384" s="104" t="s">
        <v>307</v>
      </c>
      <c r="G384" s="109"/>
    </row>
    <row r="385" spans="1:7">
      <c r="A385" s="127"/>
      <c r="B385" s="823" t="str">
        <f>'MAQUINARIA Y EQUIPOS'!C28</f>
        <v>HERRAMIENTAS MENORES</v>
      </c>
      <c r="C385" s="824"/>
      <c r="D385" s="87">
        <v>1</v>
      </c>
      <c r="E385" s="82">
        <f>ROUND(G418*0.05,0)</f>
        <v>497</v>
      </c>
      <c r="F385" s="81">
        <v>1</v>
      </c>
      <c r="G385" s="110">
        <f>ROUND(D385*E385/F385,0)</f>
        <v>497</v>
      </c>
    </row>
    <row r="386" spans="1:7">
      <c r="A386" s="95"/>
      <c r="B386" s="835" t="str">
        <f>'MAQUINARIA Y EQUIPOS'!C9</f>
        <v>ANDAMIO TUBULAR 1.50 m</v>
      </c>
      <c r="C386" s="836"/>
      <c r="D386" s="37">
        <v>4</v>
      </c>
      <c r="E386" s="129">
        <f>'MAQUINARIA Y EQUIPOS'!D9</f>
        <v>754</v>
      </c>
      <c r="F386" s="83">
        <v>10.67</v>
      </c>
      <c r="G386" s="111">
        <f>ROUND(D386*E386/F386,0)</f>
        <v>283</v>
      </c>
    </row>
    <row r="387" spans="1:7">
      <c r="A387" s="95"/>
      <c r="B387" s="835" t="str">
        <f>'MAQUINARIA Y EQUIPOS'!C47</f>
        <v>TABLONES 3m</v>
      </c>
      <c r="C387" s="836"/>
      <c r="D387" s="37">
        <v>4</v>
      </c>
      <c r="E387" s="129">
        <f>'MAQUINARIA Y EQUIPOS'!D47</f>
        <v>348</v>
      </c>
      <c r="F387" s="83">
        <v>10.67</v>
      </c>
      <c r="G387" s="111">
        <f>ROUND(D387*E387/F387,0)</f>
        <v>130</v>
      </c>
    </row>
    <row r="388" spans="1:7">
      <c r="A388" s="95"/>
      <c r="B388" s="835"/>
      <c r="C388" s="836"/>
      <c r="D388" s="89"/>
      <c r="E388" s="82"/>
      <c r="F388" s="83"/>
      <c r="G388" s="111"/>
    </row>
    <row r="389" spans="1:7">
      <c r="A389" s="95"/>
      <c r="B389" s="835" t="s">
        <v>841</v>
      </c>
      <c r="C389" s="836"/>
      <c r="D389" s="37"/>
      <c r="E389" s="82"/>
      <c r="F389" s="83"/>
      <c r="G389" s="111"/>
    </row>
    <row r="390" spans="1:7" ht="13.5" thickBot="1">
      <c r="A390" s="95"/>
      <c r="B390" s="839" t="s">
        <v>841</v>
      </c>
      <c r="C390" s="840"/>
      <c r="D390" s="77"/>
      <c r="E390" s="106"/>
      <c r="F390" s="86"/>
      <c r="G390" s="112"/>
    </row>
    <row r="391" spans="1:7" ht="14.25" thickTop="1" thickBot="1">
      <c r="A391" s="95"/>
      <c r="B391" s="808"/>
      <c r="C391" s="808"/>
      <c r="D391" s="808"/>
      <c r="E391" s="809"/>
      <c r="F391" s="119" t="s">
        <v>856</v>
      </c>
      <c r="G391" s="118">
        <f>SUM(G385:G390)</f>
        <v>910</v>
      </c>
    </row>
    <row r="392" spans="1:7" ht="14.25" thickTop="1" thickBot="1">
      <c r="A392" s="95"/>
      <c r="B392" s="830"/>
      <c r="C392" s="830"/>
      <c r="D392" s="830"/>
      <c r="E392" s="830"/>
      <c r="F392" s="830"/>
      <c r="G392" s="830"/>
    </row>
    <row r="393" spans="1:7" ht="13.5" thickTop="1">
      <c r="A393" s="95"/>
      <c r="B393" s="811" t="s">
        <v>311</v>
      </c>
      <c r="C393" s="812"/>
      <c r="D393" s="812"/>
      <c r="E393" s="812"/>
      <c r="F393" s="812"/>
      <c r="G393" s="825"/>
    </row>
    <row r="394" spans="1:7">
      <c r="A394" s="95"/>
      <c r="B394" s="817" t="s">
        <v>838</v>
      </c>
      <c r="C394" s="818"/>
      <c r="D394" s="98" t="s">
        <v>842</v>
      </c>
      <c r="E394" s="98" t="s">
        <v>853</v>
      </c>
      <c r="F394" s="99" t="s">
        <v>1047</v>
      </c>
      <c r="G394" s="107" t="s">
        <v>840</v>
      </c>
    </row>
    <row r="395" spans="1:7">
      <c r="A395" s="95"/>
      <c r="B395" s="115"/>
      <c r="C395" s="102"/>
      <c r="D395" s="100"/>
      <c r="E395" s="100" t="s">
        <v>312</v>
      </c>
      <c r="F395" s="101" t="s">
        <v>313</v>
      </c>
      <c r="G395" s="108" t="s">
        <v>314</v>
      </c>
    </row>
    <row r="396" spans="1:7">
      <c r="A396" s="125"/>
      <c r="B396" s="841" t="str">
        <f>MATERIALES2!C414</f>
        <v>CANALETA 90 DE 4.50 M</v>
      </c>
      <c r="C396" s="842"/>
      <c r="D396" s="87" t="s">
        <v>865</v>
      </c>
      <c r="E396" s="81">
        <v>0.26</v>
      </c>
      <c r="F396" s="80">
        <f>MATERIALES2!E414</f>
        <v>120002</v>
      </c>
      <c r="G396" s="110">
        <f>ROUND(E396*F396,0)</f>
        <v>31201</v>
      </c>
    </row>
    <row r="397" spans="1:7">
      <c r="A397" s="123"/>
      <c r="B397" s="854" t="str">
        <f>MATERIALES2!C430</f>
        <v>TORNILLO FIJACION CANALETA 90</v>
      </c>
      <c r="C397" s="855"/>
      <c r="D397" s="37" t="s">
        <v>865</v>
      </c>
      <c r="E397" s="83">
        <v>0.52</v>
      </c>
      <c r="F397" s="82">
        <f>MATERIALES2!E430</f>
        <v>1021</v>
      </c>
      <c r="G397" s="111">
        <f>ROUND(E397*F397,0)</f>
        <v>531</v>
      </c>
    </row>
    <row r="398" spans="1:7">
      <c r="A398" s="95"/>
      <c r="B398" s="854" t="str">
        <f>MATERIALES2!C306</f>
        <v>JUNTAS (IGAS GRIS)</v>
      </c>
      <c r="C398" s="855"/>
      <c r="D398" s="37" t="s">
        <v>925</v>
      </c>
      <c r="E398" s="53">
        <v>0.17</v>
      </c>
      <c r="F398" s="82">
        <f>MATERIALES2!E306</f>
        <v>7800</v>
      </c>
      <c r="G398" s="111">
        <f>ROUND(E398*F398,0)</f>
        <v>1326</v>
      </c>
    </row>
    <row r="399" spans="1:7">
      <c r="A399" s="95"/>
      <c r="B399" s="854" t="str">
        <f>MATERIALES2!C431</f>
        <v>TORNILLO DE ALA CANALETA 90</v>
      </c>
      <c r="C399" s="855"/>
      <c r="D399" s="37" t="s">
        <v>865</v>
      </c>
      <c r="E399" s="53">
        <v>0.78</v>
      </c>
      <c r="F399" s="82">
        <f>MATERIALES2!E431</f>
        <v>749</v>
      </c>
      <c r="G399" s="111">
        <f>ROUND(E399*F399,0)</f>
        <v>584</v>
      </c>
    </row>
    <row r="400" spans="1:7">
      <c r="A400" s="95"/>
      <c r="B400" s="854"/>
      <c r="C400" s="855"/>
      <c r="D400" s="37"/>
      <c r="E400" s="53"/>
      <c r="F400" s="82"/>
      <c r="G400" s="111"/>
    </row>
    <row r="401" spans="1:8">
      <c r="A401" s="95"/>
      <c r="B401" s="854"/>
      <c r="C401" s="855"/>
      <c r="D401" s="37"/>
      <c r="E401" s="53"/>
      <c r="F401" s="82"/>
      <c r="G401" s="111"/>
    </row>
    <row r="402" spans="1:8">
      <c r="A402" s="95"/>
      <c r="B402" s="854"/>
      <c r="C402" s="855"/>
      <c r="D402" s="37"/>
      <c r="E402" s="53"/>
      <c r="F402" s="82"/>
      <c r="G402" s="111"/>
    </row>
    <row r="403" spans="1:8">
      <c r="A403" s="95"/>
      <c r="B403" s="938" t="s">
        <v>841</v>
      </c>
      <c r="C403" s="939"/>
      <c r="D403" s="53" t="s">
        <v>841</v>
      </c>
      <c r="E403" s="53"/>
      <c r="F403" s="82"/>
      <c r="G403" s="111"/>
      <c r="H403" s="505" t="s">
        <v>1670</v>
      </c>
    </row>
    <row r="404" spans="1:8" ht="13.5" thickBot="1">
      <c r="A404" s="95"/>
      <c r="B404" s="942" t="s">
        <v>841</v>
      </c>
      <c r="C404" s="943"/>
      <c r="D404" s="84" t="s">
        <v>841</v>
      </c>
      <c r="E404" s="84"/>
      <c r="F404" s="85"/>
      <c r="G404" s="112"/>
    </row>
    <row r="405" spans="1:8" ht="13.5" thickTop="1">
      <c r="A405" s="95"/>
      <c r="B405" s="808"/>
      <c r="C405" s="809"/>
      <c r="D405" s="801" t="s">
        <v>856</v>
      </c>
      <c r="E405" s="802"/>
      <c r="F405" s="9"/>
      <c r="G405" s="113">
        <f>SUM(G396:G404)</f>
        <v>33642</v>
      </c>
    </row>
    <row r="406" spans="1:8">
      <c r="A406" s="95"/>
      <c r="B406" s="819"/>
      <c r="C406" s="820"/>
      <c r="D406" s="801" t="s">
        <v>857</v>
      </c>
      <c r="E406" s="802"/>
      <c r="F406" s="79">
        <f>'MANO DE OBRA'!D60</f>
        <v>0.05</v>
      </c>
      <c r="G406" s="113">
        <f>ROUND(G405*F406,0)</f>
        <v>1682</v>
      </c>
    </row>
    <row r="407" spans="1:8" ht="13.5" thickBot="1">
      <c r="A407" s="95"/>
      <c r="B407" s="819"/>
      <c r="C407" s="820"/>
      <c r="D407" s="803" t="s">
        <v>320</v>
      </c>
      <c r="E407" s="804"/>
      <c r="F407" s="114"/>
      <c r="G407" s="118">
        <f>+G405+G406</f>
        <v>35324</v>
      </c>
    </row>
    <row r="408" spans="1:8" ht="14.25" thickTop="1" thickBot="1">
      <c r="A408" s="95"/>
      <c r="B408" s="830"/>
      <c r="C408" s="830"/>
      <c r="D408" s="830"/>
      <c r="E408" s="830"/>
      <c r="F408" s="830"/>
      <c r="G408" s="830"/>
    </row>
    <row r="409" spans="1:8" ht="13.5" thickTop="1">
      <c r="A409" s="95"/>
      <c r="B409" s="811" t="s">
        <v>858</v>
      </c>
      <c r="C409" s="812"/>
      <c r="D409" s="812"/>
      <c r="E409" s="812"/>
      <c r="F409" s="812"/>
      <c r="G409" s="825"/>
    </row>
    <row r="410" spans="1:8">
      <c r="A410" s="95"/>
      <c r="B410" s="817"/>
      <c r="C410" s="818"/>
      <c r="D410" s="98" t="s">
        <v>301</v>
      </c>
      <c r="E410" s="98" t="s">
        <v>859</v>
      </c>
      <c r="F410" s="99" t="s">
        <v>839</v>
      </c>
      <c r="G410" s="107" t="s">
        <v>840</v>
      </c>
    </row>
    <row r="411" spans="1:8">
      <c r="A411" s="95"/>
      <c r="B411" s="821" t="s">
        <v>838</v>
      </c>
      <c r="C411" s="822"/>
      <c r="D411" s="100" t="s">
        <v>316</v>
      </c>
      <c r="E411" s="100" t="s">
        <v>315</v>
      </c>
      <c r="F411" s="101" t="s">
        <v>306</v>
      </c>
      <c r="G411" s="108" t="s">
        <v>319</v>
      </c>
    </row>
    <row r="412" spans="1:8">
      <c r="A412" s="95"/>
      <c r="B412" s="115"/>
      <c r="C412" s="102"/>
      <c r="D412" s="103"/>
      <c r="E412" s="103" t="s">
        <v>317</v>
      </c>
      <c r="F412" s="104" t="s">
        <v>318</v>
      </c>
      <c r="G412" s="109"/>
    </row>
    <row r="413" spans="1:8">
      <c r="A413" s="95"/>
      <c r="B413" s="823" t="str">
        <f>'MANO DE OBRA'!B10</f>
        <v>AYUDANTE CUAD. TIPO AA</v>
      </c>
      <c r="C413" s="824"/>
      <c r="D413" s="87">
        <v>1</v>
      </c>
      <c r="E413" s="80">
        <f>'MANO DE OBRA'!E10</f>
        <v>34680</v>
      </c>
      <c r="F413" s="81">
        <v>10.67</v>
      </c>
      <c r="G413" s="110">
        <f>ROUND(D413*E413/F413,0)</f>
        <v>3250</v>
      </c>
    </row>
    <row r="414" spans="1:8">
      <c r="A414" s="95"/>
      <c r="B414" s="835" t="str">
        <f>'MANO DE OBRA'!B15</f>
        <v xml:space="preserve">OFICIAL CUAD. TIPO AA </v>
      </c>
      <c r="C414" s="836"/>
      <c r="D414" s="37">
        <v>1</v>
      </c>
      <c r="E414" s="82">
        <f>'MANO DE OBRA'!E15</f>
        <v>71474</v>
      </c>
      <c r="F414" s="83">
        <v>10.67</v>
      </c>
      <c r="G414" s="111">
        <f>ROUND(D414*E414/F414,0)</f>
        <v>6699</v>
      </c>
    </row>
    <row r="415" spans="1:8">
      <c r="A415" s="95"/>
      <c r="B415" s="835"/>
      <c r="C415" s="836"/>
      <c r="D415" s="89"/>
      <c r="E415" s="82"/>
      <c r="F415" s="83"/>
      <c r="G415" s="111"/>
    </row>
    <row r="416" spans="1:8">
      <c r="A416" s="95"/>
      <c r="B416" s="835" t="s">
        <v>841</v>
      </c>
      <c r="C416" s="836"/>
      <c r="D416" s="37"/>
      <c r="E416" s="82"/>
      <c r="F416" s="83"/>
      <c r="G416" s="111"/>
    </row>
    <row r="417" spans="1:8" ht="13.5" thickBot="1">
      <c r="A417" s="95"/>
      <c r="B417" s="828" t="s">
        <v>841</v>
      </c>
      <c r="C417" s="829"/>
      <c r="D417" s="77"/>
      <c r="E417" s="82"/>
      <c r="F417" s="86"/>
      <c r="G417" s="112"/>
    </row>
    <row r="418" spans="1:8" ht="14.25" thickTop="1" thickBot="1">
      <c r="A418" s="95"/>
      <c r="B418" s="808"/>
      <c r="C418" s="808"/>
      <c r="D418" s="808"/>
      <c r="E418" s="809"/>
      <c r="F418" s="120" t="s">
        <v>856</v>
      </c>
      <c r="G418" s="118">
        <f>SUM(G413:G417)</f>
        <v>9949</v>
      </c>
    </row>
    <row r="419" spans="1:8" ht="14.25" thickTop="1" thickBot="1">
      <c r="A419" s="95"/>
      <c r="B419" s="810"/>
      <c r="C419" s="810"/>
      <c r="D419" s="810"/>
      <c r="E419" s="810"/>
      <c r="F419" s="810"/>
      <c r="G419" s="810"/>
    </row>
    <row r="420" spans="1:8" ht="13.5" thickTop="1">
      <c r="A420" s="95"/>
      <c r="B420" s="811" t="s">
        <v>321</v>
      </c>
      <c r="C420" s="812"/>
      <c r="D420" s="812"/>
      <c r="E420" s="812"/>
      <c r="F420" s="812"/>
      <c r="G420" s="825"/>
    </row>
    <row r="421" spans="1:8">
      <c r="A421" s="95"/>
      <c r="B421" s="817" t="s">
        <v>838</v>
      </c>
      <c r="C421" s="818"/>
      <c r="D421" s="98" t="s">
        <v>301</v>
      </c>
      <c r="E421" s="98" t="s">
        <v>297</v>
      </c>
      <c r="F421" s="99" t="s">
        <v>839</v>
      </c>
      <c r="G421" s="107" t="s">
        <v>840</v>
      </c>
    </row>
    <row r="422" spans="1:8">
      <c r="A422" s="95"/>
      <c r="B422" s="115"/>
      <c r="C422" s="102"/>
      <c r="D422" s="103" t="s">
        <v>322</v>
      </c>
      <c r="E422" s="103" t="s">
        <v>323</v>
      </c>
      <c r="F422" s="104" t="s">
        <v>324</v>
      </c>
      <c r="G422" s="109" t="s">
        <v>325</v>
      </c>
    </row>
    <row r="423" spans="1:8">
      <c r="A423" s="95"/>
      <c r="B423" s="826"/>
      <c r="C423" s="827"/>
      <c r="D423" s="96"/>
      <c r="E423" s="96"/>
      <c r="F423" s="96"/>
      <c r="G423" s="116"/>
    </row>
    <row r="424" spans="1:8" ht="13.5" thickBot="1">
      <c r="A424" s="95"/>
      <c r="B424" s="828" t="s">
        <v>841</v>
      </c>
      <c r="C424" s="829"/>
      <c r="D424" s="77"/>
      <c r="E424" s="82"/>
      <c r="F424" s="86"/>
      <c r="G424" s="112"/>
    </row>
    <row r="425" spans="1:8" ht="14.25" thickTop="1" thickBot="1">
      <c r="A425" s="95"/>
      <c r="B425" s="808"/>
      <c r="C425" s="808"/>
      <c r="D425" s="808"/>
      <c r="E425" s="809"/>
      <c r="F425" s="120" t="s">
        <v>856</v>
      </c>
      <c r="G425" s="118">
        <f>SUM(G420:G424)</f>
        <v>0</v>
      </c>
    </row>
    <row r="426" spans="1:8" ht="14.25" thickTop="1" thickBot="1">
      <c r="A426" s="95"/>
      <c r="B426" s="810"/>
      <c r="C426" s="810"/>
      <c r="D426" s="810"/>
      <c r="E426" s="810"/>
      <c r="F426" s="810"/>
      <c r="G426" s="834"/>
    </row>
    <row r="427" spans="1:8" ht="13.5" thickTop="1">
      <c r="A427" s="95"/>
      <c r="B427" s="811" t="s">
        <v>326</v>
      </c>
      <c r="C427" s="812"/>
      <c r="D427" s="812"/>
      <c r="E427" s="812"/>
      <c r="F427" s="813"/>
      <c r="G427" s="121">
        <f>+G391+G407+G418</f>
        <v>46183</v>
      </c>
    </row>
    <row r="428" spans="1:8">
      <c r="A428" s="95"/>
      <c r="B428" s="814" t="s">
        <v>861</v>
      </c>
      <c r="C428" s="815"/>
      <c r="D428" s="815"/>
      <c r="E428" s="816"/>
      <c r="F428" s="128">
        <f>'MANO DE OBRA'!D59</f>
        <v>0</v>
      </c>
      <c r="G428" s="122">
        <f>ROUND(G427*F428,0)</f>
        <v>0</v>
      </c>
    </row>
    <row r="429" spans="1:8" ht="13.5" thickBot="1">
      <c r="A429" s="95"/>
      <c r="B429" s="805" t="s">
        <v>1049</v>
      </c>
      <c r="C429" s="806"/>
      <c r="D429" s="806"/>
      <c r="E429" s="806"/>
      <c r="F429" s="807"/>
      <c r="G429" s="118">
        <f>ROUND(G427+G428,-2)</f>
        <v>46200</v>
      </c>
      <c r="H429" s="505" t="s">
        <v>1670</v>
      </c>
    </row>
    <row r="430" spans="1:8" ht="15" thickTop="1">
      <c r="A430" s="95"/>
      <c r="B430" s="90" t="s">
        <v>303</v>
      </c>
      <c r="C430" s="843"/>
      <c r="D430" s="843"/>
      <c r="E430" s="843"/>
      <c r="F430" s="92" t="s">
        <v>781</v>
      </c>
      <c r="G430" s="93" t="s">
        <v>1067</v>
      </c>
    </row>
    <row r="431" spans="1:8">
      <c r="A431" s="95"/>
      <c r="B431" s="91" t="s">
        <v>834</v>
      </c>
      <c r="C431" s="844" t="s">
        <v>1408</v>
      </c>
      <c r="D431" s="844"/>
      <c r="E431" s="844"/>
      <c r="F431" s="15" t="s">
        <v>833</v>
      </c>
      <c r="G431" s="165" t="str">
        <f>'MANO DE OBRA'!D61</f>
        <v>Agosto de 2010</v>
      </c>
    </row>
    <row r="432" spans="1:8" ht="13.5" thickBot="1">
      <c r="A432" s="127"/>
      <c r="B432" s="94" t="s">
        <v>835</v>
      </c>
      <c r="C432" s="845" t="s">
        <v>489</v>
      </c>
      <c r="D432" s="845"/>
      <c r="E432" s="845"/>
      <c r="F432" s="845"/>
      <c r="G432" s="846"/>
    </row>
    <row r="433" spans="1:7" ht="14.25" thickTop="1" thickBot="1">
      <c r="A433" s="95"/>
      <c r="B433" s="847" t="s">
        <v>1409</v>
      </c>
      <c r="C433" s="847"/>
      <c r="D433" s="847"/>
      <c r="E433" s="847"/>
      <c r="F433" s="847"/>
      <c r="G433" s="847"/>
    </row>
    <row r="434" spans="1:7" ht="13.5" thickTop="1">
      <c r="A434" s="95"/>
      <c r="B434" s="811" t="s">
        <v>304</v>
      </c>
      <c r="C434" s="812"/>
      <c r="D434" s="812"/>
      <c r="E434" s="812"/>
      <c r="F434" s="812"/>
      <c r="G434" s="825"/>
    </row>
    <row r="435" spans="1:7">
      <c r="A435" s="95"/>
      <c r="B435" s="105"/>
      <c r="C435" s="97"/>
      <c r="D435" s="98" t="s">
        <v>301</v>
      </c>
      <c r="E435" s="98" t="s">
        <v>1072</v>
      </c>
      <c r="F435" s="99" t="s">
        <v>839</v>
      </c>
      <c r="G435" s="107" t="s">
        <v>840</v>
      </c>
    </row>
    <row r="436" spans="1:7">
      <c r="A436" s="95"/>
      <c r="B436" s="821" t="s">
        <v>838</v>
      </c>
      <c r="C436" s="822"/>
      <c r="D436" s="100" t="s">
        <v>308</v>
      </c>
      <c r="E436" s="100" t="s">
        <v>305</v>
      </c>
      <c r="F436" s="101" t="s">
        <v>306</v>
      </c>
      <c r="G436" s="108" t="s">
        <v>310</v>
      </c>
    </row>
    <row r="437" spans="1:7">
      <c r="A437" s="95"/>
      <c r="B437" s="115"/>
      <c r="C437" s="102"/>
      <c r="D437" s="103"/>
      <c r="E437" s="103" t="s">
        <v>309</v>
      </c>
      <c r="F437" s="104" t="s">
        <v>307</v>
      </c>
      <c r="G437" s="109"/>
    </row>
    <row r="438" spans="1:7">
      <c r="A438" s="127"/>
      <c r="B438" s="823" t="str">
        <f>'MAQUINARIA Y EQUIPOS'!C28</f>
        <v>HERRAMIENTAS MENORES</v>
      </c>
      <c r="C438" s="824"/>
      <c r="D438" s="87">
        <v>1</v>
      </c>
      <c r="E438" s="82">
        <f>ROUND(G471*0.05,0)</f>
        <v>497</v>
      </c>
      <c r="F438" s="81">
        <v>1</v>
      </c>
      <c r="G438" s="110">
        <f>ROUND(D438*E438/F438,0)</f>
        <v>497</v>
      </c>
    </row>
    <row r="439" spans="1:7">
      <c r="A439" s="95"/>
      <c r="B439" s="835" t="str">
        <f>'MAQUINARIA Y EQUIPOS'!C9</f>
        <v>ANDAMIO TUBULAR 1.50 m</v>
      </c>
      <c r="C439" s="836"/>
      <c r="D439" s="37">
        <v>4</v>
      </c>
      <c r="E439" s="129">
        <f>'MAQUINARIA Y EQUIPOS'!D9</f>
        <v>754</v>
      </c>
      <c r="F439" s="83">
        <v>10.67</v>
      </c>
      <c r="G439" s="111">
        <f>ROUND(D439*E439/F439,0)</f>
        <v>283</v>
      </c>
    </row>
    <row r="440" spans="1:7">
      <c r="A440" s="95"/>
      <c r="B440" s="835" t="str">
        <f>'MAQUINARIA Y EQUIPOS'!C47</f>
        <v>TABLONES 3m</v>
      </c>
      <c r="C440" s="836"/>
      <c r="D440" s="37">
        <v>4</v>
      </c>
      <c r="E440" s="129">
        <f>'MAQUINARIA Y EQUIPOS'!D47</f>
        <v>348</v>
      </c>
      <c r="F440" s="83">
        <v>10.67</v>
      </c>
      <c r="G440" s="111">
        <f>ROUND(D440*E440/F440,0)</f>
        <v>130</v>
      </c>
    </row>
    <row r="441" spans="1:7">
      <c r="A441" s="95"/>
      <c r="B441" s="835"/>
      <c r="C441" s="836"/>
      <c r="D441" s="89"/>
      <c r="E441" s="82"/>
      <c r="F441" s="83"/>
      <c r="G441" s="111"/>
    </row>
    <row r="442" spans="1:7">
      <c r="A442" s="95"/>
      <c r="B442" s="835" t="s">
        <v>841</v>
      </c>
      <c r="C442" s="836"/>
      <c r="D442" s="37"/>
      <c r="E442" s="82"/>
      <c r="F442" s="83"/>
      <c r="G442" s="111"/>
    </row>
    <row r="443" spans="1:7" ht="13.5" thickBot="1">
      <c r="A443" s="95"/>
      <c r="B443" s="839" t="s">
        <v>841</v>
      </c>
      <c r="C443" s="840"/>
      <c r="D443" s="77"/>
      <c r="E443" s="106"/>
      <c r="F443" s="86"/>
      <c r="G443" s="112"/>
    </row>
    <row r="444" spans="1:7" ht="14.25" thickTop="1" thickBot="1">
      <c r="A444" s="95"/>
      <c r="B444" s="808"/>
      <c r="C444" s="808"/>
      <c r="D444" s="808"/>
      <c r="E444" s="809"/>
      <c r="F444" s="119" t="s">
        <v>856</v>
      </c>
      <c r="G444" s="118">
        <f>SUM(G438:G443)</f>
        <v>910</v>
      </c>
    </row>
    <row r="445" spans="1:7" ht="14.25" thickTop="1" thickBot="1">
      <c r="A445" s="95"/>
      <c r="B445" s="830"/>
      <c r="C445" s="830"/>
      <c r="D445" s="830"/>
      <c r="E445" s="830"/>
      <c r="F445" s="830"/>
      <c r="G445" s="830"/>
    </row>
    <row r="446" spans="1:7" ht="13.5" thickTop="1">
      <c r="A446" s="95"/>
      <c r="B446" s="811" t="s">
        <v>311</v>
      </c>
      <c r="C446" s="812"/>
      <c r="D446" s="812"/>
      <c r="E446" s="812"/>
      <c r="F446" s="812"/>
      <c r="G446" s="825"/>
    </row>
    <row r="447" spans="1:7">
      <c r="A447" s="95"/>
      <c r="B447" s="817" t="s">
        <v>838</v>
      </c>
      <c r="C447" s="818"/>
      <c r="D447" s="98" t="s">
        <v>842</v>
      </c>
      <c r="E447" s="98" t="s">
        <v>853</v>
      </c>
      <c r="F447" s="99" t="s">
        <v>1047</v>
      </c>
      <c r="G447" s="107" t="s">
        <v>840</v>
      </c>
    </row>
    <row r="448" spans="1:7">
      <c r="A448" s="95"/>
      <c r="B448" s="115"/>
      <c r="C448" s="102"/>
      <c r="D448" s="100"/>
      <c r="E448" s="100" t="s">
        <v>312</v>
      </c>
      <c r="F448" s="101" t="s">
        <v>313</v>
      </c>
      <c r="G448" s="108" t="s">
        <v>314</v>
      </c>
    </row>
    <row r="449" spans="1:8">
      <c r="A449" s="125"/>
      <c r="B449" s="841" t="str">
        <f>MATERIALES2!C415</f>
        <v>CANALETA 90 DE 5.25 M</v>
      </c>
      <c r="C449" s="842"/>
      <c r="D449" s="87" t="s">
        <v>865</v>
      </c>
      <c r="E449" s="81">
        <v>0.22</v>
      </c>
      <c r="F449" s="80">
        <f>MATERIALES2!E415</f>
        <v>148416</v>
      </c>
      <c r="G449" s="110">
        <f>ROUND(E449*F449,0)</f>
        <v>32652</v>
      </c>
    </row>
    <row r="450" spans="1:8">
      <c r="A450" s="123"/>
      <c r="B450" s="854" t="str">
        <f>MATERIALES2!C430</f>
        <v>TORNILLO FIJACION CANALETA 90</v>
      </c>
      <c r="C450" s="855"/>
      <c r="D450" s="37" t="s">
        <v>865</v>
      </c>
      <c r="E450" s="83">
        <v>0.44</v>
      </c>
      <c r="F450" s="82">
        <f>MATERIALES2!E430</f>
        <v>1021</v>
      </c>
      <c r="G450" s="111">
        <f>ROUND(E450*F450,0)</f>
        <v>449</v>
      </c>
    </row>
    <row r="451" spans="1:8">
      <c r="A451" s="95"/>
      <c r="B451" s="854" t="str">
        <f>MATERIALES2!C306</f>
        <v>JUNTAS (IGAS GRIS)</v>
      </c>
      <c r="C451" s="855"/>
      <c r="D451" s="37" t="s">
        <v>925</v>
      </c>
      <c r="E451" s="53">
        <v>0.17</v>
      </c>
      <c r="F451" s="82">
        <f>MATERIALES2!E306</f>
        <v>7800</v>
      </c>
      <c r="G451" s="111">
        <f>ROUND(E451*F451,0)</f>
        <v>1326</v>
      </c>
    </row>
    <row r="452" spans="1:8">
      <c r="A452" s="95"/>
      <c r="B452" s="854" t="str">
        <f>MATERIALES2!C431</f>
        <v>TORNILLO DE ALA CANALETA 90</v>
      </c>
      <c r="C452" s="855"/>
      <c r="D452" s="37" t="s">
        <v>865</v>
      </c>
      <c r="E452" s="53">
        <v>0.88</v>
      </c>
      <c r="F452" s="82">
        <f>MATERIALES2!E431</f>
        <v>749</v>
      </c>
      <c r="G452" s="111">
        <f>ROUND(E452*F452,0)</f>
        <v>659</v>
      </c>
    </row>
    <row r="453" spans="1:8">
      <c r="A453" s="95"/>
      <c r="B453" s="854"/>
      <c r="C453" s="855"/>
      <c r="D453" s="37"/>
      <c r="E453" s="53"/>
      <c r="F453" s="82"/>
      <c r="G453" s="111"/>
    </row>
    <row r="454" spans="1:8">
      <c r="A454" s="95"/>
      <c r="B454" s="854"/>
      <c r="C454" s="855"/>
      <c r="D454" s="37"/>
      <c r="E454" s="53"/>
      <c r="F454" s="82"/>
      <c r="G454" s="111"/>
    </row>
    <row r="455" spans="1:8">
      <c r="A455" s="95"/>
      <c r="B455" s="854"/>
      <c r="C455" s="855"/>
      <c r="D455" s="37"/>
      <c r="E455" s="53"/>
      <c r="F455" s="82"/>
      <c r="G455" s="111"/>
    </row>
    <row r="456" spans="1:8">
      <c r="A456" s="95"/>
      <c r="B456" s="938" t="s">
        <v>841</v>
      </c>
      <c r="C456" s="939"/>
      <c r="D456" s="53" t="s">
        <v>841</v>
      </c>
      <c r="E456" s="53"/>
      <c r="F456" s="82"/>
      <c r="G456" s="111"/>
      <c r="H456" s="505" t="s">
        <v>1670</v>
      </c>
    </row>
    <row r="457" spans="1:8" ht="13.5" thickBot="1">
      <c r="A457" s="95"/>
      <c r="B457" s="942" t="s">
        <v>841</v>
      </c>
      <c r="C457" s="943"/>
      <c r="D457" s="84" t="s">
        <v>841</v>
      </c>
      <c r="E457" s="84"/>
      <c r="F457" s="85"/>
      <c r="G457" s="112"/>
    </row>
    <row r="458" spans="1:8" ht="13.5" thickTop="1">
      <c r="A458" s="95"/>
      <c r="B458" s="808"/>
      <c r="C458" s="809"/>
      <c r="D458" s="801" t="s">
        <v>856</v>
      </c>
      <c r="E458" s="802"/>
      <c r="F458" s="9"/>
      <c r="G458" s="113">
        <f>SUM(G449:G457)</f>
        <v>35086</v>
      </c>
    </row>
    <row r="459" spans="1:8">
      <c r="A459" s="95"/>
      <c r="B459" s="819"/>
      <c r="C459" s="820"/>
      <c r="D459" s="801" t="s">
        <v>857</v>
      </c>
      <c r="E459" s="802"/>
      <c r="F459" s="79">
        <f>'MANO DE OBRA'!D60</f>
        <v>0.05</v>
      </c>
      <c r="G459" s="113">
        <f>ROUND(G458*F459,0)</f>
        <v>1754</v>
      </c>
    </row>
    <row r="460" spans="1:8" ht="13.5" thickBot="1">
      <c r="A460" s="95"/>
      <c r="B460" s="819"/>
      <c r="C460" s="820"/>
      <c r="D460" s="803" t="s">
        <v>320</v>
      </c>
      <c r="E460" s="804"/>
      <c r="F460" s="114"/>
      <c r="G460" s="118">
        <f>+G458+G459</f>
        <v>36840</v>
      </c>
    </row>
    <row r="461" spans="1:8" ht="14.25" thickTop="1" thickBot="1">
      <c r="A461" s="95"/>
      <c r="B461" s="830"/>
      <c r="C461" s="830"/>
      <c r="D461" s="830"/>
      <c r="E461" s="830"/>
      <c r="F461" s="830"/>
      <c r="G461" s="830"/>
    </row>
    <row r="462" spans="1:8" ht="13.5" thickTop="1">
      <c r="A462" s="95"/>
      <c r="B462" s="811" t="s">
        <v>858</v>
      </c>
      <c r="C462" s="812"/>
      <c r="D462" s="812"/>
      <c r="E462" s="812"/>
      <c r="F462" s="812"/>
      <c r="G462" s="825"/>
    </row>
    <row r="463" spans="1:8">
      <c r="A463" s="95"/>
      <c r="B463" s="817"/>
      <c r="C463" s="818"/>
      <c r="D463" s="98" t="s">
        <v>301</v>
      </c>
      <c r="E463" s="98" t="s">
        <v>859</v>
      </c>
      <c r="F463" s="99" t="s">
        <v>839</v>
      </c>
      <c r="G463" s="107" t="s">
        <v>840</v>
      </c>
    </row>
    <row r="464" spans="1:8">
      <c r="A464" s="95"/>
      <c r="B464" s="821" t="s">
        <v>838</v>
      </c>
      <c r="C464" s="822"/>
      <c r="D464" s="100" t="s">
        <v>316</v>
      </c>
      <c r="E464" s="100" t="s">
        <v>315</v>
      </c>
      <c r="F464" s="101" t="s">
        <v>306</v>
      </c>
      <c r="G464" s="108" t="s">
        <v>319</v>
      </c>
    </row>
    <row r="465" spans="1:7">
      <c r="A465" s="95"/>
      <c r="B465" s="115"/>
      <c r="C465" s="102"/>
      <c r="D465" s="103"/>
      <c r="E465" s="103" t="s">
        <v>317</v>
      </c>
      <c r="F465" s="104" t="s">
        <v>318</v>
      </c>
      <c r="G465" s="109"/>
    </row>
    <row r="466" spans="1:7">
      <c r="A466" s="95"/>
      <c r="B466" s="823" t="str">
        <f>'MANO DE OBRA'!B10</f>
        <v>AYUDANTE CUAD. TIPO AA</v>
      </c>
      <c r="C466" s="824"/>
      <c r="D466" s="87">
        <v>1</v>
      </c>
      <c r="E466" s="80">
        <f>'MANO DE OBRA'!E10</f>
        <v>34680</v>
      </c>
      <c r="F466" s="81">
        <v>10.67</v>
      </c>
      <c r="G466" s="110">
        <f>ROUND(D466*E466/F466,0)</f>
        <v>3250</v>
      </c>
    </row>
    <row r="467" spans="1:7">
      <c r="A467" s="95"/>
      <c r="B467" s="835" t="str">
        <f>'MANO DE OBRA'!B15</f>
        <v xml:space="preserve">OFICIAL CUAD. TIPO AA </v>
      </c>
      <c r="C467" s="836"/>
      <c r="D467" s="37">
        <v>1</v>
      </c>
      <c r="E467" s="82">
        <f>'MANO DE OBRA'!E15</f>
        <v>71474</v>
      </c>
      <c r="F467" s="83">
        <v>10.67</v>
      </c>
      <c r="G467" s="111">
        <f>ROUND(D467*E467/F467,0)</f>
        <v>6699</v>
      </c>
    </row>
    <row r="468" spans="1:7">
      <c r="A468" s="95"/>
      <c r="B468" s="835"/>
      <c r="C468" s="836"/>
      <c r="D468" s="89"/>
      <c r="E468" s="82"/>
      <c r="F468" s="83"/>
      <c r="G468" s="111"/>
    </row>
    <row r="469" spans="1:7">
      <c r="A469" s="95"/>
      <c r="B469" s="835" t="s">
        <v>841</v>
      </c>
      <c r="C469" s="836"/>
      <c r="D469" s="37"/>
      <c r="E469" s="82"/>
      <c r="F469" s="83"/>
      <c r="G469" s="111"/>
    </row>
    <row r="470" spans="1:7" ht="13.5" thickBot="1">
      <c r="A470" s="95"/>
      <c r="B470" s="828" t="s">
        <v>841</v>
      </c>
      <c r="C470" s="829"/>
      <c r="D470" s="77"/>
      <c r="E470" s="82"/>
      <c r="F470" s="86"/>
      <c r="G470" s="112"/>
    </row>
    <row r="471" spans="1:7" ht="14.25" thickTop="1" thickBot="1">
      <c r="A471" s="95"/>
      <c r="B471" s="808"/>
      <c r="C471" s="808"/>
      <c r="D471" s="808"/>
      <c r="E471" s="809"/>
      <c r="F471" s="120" t="s">
        <v>856</v>
      </c>
      <c r="G471" s="118">
        <f>SUM(G466:G470)</f>
        <v>9949</v>
      </c>
    </row>
    <row r="472" spans="1:7" ht="14.25" thickTop="1" thickBot="1">
      <c r="A472" s="95"/>
      <c r="B472" s="810"/>
      <c r="C472" s="810"/>
      <c r="D472" s="810"/>
      <c r="E472" s="810"/>
      <c r="F472" s="810"/>
      <c r="G472" s="810"/>
    </row>
    <row r="473" spans="1:7" ht="13.5" thickTop="1">
      <c r="A473" s="95"/>
      <c r="B473" s="811" t="s">
        <v>321</v>
      </c>
      <c r="C473" s="812"/>
      <c r="D473" s="812"/>
      <c r="E473" s="812"/>
      <c r="F473" s="812"/>
      <c r="G473" s="825"/>
    </row>
    <row r="474" spans="1:7">
      <c r="A474" s="95"/>
      <c r="B474" s="817" t="s">
        <v>838</v>
      </c>
      <c r="C474" s="818"/>
      <c r="D474" s="98" t="s">
        <v>301</v>
      </c>
      <c r="E474" s="98" t="s">
        <v>297</v>
      </c>
      <c r="F474" s="99" t="s">
        <v>839</v>
      </c>
      <c r="G474" s="107" t="s">
        <v>840</v>
      </c>
    </row>
    <row r="475" spans="1:7">
      <c r="A475" s="95"/>
      <c r="B475" s="115"/>
      <c r="C475" s="102"/>
      <c r="D475" s="103" t="s">
        <v>322</v>
      </c>
      <c r="E475" s="103" t="s">
        <v>323</v>
      </c>
      <c r="F475" s="104" t="s">
        <v>324</v>
      </c>
      <c r="G475" s="109" t="s">
        <v>325</v>
      </c>
    </row>
    <row r="476" spans="1:7">
      <c r="A476" s="95"/>
      <c r="B476" s="826"/>
      <c r="C476" s="827"/>
      <c r="D476" s="96"/>
      <c r="E476" s="96"/>
      <c r="F476" s="96"/>
      <c r="G476" s="116"/>
    </row>
    <row r="477" spans="1:7" ht="13.5" thickBot="1">
      <c r="A477" s="95"/>
      <c r="B477" s="828" t="s">
        <v>841</v>
      </c>
      <c r="C477" s="829"/>
      <c r="D477" s="77"/>
      <c r="E477" s="82"/>
      <c r="F477" s="86"/>
      <c r="G477" s="112"/>
    </row>
    <row r="478" spans="1:7" ht="14.25" thickTop="1" thickBot="1">
      <c r="A478" s="95"/>
      <c r="B478" s="808"/>
      <c r="C478" s="808"/>
      <c r="D478" s="808"/>
      <c r="E478" s="809"/>
      <c r="F478" s="120" t="s">
        <v>856</v>
      </c>
      <c r="G478" s="118">
        <f>SUM(G473:G477)</f>
        <v>0</v>
      </c>
    </row>
    <row r="479" spans="1:7" ht="14.25" thickTop="1" thickBot="1">
      <c r="A479" s="95"/>
      <c r="B479" s="810"/>
      <c r="C479" s="810"/>
      <c r="D479" s="810"/>
      <c r="E479" s="810"/>
      <c r="F479" s="810"/>
      <c r="G479" s="834"/>
    </row>
    <row r="480" spans="1:7" ht="13.5" thickTop="1">
      <c r="A480" s="95"/>
      <c r="B480" s="811" t="s">
        <v>326</v>
      </c>
      <c r="C480" s="812"/>
      <c r="D480" s="812"/>
      <c r="E480" s="812"/>
      <c r="F480" s="813"/>
      <c r="G480" s="121">
        <f>+G444+G460+G471</f>
        <v>47699</v>
      </c>
    </row>
    <row r="481" spans="1:8">
      <c r="A481" s="95"/>
      <c r="B481" s="814" t="s">
        <v>861</v>
      </c>
      <c r="C481" s="815"/>
      <c r="D481" s="815"/>
      <c r="E481" s="816"/>
      <c r="F481" s="128">
        <f>'MANO DE OBRA'!D59</f>
        <v>0</v>
      </c>
      <c r="G481" s="122">
        <f>ROUND(G480*F481,0)</f>
        <v>0</v>
      </c>
    </row>
    <row r="482" spans="1:8" ht="13.5" thickBot="1">
      <c r="A482" s="95"/>
      <c r="B482" s="805" t="s">
        <v>1049</v>
      </c>
      <c r="C482" s="806"/>
      <c r="D482" s="806"/>
      <c r="E482" s="806"/>
      <c r="F482" s="807"/>
      <c r="G482" s="118">
        <f>ROUND(G480+G481,-2)</f>
        <v>47700</v>
      </c>
      <c r="H482" s="505" t="s">
        <v>1670</v>
      </c>
    </row>
    <row r="483" spans="1:8" ht="15" thickTop="1">
      <c r="A483" s="95"/>
      <c r="B483" s="90" t="s">
        <v>303</v>
      </c>
      <c r="C483" s="843"/>
      <c r="D483" s="843"/>
      <c r="E483" s="843"/>
      <c r="F483" s="92" t="s">
        <v>781</v>
      </c>
      <c r="G483" s="93" t="s">
        <v>1067</v>
      </c>
    </row>
    <row r="484" spans="1:8">
      <c r="A484" s="95"/>
      <c r="B484" s="91" t="s">
        <v>834</v>
      </c>
      <c r="C484" s="844" t="s">
        <v>1408</v>
      </c>
      <c r="D484" s="844"/>
      <c r="E484" s="844"/>
      <c r="F484" s="15" t="s">
        <v>833</v>
      </c>
      <c r="G484" s="165" t="str">
        <f>'MANO DE OBRA'!D61</f>
        <v>Agosto de 2010</v>
      </c>
    </row>
    <row r="485" spans="1:8" ht="13.5" thickBot="1">
      <c r="A485" s="127"/>
      <c r="B485" s="94" t="s">
        <v>835</v>
      </c>
      <c r="C485" s="845" t="s">
        <v>490</v>
      </c>
      <c r="D485" s="845"/>
      <c r="E485" s="845"/>
      <c r="F485" s="845"/>
      <c r="G485" s="846"/>
    </row>
    <row r="486" spans="1:8" ht="14.25" thickTop="1" thickBot="1">
      <c r="A486" s="95"/>
      <c r="B486" s="847" t="s">
        <v>1409</v>
      </c>
      <c r="C486" s="847"/>
      <c r="D486" s="847"/>
      <c r="E486" s="847"/>
      <c r="F486" s="847"/>
      <c r="G486" s="847"/>
    </row>
    <row r="487" spans="1:8" ht="13.5" thickTop="1">
      <c r="A487" s="95"/>
      <c r="B487" s="811" t="s">
        <v>304</v>
      </c>
      <c r="C487" s="812"/>
      <c r="D487" s="812"/>
      <c r="E487" s="812"/>
      <c r="F487" s="812"/>
      <c r="G487" s="825"/>
    </row>
    <row r="488" spans="1:8">
      <c r="A488" s="95"/>
      <c r="B488" s="105"/>
      <c r="C488" s="97"/>
      <c r="D488" s="98" t="s">
        <v>301</v>
      </c>
      <c r="E488" s="98" t="s">
        <v>1072</v>
      </c>
      <c r="F488" s="99" t="s">
        <v>839</v>
      </c>
      <c r="G488" s="107" t="s">
        <v>840</v>
      </c>
    </row>
    <row r="489" spans="1:8">
      <c r="A489" s="95"/>
      <c r="B489" s="821" t="s">
        <v>838</v>
      </c>
      <c r="C489" s="822"/>
      <c r="D489" s="100" t="s">
        <v>308</v>
      </c>
      <c r="E489" s="100" t="s">
        <v>305</v>
      </c>
      <c r="F489" s="101" t="s">
        <v>306</v>
      </c>
      <c r="G489" s="108" t="s">
        <v>310</v>
      </c>
    </row>
    <row r="490" spans="1:8">
      <c r="A490" s="95"/>
      <c r="B490" s="115"/>
      <c r="C490" s="102"/>
      <c r="D490" s="103"/>
      <c r="E490" s="103" t="s">
        <v>309</v>
      </c>
      <c r="F490" s="104" t="s">
        <v>307</v>
      </c>
      <c r="G490" s="109"/>
    </row>
    <row r="491" spans="1:8">
      <c r="A491" s="127"/>
      <c r="B491" s="823" t="str">
        <f>'MAQUINARIA Y EQUIPOS'!C28</f>
        <v>HERRAMIENTAS MENORES</v>
      </c>
      <c r="C491" s="824"/>
      <c r="D491" s="87">
        <v>1</v>
      </c>
      <c r="E491" s="82">
        <f>ROUND(G524*0.05,0)</f>
        <v>551</v>
      </c>
      <c r="F491" s="81">
        <v>1</v>
      </c>
      <c r="G491" s="110">
        <f>ROUND(D491*E491/F491,0)</f>
        <v>551</v>
      </c>
    </row>
    <row r="492" spans="1:8">
      <c r="A492" s="95"/>
      <c r="B492" s="835" t="str">
        <f>'MAQUINARIA Y EQUIPOS'!C9</f>
        <v>ANDAMIO TUBULAR 1.50 m</v>
      </c>
      <c r="C492" s="836"/>
      <c r="D492" s="37">
        <v>4</v>
      </c>
      <c r="E492" s="129">
        <f>'MAQUINARIA Y EQUIPOS'!D9</f>
        <v>754</v>
      </c>
      <c r="F492" s="83">
        <v>9.64</v>
      </c>
      <c r="G492" s="111">
        <f>ROUND(D492*E492/F492,0)</f>
        <v>313</v>
      </c>
    </row>
    <row r="493" spans="1:8">
      <c r="A493" s="95"/>
      <c r="B493" s="835" t="str">
        <f>'MAQUINARIA Y EQUIPOS'!C47</f>
        <v>TABLONES 3m</v>
      </c>
      <c r="C493" s="836"/>
      <c r="D493" s="37">
        <v>4</v>
      </c>
      <c r="E493" s="129">
        <f>'MAQUINARIA Y EQUIPOS'!D47</f>
        <v>348</v>
      </c>
      <c r="F493" s="83">
        <v>9.64</v>
      </c>
      <c r="G493" s="111">
        <f>ROUND(D493*E493/F493,0)</f>
        <v>144</v>
      </c>
    </row>
    <row r="494" spans="1:8">
      <c r="A494" s="95"/>
      <c r="B494" s="835"/>
      <c r="C494" s="836"/>
      <c r="D494" s="89"/>
      <c r="E494" s="82"/>
      <c r="F494" s="83"/>
      <c r="G494" s="111"/>
    </row>
    <row r="495" spans="1:8">
      <c r="A495" s="95"/>
      <c r="B495" s="835" t="s">
        <v>841</v>
      </c>
      <c r="C495" s="836"/>
      <c r="D495" s="37"/>
      <c r="E495" s="82"/>
      <c r="F495" s="83"/>
      <c r="G495" s="111"/>
    </row>
    <row r="496" spans="1:8" ht="13.5" thickBot="1">
      <c r="A496" s="95"/>
      <c r="B496" s="839" t="s">
        <v>841</v>
      </c>
      <c r="C496" s="840"/>
      <c r="D496" s="77"/>
      <c r="E496" s="106"/>
      <c r="F496" s="86"/>
      <c r="G496" s="112"/>
    </row>
    <row r="497" spans="1:8" ht="14.25" thickTop="1" thickBot="1">
      <c r="A497" s="95"/>
      <c r="B497" s="808"/>
      <c r="C497" s="808"/>
      <c r="D497" s="808"/>
      <c r="E497" s="809"/>
      <c r="F497" s="119" t="s">
        <v>856</v>
      </c>
      <c r="G497" s="118">
        <f>SUM(G491:G496)</f>
        <v>1008</v>
      </c>
    </row>
    <row r="498" spans="1:8" ht="14.25" thickTop="1" thickBot="1">
      <c r="A498" s="95"/>
      <c r="B498" s="830"/>
      <c r="C498" s="830"/>
      <c r="D498" s="830"/>
      <c r="E498" s="830"/>
      <c r="F498" s="830"/>
      <c r="G498" s="830"/>
    </row>
    <row r="499" spans="1:8" ht="13.5" thickTop="1">
      <c r="A499" s="95"/>
      <c r="B499" s="811" t="s">
        <v>311</v>
      </c>
      <c r="C499" s="812"/>
      <c r="D499" s="812"/>
      <c r="E499" s="812"/>
      <c r="F499" s="812"/>
      <c r="G499" s="825"/>
    </row>
    <row r="500" spans="1:8">
      <c r="A500" s="95"/>
      <c r="B500" s="817" t="s">
        <v>838</v>
      </c>
      <c r="C500" s="818"/>
      <c r="D500" s="98" t="s">
        <v>842</v>
      </c>
      <c r="E500" s="98" t="s">
        <v>853</v>
      </c>
      <c r="F500" s="99" t="s">
        <v>1047</v>
      </c>
      <c r="G500" s="107" t="s">
        <v>840</v>
      </c>
    </row>
    <row r="501" spans="1:8">
      <c r="A501" s="95"/>
      <c r="B501" s="115"/>
      <c r="C501" s="102"/>
      <c r="D501" s="100"/>
      <c r="E501" s="100" t="s">
        <v>312</v>
      </c>
      <c r="F501" s="101" t="s">
        <v>313</v>
      </c>
      <c r="G501" s="108" t="s">
        <v>314</v>
      </c>
    </row>
    <row r="502" spans="1:8">
      <c r="A502" s="125"/>
      <c r="B502" s="841" t="str">
        <f>MATERIALES2!C416</f>
        <v>CANALETA 90 DE 6.00 M</v>
      </c>
      <c r="C502" s="842"/>
      <c r="D502" s="87" t="s">
        <v>865</v>
      </c>
      <c r="E502" s="81">
        <v>0.19</v>
      </c>
      <c r="F502" s="80">
        <f>MATERIALES2!E416</f>
        <v>160985</v>
      </c>
      <c r="G502" s="110">
        <f>ROUND(E502*F502,0)</f>
        <v>30587</v>
      </c>
    </row>
    <row r="503" spans="1:8">
      <c r="A503" s="123"/>
      <c r="B503" s="854" t="str">
        <f>MATERIALES2!C430</f>
        <v>TORNILLO FIJACION CANALETA 90</v>
      </c>
      <c r="C503" s="855"/>
      <c r="D503" s="37" t="s">
        <v>865</v>
      </c>
      <c r="E503" s="83">
        <v>0.38</v>
      </c>
      <c r="F503" s="82">
        <f>MATERIALES2!E430</f>
        <v>1021</v>
      </c>
      <c r="G503" s="111">
        <f>ROUND(E503*F503,0)</f>
        <v>388</v>
      </c>
    </row>
    <row r="504" spans="1:8">
      <c r="A504" s="95"/>
      <c r="B504" s="854" t="str">
        <f>MATERIALES2!C306</f>
        <v>JUNTAS (IGAS GRIS)</v>
      </c>
      <c r="C504" s="855"/>
      <c r="D504" s="37" t="s">
        <v>925</v>
      </c>
      <c r="E504" s="53">
        <v>0.17</v>
      </c>
      <c r="F504" s="82">
        <f>MATERIALES2!E306</f>
        <v>7800</v>
      </c>
      <c r="G504" s="111">
        <f>ROUND(E504*F504,0)</f>
        <v>1326</v>
      </c>
    </row>
    <row r="505" spans="1:8">
      <c r="A505" s="95"/>
      <c r="B505" s="854" t="str">
        <f>MATERIALES2!C431</f>
        <v>TORNILLO DE ALA CANALETA 90</v>
      </c>
      <c r="C505" s="855"/>
      <c r="D505" s="37" t="s">
        <v>865</v>
      </c>
      <c r="E505" s="53">
        <v>0.76</v>
      </c>
      <c r="F505" s="82">
        <f>MATERIALES2!E431</f>
        <v>749</v>
      </c>
      <c r="G505" s="111">
        <f>ROUND(E505*F505,0)</f>
        <v>569</v>
      </c>
    </row>
    <row r="506" spans="1:8">
      <c r="A506" s="95"/>
      <c r="B506" s="854"/>
      <c r="C506" s="855"/>
      <c r="D506" s="37"/>
      <c r="E506" s="53"/>
      <c r="F506" s="82"/>
      <c r="G506" s="111"/>
    </row>
    <row r="507" spans="1:8">
      <c r="A507" s="95"/>
      <c r="B507" s="854"/>
      <c r="C507" s="855"/>
      <c r="D507" s="37"/>
      <c r="E507" s="53"/>
      <c r="F507" s="82"/>
      <c r="G507" s="111"/>
    </row>
    <row r="508" spans="1:8">
      <c r="A508" s="95"/>
      <c r="B508" s="854"/>
      <c r="C508" s="855"/>
      <c r="D508" s="37"/>
      <c r="E508" s="53"/>
      <c r="F508" s="82"/>
      <c r="G508" s="111"/>
    </row>
    <row r="509" spans="1:8">
      <c r="A509" s="95"/>
      <c r="B509" s="938" t="s">
        <v>841</v>
      </c>
      <c r="C509" s="939"/>
      <c r="D509" s="53" t="s">
        <v>841</v>
      </c>
      <c r="E509" s="53"/>
      <c r="F509" s="82"/>
      <c r="G509" s="111"/>
      <c r="H509" s="505" t="s">
        <v>1670</v>
      </c>
    </row>
    <row r="510" spans="1:8" ht="13.5" thickBot="1">
      <c r="A510" s="95"/>
      <c r="B510" s="942" t="s">
        <v>841</v>
      </c>
      <c r="C510" s="943"/>
      <c r="D510" s="84" t="s">
        <v>841</v>
      </c>
      <c r="E510" s="84"/>
      <c r="F510" s="85"/>
      <c r="G510" s="112"/>
    </row>
    <row r="511" spans="1:8" ht="13.5" thickTop="1">
      <c r="A511" s="95"/>
      <c r="B511" s="808"/>
      <c r="C511" s="809"/>
      <c r="D511" s="801" t="s">
        <v>856</v>
      </c>
      <c r="E511" s="802"/>
      <c r="F511" s="9"/>
      <c r="G511" s="113">
        <f>SUM(G502:G510)</f>
        <v>32870</v>
      </c>
    </row>
    <row r="512" spans="1:8">
      <c r="A512" s="95"/>
      <c r="B512" s="819"/>
      <c r="C512" s="820"/>
      <c r="D512" s="801" t="s">
        <v>857</v>
      </c>
      <c r="E512" s="802"/>
      <c r="F512" s="79">
        <f>'MANO DE OBRA'!D60</f>
        <v>0.05</v>
      </c>
      <c r="G512" s="113">
        <f>ROUND(G511*F512,0)</f>
        <v>1644</v>
      </c>
    </row>
    <row r="513" spans="1:7" ht="13.5" thickBot="1">
      <c r="A513" s="95"/>
      <c r="B513" s="819"/>
      <c r="C513" s="820"/>
      <c r="D513" s="803" t="s">
        <v>320</v>
      </c>
      <c r="E513" s="804"/>
      <c r="F513" s="114"/>
      <c r="G513" s="118">
        <f>+G511+G512</f>
        <v>34514</v>
      </c>
    </row>
    <row r="514" spans="1:7" ht="14.25" thickTop="1" thickBot="1">
      <c r="A514" s="95"/>
      <c r="B514" s="830"/>
      <c r="C514" s="830"/>
      <c r="D514" s="830"/>
      <c r="E514" s="830"/>
      <c r="F514" s="830"/>
      <c r="G514" s="830"/>
    </row>
    <row r="515" spans="1:7" ht="13.5" thickTop="1">
      <c r="A515" s="95"/>
      <c r="B515" s="811" t="s">
        <v>858</v>
      </c>
      <c r="C515" s="812"/>
      <c r="D515" s="812"/>
      <c r="E515" s="812"/>
      <c r="F515" s="812"/>
      <c r="G515" s="825"/>
    </row>
    <row r="516" spans="1:7">
      <c r="A516" s="95"/>
      <c r="B516" s="817"/>
      <c r="C516" s="818"/>
      <c r="D516" s="98" t="s">
        <v>301</v>
      </c>
      <c r="E516" s="98" t="s">
        <v>859</v>
      </c>
      <c r="F516" s="99" t="s">
        <v>839</v>
      </c>
      <c r="G516" s="107" t="s">
        <v>840</v>
      </c>
    </row>
    <row r="517" spans="1:7">
      <c r="A517" s="95"/>
      <c r="B517" s="821" t="s">
        <v>838</v>
      </c>
      <c r="C517" s="822"/>
      <c r="D517" s="100" t="s">
        <v>316</v>
      </c>
      <c r="E517" s="100" t="s">
        <v>315</v>
      </c>
      <c r="F517" s="101" t="s">
        <v>306</v>
      </c>
      <c r="G517" s="108" t="s">
        <v>319</v>
      </c>
    </row>
    <row r="518" spans="1:7">
      <c r="A518" s="95"/>
      <c r="B518" s="115"/>
      <c r="C518" s="102"/>
      <c r="D518" s="103"/>
      <c r="E518" s="103" t="s">
        <v>317</v>
      </c>
      <c r="F518" s="104" t="s">
        <v>318</v>
      </c>
      <c r="G518" s="109"/>
    </row>
    <row r="519" spans="1:7">
      <c r="A519" s="95"/>
      <c r="B519" s="823" t="str">
        <f>'MANO DE OBRA'!B10</f>
        <v>AYUDANTE CUAD. TIPO AA</v>
      </c>
      <c r="C519" s="824"/>
      <c r="D519" s="87">
        <v>1</v>
      </c>
      <c r="E519" s="80">
        <f>'MANO DE OBRA'!E10</f>
        <v>34680</v>
      </c>
      <c r="F519" s="81">
        <v>9.64</v>
      </c>
      <c r="G519" s="110">
        <f>ROUND(D519*E519/F519,0)</f>
        <v>3598</v>
      </c>
    </row>
    <row r="520" spans="1:7">
      <c r="A520" s="95"/>
      <c r="B520" s="835" t="str">
        <f>'MANO DE OBRA'!B15</f>
        <v xml:space="preserve">OFICIAL CUAD. TIPO AA </v>
      </c>
      <c r="C520" s="836"/>
      <c r="D520" s="37">
        <v>1</v>
      </c>
      <c r="E520" s="82">
        <f>'MANO DE OBRA'!E15</f>
        <v>71474</v>
      </c>
      <c r="F520" s="83">
        <v>9.64</v>
      </c>
      <c r="G520" s="111">
        <f>ROUND(D520*E520/F520,0)</f>
        <v>7414</v>
      </c>
    </row>
    <row r="521" spans="1:7">
      <c r="A521" s="95"/>
      <c r="B521" s="835"/>
      <c r="C521" s="836"/>
      <c r="D521" s="89"/>
      <c r="E521" s="82"/>
      <c r="F521" s="83"/>
      <c r="G521" s="111"/>
    </row>
    <row r="522" spans="1:7">
      <c r="A522" s="95"/>
      <c r="B522" s="835" t="s">
        <v>841</v>
      </c>
      <c r="C522" s="836"/>
      <c r="D522" s="37"/>
      <c r="E522" s="82"/>
      <c r="F522" s="83"/>
      <c r="G522" s="111"/>
    </row>
    <row r="523" spans="1:7" ht="13.5" thickBot="1">
      <c r="A523" s="95"/>
      <c r="B523" s="828" t="s">
        <v>841</v>
      </c>
      <c r="C523" s="829"/>
      <c r="D523" s="77"/>
      <c r="E523" s="82"/>
      <c r="F523" s="86"/>
      <c r="G523" s="112"/>
    </row>
    <row r="524" spans="1:7" ht="14.25" thickTop="1" thickBot="1">
      <c r="A524" s="95"/>
      <c r="B524" s="808"/>
      <c r="C524" s="808"/>
      <c r="D524" s="808"/>
      <c r="E524" s="809"/>
      <c r="F524" s="120" t="s">
        <v>856</v>
      </c>
      <c r="G524" s="118">
        <f>SUM(G519:G523)</f>
        <v>11012</v>
      </c>
    </row>
    <row r="525" spans="1:7" ht="14.25" thickTop="1" thickBot="1">
      <c r="A525" s="95"/>
      <c r="B525" s="810"/>
      <c r="C525" s="810"/>
      <c r="D525" s="810"/>
      <c r="E525" s="810"/>
      <c r="F525" s="810"/>
      <c r="G525" s="810"/>
    </row>
    <row r="526" spans="1:7" ht="13.5" thickTop="1">
      <c r="A526" s="95"/>
      <c r="B526" s="811" t="s">
        <v>321</v>
      </c>
      <c r="C526" s="812"/>
      <c r="D526" s="812"/>
      <c r="E526" s="812"/>
      <c r="F526" s="812"/>
      <c r="G526" s="825"/>
    </row>
    <row r="527" spans="1:7">
      <c r="A527" s="95"/>
      <c r="B527" s="817" t="s">
        <v>838</v>
      </c>
      <c r="C527" s="818"/>
      <c r="D527" s="98" t="s">
        <v>301</v>
      </c>
      <c r="E527" s="98" t="s">
        <v>297</v>
      </c>
      <c r="F527" s="99" t="s">
        <v>839</v>
      </c>
      <c r="G527" s="107" t="s">
        <v>840</v>
      </c>
    </row>
    <row r="528" spans="1:7">
      <c r="A528" s="95"/>
      <c r="B528" s="115"/>
      <c r="C528" s="102"/>
      <c r="D528" s="103" t="s">
        <v>322</v>
      </c>
      <c r="E528" s="103" t="s">
        <v>323</v>
      </c>
      <c r="F528" s="104" t="s">
        <v>324</v>
      </c>
      <c r="G528" s="109" t="s">
        <v>325</v>
      </c>
    </row>
    <row r="529" spans="1:8">
      <c r="A529" s="95"/>
      <c r="B529" s="826"/>
      <c r="C529" s="827"/>
      <c r="D529" s="96"/>
      <c r="E529" s="96"/>
      <c r="F529" s="96"/>
      <c r="G529" s="116"/>
    </row>
    <row r="530" spans="1:8" ht="13.5" thickBot="1">
      <c r="A530" s="95"/>
      <c r="B530" s="828" t="s">
        <v>841</v>
      </c>
      <c r="C530" s="829"/>
      <c r="D530" s="77"/>
      <c r="E530" s="82"/>
      <c r="F530" s="86"/>
      <c r="G530" s="112"/>
    </row>
    <row r="531" spans="1:8" ht="14.25" thickTop="1" thickBot="1">
      <c r="A531" s="95"/>
      <c r="B531" s="808"/>
      <c r="C531" s="808"/>
      <c r="D531" s="808"/>
      <c r="E531" s="809"/>
      <c r="F531" s="120" t="s">
        <v>856</v>
      </c>
      <c r="G531" s="118">
        <f>SUM(G526:G530)</f>
        <v>0</v>
      </c>
    </row>
    <row r="532" spans="1:8" ht="14.25" thickTop="1" thickBot="1">
      <c r="A532" s="95"/>
      <c r="B532" s="810"/>
      <c r="C532" s="810"/>
      <c r="D532" s="810"/>
      <c r="E532" s="810"/>
      <c r="F532" s="810"/>
      <c r="G532" s="834"/>
    </row>
    <row r="533" spans="1:8" ht="13.5" thickTop="1">
      <c r="A533" s="95"/>
      <c r="B533" s="811" t="s">
        <v>326</v>
      </c>
      <c r="C533" s="812"/>
      <c r="D533" s="812"/>
      <c r="E533" s="812"/>
      <c r="F533" s="813"/>
      <c r="G533" s="121">
        <f>+G497+G513+G524</f>
        <v>46534</v>
      </c>
    </row>
    <row r="534" spans="1:8">
      <c r="A534" s="95"/>
      <c r="B534" s="814" t="s">
        <v>861</v>
      </c>
      <c r="C534" s="815"/>
      <c r="D534" s="815"/>
      <c r="E534" s="816"/>
      <c r="F534" s="128">
        <f>'MANO DE OBRA'!D59</f>
        <v>0</v>
      </c>
      <c r="G534" s="122">
        <f>ROUND(G533*F534,0)</f>
        <v>0</v>
      </c>
    </row>
    <row r="535" spans="1:8" ht="13.5" thickBot="1">
      <c r="A535" s="95"/>
      <c r="B535" s="805" t="s">
        <v>1049</v>
      </c>
      <c r="C535" s="806"/>
      <c r="D535" s="806"/>
      <c r="E535" s="806"/>
      <c r="F535" s="807"/>
      <c r="G535" s="118">
        <f>ROUND(G533+G534,-2)</f>
        <v>46500</v>
      </c>
      <c r="H535" s="505" t="s">
        <v>1670</v>
      </c>
    </row>
    <row r="536" spans="1:8" ht="15" thickTop="1">
      <c r="A536" s="95"/>
      <c r="B536" s="90" t="s">
        <v>303</v>
      </c>
      <c r="C536" s="843"/>
      <c r="D536" s="843"/>
      <c r="E536" s="843"/>
      <c r="F536" s="92" t="s">
        <v>781</v>
      </c>
      <c r="G536" s="93" t="s">
        <v>1067</v>
      </c>
    </row>
    <row r="537" spans="1:8">
      <c r="A537" s="95"/>
      <c r="B537" s="91" t="s">
        <v>834</v>
      </c>
      <c r="C537" s="844" t="s">
        <v>1408</v>
      </c>
      <c r="D537" s="844"/>
      <c r="E537" s="844"/>
      <c r="F537" s="15" t="s">
        <v>833</v>
      </c>
      <c r="G537" s="165" t="str">
        <f>'MANO DE OBRA'!D61</f>
        <v>Agosto de 2010</v>
      </c>
    </row>
    <row r="538" spans="1:8" ht="13.5" thickBot="1">
      <c r="A538" s="127"/>
      <c r="B538" s="94" t="s">
        <v>835</v>
      </c>
      <c r="C538" s="845" t="s">
        <v>1410</v>
      </c>
      <c r="D538" s="845"/>
      <c r="E538" s="845"/>
      <c r="F538" s="845"/>
      <c r="G538" s="846"/>
    </row>
    <row r="539" spans="1:8" ht="14.25" thickTop="1" thickBot="1">
      <c r="A539" s="95"/>
      <c r="B539" s="847" t="s">
        <v>1409</v>
      </c>
      <c r="C539" s="847"/>
      <c r="D539" s="847"/>
      <c r="E539" s="847"/>
      <c r="F539" s="847"/>
      <c r="G539" s="847"/>
    </row>
    <row r="540" spans="1:8" ht="13.5" thickTop="1">
      <c r="A540" s="95"/>
      <c r="B540" s="811" t="s">
        <v>304</v>
      </c>
      <c r="C540" s="812"/>
      <c r="D540" s="812"/>
      <c r="E540" s="812"/>
      <c r="F540" s="812"/>
      <c r="G540" s="825"/>
    </row>
    <row r="541" spans="1:8">
      <c r="A541" s="95"/>
      <c r="B541" s="105"/>
      <c r="C541" s="97"/>
      <c r="D541" s="98" t="s">
        <v>301</v>
      </c>
      <c r="E541" s="98" t="s">
        <v>1072</v>
      </c>
      <c r="F541" s="99" t="s">
        <v>839</v>
      </c>
      <c r="G541" s="107" t="s">
        <v>840</v>
      </c>
    </row>
    <row r="542" spans="1:8">
      <c r="A542" s="95"/>
      <c r="B542" s="821" t="s">
        <v>838</v>
      </c>
      <c r="C542" s="822"/>
      <c r="D542" s="100" t="s">
        <v>308</v>
      </c>
      <c r="E542" s="100" t="s">
        <v>305</v>
      </c>
      <c r="F542" s="101" t="s">
        <v>306</v>
      </c>
      <c r="G542" s="108" t="s">
        <v>310</v>
      </c>
    </row>
    <row r="543" spans="1:8">
      <c r="A543" s="95"/>
      <c r="B543" s="115"/>
      <c r="C543" s="102"/>
      <c r="D543" s="103"/>
      <c r="E543" s="103" t="s">
        <v>309</v>
      </c>
      <c r="F543" s="104" t="s">
        <v>307</v>
      </c>
      <c r="G543" s="109"/>
    </row>
    <row r="544" spans="1:8">
      <c r="A544" s="127"/>
      <c r="B544" s="823" t="str">
        <f>'MAQUINARIA Y EQUIPOS'!C28</f>
        <v>HERRAMIENTAS MENORES</v>
      </c>
      <c r="C544" s="824"/>
      <c r="D544" s="87">
        <v>1</v>
      </c>
      <c r="E544" s="82">
        <f>ROUND(G577*0.05,0)</f>
        <v>551</v>
      </c>
      <c r="F544" s="81">
        <v>1</v>
      </c>
      <c r="G544" s="110">
        <f>ROUND(D544*E544/F544,0)</f>
        <v>551</v>
      </c>
    </row>
    <row r="545" spans="1:7">
      <c r="A545" s="95"/>
      <c r="B545" s="835" t="str">
        <f>'MAQUINARIA Y EQUIPOS'!C9</f>
        <v>ANDAMIO TUBULAR 1.50 m</v>
      </c>
      <c r="C545" s="836"/>
      <c r="D545" s="37">
        <v>4</v>
      </c>
      <c r="E545" s="129">
        <f>'MAQUINARIA Y EQUIPOS'!D9</f>
        <v>754</v>
      </c>
      <c r="F545" s="83">
        <v>9.64</v>
      </c>
      <c r="G545" s="111">
        <f>ROUND(D545*E545/F545,0)</f>
        <v>313</v>
      </c>
    </row>
    <row r="546" spans="1:7">
      <c r="A546" s="95"/>
      <c r="B546" s="835" t="str">
        <f>'MAQUINARIA Y EQUIPOS'!C47</f>
        <v>TABLONES 3m</v>
      </c>
      <c r="C546" s="836"/>
      <c r="D546" s="37">
        <v>4</v>
      </c>
      <c r="E546" s="129">
        <f>'MAQUINARIA Y EQUIPOS'!D47</f>
        <v>348</v>
      </c>
      <c r="F546" s="83">
        <v>9.64</v>
      </c>
      <c r="G546" s="111">
        <f>ROUND(D546*E546/F546,0)</f>
        <v>144</v>
      </c>
    </row>
    <row r="547" spans="1:7">
      <c r="A547" s="95"/>
      <c r="B547" s="835"/>
      <c r="C547" s="836"/>
      <c r="D547" s="89"/>
      <c r="E547" s="82"/>
      <c r="F547" s="83"/>
      <c r="G547" s="111"/>
    </row>
    <row r="548" spans="1:7">
      <c r="A548" s="95"/>
      <c r="B548" s="835" t="s">
        <v>841</v>
      </c>
      <c r="C548" s="836"/>
      <c r="D548" s="37"/>
      <c r="E548" s="82"/>
      <c r="F548" s="83"/>
      <c r="G548" s="111"/>
    </row>
    <row r="549" spans="1:7" ht="13.5" thickBot="1">
      <c r="A549" s="95"/>
      <c r="B549" s="839" t="s">
        <v>841</v>
      </c>
      <c r="C549" s="840"/>
      <c r="D549" s="77"/>
      <c r="E549" s="106"/>
      <c r="F549" s="86"/>
      <c r="G549" s="112"/>
    </row>
    <row r="550" spans="1:7" ht="14.25" thickTop="1" thickBot="1">
      <c r="A550" s="95"/>
      <c r="B550" s="808"/>
      <c r="C550" s="808"/>
      <c r="D550" s="808"/>
      <c r="E550" s="809"/>
      <c r="F550" s="119" t="s">
        <v>856</v>
      </c>
      <c r="G550" s="118">
        <f>SUM(G544:G549)</f>
        <v>1008</v>
      </c>
    </row>
    <row r="551" spans="1:7" ht="14.25" thickTop="1" thickBot="1">
      <c r="A551" s="95"/>
      <c r="B551" s="830"/>
      <c r="C551" s="830"/>
      <c r="D551" s="830"/>
      <c r="E551" s="830"/>
      <c r="F551" s="830"/>
      <c r="G551" s="830"/>
    </row>
    <row r="552" spans="1:7" ht="13.5" thickTop="1">
      <c r="A552" s="95"/>
      <c r="B552" s="811" t="s">
        <v>311</v>
      </c>
      <c r="C552" s="812"/>
      <c r="D552" s="812"/>
      <c r="E552" s="812"/>
      <c r="F552" s="812"/>
      <c r="G552" s="825"/>
    </row>
    <row r="553" spans="1:7">
      <c r="A553" s="95"/>
      <c r="B553" s="817" t="s">
        <v>838</v>
      </c>
      <c r="C553" s="818"/>
      <c r="D553" s="98" t="s">
        <v>842</v>
      </c>
      <c r="E553" s="98" t="s">
        <v>853</v>
      </c>
      <c r="F553" s="99" t="s">
        <v>1047</v>
      </c>
      <c r="G553" s="107" t="s">
        <v>840</v>
      </c>
    </row>
    <row r="554" spans="1:7">
      <c r="A554" s="95"/>
      <c r="B554" s="115"/>
      <c r="C554" s="102"/>
      <c r="D554" s="100"/>
      <c r="E554" s="100" t="s">
        <v>312</v>
      </c>
      <c r="F554" s="101" t="s">
        <v>313</v>
      </c>
      <c r="G554" s="108" t="s">
        <v>314</v>
      </c>
    </row>
    <row r="555" spans="1:7">
      <c r="A555" s="125"/>
      <c r="B555" s="841" t="str">
        <f>MATERIALES2!C417</f>
        <v>CANALETA 90 DE 7.50 M</v>
      </c>
      <c r="C555" s="842"/>
      <c r="D555" s="87" t="s">
        <v>865</v>
      </c>
      <c r="E555" s="81">
        <v>0.15</v>
      </c>
      <c r="F555" s="80">
        <f>MATERIALES2!E417</f>
        <v>159396</v>
      </c>
      <c r="G555" s="110">
        <f>ROUND(E555*F555,0)</f>
        <v>23909</v>
      </c>
    </row>
    <row r="556" spans="1:7">
      <c r="A556" s="123"/>
      <c r="B556" s="854" t="str">
        <f>MATERIALES2!C430</f>
        <v>TORNILLO FIJACION CANALETA 90</v>
      </c>
      <c r="C556" s="855"/>
      <c r="D556" s="37" t="s">
        <v>865</v>
      </c>
      <c r="E556" s="83">
        <v>0.45</v>
      </c>
      <c r="F556" s="82">
        <f>MATERIALES2!E430</f>
        <v>1021</v>
      </c>
      <c r="G556" s="111">
        <f>ROUND(E556*F556,0)</f>
        <v>459</v>
      </c>
    </row>
    <row r="557" spans="1:7">
      <c r="A557" s="95"/>
      <c r="B557" s="854" t="str">
        <f>MATERIALES2!C306</f>
        <v>JUNTAS (IGAS GRIS)</v>
      </c>
      <c r="C557" s="855"/>
      <c r="D557" s="37" t="s">
        <v>925</v>
      </c>
      <c r="E557" s="53">
        <v>0.17</v>
      </c>
      <c r="F557" s="82">
        <f>MATERIALES2!E306</f>
        <v>7800</v>
      </c>
      <c r="G557" s="111">
        <f>ROUND(E557*F557,0)</f>
        <v>1326</v>
      </c>
    </row>
    <row r="558" spans="1:7">
      <c r="A558" s="95"/>
      <c r="B558" s="854" t="str">
        <f>MATERIALES2!C431</f>
        <v>TORNILLO DE ALA CANALETA 90</v>
      </c>
      <c r="C558" s="855"/>
      <c r="D558" s="37" t="s">
        <v>865</v>
      </c>
      <c r="E558" s="53">
        <v>0.61</v>
      </c>
      <c r="F558" s="82">
        <f>MATERIALES2!E431</f>
        <v>749</v>
      </c>
      <c r="G558" s="111">
        <f>ROUND(E558*F558,0)</f>
        <v>457</v>
      </c>
    </row>
    <row r="559" spans="1:7">
      <c r="A559" s="95"/>
      <c r="B559" s="854"/>
      <c r="C559" s="855"/>
      <c r="D559" s="37"/>
      <c r="E559" s="53"/>
      <c r="F559" s="82"/>
      <c r="G559" s="111"/>
    </row>
    <row r="560" spans="1:7">
      <c r="A560" s="95"/>
      <c r="B560" s="854"/>
      <c r="C560" s="855"/>
      <c r="D560" s="37"/>
      <c r="E560" s="53"/>
      <c r="F560" s="82"/>
      <c r="G560" s="111"/>
    </row>
    <row r="561" spans="1:8">
      <c r="A561" s="95"/>
      <c r="B561" s="854"/>
      <c r="C561" s="855"/>
      <c r="D561" s="37"/>
      <c r="E561" s="53"/>
      <c r="F561" s="82"/>
      <c r="G561" s="111"/>
    </row>
    <row r="562" spans="1:8">
      <c r="A562" s="95"/>
      <c r="B562" s="938" t="s">
        <v>841</v>
      </c>
      <c r="C562" s="939"/>
      <c r="D562" s="53" t="s">
        <v>841</v>
      </c>
      <c r="E562" s="53"/>
      <c r="F562" s="82"/>
      <c r="G562" s="111"/>
      <c r="H562" s="505" t="s">
        <v>1670</v>
      </c>
    </row>
    <row r="563" spans="1:8" ht="13.5" thickBot="1">
      <c r="A563" s="95"/>
      <c r="B563" s="942" t="s">
        <v>841</v>
      </c>
      <c r="C563" s="943"/>
      <c r="D563" s="84" t="s">
        <v>841</v>
      </c>
      <c r="E563" s="84"/>
      <c r="F563" s="85"/>
      <c r="G563" s="112"/>
    </row>
    <row r="564" spans="1:8" ht="13.5" thickTop="1">
      <c r="A564" s="95"/>
      <c r="B564" s="808"/>
      <c r="C564" s="809"/>
      <c r="D564" s="801" t="s">
        <v>856</v>
      </c>
      <c r="E564" s="802"/>
      <c r="F564" s="9"/>
      <c r="G564" s="113">
        <f>SUM(G555:G563)</f>
        <v>26151</v>
      </c>
    </row>
    <row r="565" spans="1:8">
      <c r="A565" s="95"/>
      <c r="B565" s="819"/>
      <c r="C565" s="820"/>
      <c r="D565" s="801" t="s">
        <v>857</v>
      </c>
      <c r="E565" s="802"/>
      <c r="F565" s="79">
        <f>'MANO DE OBRA'!D60</f>
        <v>0.05</v>
      </c>
      <c r="G565" s="113">
        <f>ROUND(G564*F565,0)</f>
        <v>1308</v>
      </c>
    </row>
    <row r="566" spans="1:8" ht="13.5" thickBot="1">
      <c r="A566" s="95"/>
      <c r="B566" s="819"/>
      <c r="C566" s="820"/>
      <c r="D566" s="803" t="s">
        <v>320</v>
      </c>
      <c r="E566" s="804"/>
      <c r="F566" s="114"/>
      <c r="G566" s="118">
        <f>+G564+G565</f>
        <v>27459</v>
      </c>
    </row>
    <row r="567" spans="1:8" ht="14.25" thickTop="1" thickBot="1">
      <c r="A567" s="95"/>
      <c r="B567" s="830"/>
      <c r="C567" s="830"/>
      <c r="D567" s="830"/>
      <c r="E567" s="830"/>
      <c r="F567" s="830"/>
      <c r="G567" s="830"/>
    </row>
    <row r="568" spans="1:8" ht="13.5" thickTop="1">
      <c r="A568" s="95"/>
      <c r="B568" s="811" t="s">
        <v>858</v>
      </c>
      <c r="C568" s="812"/>
      <c r="D568" s="812"/>
      <c r="E568" s="812"/>
      <c r="F568" s="812"/>
      <c r="G568" s="825"/>
    </row>
    <row r="569" spans="1:8">
      <c r="A569" s="95"/>
      <c r="B569" s="817"/>
      <c r="C569" s="818"/>
      <c r="D569" s="98" t="s">
        <v>301</v>
      </c>
      <c r="E569" s="98" t="s">
        <v>859</v>
      </c>
      <c r="F569" s="99" t="s">
        <v>839</v>
      </c>
      <c r="G569" s="107" t="s">
        <v>840</v>
      </c>
    </row>
    <row r="570" spans="1:8">
      <c r="A570" s="95"/>
      <c r="B570" s="821" t="s">
        <v>838</v>
      </c>
      <c r="C570" s="822"/>
      <c r="D570" s="100" t="s">
        <v>316</v>
      </c>
      <c r="E570" s="100" t="s">
        <v>315</v>
      </c>
      <c r="F570" s="101" t="s">
        <v>306</v>
      </c>
      <c r="G570" s="108" t="s">
        <v>319</v>
      </c>
    </row>
    <row r="571" spans="1:8">
      <c r="A571" s="95"/>
      <c r="B571" s="115"/>
      <c r="C571" s="102"/>
      <c r="D571" s="103"/>
      <c r="E571" s="103" t="s">
        <v>317</v>
      </c>
      <c r="F571" s="104" t="s">
        <v>318</v>
      </c>
      <c r="G571" s="109"/>
    </row>
    <row r="572" spans="1:8">
      <c r="A572" s="95"/>
      <c r="B572" s="823" t="str">
        <f>'MANO DE OBRA'!B10</f>
        <v>AYUDANTE CUAD. TIPO AA</v>
      </c>
      <c r="C572" s="824"/>
      <c r="D572" s="87">
        <v>1</v>
      </c>
      <c r="E572" s="80">
        <f>'MANO DE OBRA'!E10</f>
        <v>34680</v>
      </c>
      <c r="F572" s="81">
        <v>9.64</v>
      </c>
      <c r="G572" s="110">
        <f>ROUND(D572*E572/F572,0)</f>
        <v>3598</v>
      </c>
    </row>
    <row r="573" spans="1:8">
      <c r="A573" s="95"/>
      <c r="B573" s="835" t="str">
        <f>'MANO DE OBRA'!B15</f>
        <v xml:space="preserve">OFICIAL CUAD. TIPO AA </v>
      </c>
      <c r="C573" s="836"/>
      <c r="D573" s="37">
        <v>1</v>
      </c>
      <c r="E573" s="82">
        <f>'MANO DE OBRA'!E15</f>
        <v>71474</v>
      </c>
      <c r="F573" s="83">
        <v>9.64</v>
      </c>
      <c r="G573" s="111">
        <f>ROUND(D573*E573/F573,0)</f>
        <v>7414</v>
      </c>
    </row>
    <row r="574" spans="1:8">
      <c r="A574" s="95"/>
      <c r="B574" s="835"/>
      <c r="C574" s="836"/>
      <c r="D574" s="89"/>
      <c r="E574" s="82"/>
      <c r="F574" s="83"/>
      <c r="G574" s="111"/>
    </row>
    <row r="575" spans="1:8">
      <c r="A575" s="95"/>
      <c r="B575" s="835" t="s">
        <v>841</v>
      </c>
      <c r="C575" s="836"/>
      <c r="D575" s="37"/>
      <c r="E575" s="82"/>
      <c r="F575" s="83"/>
      <c r="G575" s="111"/>
    </row>
    <row r="576" spans="1:8" ht="13.5" thickBot="1">
      <c r="A576" s="95"/>
      <c r="B576" s="828" t="s">
        <v>841</v>
      </c>
      <c r="C576" s="829"/>
      <c r="D576" s="77"/>
      <c r="E576" s="82"/>
      <c r="F576" s="86"/>
      <c r="G576" s="112"/>
    </row>
    <row r="577" spans="1:8" ht="14.25" thickTop="1" thickBot="1">
      <c r="A577" s="95"/>
      <c r="B577" s="808"/>
      <c r="C577" s="808"/>
      <c r="D577" s="808"/>
      <c r="E577" s="809"/>
      <c r="F577" s="120" t="s">
        <v>856</v>
      </c>
      <c r="G577" s="118">
        <f>SUM(G572:G576)</f>
        <v>11012</v>
      </c>
    </row>
    <row r="578" spans="1:8" ht="14.25" thickTop="1" thickBot="1">
      <c r="A578" s="95"/>
      <c r="B578" s="810"/>
      <c r="C578" s="810"/>
      <c r="D578" s="810"/>
      <c r="E578" s="810"/>
      <c r="F578" s="810"/>
      <c r="G578" s="810"/>
    </row>
    <row r="579" spans="1:8" ht="13.5" thickTop="1">
      <c r="A579" s="95"/>
      <c r="B579" s="811" t="s">
        <v>321</v>
      </c>
      <c r="C579" s="812"/>
      <c r="D579" s="812"/>
      <c r="E579" s="812"/>
      <c r="F579" s="812"/>
      <c r="G579" s="825"/>
    </row>
    <row r="580" spans="1:8">
      <c r="A580" s="95"/>
      <c r="B580" s="817" t="s">
        <v>838</v>
      </c>
      <c r="C580" s="818"/>
      <c r="D580" s="98" t="s">
        <v>301</v>
      </c>
      <c r="E580" s="98" t="s">
        <v>297</v>
      </c>
      <c r="F580" s="99" t="s">
        <v>839</v>
      </c>
      <c r="G580" s="107" t="s">
        <v>840</v>
      </c>
    </row>
    <row r="581" spans="1:8">
      <c r="A581" s="95"/>
      <c r="B581" s="115"/>
      <c r="C581" s="102"/>
      <c r="D581" s="103" t="s">
        <v>322</v>
      </c>
      <c r="E581" s="103" t="s">
        <v>323</v>
      </c>
      <c r="F581" s="104" t="s">
        <v>324</v>
      </c>
      <c r="G581" s="109" t="s">
        <v>325</v>
      </c>
    </row>
    <row r="582" spans="1:8">
      <c r="A582" s="95"/>
      <c r="B582" s="826"/>
      <c r="C582" s="827"/>
      <c r="D582" s="96"/>
      <c r="E582" s="96"/>
      <c r="F582" s="96"/>
      <c r="G582" s="116"/>
    </row>
    <row r="583" spans="1:8" ht="13.5" thickBot="1">
      <c r="A583" s="95"/>
      <c r="B583" s="828" t="s">
        <v>841</v>
      </c>
      <c r="C583" s="829"/>
      <c r="D583" s="77"/>
      <c r="E583" s="82"/>
      <c r="F583" s="86"/>
      <c r="G583" s="112"/>
    </row>
    <row r="584" spans="1:8" ht="14.25" thickTop="1" thickBot="1">
      <c r="A584" s="95"/>
      <c r="B584" s="808"/>
      <c r="C584" s="808"/>
      <c r="D584" s="808"/>
      <c r="E584" s="809"/>
      <c r="F584" s="120" t="s">
        <v>856</v>
      </c>
      <c r="G584" s="118">
        <f>SUM(G579:G583)</f>
        <v>0</v>
      </c>
    </row>
    <row r="585" spans="1:8" ht="14.25" thickTop="1" thickBot="1">
      <c r="A585" s="95"/>
      <c r="B585" s="810"/>
      <c r="C585" s="810"/>
      <c r="D585" s="810"/>
      <c r="E585" s="810"/>
      <c r="F585" s="810"/>
      <c r="G585" s="834"/>
    </row>
    <row r="586" spans="1:8" ht="13.5" thickTop="1">
      <c r="A586" s="95"/>
      <c r="B586" s="811" t="s">
        <v>326</v>
      </c>
      <c r="C586" s="812"/>
      <c r="D586" s="812"/>
      <c r="E586" s="812"/>
      <c r="F586" s="813"/>
      <c r="G586" s="121">
        <f>+G550+G566+G577</f>
        <v>39479</v>
      </c>
    </row>
    <row r="587" spans="1:8">
      <c r="A587" s="95"/>
      <c r="B587" s="814" t="s">
        <v>861</v>
      </c>
      <c r="C587" s="815"/>
      <c r="D587" s="815"/>
      <c r="E587" s="816"/>
      <c r="F587" s="128">
        <f>'MANO DE OBRA'!D59</f>
        <v>0</v>
      </c>
      <c r="G587" s="122">
        <f>ROUND(G586*F587,0)</f>
        <v>0</v>
      </c>
    </row>
    <row r="588" spans="1:8" ht="13.5" thickBot="1">
      <c r="A588" s="95"/>
      <c r="B588" s="805" t="s">
        <v>1049</v>
      </c>
      <c r="C588" s="806"/>
      <c r="D588" s="806"/>
      <c r="E588" s="806"/>
      <c r="F588" s="807"/>
      <c r="G588" s="118">
        <f>ROUND(G586+G587,-2)</f>
        <v>39500</v>
      </c>
      <c r="H588" s="505" t="s">
        <v>1670</v>
      </c>
    </row>
    <row r="589" spans="1:8" ht="15" thickTop="1">
      <c r="A589" s="95"/>
      <c r="B589" s="90" t="s">
        <v>303</v>
      </c>
      <c r="C589" s="843"/>
      <c r="D589" s="843"/>
      <c r="E589" s="843"/>
      <c r="F589" s="92" t="s">
        <v>781</v>
      </c>
      <c r="G589" s="93" t="s">
        <v>1067</v>
      </c>
    </row>
    <row r="590" spans="1:8">
      <c r="A590" s="95"/>
      <c r="B590" s="91" t="s">
        <v>834</v>
      </c>
      <c r="C590" s="844" t="s">
        <v>1408</v>
      </c>
      <c r="D590" s="844"/>
      <c r="E590" s="844"/>
      <c r="F590" s="15" t="s">
        <v>833</v>
      </c>
      <c r="G590" s="165" t="str">
        <f>'MANO DE OBRA'!D61</f>
        <v>Agosto de 2010</v>
      </c>
    </row>
    <row r="591" spans="1:8" ht="13.5" thickBot="1">
      <c r="A591" s="127"/>
      <c r="B591" s="94" t="s">
        <v>835</v>
      </c>
      <c r="C591" s="845" t="s">
        <v>491</v>
      </c>
      <c r="D591" s="845"/>
      <c r="E591" s="845"/>
      <c r="F591" s="845"/>
      <c r="G591" s="846"/>
    </row>
    <row r="592" spans="1:8" ht="14.25" thickTop="1" thickBot="1">
      <c r="A592" s="95"/>
      <c r="B592" s="847" t="s">
        <v>1409</v>
      </c>
      <c r="C592" s="847"/>
      <c r="D592" s="847"/>
      <c r="E592" s="847"/>
      <c r="F592" s="847"/>
      <c r="G592" s="847"/>
    </row>
    <row r="593" spans="1:7" ht="13.5" thickTop="1">
      <c r="A593" s="95"/>
      <c r="B593" s="811" t="s">
        <v>304</v>
      </c>
      <c r="C593" s="812"/>
      <c r="D593" s="812"/>
      <c r="E593" s="812"/>
      <c r="F593" s="812"/>
      <c r="G593" s="825"/>
    </row>
    <row r="594" spans="1:7">
      <c r="A594" s="95"/>
      <c r="B594" s="105"/>
      <c r="C594" s="97"/>
      <c r="D594" s="98" t="s">
        <v>301</v>
      </c>
      <c r="E594" s="98" t="s">
        <v>1072</v>
      </c>
      <c r="F594" s="99" t="s">
        <v>839</v>
      </c>
      <c r="G594" s="107" t="s">
        <v>840</v>
      </c>
    </row>
    <row r="595" spans="1:7">
      <c r="A595" s="95"/>
      <c r="B595" s="821" t="s">
        <v>838</v>
      </c>
      <c r="C595" s="822"/>
      <c r="D595" s="100" t="s">
        <v>308</v>
      </c>
      <c r="E595" s="100" t="s">
        <v>305</v>
      </c>
      <c r="F595" s="101" t="s">
        <v>306</v>
      </c>
      <c r="G595" s="108" t="s">
        <v>310</v>
      </c>
    </row>
    <row r="596" spans="1:7">
      <c r="A596" s="95"/>
      <c r="B596" s="115"/>
      <c r="C596" s="102"/>
      <c r="D596" s="103"/>
      <c r="E596" s="103" t="s">
        <v>309</v>
      </c>
      <c r="F596" s="104" t="s">
        <v>307</v>
      </c>
      <c r="G596" s="109"/>
    </row>
    <row r="597" spans="1:7">
      <c r="A597" s="127"/>
      <c r="B597" s="823" t="str">
        <f>'MAQUINARIA Y EQUIPOS'!C28</f>
        <v>HERRAMIENTAS MENORES</v>
      </c>
      <c r="C597" s="824"/>
      <c r="D597" s="87">
        <v>1</v>
      </c>
      <c r="E597" s="82">
        <f>ROUND(G630*0.05,0)</f>
        <v>551</v>
      </c>
      <c r="F597" s="81">
        <v>1</v>
      </c>
      <c r="G597" s="110">
        <f>ROUND(D597*E597/F597,0)</f>
        <v>551</v>
      </c>
    </row>
    <row r="598" spans="1:7">
      <c r="A598" s="95"/>
      <c r="B598" s="835" t="str">
        <f>'MAQUINARIA Y EQUIPOS'!C9</f>
        <v>ANDAMIO TUBULAR 1.50 m</v>
      </c>
      <c r="C598" s="836"/>
      <c r="D598" s="37">
        <v>4</v>
      </c>
      <c r="E598" s="129">
        <f>'MAQUINARIA Y EQUIPOS'!D9</f>
        <v>754</v>
      </c>
      <c r="F598" s="83">
        <v>9.64</v>
      </c>
      <c r="G598" s="111">
        <f>ROUND(D598*E598/F598,0)</f>
        <v>313</v>
      </c>
    </row>
    <row r="599" spans="1:7">
      <c r="A599" s="95"/>
      <c r="B599" s="835" t="str">
        <f>'MAQUINARIA Y EQUIPOS'!C47</f>
        <v>TABLONES 3m</v>
      </c>
      <c r="C599" s="836"/>
      <c r="D599" s="37">
        <v>4</v>
      </c>
      <c r="E599" s="129">
        <f>'MAQUINARIA Y EQUIPOS'!D47</f>
        <v>348</v>
      </c>
      <c r="F599" s="83">
        <v>9.64</v>
      </c>
      <c r="G599" s="111">
        <f>ROUND(D599*E599/F599,0)</f>
        <v>144</v>
      </c>
    </row>
    <row r="600" spans="1:7">
      <c r="A600" s="95"/>
      <c r="B600" s="835"/>
      <c r="C600" s="836"/>
      <c r="D600" s="89"/>
      <c r="E600" s="82"/>
      <c r="F600" s="83"/>
      <c r="G600" s="111"/>
    </row>
    <row r="601" spans="1:7">
      <c r="A601" s="95"/>
      <c r="B601" s="835" t="s">
        <v>841</v>
      </c>
      <c r="C601" s="836"/>
      <c r="D601" s="37"/>
      <c r="E601" s="82"/>
      <c r="F601" s="83"/>
      <c r="G601" s="111"/>
    </row>
    <row r="602" spans="1:7" ht="13.5" thickBot="1">
      <c r="A602" s="95"/>
      <c r="B602" s="839" t="s">
        <v>841</v>
      </c>
      <c r="C602" s="840"/>
      <c r="D602" s="77"/>
      <c r="E602" s="106"/>
      <c r="F602" s="86"/>
      <c r="G602" s="112"/>
    </row>
    <row r="603" spans="1:7" ht="14.25" thickTop="1" thickBot="1">
      <c r="A603" s="95"/>
      <c r="B603" s="808"/>
      <c r="C603" s="808"/>
      <c r="D603" s="808"/>
      <c r="E603" s="809"/>
      <c r="F603" s="119" t="s">
        <v>856</v>
      </c>
      <c r="G603" s="118">
        <f>SUM(G597:G602)</f>
        <v>1008</v>
      </c>
    </row>
    <row r="604" spans="1:7" ht="14.25" thickTop="1" thickBot="1">
      <c r="A604" s="95"/>
      <c r="B604" s="830"/>
      <c r="C604" s="830"/>
      <c r="D604" s="830"/>
      <c r="E604" s="830"/>
      <c r="F604" s="830"/>
      <c r="G604" s="830"/>
    </row>
    <row r="605" spans="1:7" ht="13.5" thickTop="1">
      <c r="A605" s="95"/>
      <c r="B605" s="811" t="s">
        <v>311</v>
      </c>
      <c r="C605" s="812"/>
      <c r="D605" s="812"/>
      <c r="E605" s="812"/>
      <c r="F605" s="812"/>
      <c r="G605" s="825"/>
    </row>
    <row r="606" spans="1:7">
      <c r="A606" s="95"/>
      <c r="B606" s="817" t="s">
        <v>838</v>
      </c>
      <c r="C606" s="818"/>
      <c r="D606" s="98" t="s">
        <v>842</v>
      </c>
      <c r="E606" s="98" t="s">
        <v>853</v>
      </c>
      <c r="F606" s="99" t="s">
        <v>1047</v>
      </c>
      <c r="G606" s="107" t="s">
        <v>840</v>
      </c>
    </row>
    <row r="607" spans="1:7">
      <c r="A607" s="95"/>
      <c r="B607" s="115"/>
      <c r="C607" s="102"/>
      <c r="D607" s="100"/>
      <c r="E607" s="100" t="s">
        <v>312</v>
      </c>
      <c r="F607" s="101" t="s">
        <v>313</v>
      </c>
      <c r="G607" s="108" t="s">
        <v>314</v>
      </c>
    </row>
    <row r="608" spans="1:7">
      <c r="A608" s="125"/>
      <c r="B608" s="841" t="str">
        <f>MATERIALES2!C418</f>
        <v>CANALETA 90 DE 9.00 M</v>
      </c>
      <c r="C608" s="842"/>
      <c r="D608" s="87" t="s">
        <v>865</v>
      </c>
      <c r="E608" s="81">
        <v>0.13</v>
      </c>
      <c r="F608" s="80">
        <f>MATERIALES2!E418</f>
        <v>255913</v>
      </c>
      <c r="G608" s="110">
        <f>ROUND(E608*F608,0)</f>
        <v>33269</v>
      </c>
    </row>
    <row r="609" spans="1:8">
      <c r="A609" s="123"/>
      <c r="B609" s="854" t="str">
        <f>MATERIALES2!C430</f>
        <v>TORNILLO FIJACION CANALETA 90</v>
      </c>
      <c r="C609" s="855"/>
      <c r="D609" s="37" t="s">
        <v>865</v>
      </c>
      <c r="E609" s="83">
        <v>0.38</v>
      </c>
      <c r="F609" s="82">
        <f>MATERIALES2!E430</f>
        <v>1021</v>
      </c>
      <c r="G609" s="111">
        <f>ROUND(E609*F609,0)</f>
        <v>388</v>
      </c>
    </row>
    <row r="610" spans="1:8">
      <c r="A610" s="95"/>
      <c r="B610" s="854" t="str">
        <f>MATERIALES2!C306</f>
        <v>JUNTAS (IGAS GRIS)</v>
      </c>
      <c r="C610" s="855"/>
      <c r="D610" s="37" t="s">
        <v>925</v>
      </c>
      <c r="E610" s="53">
        <v>0.17</v>
      </c>
      <c r="F610" s="82">
        <f>MATERIALES2!E306</f>
        <v>7800</v>
      </c>
      <c r="G610" s="111">
        <f>ROUND(E610*F610,0)</f>
        <v>1326</v>
      </c>
    </row>
    <row r="611" spans="1:8">
      <c r="A611" s="95"/>
      <c r="B611" s="854" t="str">
        <f>MATERIALES2!C431</f>
        <v>TORNILLO DE ALA CANALETA 90</v>
      </c>
      <c r="C611" s="855"/>
      <c r="D611" s="37" t="s">
        <v>865</v>
      </c>
      <c r="E611" s="83">
        <v>0.5</v>
      </c>
      <c r="F611" s="82">
        <f>MATERIALES2!E431</f>
        <v>749</v>
      </c>
      <c r="G611" s="111">
        <f>ROUND(E611*F611,0)</f>
        <v>375</v>
      </c>
    </row>
    <row r="612" spans="1:8">
      <c r="A612" s="95"/>
      <c r="B612" s="854"/>
      <c r="C612" s="855"/>
      <c r="D612" s="37"/>
      <c r="E612" s="53"/>
      <c r="F612" s="82"/>
      <c r="G612" s="111"/>
    </row>
    <row r="613" spans="1:8">
      <c r="A613" s="95"/>
      <c r="B613" s="854"/>
      <c r="C613" s="855"/>
      <c r="D613" s="37"/>
      <c r="E613" s="53"/>
      <c r="F613" s="82"/>
      <c r="G613" s="111"/>
    </row>
    <row r="614" spans="1:8">
      <c r="A614" s="95"/>
      <c r="B614" s="854"/>
      <c r="C614" s="855"/>
      <c r="D614" s="37"/>
      <c r="E614" s="53"/>
      <c r="F614" s="82"/>
      <c r="G614" s="111"/>
    </row>
    <row r="615" spans="1:8">
      <c r="A615" s="95"/>
      <c r="B615" s="938" t="s">
        <v>841</v>
      </c>
      <c r="C615" s="939"/>
      <c r="D615" s="53" t="s">
        <v>841</v>
      </c>
      <c r="E615" s="53"/>
      <c r="F615" s="82"/>
      <c r="G615" s="111"/>
      <c r="H615" s="505" t="s">
        <v>1670</v>
      </c>
    </row>
    <row r="616" spans="1:8" ht="13.5" thickBot="1">
      <c r="A616" s="95"/>
      <c r="B616" s="942" t="s">
        <v>841</v>
      </c>
      <c r="C616" s="943"/>
      <c r="D616" s="84" t="s">
        <v>841</v>
      </c>
      <c r="E616" s="84"/>
      <c r="F616" s="85"/>
      <c r="G616" s="112"/>
    </row>
    <row r="617" spans="1:8" ht="13.5" thickTop="1">
      <c r="A617" s="95"/>
      <c r="B617" s="808"/>
      <c r="C617" s="809"/>
      <c r="D617" s="801" t="s">
        <v>856</v>
      </c>
      <c r="E617" s="802"/>
      <c r="F617" s="9"/>
      <c r="G617" s="113">
        <f>SUM(G608:G616)</f>
        <v>35358</v>
      </c>
    </row>
    <row r="618" spans="1:8">
      <c r="A618" s="95"/>
      <c r="B618" s="819"/>
      <c r="C618" s="820"/>
      <c r="D618" s="801" t="s">
        <v>857</v>
      </c>
      <c r="E618" s="802"/>
      <c r="F618" s="79">
        <f>'MANO DE OBRA'!D60</f>
        <v>0.05</v>
      </c>
      <c r="G618" s="113">
        <f>ROUND(G617*F618,0)</f>
        <v>1768</v>
      </c>
    </row>
    <row r="619" spans="1:8" ht="13.5" thickBot="1">
      <c r="A619" s="95"/>
      <c r="B619" s="819"/>
      <c r="C619" s="820"/>
      <c r="D619" s="803" t="s">
        <v>320</v>
      </c>
      <c r="E619" s="804"/>
      <c r="F619" s="114"/>
      <c r="G619" s="118">
        <f>+G617+G618</f>
        <v>37126</v>
      </c>
    </row>
    <row r="620" spans="1:8" ht="14.25" thickTop="1" thickBot="1">
      <c r="A620" s="95"/>
      <c r="B620" s="830"/>
      <c r="C620" s="830"/>
      <c r="D620" s="830"/>
      <c r="E620" s="830"/>
      <c r="F620" s="830"/>
      <c r="G620" s="830"/>
    </row>
    <row r="621" spans="1:8" ht="13.5" thickTop="1">
      <c r="A621" s="95"/>
      <c r="B621" s="811" t="s">
        <v>858</v>
      </c>
      <c r="C621" s="812"/>
      <c r="D621" s="812"/>
      <c r="E621" s="812"/>
      <c r="F621" s="812"/>
      <c r="G621" s="825"/>
    </row>
    <row r="622" spans="1:8">
      <c r="A622" s="95"/>
      <c r="B622" s="817"/>
      <c r="C622" s="818"/>
      <c r="D622" s="98" t="s">
        <v>301</v>
      </c>
      <c r="E622" s="98" t="s">
        <v>859</v>
      </c>
      <c r="F622" s="99" t="s">
        <v>839</v>
      </c>
      <c r="G622" s="107" t="s">
        <v>840</v>
      </c>
    </row>
    <row r="623" spans="1:8">
      <c r="A623" s="95"/>
      <c r="B623" s="821" t="s">
        <v>838</v>
      </c>
      <c r="C623" s="822"/>
      <c r="D623" s="100" t="s">
        <v>316</v>
      </c>
      <c r="E623" s="100" t="s">
        <v>315</v>
      </c>
      <c r="F623" s="101" t="s">
        <v>306</v>
      </c>
      <c r="G623" s="108" t="s">
        <v>319</v>
      </c>
    </row>
    <row r="624" spans="1:8">
      <c r="A624" s="95"/>
      <c r="B624" s="115"/>
      <c r="C624" s="102"/>
      <c r="D624" s="103"/>
      <c r="E624" s="103" t="s">
        <v>317</v>
      </c>
      <c r="F624" s="104" t="s">
        <v>318</v>
      </c>
      <c r="G624" s="109"/>
    </row>
    <row r="625" spans="1:7">
      <c r="A625" s="95"/>
      <c r="B625" s="823" t="str">
        <f>'MANO DE OBRA'!B10</f>
        <v>AYUDANTE CUAD. TIPO AA</v>
      </c>
      <c r="C625" s="824"/>
      <c r="D625" s="87">
        <v>1</v>
      </c>
      <c r="E625" s="80">
        <f>'MANO DE OBRA'!E10</f>
        <v>34680</v>
      </c>
      <c r="F625" s="81">
        <v>9.64</v>
      </c>
      <c r="G625" s="110">
        <f>ROUND(D625*E625/F625,0)</f>
        <v>3598</v>
      </c>
    </row>
    <row r="626" spans="1:7">
      <c r="A626" s="95"/>
      <c r="B626" s="835" t="str">
        <f>'MANO DE OBRA'!B15</f>
        <v xml:space="preserve">OFICIAL CUAD. TIPO AA </v>
      </c>
      <c r="C626" s="836"/>
      <c r="D626" s="37">
        <v>1</v>
      </c>
      <c r="E626" s="82">
        <f>'MANO DE OBRA'!E15</f>
        <v>71474</v>
      </c>
      <c r="F626" s="83">
        <v>9.64</v>
      </c>
      <c r="G626" s="111">
        <f>ROUND(D626*E626/F626,0)</f>
        <v>7414</v>
      </c>
    </row>
    <row r="627" spans="1:7">
      <c r="A627" s="95"/>
      <c r="B627" s="835"/>
      <c r="C627" s="836"/>
      <c r="D627" s="89"/>
      <c r="E627" s="82"/>
      <c r="F627" s="83"/>
      <c r="G627" s="111"/>
    </row>
    <row r="628" spans="1:7">
      <c r="A628" s="95"/>
      <c r="B628" s="835" t="s">
        <v>841</v>
      </c>
      <c r="C628" s="836"/>
      <c r="D628" s="37"/>
      <c r="E628" s="82"/>
      <c r="F628" s="83"/>
      <c r="G628" s="111"/>
    </row>
    <row r="629" spans="1:7" ht="13.5" thickBot="1">
      <c r="A629" s="95"/>
      <c r="B629" s="828" t="s">
        <v>841</v>
      </c>
      <c r="C629" s="829"/>
      <c r="D629" s="77"/>
      <c r="E629" s="82"/>
      <c r="F629" s="86"/>
      <c r="G629" s="112"/>
    </row>
    <row r="630" spans="1:7" ht="14.25" thickTop="1" thickBot="1">
      <c r="A630" s="95"/>
      <c r="B630" s="808"/>
      <c r="C630" s="808"/>
      <c r="D630" s="808"/>
      <c r="E630" s="809"/>
      <c r="F630" s="120" t="s">
        <v>856</v>
      </c>
      <c r="G630" s="118">
        <f>SUM(G625:G629)</f>
        <v>11012</v>
      </c>
    </row>
    <row r="631" spans="1:7" ht="14.25" thickTop="1" thickBot="1">
      <c r="A631" s="95"/>
      <c r="B631" s="810"/>
      <c r="C631" s="810"/>
      <c r="D631" s="810"/>
      <c r="E631" s="810"/>
      <c r="F631" s="810"/>
      <c r="G631" s="810"/>
    </row>
    <row r="632" spans="1:7" ht="13.5" thickTop="1">
      <c r="A632" s="95"/>
      <c r="B632" s="811" t="s">
        <v>321</v>
      </c>
      <c r="C632" s="812"/>
      <c r="D632" s="812"/>
      <c r="E632" s="812"/>
      <c r="F632" s="812"/>
      <c r="G632" s="825"/>
    </row>
    <row r="633" spans="1:7">
      <c r="A633" s="95"/>
      <c r="B633" s="817" t="s">
        <v>838</v>
      </c>
      <c r="C633" s="818"/>
      <c r="D633" s="98" t="s">
        <v>301</v>
      </c>
      <c r="E633" s="98" t="s">
        <v>297</v>
      </c>
      <c r="F633" s="99" t="s">
        <v>839</v>
      </c>
      <c r="G633" s="107" t="s">
        <v>840</v>
      </c>
    </row>
    <row r="634" spans="1:7">
      <c r="A634" s="95"/>
      <c r="B634" s="115"/>
      <c r="C634" s="102"/>
      <c r="D634" s="103" t="s">
        <v>322</v>
      </c>
      <c r="E634" s="103" t="s">
        <v>323</v>
      </c>
      <c r="F634" s="104" t="s">
        <v>324</v>
      </c>
      <c r="G634" s="109" t="s">
        <v>325</v>
      </c>
    </row>
    <row r="635" spans="1:7">
      <c r="A635" s="95"/>
      <c r="B635" s="826"/>
      <c r="C635" s="827"/>
      <c r="D635" s="96"/>
      <c r="E635" s="96"/>
      <c r="F635" s="96"/>
      <c r="G635" s="116"/>
    </row>
    <row r="636" spans="1:7" ht="13.5" thickBot="1">
      <c r="A636" s="95"/>
      <c r="B636" s="828" t="s">
        <v>841</v>
      </c>
      <c r="C636" s="829"/>
      <c r="D636" s="77"/>
      <c r="E636" s="82"/>
      <c r="F636" s="86"/>
      <c r="G636" s="112"/>
    </row>
    <row r="637" spans="1:7" ht="14.25" thickTop="1" thickBot="1">
      <c r="A637" s="95"/>
      <c r="B637" s="808"/>
      <c r="C637" s="808"/>
      <c r="D637" s="808"/>
      <c r="E637" s="809"/>
      <c r="F637" s="120" t="s">
        <v>856</v>
      </c>
      <c r="G637" s="118">
        <f>SUM(G632:G636)</f>
        <v>0</v>
      </c>
    </row>
    <row r="638" spans="1:7" ht="14.25" thickTop="1" thickBot="1">
      <c r="A638" s="95"/>
      <c r="B638" s="810"/>
      <c r="C638" s="810"/>
      <c r="D638" s="810"/>
      <c r="E638" s="810"/>
      <c r="F638" s="810"/>
      <c r="G638" s="834"/>
    </row>
    <row r="639" spans="1:7" ht="13.5" thickTop="1">
      <c r="A639" s="95"/>
      <c r="B639" s="811" t="s">
        <v>326</v>
      </c>
      <c r="C639" s="812"/>
      <c r="D639" s="812"/>
      <c r="E639" s="812"/>
      <c r="F639" s="813"/>
      <c r="G639" s="121">
        <f>+G603+G619+G630</f>
        <v>49146</v>
      </c>
    </row>
    <row r="640" spans="1:7">
      <c r="A640" s="95"/>
      <c r="B640" s="814" t="s">
        <v>861</v>
      </c>
      <c r="C640" s="815"/>
      <c r="D640" s="815"/>
      <c r="E640" s="816"/>
      <c r="F640" s="128">
        <f>'MANO DE OBRA'!D59</f>
        <v>0</v>
      </c>
      <c r="G640" s="122">
        <f>ROUND(G639*F640,0)</f>
        <v>0</v>
      </c>
    </row>
    <row r="641" spans="1:8" ht="13.5" thickBot="1">
      <c r="A641" s="95"/>
      <c r="B641" s="805" t="s">
        <v>1049</v>
      </c>
      <c r="C641" s="806"/>
      <c r="D641" s="806"/>
      <c r="E641" s="806"/>
      <c r="F641" s="807"/>
      <c r="G641" s="118">
        <f>ROUND(G639+G640,-2)</f>
        <v>49100</v>
      </c>
      <c r="H641" s="505" t="s">
        <v>1670</v>
      </c>
    </row>
    <row r="642" spans="1:8" ht="15" thickTop="1">
      <c r="A642" s="95"/>
      <c r="B642" s="90" t="s">
        <v>303</v>
      </c>
      <c r="C642" s="843"/>
      <c r="D642" s="843"/>
      <c r="E642" s="843"/>
      <c r="F642" s="92" t="s">
        <v>781</v>
      </c>
      <c r="G642" s="93" t="s">
        <v>1067</v>
      </c>
    </row>
    <row r="643" spans="1:8">
      <c r="A643" s="95"/>
      <c r="B643" s="91" t="s">
        <v>834</v>
      </c>
      <c r="C643" s="844" t="s">
        <v>1408</v>
      </c>
      <c r="D643" s="844"/>
      <c r="E643" s="844"/>
      <c r="F643" s="15" t="s">
        <v>833</v>
      </c>
      <c r="G643" s="165" t="str">
        <f>'MANO DE OBRA'!D61</f>
        <v>Agosto de 2010</v>
      </c>
    </row>
    <row r="644" spans="1:8" ht="13.5" thickBot="1">
      <c r="A644" s="127"/>
      <c r="B644" s="94" t="s">
        <v>835</v>
      </c>
      <c r="C644" s="845" t="s">
        <v>495</v>
      </c>
      <c r="D644" s="845"/>
      <c r="E644" s="845"/>
      <c r="F644" s="845"/>
      <c r="G644" s="846"/>
    </row>
    <row r="645" spans="1:8" ht="14.25" thickTop="1" thickBot="1">
      <c r="A645" s="95"/>
      <c r="B645" s="847" t="s">
        <v>1409</v>
      </c>
      <c r="C645" s="847"/>
      <c r="D645" s="847"/>
      <c r="E645" s="847"/>
      <c r="F645" s="847"/>
      <c r="G645" s="847"/>
    </row>
    <row r="646" spans="1:8" ht="13.5" thickTop="1">
      <c r="A646" s="95"/>
      <c r="B646" s="811" t="s">
        <v>304</v>
      </c>
      <c r="C646" s="812"/>
      <c r="D646" s="812"/>
      <c r="E646" s="812"/>
      <c r="F646" s="812"/>
      <c r="G646" s="825"/>
    </row>
    <row r="647" spans="1:8">
      <c r="A647" s="95"/>
      <c r="B647" s="105"/>
      <c r="C647" s="97"/>
      <c r="D647" s="98" t="s">
        <v>301</v>
      </c>
      <c r="E647" s="98" t="s">
        <v>1072</v>
      </c>
      <c r="F647" s="99" t="s">
        <v>839</v>
      </c>
      <c r="G647" s="107" t="s">
        <v>840</v>
      </c>
    </row>
    <row r="648" spans="1:8">
      <c r="A648" s="95"/>
      <c r="B648" s="821" t="s">
        <v>838</v>
      </c>
      <c r="C648" s="822"/>
      <c r="D648" s="100" t="s">
        <v>308</v>
      </c>
      <c r="E648" s="100" t="s">
        <v>305</v>
      </c>
      <c r="F648" s="101" t="s">
        <v>306</v>
      </c>
      <c r="G648" s="108" t="s">
        <v>310</v>
      </c>
    </row>
    <row r="649" spans="1:8">
      <c r="A649" s="95"/>
      <c r="B649" s="115"/>
      <c r="C649" s="102"/>
      <c r="D649" s="103"/>
      <c r="E649" s="103" t="s">
        <v>309</v>
      </c>
      <c r="F649" s="104" t="s">
        <v>307</v>
      </c>
      <c r="G649" s="109"/>
    </row>
    <row r="650" spans="1:8">
      <c r="A650" s="127"/>
      <c r="B650" s="823" t="str">
        <f>'MAQUINARIA Y EQUIPOS'!C28</f>
        <v>HERRAMIENTAS MENORES</v>
      </c>
      <c r="C650" s="824"/>
      <c r="D650" s="87">
        <v>1</v>
      </c>
      <c r="E650" s="82">
        <f>ROUND(G683*0.05,0)</f>
        <v>497</v>
      </c>
      <c r="F650" s="81">
        <v>1</v>
      </c>
      <c r="G650" s="110">
        <f>ROUND(D650*E650/F650,0)</f>
        <v>497</v>
      </c>
    </row>
    <row r="651" spans="1:8">
      <c r="A651" s="95"/>
      <c r="B651" s="835" t="str">
        <f>'MAQUINARIA Y EQUIPOS'!C9</f>
        <v>ANDAMIO TUBULAR 1.50 m</v>
      </c>
      <c r="C651" s="836"/>
      <c r="D651" s="37">
        <v>4</v>
      </c>
      <c r="E651" s="129">
        <f>'MAQUINARIA Y EQUIPOS'!D9</f>
        <v>754</v>
      </c>
      <c r="F651" s="83">
        <v>10.67</v>
      </c>
      <c r="G651" s="111">
        <f>ROUND(D651*E651/F651,0)</f>
        <v>283</v>
      </c>
    </row>
    <row r="652" spans="1:8">
      <c r="A652" s="95"/>
      <c r="B652" s="835" t="str">
        <f>'MAQUINARIA Y EQUIPOS'!C47</f>
        <v>TABLONES 3m</v>
      </c>
      <c r="C652" s="836"/>
      <c r="D652" s="37">
        <v>4</v>
      </c>
      <c r="E652" s="129">
        <f>'MAQUINARIA Y EQUIPOS'!D47</f>
        <v>348</v>
      </c>
      <c r="F652" s="83">
        <v>10.67</v>
      </c>
      <c r="G652" s="111">
        <f>ROUND(D652*E652/F652,0)</f>
        <v>130</v>
      </c>
    </row>
    <row r="653" spans="1:8">
      <c r="A653" s="95"/>
      <c r="B653" s="835"/>
      <c r="C653" s="836"/>
      <c r="D653" s="89"/>
      <c r="E653" s="82"/>
      <c r="F653" s="83"/>
      <c r="G653" s="111"/>
    </row>
    <row r="654" spans="1:8">
      <c r="A654" s="95"/>
      <c r="B654" s="835" t="s">
        <v>841</v>
      </c>
      <c r="C654" s="836"/>
      <c r="D654" s="37"/>
      <c r="E654" s="82"/>
      <c r="F654" s="83"/>
      <c r="G654" s="111"/>
    </row>
    <row r="655" spans="1:8" ht="13.5" thickBot="1">
      <c r="A655" s="95"/>
      <c r="B655" s="839" t="s">
        <v>841</v>
      </c>
      <c r="C655" s="840"/>
      <c r="D655" s="77"/>
      <c r="E655" s="106"/>
      <c r="F655" s="86"/>
      <c r="G655" s="112"/>
    </row>
    <row r="656" spans="1:8" ht="14.25" thickTop="1" thickBot="1">
      <c r="A656" s="95"/>
      <c r="B656" s="808"/>
      <c r="C656" s="808"/>
      <c r="D656" s="808"/>
      <c r="E656" s="809"/>
      <c r="F656" s="119" t="s">
        <v>856</v>
      </c>
      <c r="G656" s="118">
        <f>SUM(G650:G655)</f>
        <v>910</v>
      </c>
    </row>
    <row r="657" spans="1:8" ht="14.25" thickTop="1" thickBot="1">
      <c r="A657" s="95"/>
      <c r="B657" s="830"/>
      <c r="C657" s="830"/>
      <c r="D657" s="830"/>
      <c r="E657" s="830"/>
      <c r="F657" s="830"/>
      <c r="G657" s="830"/>
    </row>
    <row r="658" spans="1:8" ht="13.5" thickTop="1">
      <c r="A658" s="95"/>
      <c r="B658" s="811" t="s">
        <v>311</v>
      </c>
      <c r="C658" s="812"/>
      <c r="D658" s="812"/>
      <c r="E658" s="812"/>
      <c r="F658" s="812"/>
      <c r="G658" s="825"/>
    </row>
    <row r="659" spans="1:8">
      <c r="A659" s="95"/>
      <c r="B659" s="817" t="s">
        <v>838</v>
      </c>
      <c r="C659" s="818"/>
      <c r="D659" s="98" t="s">
        <v>842</v>
      </c>
      <c r="E659" s="98" t="s">
        <v>853</v>
      </c>
      <c r="F659" s="99" t="s">
        <v>1047</v>
      </c>
      <c r="G659" s="107" t="s">
        <v>840</v>
      </c>
    </row>
    <row r="660" spans="1:8">
      <c r="A660" s="95"/>
      <c r="B660" s="115"/>
      <c r="C660" s="102"/>
      <c r="D660" s="100"/>
      <c r="E660" s="100" t="s">
        <v>312</v>
      </c>
      <c r="F660" s="101" t="s">
        <v>313</v>
      </c>
      <c r="G660" s="108" t="s">
        <v>314</v>
      </c>
    </row>
    <row r="661" spans="1:8">
      <c r="A661" s="125"/>
      <c r="B661" s="841" t="str">
        <f>MATERIALES2!C419</f>
        <v>CANALETA 90 DE 3.00 M Cal. 26 ACESCO</v>
      </c>
      <c r="C661" s="842"/>
      <c r="D661" s="87" t="s">
        <v>865</v>
      </c>
      <c r="E661" s="81">
        <v>0.39</v>
      </c>
      <c r="F661" s="80">
        <f>MATERIALES2!E419</f>
        <v>32574</v>
      </c>
      <c r="G661" s="110">
        <f>ROUND(E661*F661,0)</f>
        <v>12704</v>
      </c>
    </row>
    <row r="662" spans="1:8">
      <c r="A662" s="123"/>
      <c r="B662" s="854" t="str">
        <f>MATERIALES2!C433</f>
        <v>TORNILLO FIJACION CANALETA ACESCO</v>
      </c>
      <c r="C662" s="855"/>
      <c r="D662" s="37" t="s">
        <v>865</v>
      </c>
      <c r="E662" s="83">
        <v>0.78</v>
      </c>
      <c r="F662" s="82">
        <f>MATERIALES2!E433</f>
        <v>175</v>
      </c>
      <c r="G662" s="111">
        <f>ROUND(E662*F662,0)</f>
        <v>137</v>
      </c>
    </row>
    <row r="663" spans="1:8">
      <c r="A663" s="95"/>
      <c r="B663" s="854" t="str">
        <f>MATERIALES2!C306</f>
        <v>JUNTAS (IGAS GRIS)</v>
      </c>
      <c r="C663" s="855"/>
      <c r="D663" s="37" t="s">
        <v>925</v>
      </c>
      <c r="E663" s="53">
        <v>0.17</v>
      </c>
      <c r="F663" s="82">
        <f>MATERIALES2!E306</f>
        <v>7800</v>
      </c>
      <c r="G663" s="111">
        <f>ROUND(E663*F663,0)</f>
        <v>1326</v>
      </c>
    </row>
    <row r="664" spans="1:8">
      <c r="A664" s="95"/>
      <c r="B664" s="854" t="str">
        <f>MATERIALES2!C434</f>
        <v>TORNILLO DE ALA CANALETA 90 ACESCO</v>
      </c>
      <c r="C664" s="855"/>
      <c r="D664" s="37" t="s">
        <v>865</v>
      </c>
      <c r="E664" s="83">
        <v>1.17</v>
      </c>
      <c r="F664" s="82">
        <f>MATERIALES2!E434</f>
        <v>230</v>
      </c>
      <c r="G664" s="111">
        <f>ROUND(E664*F664,0)</f>
        <v>269</v>
      </c>
    </row>
    <row r="665" spans="1:8">
      <c r="A665" s="95"/>
      <c r="B665" s="854"/>
      <c r="C665" s="855"/>
      <c r="D665" s="37"/>
      <c r="E665" s="53"/>
      <c r="F665" s="82"/>
      <c r="G665" s="111"/>
    </row>
    <row r="666" spans="1:8">
      <c r="A666" s="95"/>
      <c r="B666" s="854"/>
      <c r="C666" s="855"/>
      <c r="D666" s="37"/>
      <c r="E666" s="53"/>
      <c r="F666" s="82"/>
      <c r="G666" s="111"/>
    </row>
    <row r="667" spans="1:8">
      <c r="A667" s="95"/>
      <c r="B667" s="854"/>
      <c r="C667" s="855"/>
      <c r="D667" s="37"/>
      <c r="E667" s="53"/>
      <c r="F667" s="82"/>
      <c r="G667" s="111"/>
    </row>
    <row r="668" spans="1:8">
      <c r="A668" s="95"/>
      <c r="B668" s="938" t="s">
        <v>841</v>
      </c>
      <c r="C668" s="939"/>
      <c r="D668" s="53" t="s">
        <v>841</v>
      </c>
      <c r="E668" s="53"/>
      <c r="F668" s="82"/>
      <c r="G668" s="111"/>
      <c r="H668" s="505" t="s">
        <v>1670</v>
      </c>
    </row>
    <row r="669" spans="1:8" ht="13.5" thickBot="1">
      <c r="A669" s="95"/>
      <c r="B669" s="942" t="s">
        <v>841</v>
      </c>
      <c r="C669" s="943"/>
      <c r="D669" s="84" t="s">
        <v>841</v>
      </c>
      <c r="E669" s="84"/>
      <c r="F669" s="85"/>
      <c r="G669" s="112"/>
    </row>
    <row r="670" spans="1:8" ht="13.5" thickTop="1">
      <c r="A670" s="95"/>
      <c r="B670" s="808"/>
      <c r="C670" s="809"/>
      <c r="D670" s="801" t="s">
        <v>856</v>
      </c>
      <c r="E670" s="802"/>
      <c r="F670" s="9"/>
      <c r="G670" s="113">
        <f>SUM(G661:G669)</f>
        <v>14436</v>
      </c>
    </row>
    <row r="671" spans="1:8">
      <c r="A671" s="95"/>
      <c r="B671" s="819"/>
      <c r="C671" s="820"/>
      <c r="D671" s="801" t="s">
        <v>857</v>
      </c>
      <c r="E671" s="802"/>
      <c r="F671" s="79">
        <f>'MANO DE OBRA'!D60</f>
        <v>0.05</v>
      </c>
      <c r="G671" s="113">
        <f>ROUND(G670*F671,0)</f>
        <v>722</v>
      </c>
    </row>
    <row r="672" spans="1:8" ht="13.5" thickBot="1">
      <c r="A672" s="95"/>
      <c r="B672" s="819"/>
      <c r="C672" s="820"/>
      <c r="D672" s="803" t="s">
        <v>320</v>
      </c>
      <c r="E672" s="804"/>
      <c r="F672" s="114"/>
      <c r="G672" s="118">
        <f>+G670+G671</f>
        <v>15158</v>
      </c>
    </row>
    <row r="673" spans="1:7" ht="14.25" thickTop="1" thickBot="1">
      <c r="A673" s="95"/>
      <c r="B673" s="830"/>
      <c r="C673" s="830"/>
      <c r="D673" s="830"/>
      <c r="E673" s="830"/>
      <c r="F673" s="830"/>
      <c r="G673" s="830"/>
    </row>
    <row r="674" spans="1:7" ht="13.5" thickTop="1">
      <c r="A674" s="95"/>
      <c r="B674" s="811" t="s">
        <v>858</v>
      </c>
      <c r="C674" s="812"/>
      <c r="D674" s="812"/>
      <c r="E674" s="812"/>
      <c r="F674" s="812"/>
      <c r="G674" s="825"/>
    </row>
    <row r="675" spans="1:7">
      <c r="A675" s="95"/>
      <c r="B675" s="817"/>
      <c r="C675" s="818"/>
      <c r="D675" s="98" t="s">
        <v>301</v>
      </c>
      <c r="E675" s="98" t="s">
        <v>859</v>
      </c>
      <c r="F675" s="99" t="s">
        <v>839</v>
      </c>
      <c r="G675" s="107" t="s">
        <v>840</v>
      </c>
    </row>
    <row r="676" spans="1:7">
      <c r="A676" s="95"/>
      <c r="B676" s="821" t="s">
        <v>838</v>
      </c>
      <c r="C676" s="822"/>
      <c r="D676" s="100" t="s">
        <v>316</v>
      </c>
      <c r="E676" s="100" t="s">
        <v>315</v>
      </c>
      <c r="F676" s="101" t="s">
        <v>306</v>
      </c>
      <c r="G676" s="108" t="s">
        <v>319</v>
      </c>
    </row>
    <row r="677" spans="1:7">
      <c r="A677" s="95"/>
      <c r="B677" s="115"/>
      <c r="C677" s="102"/>
      <c r="D677" s="103"/>
      <c r="E677" s="103" t="s">
        <v>317</v>
      </c>
      <c r="F677" s="104" t="s">
        <v>318</v>
      </c>
      <c r="G677" s="109"/>
    </row>
    <row r="678" spans="1:7">
      <c r="A678" s="95"/>
      <c r="B678" s="823" t="str">
        <f>'MANO DE OBRA'!B10</f>
        <v>AYUDANTE CUAD. TIPO AA</v>
      </c>
      <c r="C678" s="824"/>
      <c r="D678" s="87">
        <v>1</v>
      </c>
      <c r="E678" s="80">
        <f>'MANO DE OBRA'!E10</f>
        <v>34680</v>
      </c>
      <c r="F678" s="81">
        <v>10.67</v>
      </c>
      <c r="G678" s="110">
        <f>ROUND(D678*E678/F678,0)</f>
        <v>3250</v>
      </c>
    </row>
    <row r="679" spans="1:7">
      <c r="A679" s="95"/>
      <c r="B679" s="835" t="str">
        <f>'MANO DE OBRA'!B15</f>
        <v xml:space="preserve">OFICIAL CUAD. TIPO AA </v>
      </c>
      <c r="C679" s="836"/>
      <c r="D679" s="37">
        <v>1</v>
      </c>
      <c r="E679" s="82">
        <f>'MANO DE OBRA'!E15</f>
        <v>71474</v>
      </c>
      <c r="F679" s="83">
        <v>10.67</v>
      </c>
      <c r="G679" s="111">
        <f>ROUND(D679*E679/F679,0)</f>
        <v>6699</v>
      </c>
    </row>
    <row r="680" spans="1:7">
      <c r="A680" s="95"/>
      <c r="B680" s="835"/>
      <c r="C680" s="836"/>
      <c r="D680" s="89"/>
      <c r="E680" s="82"/>
      <c r="F680" s="83"/>
      <c r="G680" s="111"/>
    </row>
    <row r="681" spans="1:7">
      <c r="A681" s="95"/>
      <c r="B681" s="835" t="s">
        <v>841</v>
      </c>
      <c r="C681" s="836"/>
      <c r="D681" s="37"/>
      <c r="E681" s="82"/>
      <c r="F681" s="83"/>
      <c r="G681" s="111"/>
    </row>
    <row r="682" spans="1:7" ht="13.5" thickBot="1">
      <c r="A682" s="95"/>
      <c r="B682" s="828" t="s">
        <v>841</v>
      </c>
      <c r="C682" s="829"/>
      <c r="D682" s="77"/>
      <c r="E682" s="82"/>
      <c r="F682" s="86"/>
      <c r="G682" s="112"/>
    </row>
    <row r="683" spans="1:7" ht="14.25" thickTop="1" thickBot="1">
      <c r="A683" s="95"/>
      <c r="B683" s="808"/>
      <c r="C683" s="808"/>
      <c r="D683" s="808"/>
      <c r="E683" s="809"/>
      <c r="F683" s="120" t="s">
        <v>856</v>
      </c>
      <c r="G683" s="118">
        <f>SUM(G678:G682)</f>
        <v>9949</v>
      </c>
    </row>
    <row r="684" spans="1:7" ht="14.25" thickTop="1" thickBot="1">
      <c r="A684" s="95"/>
      <c r="B684" s="810"/>
      <c r="C684" s="810"/>
      <c r="D684" s="810"/>
      <c r="E684" s="810"/>
      <c r="F684" s="810"/>
      <c r="G684" s="810"/>
    </row>
    <row r="685" spans="1:7" ht="13.5" thickTop="1">
      <c r="A685" s="95"/>
      <c r="B685" s="811" t="s">
        <v>321</v>
      </c>
      <c r="C685" s="812"/>
      <c r="D685" s="812"/>
      <c r="E685" s="812"/>
      <c r="F685" s="812"/>
      <c r="G685" s="825"/>
    </row>
    <row r="686" spans="1:7">
      <c r="A686" s="95"/>
      <c r="B686" s="817" t="s">
        <v>838</v>
      </c>
      <c r="C686" s="818"/>
      <c r="D686" s="98" t="s">
        <v>301</v>
      </c>
      <c r="E686" s="98" t="s">
        <v>297</v>
      </c>
      <c r="F686" s="99" t="s">
        <v>839</v>
      </c>
      <c r="G686" s="107" t="s">
        <v>840</v>
      </c>
    </row>
    <row r="687" spans="1:7">
      <c r="A687" s="95"/>
      <c r="B687" s="115"/>
      <c r="C687" s="102"/>
      <c r="D687" s="103" t="s">
        <v>322</v>
      </c>
      <c r="E687" s="103" t="s">
        <v>323</v>
      </c>
      <c r="F687" s="104" t="s">
        <v>324</v>
      </c>
      <c r="G687" s="109" t="s">
        <v>325</v>
      </c>
    </row>
    <row r="688" spans="1:7">
      <c r="A688" s="95"/>
      <c r="B688" s="826"/>
      <c r="C688" s="827"/>
      <c r="D688" s="96"/>
      <c r="E688" s="96"/>
      <c r="F688" s="96"/>
      <c r="G688" s="116"/>
    </row>
    <row r="689" spans="1:8" ht="13.5" thickBot="1">
      <c r="A689" s="95"/>
      <c r="B689" s="828" t="s">
        <v>841</v>
      </c>
      <c r="C689" s="829"/>
      <c r="D689" s="77"/>
      <c r="E689" s="82"/>
      <c r="F689" s="86"/>
      <c r="G689" s="112"/>
    </row>
    <row r="690" spans="1:8" ht="14.25" thickTop="1" thickBot="1">
      <c r="A690" s="95"/>
      <c r="B690" s="808"/>
      <c r="C690" s="808"/>
      <c r="D690" s="808"/>
      <c r="E690" s="809"/>
      <c r="F690" s="120" t="s">
        <v>856</v>
      </c>
      <c r="G690" s="118">
        <f>SUM(G685:G689)</f>
        <v>0</v>
      </c>
    </row>
    <row r="691" spans="1:8" ht="14.25" thickTop="1" thickBot="1">
      <c r="A691" s="95"/>
      <c r="B691" s="810"/>
      <c r="C691" s="810"/>
      <c r="D691" s="810"/>
      <c r="E691" s="810"/>
      <c r="F691" s="810"/>
      <c r="G691" s="834"/>
    </row>
    <row r="692" spans="1:8" ht="13.5" thickTop="1">
      <c r="A692" s="95"/>
      <c r="B692" s="811" t="s">
        <v>326</v>
      </c>
      <c r="C692" s="812"/>
      <c r="D692" s="812"/>
      <c r="E692" s="812"/>
      <c r="F692" s="813"/>
      <c r="G692" s="121">
        <f>+G656+G672+G683</f>
        <v>26017</v>
      </c>
    </row>
    <row r="693" spans="1:8">
      <c r="A693" s="95"/>
      <c r="B693" s="814" t="s">
        <v>861</v>
      </c>
      <c r="C693" s="815"/>
      <c r="D693" s="815"/>
      <c r="E693" s="816"/>
      <c r="F693" s="128">
        <f>'MANO DE OBRA'!D59</f>
        <v>0</v>
      </c>
      <c r="G693" s="122">
        <f>ROUND(G692*F693,0)</f>
        <v>0</v>
      </c>
    </row>
    <row r="694" spans="1:8" ht="13.5" thickBot="1">
      <c r="A694" s="95"/>
      <c r="B694" s="805" t="s">
        <v>1049</v>
      </c>
      <c r="C694" s="806"/>
      <c r="D694" s="806"/>
      <c r="E694" s="806"/>
      <c r="F694" s="807"/>
      <c r="G694" s="118">
        <f>ROUND(G692+G693,-2)</f>
        <v>26000</v>
      </c>
      <c r="H694" s="505" t="s">
        <v>1670</v>
      </c>
    </row>
    <row r="695" spans="1:8" ht="15" thickTop="1">
      <c r="A695" s="95"/>
      <c r="B695" s="90" t="s">
        <v>303</v>
      </c>
      <c r="C695" s="843"/>
      <c r="D695" s="843"/>
      <c r="E695" s="843"/>
      <c r="F695" s="92" t="s">
        <v>781</v>
      </c>
      <c r="G695" s="93" t="s">
        <v>1067</v>
      </c>
    </row>
    <row r="696" spans="1:8">
      <c r="A696" s="95"/>
      <c r="B696" s="91" t="s">
        <v>834</v>
      </c>
      <c r="C696" s="844" t="s">
        <v>1408</v>
      </c>
      <c r="D696" s="844"/>
      <c r="E696" s="844"/>
      <c r="F696" s="15" t="s">
        <v>833</v>
      </c>
      <c r="G696" s="165" t="str">
        <f>'MANO DE OBRA'!D61</f>
        <v>Agosto de 2010</v>
      </c>
    </row>
    <row r="697" spans="1:8" ht="13.5" thickBot="1">
      <c r="A697" s="127"/>
      <c r="B697" s="94" t="s">
        <v>835</v>
      </c>
      <c r="C697" s="845" t="s">
        <v>496</v>
      </c>
      <c r="D697" s="845"/>
      <c r="E697" s="845"/>
      <c r="F697" s="845"/>
      <c r="G697" s="846"/>
    </row>
    <row r="698" spans="1:8" ht="14.25" thickTop="1" thickBot="1">
      <c r="A698" s="95"/>
      <c r="B698" s="847" t="s">
        <v>1409</v>
      </c>
      <c r="C698" s="847"/>
      <c r="D698" s="847"/>
      <c r="E698" s="847"/>
      <c r="F698" s="847"/>
      <c r="G698" s="847"/>
    </row>
    <row r="699" spans="1:8" ht="13.5" thickTop="1">
      <c r="A699" s="95"/>
      <c r="B699" s="811" t="s">
        <v>304</v>
      </c>
      <c r="C699" s="812"/>
      <c r="D699" s="812"/>
      <c r="E699" s="812"/>
      <c r="F699" s="812"/>
      <c r="G699" s="825"/>
    </row>
    <row r="700" spans="1:8">
      <c r="A700" s="95"/>
      <c r="B700" s="105"/>
      <c r="C700" s="97"/>
      <c r="D700" s="98" t="s">
        <v>301</v>
      </c>
      <c r="E700" s="98" t="s">
        <v>1072</v>
      </c>
      <c r="F700" s="99" t="s">
        <v>839</v>
      </c>
      <c r="G700" s="107" t="s">
        <v>840</v>
      </c>
    </row>
    <row r="701" spans="1:8">
      <c r="A701" s="95"/>
      <c r="B701" s="821" t="s">
        <v>838</v>
      </c>
      <c r="C701" s="822"/>
      <c r="D701" s="100" t="s">
        <v>308</v>
      </c>
      <c r="E701" s="100" t="s">
        <v>305</v>
      </c>
      <c r="F701" s="101" t="s">
        <v>306</v>
      </c>
      <c r="G701" s="108" t="s">
        <v>310</v>
      </c>
    </row>
    <row r="702" spans="1:8">
      <c r="A702" s="95"/>
      <c r="B702" s="115"/>
      <c r="C702" s="102"/>
      <c r="D702" s="103"/>
      <c r="E702" s="103" t="s">
        <v>309</v>
      </c>
      <c r="F702" s="104" t="s">
        <v>307</v>
      </c>
      <c r="G702" s="109"/>
    </row>
    <row r="703" spans="1:8">
      <c r="A703" s="127"/>
      <c r="B703" s="823" t="str">
        <f>'MAQUINARIA Y EQUIPOS'!C28</f>
        <v>HERRAMIENTAS MENORES</v>
      </c>
      <c r="C703" s="824"/>
      <c r="D703" s="87">
        <v>1</v>
      </c>
      <c r="E703" s="82">
        <f>ROUND(G736*0.05,0)</f>
        <v>497</v>
      </c>
      <c r="F703" s="81">
        <v>1</v>
      </c>
      <c r="G703" s="110">
        <f>ROUND(D703*E703/F703,0)</f>
        <v>497</v>
      </c>
    </row>
    <row r="704" spans="1:8">
      <c r="A704" s="95"/>
      <c r="B704" s="835" t="str">
        <f>'MAQUINARIA Y EQUIPOS'!C9</f>
        <v>ANDAMIO TUBULAR 1.50 m</v>
      </c>
      <c r="C704" s="836"/>
      <c r="D704" s="37">
        <v>4</v>
      </c>
      <c r="E704" s="129">
        <f>'MAQUINARIA Y EQUIPOS'!D9</f>
        <v>754</v>
      </c>
      <c r="F704" s="83">
        <v>10.67</v>
      </c>
      <c r="G704" s="111">
        <f>ROUND(D704*E704/F704,0)</f>
        <v>283</v>
      </c>
    </row>
    <row r="705" spans="1:7">
      <c r="A705" s="95"/>
      <c r="B705" s="835" t="str">
        <f>'MAQUINARIA Y EQUIPOS'!C47</f>
        <v>TABLONES 3m</v>
      </c>
      <c r="C705" s="836"/>
      <c r="D705" s="37">
        <v>4</v>
      </c>
      <c r="E705" s="129">
        <f>'MAQUINARIA Y EQUIPOS'!D47</f>
        <v>348</v>
      </c>
      <c r="F705" s="83">
        <v>10.67</v>
      </c>
      <c r="G705" s="111">
        <f>ROUND(D705*E705/F705,0)</f>
        <v>130</v>
      </c>
    </row>
    <row r="706" spans="1:7">
      <c r="A706" s="95"/>
      <c r="B706" s="835"/>
      <c r="C706" s="836"/>
      <c r="D706" s="89"/>
      <c r="E706" s="82"/>
      <c r="F706" s="83"/>
      <c r="G706" s="111"/>
    </row>
    <row r="707" spans="1:7">
      <c r="A707" s="95"/>
      <c r="B707" s="835" t="s">
        <v>841</v>
      </c>
      <c r="C707" s="836"/>
      <c r="D707" s="37"/>
      <c r="E707" s="82"/>
      <c r="F707" s="83"/>
      <c r="G707" s="111"/>
    </row>
    <row r="708" spans="1:7" ht="13.5" thickBot="1">
      <c r="A708" s="95"/>
      <c r="B708" s="839" t="s">
        <v>841</v>
      </c>
      <c r="C708" s="840"/>
      <c r="D708" s="77"/>
      <c r="E708" s="106"/>
      <c r="F708" s="86"/>
      <c r="G708" s="112"/>
    </row>
    <row r="709" spans="1:7" ht="14.25" thickTop="1" thickBot="1">
      <c r="A709" s="95"/>
      <c r="B709" s="808"/>
      <c r="C709" s="808"/>
      <c r="D709" s="808"/>
      <c r="E709" s="809"/>
      <c r="F709" s="119" t="s">
        <v>856</v>
      </c>
      <c r="G709" s="118">
        <f>SUM(G703:G708)</f>
        <v>910</v>
      </c>
    </row>
    <row r="710" spans="1:7" ht="14.25" thickTop="1" thickBot="1">
      <c r="A710" s="95"/>
      <c r="B710" s="830"/>
      <c r="C710" s="830"/>
      <c r="D710" s="830"/>
      <c r="E710" s="830"/>
      <c r="F710" s="830"/>
      <c r="G710" s="830"/>
    </row>
    <row r="711" spans="1:7" ht="13.5" thickTop="1">
      <c r="A711" s="95"/>
      <c r="B711" s="811" t="s">
        <v>311</v>
      </c>
      <c r="C711" s="812"/>
      <c r="D711" s="812"/>
      <c r="E711" s="812"/>
      <c r="F711" s="812"/>
      <c r="G711" s="825"/>
    </row>
    <row r="712" spans="1:7">
      <c r="A712" s="95"/>
      <c r="B712" s="817" t="s">
        <v>838</v>
      </c>
      <c r="C712" s="818"/>
      <c r="D712" s="98" t="s">
        <v>842</v>
      </c>
      <c r="E712" s="98" t="s">
        <v>853</v>
      </c>
      <c r="F712" s="99" t="s">
        <v>1047</v>
      </c>
      <c r="G712" s="107" t="s">
        <v>840</v>
      </c>
    </row>
    <row r="713" spans="1:7">
      <c r="A713" s="95"/>
      <c r="B713" s="115"/>
      <c r="C713" s="102"/>
      <c r="D713" s="100"/>
      <c r="E713" s="100" t="s">
        <v>312</v>
      </c>
      <c r="F713" s="101" t="s">
        <v>313</v>
      </c>
      <c r="G713" s="108" t="s">
        <v>314</v>
      </c>
    </row>
    <row r="714" spans="1:7">
      <c r="A714" s="125"/>
      <c r="B714" s="841" t="str">
        <f>MATERIALES2!C420</f>
        <v>CANALETA 90 DE 4.50 M Cal. 24 ACESCO</v>
      </c>
      <c r="C714" s="842"/>
      <c r="D714" s="87" t="s">
        <v>865</v>
      </c>
      <c r="E714" s="81">
        <v>0.26</v>
      </c>
      <c r="F714" s="80">
        <f>MATERIALES2!E420</f>
        <v>58441</v>
      </c>
      <c r="G714" s="110">
        <f>ROUND(E714*F714,0)</f>
        <v>15195</v>
      </c>
    </row>
    <row r="715" spans="1:7">
      <c r="A715" s="123"/>
      <c r="B715" s="854" t="str">
        <f>MATERIALES2!C433</f>
        <v>TORNILLO FIJACION CANALETA ACESCO</v>
      </c>
      <c r="C715" s="855"/>
      <c r="D715" s="37" t="s">
        <v>865</v>
      </c>
      <c r="E715" s="83">
        <v>0.51</v>
      </c>
      <c r="F715" s="82">
        <f>MATERIALES2!E433</f>
        <v>175</v>
      </c>
      <c r="G715" s="111">
        <f>ROUND(E715*F715,0)</f>
        <v>89</v>
      </c>
    </row>
    <row r="716" spans="1:7">
      <c r="A716" s="95"/>
      <c r="B716" s="854" t="str">
        <f>MATERIALES2!C306</f>
        <v>JUNTAS (IGAS GRIS)</v>
      </c>
      <c r="C716" s="855"/>
      <c r="D716" s="37" t="s">
        <v>925</v>
      </c>
      <c r="E716" s="53">
        <v>0.17</v>
      </c>
      <c r="F716" s="82">
        <f>MATERIALES2!E306</f>
        <v>7800</v>
      </c>
      <c r="G716" s="111">
        <f>ROUND(E716*F716,0)</f>
        <v>1326</v>
      </c>
    </row>
    <row r="717" spans="1:7">
      <c r="A717" s="95"/>
      <c r="B717" s="854" t="str">
        <f>MATERIALES2!C434</f>
        <v>TORNILLO DE ALA CANALETA 90 ACESCO</v>
      </c>
      <c r="C717" s="855"/>
      <c r="D717" s="37" t="s">
        <v>865</v>
      </c>
      <c r="E717" s="83">
        <v>0.77</v>
      </c>
      <c r="F717" s="82">
        <f>MATERIALES2!E434</f>
        <v>230</v>
      </c>
      <c r="G717" s="111">
        <f>ROUND(E717*F717,0)</f>
        <v>177</v>
      </c>
    </row>
    <row r="718" spans="1:7">
      <c r="A718" s="95"/>
      <c r="B718" s="854"/>
      <c r="C718" s="855"/>
      <c r="D718" s="37"/>
      <c r="E718" s="53"/>
      <c r="F718" s="82"/>
      <c r="G718" s="111"/>
    </row>
    <row r="719" spans="1:7">
      <c r="A719" s="95"/>
      <c r="B719" s="854"/>
      <c r="C719" s="855"/>
      <c r="D719" s="37"/>
      <c r="E719" s="53"/>
      <c r="F719" s="82"/>
      <c r="G719" s="111"/>
    </row>
    <row r="720" spans="1:7">
      <c r="A720" s="95"/>
      <c r="B720" s="854"/>
      <c r="C720" s="855"/>
      <c r="D720" s="37"/>
      <c r="E720" s="53"/>
      <c r="F720" s="82"/>
      <c r="G720" s="111"/>
    </row>
    <row r="721" spans="1:8">
      <c r="A721" s="95"/>
      <c r="B721" s="938" t="s">
        <v>841</v>
      </c>
      <c r="C721" s="939"/>
      <c r="D721" s="53" t="s">
        <v>841</v>
      </c>
      <c r="E721" s="53"/>
      <c r="F721" s="82"/>
      <c r="G721" s="111"/>
      <c r="H721" s="505" t="s">
        <v>1670</v>
      </c>
    </row>
    <row r="722" spans="1:8" ht="13.5" thickBot="1">
      <c r="A722" s="95"/>
      <c r="B722" s="942" t="s">
        <v>841</v>
      </c>
      <c r="C722" s="943"/>
      <c r="D722" s="84" t="s">
        <v>841</v>
      </c>
      <c r="E722" s="84"/>
      <c r="F722" s="85"/>
      <c r="G722" s="112"/>
    </row>
    <row r="723" spans="1:8" ht="13.5" thickTop="1">
      <c r="A723" s="95"/>
      <c r="B723" s="808"/>
      <c r="C723" s="809"/>
      <c r="D723" s="801" t="s">
        <v>856</v>
      </c>
      <c r="E723" s="802"/>
      <c r="F723" s="9"/>
      <c r="G723" s="113">
        <f>SUM(G714:G722)</f>
        <v>16787</v>
      </c>
    </row>
    <row r="724" spans="1:8">
      <c r="A724" s="95"/>
      <c r="B724" s="819"/>
      <c r="C724" s="820"/>
      <c r="D724" s="801" t="s">
        <v>857</v>
      </c>
      <c r="E724" s="802"/>
      <c r="F724" s="79">
        <f>'MANO DE OBRA'!D60</f>
        <v>0.05</v>
      </c>
      <c r="G724" s="113">
        <f>ROUND(G723*F724,0)</f>
        <v>839</v>
      </c>
    </row>
    <row r="725" spans="1:8" ht="13.5" thickBot="1">
      <c r="A725" s="95"/>
      <c r="B725" s="819"/>
      <c r="C725" s="820"/>
      <c r="D725" s="803" t="s">
        <v>320</v>
      </c>
      <c r="E725" s="804"/>
      <c r="F725" s="114"/>
      <c r="G725" s="118">
        <f>+G723+G724</f>
        <v>17626</v>
      </c>
    </row>
    <row r="726" spans="1:8" ht="14.25" thickTop="1" thickBot="1">
      <c r="A726" s="95"/>
      <c r="B726" s="830"/>
      <c r="C726" s="830"/>
      <c r="D726" s="830"/>
      <c r="E726" s="830"/>
      <c r="F726" s="830"/>
      <c r="G726" s="830"/>
    </row>
    <row r="727" spans="1:8" ht="13.5" thickTop="1">
      <c r="A727" s="95"/>
      <c r="B727" s="811" t="s">
        <v>858</v>
      </c>
      <c r="C727" s="812"/>
      <c r="D727" s="812"/>
      <c r="E727" s="812"/>
      <c r="F727" s="812"/>
      <c r="G727" s="825"/>
    </row>
    <row r="728" spans="1:8">
      <c r="A728" s="95"/>
      <c r="B728" s="817"/>
      <c r="C728" s="818"/>
      <c r="D728" s="98" t="s">
        <v>301</v>
      </c>
      <c r="E728" s="98" t="s">
        <v>859</v>
      </c>
      <c r="F728" s="99" t="s">
        <v>839</v>
      </c>
      <c r="G728" s="107" t="s">
        <v>840</v>
      </c>
    </row>
    <row r="729" spans="1:8">
      <c r="A729" s="95"/>
      <c r="B729" s="821" t="s">
        <v>838</v>
      </c>
      <c r="C729" s="822"/>
      <c r="D729" s="100" t="s">
        <v>316</v>
      </c>
      <c r="E729" s="100" t="s">
        <v>315</v>
      </c>
      <c r="F729" s="101" t="s">
        <v>306</v>
      </c>
      <c r="G729" s="108" t="s">
        <v>319</v>
      </c>
    </row>
    <row r="730" spans="1:8">
      <c r="A730" s="95"/>
      <c r="B730" s="115"/>
      <c r="C730" s="102"/>
      <c r="D730" s="103"/>
      <c r="E730" s="103" t="s">
        <v>317</v>
      </c>
      <c r="F730" s="104" t="s">
        <v>318</v>
      </c>
      <c r="G730" s="109"/>
    </row>
    <row r="731" spans="1:8">
      <c r="A731" s="95"/>
      <c r="B731" s="823" t="str">
        <f>'MANO DE OBRA'!B10</f>
        <v>AYUDANTE CUAD. TIPO AA</v>
      </c>
      <c r="C731" s="824"/>
      <c r="D731" s="87">
        <v>1</v>
      </c>
      <c r="E731" s="80">
        <f>'MANO DE OBRA'!E10</f>
        <v>34680</v>
      </c>
      <c r="F731" s="81">
        <v>10.67</v>
      </c>
      <c r="G731" s="110">
        <f>ROUND(D731*E731/F731,0)</f>
        <v>3250</v>
      </c>
    </row>
    <row r="732" spans="1:8">
      <c r="A732" s="95"/>
      <c r="B732" s="835" t="str">
        <f>'MANO DE OBRA'!B15</f>
        <v xml:space="preserve">OFICIAL CUAD. TIPO AA </v>
      </c>
      <c r="C732" s="836"/>
      <c r="D732" s="37">
        <v>1</v>
      </c>
      <c r="E732" s="82">
        <f>'MANO DE OBRA'!E15</f>
        <v>71474</v>
      </c>
      <c r="F732" s="83">
        <v>10.67</v>
      </c>
      <c r="G732" s="111">
        <f>ROUND(D732*E732/F732,0)</f>
        <v>6699</v>
      </c>
    </row>
    <row r="733" spans="1:8">
      <c r="A733" s="95"/>
      <c r="B733" s="835"/>
      <c r="C733" s="836"/>
      <c r="D733" s="89"/>
      <c r="E733" s="82"/>
      <c r="F733" s="83"/>
      <c r="G733" s="111"/>
    </row>
    <row r="734" spans="1:8">
      <c r="A734" s="95"/>
      <c r="B734" s="835" t="s">
        <v>841</v>
      </c>
      <c r="C734" s="836"/>
      <c r="D734" s="37"/>
      <c r="E734" s="82"/>
      <c r="F734" s="83"/>
      <c r="G734" s="111"/>
    </row>
    <row r="735" spans="1:8" ht="13.5" thickBot="1">
      <c r="A735" s="95"/>
      <c r="B735" s="828" t="s">
        <v>841</v>
      </c>
      <c r="C735" s="829"/>
      <c r="D735" s="77"/>
      <c r="E735" s="82"/>
      <c r="F735" s="86"/>
      <c r="G735" s="112"/>
    </row>
    <row r="736" spans="1:8" ht="14.25" thickTop="1" thickBot="1">
      <c r="A736" s="95"/>
      <c r="B736" s="808"/>
      <c r="C736" s="808"/>
      <c r="D736" s="808"/>
      <c r="E736" s="809"/>
      <c r="F736" s="120" t="s">
        <v>856</v>
      </c>
      <c r="G736" s="118">
        <f>SUM(G731:G735)</f>
        <v>9949</v>
      </c>
    </row>
    <row r="737" spans="1:8" ht="14.25" thickTop="1" thickBot="1">
      <c r="A737" s="95"/>
      <c r="B737" s="810"/>
      <c r="C737" s="810"/>
      <c r="D737" s="810"/>
      <c r="E737" s="810"/>
      <c r="F737" s="810"/>
      <c r="G737" s="810"/>
    </row>
    <row r="738" spans="1:8" ht="13.5" thickTop="1">
      <c r="A738" s="95"/>
      <c r="B738" s="811" t="s">
        <v>321</v>
      </c>
      <c r="C738" s="812"/>
      <c r="D738" s="812"/>
      <c r="E738" s="812"/>
      <c r="F738" s="812"/>
      <c r="G738" s="825"/>
    </row>
    <row r="739" spans="1:8">
      <c r="A739" s="95"/>
      <c r="B739" s="817" t="s">
        <v>838</v>
      </c>
      <c r="C739" s="818"/>
      <c r="D739" s="98" t="s">
        <v>301</v>
      </c>
      <c r="E739" s="98" t="s">
        <v>297</v>
      </c>
      <c r="F739" s="99" t="s">
        <v>839</v>
      </c>
      <c r="G739" s="107" t="s">
        <v>840</v>
      </c>
    </row>
    <row r="740" spans="1:8">
      <c r="A740" s="95"/>
      <c r="B740" s="115"/>
      <c r="C740" s="102"/>
      <c r="D740" s="103" t="s">
        <v>322</v>
      </c>
      <c r="E740" s="103" t="s">
        <v>323</v>
      </c>
      <c r="F740" s="104" t="s">
        <v>324</v>
      </c>
      <c r="G740" s="109" t="s">
        <v>325</v>
      </c>
    </row>
    <row r="741" spans="1:8">
      <c r="A741" s="95"/>
      <c r="B741" s="826"/>
      <c r="C741" s="827"/>
      <c r="D741" s="96"/>
      <c r="E741" s="96"/>
      <c r="F741" s="96"/>
      <c r="G741" s="116"/>
    </row>
    <row r="742" spans="1:8" ht="13.5" thickBot="1">
      <c r="A742" s="95"/>
      <c r="B742" s="828" t="s">
        <v>841</v>
      </c>
      <c r="C742" s="829"/>
      <c r="D742" s="77"/>
      <c r="E742" s="82"/>
      <c r="F742" s="86"/>
      <c r="G742" s="112"/>
    </row>
    <row r="743" spans="1:8" ht="14.25" thickTop="1" thickBot="1">
      <c r="A743" s="95"/>
      <c r="B743" s="808"/>
      <c r="C743" s="808"/>
      <c r="D743" s="808"/>
      <c r="E743" s="809"/>
      <c r="F743" s="120" t="s">
        <v>856</v>
      </c>
      <c r="G743" s="118">
        <f>SUM(G738:G742)</f>
        <v>0</v>
      </c>
    </row>
    <row r="744" spans="1:8" ht="14.25" thickTop="1" thickBot="1">
      <c r="A744" s="95"/>
      <c r="B744" s="810"/>
      <c r="C744" s="810"/>
      <c r="D744" s="810"/>
      <c r="E744" s="810"/>
      <c r="F744" s="810"/>
      <c r="G744" s="834"/>
    </row>
    <row r="745" spans="1:8" ht="13.5" thickTop="1">
      <c r="A745" s="95"/>
      <c r="B745" s="811" t="s">
        <v>326</v>
      </c>
      <c r="C745" s="812"/>
      <c r="D745" s="812"/>
      <c r="E745" s="812"/>
      <c r="F745" s="813"/>
      <c r="G745" s="121">
        <f>+G709+G725+G736</f>
        <v>28485</v>
      </c>
    </row>
    <row r="746" spans="1:8">
      <c r="A746" s="95"/>
      <c r="B746" s="814" t="s">
        <v>861</v>
      </c>
      <c r="C746" s="815"/>
      <c r="D746" s="815"/>
      <c r="E746" s="816"/>
      <c r="F746" s="128">
        <f>'MANO DE OBRA'!D59</f>
        <v>0</v>
      </c>
      <c r="G746" s="122">
        <f>ROUND(G745*F746,0)</f>
        <v>0</v>
      </c>
    </row>
    <row r="747" spans="1:8" ht="13.5" thickBot="1">
      <c r="A747" s="95"/>
      <c r="B747" s="805" t="s">
        <v>1049</v>
      </c>
      <c r="C747" s="806"/>
      <c r="D747" s="806"/>
      <c r="E747" s="806"/>
      <c r="F747" s="807"/>
      <c r="G747" s="118">
        <f>ROUND(G745+G746,-2)</f>
        <v>28500</v>
      </c>
      <c r="H747" s="505" t="s">
        <v>1670</v>
      </c>
    </row>
    <row r="748" spans="1:8" ht="15" thickTop="1">
      <c r="A748" s="95"/>
      <c r="B748" s="90" t="s">
        <v>303</v>
      </c>
      <c r="C748" s="843"/>
      <c r="D748" s="843"/>
      <c r="E748" s="843"/>
      <c r="F748" s="92" t="s">
        <v>781</v>
      </c>
      <c r="G748" s="93" t="s">
        <v>1067</v>
      </c>
    </row>
    <row r="749" spans="1:8">
      <c r="A749" s="95"/>
      <c r="B749" s="91" t="s">
        <v>834</v>
      </c>
      <c r="C749" s="844" t="s">
        <v>1408</v>
      </c>
      <c r="D749" s="844"/>
      <c r="E749" s="844"/>
      <c r="F749" s="15" t="s">
        <v>833</v>
      </c>
      <c r="G749" s="165" t="str">
        <f>'MANO DE OBRA'!D61</f>
        <v>Agosto de 2010</v>
      </c>
    </row>
    <row r="750" spans="1:8" ht="13.5" thickBot="1">
      <c r="A750" s="127"/>
      <c r="B750" s="94" t="s">
        <v>835</v>
      </c>
      <c r="C750" s="845" t="s">
        <v>497</v>
      </c>
      <c r="D750" s="845"/>
      <c r="E750" s="845"/>
      <c r="F750" s="845"/>
      <c r="G750" s="846"/>
    </row>
    <row r="751" spans="1:8" ht="14.25" thickTop="1" thickBot="1">
      <c r="A751" s="95"/>
      <c r="B751" s="847" t="s">
        <v>1409</v>
      </c>
      <c r="C751" s="847"/>
      <c r="D751" s="847"/>
      <c r="E751" s="847"/>
      <c r="F751" s="847"/>
      <c r="G751" s="847"/>
    </row>
    <row r="752" spans="1:8" ht="13.5" thickTop="1">
      <c r="A752" s="95"/>
      <c r="B752" s="811" t="s">
        <v>304</v>
      </c>
      <c r="C752" s="812"/>
      <c r="D752" s="812"/>
      <c r="E752" s="812"/>
      <c r="F752" s="812"/>
      <c r="G752" s="825"/>
    </row>
    <row r="753" spans="1:7">
      <c r="A753" s="95"/>
      <c r="B753" s="105"/>
      <c r="C753" s="97"/>
      <c r="D753" s="98" t="s">
        <v>301</v>
      </c>
      <c r="E753" s="98" t="s">
        <v>1072</v>
      </c>
      <c r="F753" s="99" t="s">
        <v>839</v>
      </c>
      <c r="G753" s="107" t="s">
        <v>840</v>
      </c>
    </row>
    <row r="754" spans="1:7">
      <c r="A754" s="95"/>
      <c r="B754" s="821" t="s">
        <v>838</v>
      </c>
      <c r="C754" s="822"/>
      <c r="D754" s="100" t="s">
        <v>308</v>
      </c>
      <c r="E754" s="100" t="s">
        <v>305</v>
      </c>
      <c r="F754" s="101" t="s">
        <v>306</v>
      </c>
      <c r="G754" s="108" t="s">
        <v>310</v>
      </c>
    </row>
    <row r="755" spans="1:7">
      <c r="A755" s="95"/>
      <c r="B755" s="115"/>
      <c r="C755" s="102"/>
      <c r="D755" s="103"/>
      <c r="E755" s="103" t="s">
        <v>309</v>
      </c>
      <c r="F755" s="104" t="s">
        <v>307</v>
      </c>
      <c r="G755" s="109"/>
    </row>
    <row r="756" spans="1:7">
      <c r="A756" s="127"/>
      <c r="B756" s="823" t="str">
        <f>'MAQUINARIA Y EQUIPOS'!C28</f>
        <v>HERRAMIENTAS MENORES</v>
      </c>
      <c r="C756" s="824"/>
      <c r="D756" s="87">
        <v>1</v>
      </c>
      <c r="E756" s="82">
        <f>ROUND(G789*0.05,0)</f>
        <v>497</v>
      </c>
      <c r="F756" s="81">
        <v>1</v>
      </c>
      <c r="G756" s="110">
        <f>ROUND(D756*E756/F756,0)</f>
        <v>497</v>
      </c>
    </row>
    <row r="757" spans="1:7">
      <c r="A757" s="95"/>
      <c r="B757" s="835" t="str">
        <f>'MAQUINARIA Y EQUIPOS'!C9</f>
        <v>ANDAMIO TUBULAR 1.50 m</v>
      </c>
      <c r="C757" s="836"/>
      <c r="D757" s="37">
        <v>4</v>
      </c>
      <c r="E757" s="129">
        <f>'MAQUINARIA Y EQUIPOS'!D9</f>
        <v>754</v>
      </c>
      <c r="F757" s="83">
        <v>10.67</v>
      </c>
      <c r="G757" s="111">
        <f>ROUND(D757*E757/F757,0)</f>
        <v>283</v>
      </c>
    </row>
    <row r="758" spans="1:7">
      <c r="A758" s="95"/>
      <c r="B758" s="835" t="str">
        <f>'MAQUINARIA Y EQUIPOS'!C47</f>
        <v>TABLONES 3m</v>
      </c>
      <c r="C758" s="836"/>
      <c r="D758" s="37">
        <v>4</v>
      </c>
      <c r="E758" s="129">
        <f>'MAQUINARIA Y EQUIPOS'!D47</f>
        <v>348</v>
      </c>
      <c r="F758" s="83">
        <v>10.67</v>
      </c>
      <c r="G758" s="111">
        <f>ROUND(D758*E758/F758,0)</f>
        <v>130</v>
      </c>
    </row>
    <row r="759" spans="1:7">
      <c r="A759" s="95"/>
      <c r="B759" s="835"/>
      <c r="C759" s="836"/>
      <c r="D759" s="89"/>
      <c r="E759" s="82"/>
      <c r="F759" s="83"/>
      <c r="G759" s="111"/>
    </row>
    <row r="760" spans="1:7">
      <c r="A760" s="95"/>
      <c r="B760" s="835" t="s">
        <v>841</v>
      </c>
      <c r="C760" s="836"/>
      <c r="D760" s="37"/>
      <c r="E760" s="82"/>
      <c r="F760" s="83"/>
      <c r="G760" s="111"/>
    </row>
    <row r="761" spans="1:7" ht="13.5" thickBot="1">
      <c r="A761" s="95"/>
      <c r="B761" s="839" t="s">
        <v>841</v>
      </c>
      <c r="C761" s="840"/>
      <c r="D761" s="77"/>
      <c r="E761" s="106"/>
      <c r="F761" s="86"/>
      <c r="G761" s="112"/>
    </row>
    <row r="762" spans="1:7" ht="14.25" thickTop="1" thickBot="1">
      <c r="A762" s="95"/>
      <c r="B762" s="808"/>
      <c r="C762" s="808"/>
      <c r="D762" s="808"/>
      <c r="E762" s="809"/>
      <c r="F762" s="119" t="s">
        <v>856</v>
      </c>
      <c r="G762" s="118">
        <f>SUM(G756:G761)</f>
        <v>910</v>
      </c>
    </row>
    <row r="763" spans="1:7" ht="14.25" thickTop="1" thickBot="1">
      <c r="A763" s="95"/>
      <c r="B763" s="830"/>
      <c r="C763" s="830"/>
      <c r="D763" s="830"/>
      <c r="E763" s="830"/>
      <c r="F763" s="830"/>
      <c r="G763" s="830"/>
    </row>
    <row r="764" spans="1:7" ht="13.5" thickTop="1">
      <c r="A764" s="95"/>
      <c r="B764" s="811" t="s">
        <v>311</v>
      </c>
      <c r="C764" s="812"/>
      <c r="D764" s="812"/>
      <c r="E764" s="812"/>
      <c r="F764" s="812"/>
      <c r="G764" s="825"/>
    </row>
    <row r="765" spans="1:7">
      <c r="A765" s="95"/>
      <c r="B765" s="817" t="s">
        <v>838</v>
      </c>
      <c r="C765" s="818"/>
      <c r="D765" s="98" t="s">
        <v>842</v>
      </c>
      <c r="E765" s="98" t="s">
        <v>853</v>
      </c>
      <c r="F765" s="99" t="s">
        <v>1047</v>
      </c>
      <c r="G765" s="107" t="s">
        <v>840</v>
      </c>
    </row>
    <row r="766" spans="1:7">
      <c r="A766" s="95"/>
      <c r="B766" s="115"/>
      <c r="C766" s="102"/>
      <c r="D766" s="100"/>
      <c r="E766" s="100" t="s">
        <v>312</v>
      </c>
      <c r="F766" s="101" t="s">
        <v>313</v>
      </c>
      <c r="G766" s="108" t="s">
        <v>314</v>
      </c>
    </row>
    <row r="767" spans="1:7">
      <c r="A767" s="125"/>
      <c r="B767" s="841" t="str">
        <f>MATERIALES2!C421</f>
        <v>CANALETA 90 DE 5.00 M Cal. 24 ACESCO</v>
      </c>
      <c r="C767" s="842"/>
      <c r="D767" s="87" t="s">
        <v>865</v>
      </c>
      <c r="E767" s="81">
        <v>0.23</v>
      </c>
      <c r="F767" s="80">
        <f>MATERIALES2!E421</f>
        <v>64898</v>
      </c>
      <c r="G767" s="110">
        <f>ROUND(E767*F767,0)</f>
        <v>14927</v>
      </c>
    </row>
    <row r="768" spans="1:7">
      <c r="A768" s="123"/>
      <c r="B768" s="854" t="str">
        <f>MATERIALES2!C433</f>
        <v>TORNILLO FIJACION CANALETA ACESCO</v>
      </c>
      <c r="C768" s="855"/>
      <c r="D768" s="37" t="s">
        <v>865</v>
      </c>
      <c r="E768" s="83">
        <v>0.46</v>
      </c>
      <c r="F768" s="82">
        <f>MATERIALES2!E433</f>
        <v>175</v>
      </c>
      <c r="G768" s="111">
        <f>ROUND(E768*F768,0)</f>
        <v>81</v>
      </c>
    </row>
    <row r="769" spans="1:8">
      <c r="A769" s="95"/>
      <c r="B769" s="854" t="str">
        <f>MATERIALES2!C306</f>
        <v>JUNTAS (IGAS GRIS)</v>
      </c>
      <c r="C769" s="855"/>
      <c r="D769" s="37" t="s">
        <v>925</v>
      </c>
      <c r="E769" s="53">
        <v>0.17</v>
      </c>
      <c r="F769" s="82">
        <f>MATERIALES2!E306</f>
        <v>7800</v>
      </c>
      <c r="G769" s="111">
        <f>ROUND(E769*F769,0)</f>
        <v>1326</v>
      </c>
    </row>
    <row r="770" spans="1:8">
      <c r="A770" s="95"/>
      <c r="B770" s="854" t="str">
        <f>MATERIALES2!C434</f>
        <v>TORNILLO DE ALA CANALETA 90 ACESCO</v>
      </c>
      <c r="C770" s="855"/>
      <c r="D770" s="37" t="s">
        <v>865</v>
      </c>
      <c r="E770" s="83">
        <v>0.92</v>
      </c>
      <c r="F770" s="82">
        <f>MATERIALES2!E434</f>
        <v>230</v>
      </c>
      <c r="G770" s="111">
        <f>ROUND(E770*F770,0)</f>
        <v>212</v>
      </c>
    </row>
    <row r="771" spans="1:8">
      <c r="A771" s="95"/>
      <c r="B771" s="854"/>
      <c r="C771" s="855"/>
      <c r="D771" s="37"/>
      <c r="E771" s="53"/>
      <c r="F771" s="82"/>
      <c r="G771" s="111"/>
    </row>
    <row r="772" spans="1:8">
      <c r="A772" s="95"/>
      <c r="B772" s="854"/>
      <c r="C772" s="855"/>
      <c r="D772" s="37"/>
      <c r="E772" s="53"/>
      <c r="F772" s="82"/>
      <c r="G772" s="111"/>
    </row>
    <row r="773" spans="1:8">
      <c r="A773" s="95"/>
      <c r="B773" s="854"/>
      <c r="C773" s="855"/>
      <c r="D773" s="37"/>
      <c r="E773" s="53"/>
      <c r="F773" s="82"/>
      <c r="G773" s="111"/>
    </row>
    <row r="774" spans="1:8">
      <c r="A774" s="95"/>
      <c r="B774" s="938" t="s">
        <v>841</v>
      </c>
      <c r="C774" s="939"/>
      <c r="D774" s="53" t="s">
        <v>841</v>
      </c>
      <c r="E774" s="53"/>
      <c r="F774" s="82"/>
      <c r="G774" s="111"/>
      <c r="H774" s="505" t="s">
        <v>1670</v>
      </c>
    </row>
    <row r="775" spans="1:8" ht="13.5" thickBot="1">
      <c r="A775" s="95"/>
      <c r="B775" s="942" t="s">
        <v>841</v>
      </c>
      <c r="C775" s="943"/>
      <c r="D775" s="84" t="s">
        <v>841</v>
      </c>
      <c r="E775" s="84"/>
      <c r="F775" s="85"/>
      <c r="G775" s="112"/>
    </row>
    <row r="776" spans="1:8" ht="13.5" thickTop="1">
      <c r="A776" s="95"/>
      <c r="B776" s="808"/>
      <c r="C776" s="809"/>
      <c r="D776" s="801" t="s">
        <v>856</v>
      </c>
      <c r="E776" s="802"/>
      <c r="F776" s="9"/>
      <c r="G776" s="113">
        <f>SUM(G767:G775)</f>
        <v>16546</v>
      </c>
    </row>
    <row r="777" spans="1:8">
      <c r="A777" s="95"/>
      <c r="B777" s="819"/>
      <c r="C777" s="820"/>
      <c r="D777" s="801" t="s">
        <v>857</v>
      </c>
      <c r="E777" s="802"/>
      <c r="F777" s="79">
        <f>'MANO DE OBRA'!D60</f>
        <v>0.05</v>
      </c>
      <c r="G777" s="113">
        <f>ROUND(G776*F777,0)</f>
        <v>827</v>
      </c>
    </row>
    <row r="778" spans="1:8" ht="13.5" thickBot="1">
      <c r="A778" s="95"/>
      <c r="B778" s="819"/>
      <c r="C778" s="820"/>
      <c r="D778" s="803" t="s">
        <v>320</v>
      </c>
      <c r="E778" s="804"/>
      <c r="F778" s="114"/>
      <c r="G778" s="118">
        <f>+G776+G777</f>
        <v>17373</v>
      </c>
    </row>
    <row r="779" spans="1:8" ht="14.25" thickTop="1" thickBot="1">
      <c r="A779" s="95"/>
      <c r="B779" s="830"/>
      <c r="C779" s="830"/>
      <c r="D779" s="830"/>
      <c r="E779" s="830"/>
      <c r="F779" s="830"/>
      <c r="G779" s="830"/>
    </row>
    <row r="780" spans="1:8" ht="13.5" thickTop="1">
      <c r="A780" s="95"/>
      <c r="B780" s="811" t="s">
        <v>858</v>
      </c>
      <c r="C780" s="812"/>
      <c r="D780" s="812"/>
      <c r="E780" s="812"/>
      <c r="F780" s="812"/>
      <c r="G780" s="825"/>
    </row>
    <row r="781" spans="1:8">
      <c r="A781" s="95"/>
      <c r="B781" s="817"/>
      <c r="C781" s="818"/>
      <c r="D781" s="98" t="s">
        <v>301</v>
      </c>
      <c r="E781" s="98" t="s">
        <v>859</v>
      </c>
      <c r="F781" s="99" t="s">
        <v>839</v>
      </c>
      <c r="G781" s="107" t="s">
        <v>840</v>
      </c>
    </row>
    <row r="782" spans="1:8">
      <c r="A782" s="95"/>
      <c r="B782" s="821" t="s">
        <v>838</v>
      </c>
      <c r="C782" s="822"/>
      <c r="D782" s="100" t="s">
        <v>316</v>
      </c>
      <c r="E782" s="100" t="s">
        <v>315</v>
      </c>
      <c r="F782" s="101" t="s">
        <v>306</v>
      </c>
      <c r="G782" s="108" t="s">
        <v>319</v>
      </c>
    </row>
    <row r="783" spans="1:8">
      <c r="A783" s="95"/>
      <c r="B783" s="115"/>
      <c r="C783" s="102"/>
      <c r="D783" s="103"/>
      <c r="E783" s="103" t="s">
        <v>317</v>
      </c>
      <c r="F783" s="104" t="s">
        <v>318</v>
      </c>
      <c r="G783" s="109"/>
    </row>
    <row r="784" spans="1:8">
      <c r="A784" s="95"/>
      <c r="B784" s="823" t="str">
        <f>'MANO DE OBRA'!B10</f>
        <v>AYUDANTE CUAD. TIPO AA</v>
      </c>
      <c r="C784" s="824"/>
      <c r="D784" s="87">
        <v>1</v>
      </c>
      <c r="E784" s="80">
        <f>'MANO DE OBRA'!E10</f>
        <v>34680</v>
      </c>
      <c r="F784" s="81">
        <v>10.67</v>
      </c>
      <c r="G784" s="110">
        <f>ROUND(D784*E784/F784,0)</f>
        <v>3250</v>
      </c>
    </row>
    <row r="785" spans="1:8">
      <c r="A785" s="95"/>
      <c r="B785" s="835" t="str">
        <f>'MANO DE OBRA'!B15</f>
        <v xml:space="preserve">OFICIAL CUAD. TIPO AA </v>
      </c>
      <c r="C785" s="836"/>
      <c r="D785" s="37">
        <v>1</v>
      </c>
      <c r="E785" s="82">
        <f>'MANO DE OBRA'!E15</f>
        <v>71474</v>
      </c>
      <c r="F785" s="83">
        <v>10.67</v>
      </c>
      <c r="G785" s="111">
        <f>ROUND(D785*E785/F785,0)</f>
        <v>6699</v>
      </c>
    </row>
    <row r="786" spans="1:8">
      <c r="A786" s="95"/>
      <c r="B786" s="835"/>
      <c r="C786" s="836"/>
      <c r="D786" s="89"/>
      <c r="E786" s="82"/>
      <c r="F786" s="83"/>
      <c r="G786" s="111"/>
    </row>
    <row r="787" spans="1:8">
      <c r="A787" s="95"/>
      <c r="B787" s="835" t="s">
        <v>841</v>
      </c>
      <c r="C787" s="836"/>
      <c r="D787" s="37"/>
      <c r="E787" s="82"/>
      <c r="F787" s="83"/>
      <c r="G787" s="111"/>
    </row>
    <row r="788" spans="1:8" ht="13.5" thickBot="1">
      <c r="A788" s="95"/>
      <c r="B788" s="828" t="s">
        <v>841</v>
      </c>
      <c r="C788" s="829"/>
      <c r="D788" s="77"/>
      <c r="E788" s="82"/>
      <c r="F788" s="86"/>
      <c r="G788" s="112"/>
    </row>
    <row r="789" spans="1:8" ht="14.25" thickTop="1" thickBot="1">
      <c r="A789" s="95"/>
      <c r="B789" s="808"/>
      <c r="C789" s="808"/>
      <c r="D789" s="808"/>
      <c r="E789" s="809"/>
      <c r="F789" s="120" t="s">
        <v>856</v>
      </c>
      <c r="G789" s="118">
        <f>SUM(G784:G788)</f>
        <v>9949</v>
      </c>
    </row>
    <row r="790" spans="1:8" ht="14.25" thickTop="1" thickBot="1">
      <c r="A790" s="95"/>
      <c r="B790" s="810"/>
      <c r="C790" s="810"/>
      <c r="D790" s="810"/>
      <c r="E790" s="810"/>
      <c r="F790" s="810"/>
      <c r="G790" s="810"/>
    </row>
    <row r="791" spans="1:8" ht="13.5" thickTop="1">
      <c r="A791" s="95"/>
      <c r="B791" s="811" t="s">
        <v>321</v>
      </c>
      <c r="C791" s="812"/>
      <c r="D791" s="812"/>
      <c r="E791" s="812"/>
      <c r="F791" s="812"/>
      <c r="G791" s="825"/>
    </row>
    <row r="792" spans="1:8">
      <c r="A792" s="95"/>
      <c r="B792" s="817" t="s">
        <v>838</v>
      </c>
      <c r="C792" s="818"/>
      <c r="D792" s="98" t="s">
        <v>301</v>
      </c>
      <c r="E792" s="98" t="s">
        <v>297</v>
      </c>
      <c r="F792" s="99" t="s">
        <v>839</v>
      </c>
      <c r="G792" s="107" t="s">
        <v>840</v>
      </c>
    </row>
    <row r="793" spans="1:8">
      <c r="A793" s="95"/>
      <c r="B793" s="115"/>
      <c r="C793" s="102"/>
      <c r="D793" s="103" t="s">
        <v>322</v>
      </c>
      <c r="E793" s="103" t="s">
        <v>323</v>
      </c>
      <c r="F793" s="104" t="s">
        <v>324</v>
      </c>
      <c r="G793" s="109" t="s">
        <v>325</v>
      </c>
    </row>
    <row r="794" spans="1:8">
      <c r="A794" s="95"/>
      <c r="B794" s="826"/>
      <c r="C794" s="827"/>
      <c r="D794" s="96"/>
      <c r="E794" s="96"/>
      <c r="F794" s="96"/>
      <c r="G794" s="116"/>
    </row>
    <row r="795" spans="1:8" ht="13.5" thickBot="1">
      <c r="A795" s="95"/>
      <c r="B795" s="828" t="s">
        <v>841</v>
      </c>
      <c r="C795" s="829"/>
      <c r="D795" s="77"/>
      <c r="E795" s="82"/>
      <c r="F795" s="86"/>
      <c r="G795" s="112"/>
    </row>
    <row r="796" spans="1:8" ht="14.25" thickTop="1" thickBot="1">
      <c r="A796" s="95"/>
      <c r="B796" s="808"/>
      <c r="C796" s="808"/>
      <c r="D796" s="808"/>
      <c r="E796" s="809"/>
      <c r="F796" s="120" t="s">
        <v>856</v>
      </c>
      <c r="G796" s="118">
        <f>SUM(G791:G795)</f>
        <v>0</v>
      </c>
    </row>
    <row r="797" spans="1:8" ht="14.25" thickTop="1" thickBot="1">
      <c r="A797" s="95"/>
      <c r="B797" s="810"/>
      <c r="C797" s="810"/>
      <c r="D797" s="810"/>
      <c r="E797" s="810"/>
      <c r="F797" s="810"/>
      <c r="G797" s="834"/>
    </row>
    <row r="798" spans="1:8" ht="13.5" thickTop="1">
      <c r="A798" s="95"/>
      <c r="B798" s="811" t="s">
        <v>326</v>
      </c>
      <c r="C798" s="812"/>
      <c r="D798" s="812"/>
      <c r="E798" s="812"/>
      <c r="F798" s="813"/>
      <c r="G798" s="121">
        <f>+G762+G778+G789</f>
        <v>28232</v>
      </c>
    </row>
    <row r="799" spans="1:8">
      <c r="A799" s="95"/>
      <c r="B799" s="814" t="s">
        <v>861</v>
      </c>
      <c r="C799" s="815"/>
      <c r="D799" s="815"/>
      <c r="E799" s="816"/>
      <c r="F799" s="128">
        <f>'MANO DE OBRA'!D59</f>
        <v>0</v>
      </c>
      <c r="G799" s="122">
        <f>ROUND(G798*F799,0)</f>
        <v>0</v>
      </c>
    </row>
    <row r="800" spans="1:8" ht="13.5" thickBot="1">
      <c r="A800" s="95"/>
      <c r="B800" s="805" t="s">
        <v>1049</v>
      </c>
      <c r="C800" s="806"/>
      <c r="D800" s="806"/>
      <c r="E800" s="806"/>
      <c r="F800" s="807"/>
      <c r="G800" s="118">
        <f>ROUND(G798+G799,-2)</f>
        <v>28200</v>
      </c>
      <c r="H800" s="505" t="s">
        <v>1670</v>
      </c>
    </row>
    <row r="801" spans="1:7" ht="15" thickTop="1">
      <c r="A801" s="95"/>
      <c r="B801" s="90" t="s">
        <v>303</v>
      </c>
      <c r="C801" s="843"/>
      <c r="D801" s="843"/>
      <c r="E801" s="843"/>
      <c r="F801" s="92" t="s">
        <v>781</v>
      </c>
      <c r="G801" s="93" t="s">
        <v>1067</v>
      </c>
    </row>
    <row r="802" spans="1:7">
      <c r="A802" s="95"/>
      <c r="B802" s="91" t="s">
        <v>834</v>
      </c>
      <c r="C802" s="844" t="s">
        <v>1408</v>
      </c>
      <c r="D802" s="844"/>
      <c r="E802" s="844"/>
      <c r="F802" s="15" t="s">
        <v>833</v>
      </c>
      <c r="G802" s="165" t="str">
        <f>'MANO DE OBRA'!D61</f>
        <v>Agosto de 2010</v>
      </c>
    </row>
    <row r="803" spans="1:7" ht="13.5" thickBot="1">
      <c r="A803" s="127"/>
      <c r="B803" s="94" t="s">
        <v>835</v>
      </c>
      <c r="C803" s="845" t="s">
        <v>498</v>
      </c>
      <c r="D803" s="845"/>
      <c r="E803" s="845"/>
      <c r="F803" s="845"/>
      <c r="G803" s="846"/>
    </row>
    <row r="804" spans="1:7" ht="14.25" thickTop="1" thickBot="1">
      <c r="A804" s="95"/>
      <c r="B804" s="847" t="s">
        <v>1409</v>
      </c>
      <c r="C804" s="847"/>
      <c r="D804" s="847"/>
      <c r="E804" s="847"/>
      <c r="F804" s="847"/>
      <c r="G804" s="847"/>
    </row>
    <row r="805" spans="1:7" ht="13.5" thickTop="1">
      <c r="A805" s="95"/>
      <c r="B805" s="811" t="s">
        <v>304</v>
      </c>
      <c r="C805" s="812"/>
      <c r="D805" s="812"/>
      <c r="E805" s="812"/>
      <c r="F805" s="812"/>
      <c r="G805" s="825"/>
    </row>
    <row r="806" spans="1:7">
      <c r="A806" s="95"/>
      <c r="B806" s="105"/>
      <c r="C806" s="97"/>
      <c r="D806" s="98" t="s">
        <v>301</v>
      </c>
      <c r="E806" s="98" t="s">
        <v>1072</v>
      </c>
      <c r="F806" s="99" t="s">
        <v>839</v>
      </c>
      <c r="G806" s="107" t="s">
        <v>840</v>
      </c>
    </row>
    <row r="807" spans="1:7">
      <c r="A807" s="95"/>
      <c r="B807" s="821" t="s">
        <v>838</v>
      </c>
      <c r="C807" s="822"/>
      <c r="D807" s="100" t="s">
        <v>308</v>
      </c>
      <c r="E807" s="100" t="s">
        <v>305</v>
      </c>
      <c r="F807" s="101" t="s">
        <v>306</v>
      </c>
      <c r="G807" s="108" t="s">
        <v>310</v>
      </c>
    </row>
    <row r="808" spans="1:7">
      <c r="A808" s="95"/>
      <c r="B808" s="115"/>
      <c r="C808" s="102"/>
      <c r="D808" s="103"/>
      <c r="E808" s="103" t="s">
        <v>309</v>
      </c>
      <c r="F808" s="104" t="s">
        <v>307</v>
      </c>
      <c r="G808" s="109"/>
    </row>
    <row r="809" spans="1:7">
      <c r="A809" s="127"/>
      <c r="B809" s="823" t="str">
        <f>'MAQUINARIA Y EQUIPOS'!C28</f>
        <v>HERRAMIENTAS MENORES</v>
      </c>
      <c r="C809" s="824"/>
      <c r="D809" s="87">
        <v>1</v>
      </c>
      <c r="E809" s="82">
        <f>ROUND(G842*0.05,0)</f>
        <v>551</v>
      </c>
      <c r="F809" s="81">
        <v>1</v>
      </c>
      <c r="G809" s="110">
        <f>ROUND(D809*E809/F809,0)</f>
        <v>551</v>
      </c>
    </row>
    <row r="810" spans="1:7">
      <c r="A810" s="95"/>
      <c r="B810" s="835" t="str">
        <f>'MAQUINARIA Y EQUIPOS'!C9</f>
        <v>ANDAMIO TUBULAR 1.50 m</v>
      </c>
      <c r="C810" s="836"/>
      <c r="D810" s="37">
        <v>4</v>
      </c>
      <c r="E810" s="129">
        <f>'MAQUINARIA Y EQUIPOS'!D9</f>
        <v>754</v>
      </c>
      <c r="F810" s="83">
        <v>9.64</v>
      </c>
      <c r="G810" s="111">
        <f>ROUND(D810*E810/F810,0)</f>
        <v>313</v>
      </c>
    </row>
    <row r="811" spans="1:7">
      <c r="A811" s="95"/>
      <c r="B811" s="835" t="str">
        <f>'MAQUINARIA Y EQUIPOS'!C47</f>
        <v>TABLONES 3m</v>
      </c>
      <c r="C811" s="836"/>
      <c r="D811" s="37">
        <v>4</v>
      </c>
      <c r="E811" s="129">
        <f>'MAQUINARIA Y EQUIPOS'!D47</f>
        <v>348</v>
      </c>
      <c r="F811" s="83">
        <v>9.64</v>
      </c>
      <c r="G811" s="111">
        <f>ROUND(D811*E811/F811,0)</f>
        <v>144</v>
      </c>
    </row>
    <row r="812" spans="1:7">
      <c r="A812" s="95"/>
      <c r="B812" s="835"/>
      <c r="C812" s="836"/>
      <c r="D812" s="89"/>
      <c r="E812" s="82"/>
      <c r="F812" s="83"/>
      <c r="G812" s="111"/>
    </row>
    <row r="813" spans="1:7">
      <c r="A813" s="95"/>
      <c r="B813" s="835" t="s">
        <v>841</v>
      </c>
      <c r="C813" s="836"/>
      <c r="D813" s="37"/>
      <c r="E813" s="82"/>
      <c r="F813" s="83"/>
      <c r="G813" s="111"/>
    </row>
    <row r="814" spans="1:7" ht="13.5" thickBot="1">
      <c r="A814" s="95"/>
      <c r="B814" s="839" t="s">
        <v>841</v>
      </c>
      <c r="C814" s="840"/>
      <c r="D814" s="77"/>
      <c r="E814" s="106"/>
      <c r="F814" s="86"/>
      <c r="G814" s="112"/>
    </row>
    <row r="815" spans="1:7" ht="14.25" thickTop="1" thickBot="1">
      <c r="A815" s="95"/>
      <c r="B815" s="808"/>
      <c r="C815" s="808"/>
      <c r="D815" s="808"/>
      <c r="E815" s="809"/>
      <c r="F815" s="119" t="s">
        <v>856</v>
      </c>
      <c r="G815" s="118">
        <f>SUM(G809:G814)</f>
        <v>1008</v>
      </c>
    </row>
    <row r="816" spans="1:7" ht="14.25" thickTop="1" thickBot="1">
      <c r="A816" s="95"/>
      <c r="B816" s="830"/>
      <c r="C816" s="830"/>
      <c r="D816" s="830"/>
      <c r="E816" s="830"/>
      <c r="F816" s="830"/>
      <c r="G816" s="830"/>
    </row>
    <row r="817" spans="1:8" ht="13.5" thickTop="1">
      <c r="A817" s="95"/>
      <c r="B817" s="811" t="s">
        <v>311</v>
      </c>
      <c r="C817" s="812"/>
      <c r="D817" s="812"/>
      <c r="E817" s="812"/>
      <c r="F817" s="812"/>
      <c r="G817" s="825"/>
    </row>
    <row r="818" spans="1:8">
      <c r="A818" s="95"/>
      <c r="B818" s="817" t="s">
        <v>838</v>
      </c>
      <c r="C818" s="818"/>
      <c r="D818" s="98" t="s">
        <v>842</v>
      </c>
      <c r="E818" s="98" t="s">
        <v>853</v>
      </c>
      <c r="F818" s="99" t="s">
        <v>1047</v>
      </c>
      <c r="G818" s="107" t="s">
        <v>840</v>
      </c>
    </row>
    <row r="819" spans="1:8">
      <c r="A819" s="95"/>
      <c r="B819" s="115"/>
      <c r="C819" s="102"/>
      <c r="D819" s="100"/>
      <c r="E819" s="100" t="s">
        <v>312</v>
      </c>
      <c r="F819" s="101" t="s">
        <v>313</v>
      </c>
      <c r="G819" s="108" t="s">
        <v>314</v>
      </c>
    </row>
    <row r="820" spans="1:8">
      <c r="A820" s="125"/>
      <c r="B820" s="841" t="str">
        <f>MATERIALES2!C422</f>
        <v>CANALETA 90 DE 6.00 M Cal. 24 ACESCO</v>
      </c>
      <c r="C820" s="842"/>
      <c r="D820" s="87" t="s">
        <v>865</v>
      </c>
      <c r="E820" s="81">
        <v>0.19</v>
      </c>
      <c r="F820" s="80">
        <f>MATERIALES2!E422</f>
        <v>77890</v>
      </c>
      <c r="G820" s="110">
        <f>ROUND(E820*F820,0)</f>
        <v>14799</v>
      </c>
    </row>
    <row r="821" spans="1:8">
      <c r="A821" s="123"/>
      <c r="B821" s="854" t="str">
        <f>MATERIALES2!C433</f>
        <v>TORNILLO FIJACION CANALETA ACESCO</v>
      </c>
      <c r="C821" s="855"/>
      <c r="D821" s="37" t="s">
        <v>865</v>
      </c>
      <c r="E821" s="83">
        <v>0.56999999999999995</v>
      </c>
      <c r="F821" s="82">
        <f>MATERIALES2!E433</f>
        <v>175</v>
      </c>
      <c r="G821" s="111">
        <f>ROUND(E821*F821,0)</f>
        <v>100</v>
      </c>
    </row>
    <row r="822" spans="1:8">
      <c r="A822" s="95"/>
      <c r="B822" s="854" t="str">
        <f>MATERIALES2!C306</f>
        <v>JUNTAS (IGAS GRIS)</v>
      </c>
      <c r="C822" s="855"/>
      <c r="D822" s="37" t="s">
        <v>925</v>
      </c>
      <c r="E822" s="53">
        <v>0.17</v>
      </c>
      <c r="F822" s="82">
        <f>MATERIALES2!E306</f>
        <v>7800</v>
      </c>
      <c r="G822" s="111">
        <f>ROUND(E822*F822,0)</f>
        <v>1326</v>
      </c>
    </row>
    <row r="823" spans="1:8">
      <c r="A823" s="95"/>
      <c r="B823" s="854" t="str">
        <f>MATERIALES2!C434</f>
        <v>TORNILLO DE ALA CANALETA 90 ACESCO</v>
      </c>
      <c r="C823" s="855"/>
      <c r="D823" s="37" t="s">
        <v>865</v>
      </c>
      <c r="E823" s="83">
        <v>0.76</v>
      </c>
      <c r="F823" s="82">
        <f>MATERIALES2!E434</f>
        <v>230</v>
      </c>
      <c r="G823" s="111">
        <f>ROUND(E823*F823,0)</f>
        <v>175</v>
      </c>
    </row>
    <row r="824" spans="1:8">
      <c r="A824" s="95"/>
      <c r="B824" s="854"/>
      <c r="C824" s="855"/>
      <c r="D824" s="37"/>
      <c r="E824" s="53"/>
      <c r="F824" s="82"/>
      <c r="G824" s="111"/>
    </row>
    <row r="825" spans="1:8">
      <c r="A825" s="95"/>
      <c r="B825" s="854"/>
      <c r="C825" s="855"/>
      <c r="D825" s="37"/>
      <c r="E825" s="53"/>
      <c r="F825" s="82"/>
      <c r="G825" s="111"/>
    </row>
    <row r="826" spans="1:8">
      <c r="A826" s="95"/>
      <c r="B826" s="854"/>
      <c r="C826" s="855"/>
      <c r="D826" s="37"/>
      <c r="E826" s="53"/>
      <c r="F826" s="82"/>
      <c r="G826" s="111"/>
    </row>
    <row r="827" spans="1:8">
      <c r="A827" s="95"/>
      <c r="B827" s="938" t="s">
        <v>841</v>
      </c>
      <c r="C827" s="939"/>
      <c r="D827" s="53" t="s">
        <v>841</v>
      </c>
      <c r="E827" s="53"/>
      <c r="F827" s="82"/>
      <c r="G827" s="111"/>
      <c r="H827" s="505" t="s">
        <v>1670</v>
      </c>
    </row>
    <row r="828" spans="1:8" ht="13.5" thickBot="1">
      <c r="A828" s="95"/>
      <c r="B828" s="942" t="s">
        <v>841</v>
      </c>
      <c r="C828" s="943"/>
      <c r="D828" s="84" t="s">
        <v>841</v>
      </c>
      <c r="E828" s="84"/>
      <c r="F828" s="85"/>
      <c r="G828" s="112"/>
    </row>
    <row r="829" spans="1:8" ht="13.5" thickTop="1">
      <c r="A829" s="95"/>
      <c r="B829" s="808"/>
      <c r="C829" s="809"/>
      <c r="D829" s="801" t="s">
        <v>856</v>
      </c>
      <c r="E829" s="802"/>
      <c r="F829" s="9"/>
      <c r="G829" s="113">
        <f>SUM(G820:G828)</f>
        <v>16400</v>
      </c>
    </row>
    <row r="830" spans="1:8">
      <c r="A830" s="95"/>
      <c r="B830" s="819"/>
      <c r="C830" s="820"/>
      <c r="D830" s="801" t="s">
        <v>857</v>
      </c>
      <c r="E830" s="802"/>
      <c r="F830" s="79">
        <f>'MANO DE OBRA'!D60</f>
        <v>0.05</v>
      </c>
      <c r="G830" s="113">
        <f>ROUND(G829*F830,0)</f>
        <v>820</v>
      </c>
    </row>
    <row r="831" spans="1:8" ht="13.5" thickBot="1">
      <c r="A831" s="95"/>
      <c r="B831" s="819"/>
      <c r="C831" s="820"/>
      <c r="D831" s="803" t="s">
        <v>320</v>
      </c>
      <c r="E831" s="804"/>
      <c r="F831" s="114"/>
      <c r="G831" s="118">
        <f>+G829+G830</f>
        <v>17220</v>
      </c>
    </row>
    <row r="832" spans="1:8" ht="14.25" thickTop="1" thickBot="1">
      <c r="A832" s="95"/>
      <c r="B832" s="830"/>
      <c r="C832" s="830"/>
      <c r="D832" s="830"/>
      <c r="E832" s="830"/>
      <c r="F832" s="830"/>
      <c r="G832" s="830"/>
    </row>
    <row r="833" spans="1:7" ht="13.5" thickTop="1">
      <c r="A833" s="95"/>
      <c r="B833" s="811" t="s">
        <v>858</v>
      </c>
      <c r="C833" s="812"/>
      <c r="D833" s="812"/>
      <c r="E833" s="812"/>
      <c r="F833" s="812"/>
      <c r="G833" s="825"/>
    </row>
    <row r="834" spans="1:7">
      <c r="A834" s="95"/>
      <c r="B834" s="817"/>
      <c r="C834" s="818"/>
      <c r="D834" s="98" t="s">
        <v>301</v>
      </c>
      <c r="E834" s="98" t="s">
        <v>859</v>
      </c>
      <c r="F834" s="99" t="s">
        <v>839</v>
      </c>
      <c r="G834" s="107" t="s">
        <v>840</v>
      </c>
    </row>
    <row r="835" spans="1:7">
      <c r="A835" s="95"/>
      <c r="B835" s="821" t="s">
        <v>838</v>
      </c>
      <c r="C835" s="822"/>
      <c r="D835" s="100" t="s">
        <v>316</v>
      </c>
      <c r="E835" s="100" t="s">
        <v>315</v>
      </c>
      <c r="F835" s="101" t="s">
        <v>306</v>
      </c>
      <c r="G835" s="108" t="s">
        <v>319</v>
      </c>
    </row>
    <row r="836" spans="1:7">
      <c r="A836" s="95"/>
      <c r="B836" s="115"/>
      <c r="C836" s="102"/>
      <c r="D836" s="103"/>
      <c r="E836" s="103" t="s">
        <v>317</v>
      </c>
      <c r="F836" s="104" t="s">
        <v>318</v>
      </c>
      <c r="G836" s="109"/>
    </row>
    <row r="837" spans="1:7">
      <c r="A837" s="95"/>
      <c r="B837" s="823" t="str">
        <f>'MANO DE OBRA'!B10</f>
        <v>AYUDANTE CUAD. TIPO AA</v>
      </c>
      <c r="C837" s="824"/>
      <c r="D837" s="87">
        <v>1</v>
      </c>
      <c r="E837" s="80">
        <f>'MANO DE OBRA'!E10</f>
        <v>34680</v>
      </c>
      <c r="F837" s="81">
        <v>9.64</v>
      </c>
      <c r="G837" s="110">
        <f>ROUND(D837*E837/F837,0)</f>
        <v>3598</v>
      </c>
    </row>
    <row r="838" spans="1:7">
      <c r="A838" s="95"/>
      <c r="B838" s="835" t="str">
        <f>'MANO DE OBRA'!B15</f>
        <v xml:space="preserve">OFICIAL CUAD. TIPO AA </v>
      </c>
      <c r="C838" s="836"/>
      <c r="D838" s="37">
        <v>1</v>
      </c>
      <c r="E838" s="82">
        <f>'MANO DE OBRA'!E15</f>
        <v>71474</v>
      </c>
      <c r="F838" s="83">
        <v>9.64</v>
      </c>
      <c r="G838" s="111">
        <f>ROUND(D838*E838/F838,0)</f>
        <v>7414</v>
      </c>
    </row>
    <row r="839" spans="1:7">
      <c r="A839" s="95"/>
      <c r="B839" s="835"/>
      <c r="C839" s="836"/>
      <c r="D839" s="89"/>
      <c r="E839" s="82"/>
      <c r="F839" s="83"/>
      <c r="G839" s="111"/>
    </row>
    <row r="840" spans="1:7">
      <c r="A840" s="95"/>
      <c r="B840" s="835" t="s">
        <v>841</v>
      </c>
      <c r="C840" s="836"/>
      <c r="D840" s="37"/>
      <c r="E840" s="82"/>
      <c r="F840" s="83"/>
      <c r="G840" s="111"/>
    </row>
    <row r="841" spans="1:7" ht="13.5" thickBot="1">
      <c r="A841" s="95"/>
      <c r="B841" s="828" t="s">
        <v>841</v>
      </c>
      <c r="C841" s="829"/>
      <c r="D841" s="77"/>
      <c r="E841" s="82"/>
      <c r="F841" s="86"/>
      <c r="G841" s="112"/>
    </row>
    <row r="842" spans="1:7" ht="14.25" thickTop="1" thickBot="1">
      <c r="A842" s="95"/>
      <c r="B842" s="808"/>
      <c r="C842" s="808"/>
      <c r="D842" s="808"/>
      <c r="E842" s="809"/>
      <c r="F842" s="120" t="s">
        <v>856</v>
      </c>
      <c r="G842" s="118">
        <f>SUM(G837:G841)</f>
        <v>11012</v>
      </c>
    </row>
    <row r="843" spans="1:7" ht="14.25" thickTop="1" thickBot="1">
      <c r="A843" s="95"/>
      <c r="B843" s="810"/>
      <c r="C843" s="810"/>
      <c r="D843" s="810"/>
      <c r="E843" s="810"/>
      <c r="F843" s="810"/>
      <c r="G843" s="810"/>
    </row>
    <row r="844" spans="1:7" ht="13.5" thickTop="1">
      <c r="A844" s="95"/>
      <c r="B844" s="811" t="s">
        <v>321</v>
      </c>
      <c r="C844" s="812"/>
      <c r="D844" s="812"/>
      <c r="E844" s="812"/>
      <c r="F844" s="812"/>
      <c r="G844" s="825"/>
    </row>
    <row r="845" spans="1:7">
      <c r="A845" s="95"/>
      <c r="B845" s="817" t="s">
        <v>838</v>
      </c>
      <c r="C845" s="818"/>
      <c r="D845" s="98" t="s">
        <v>301</v>
      </c>
      <c r="E845" s="98" t="s">
        <v>297</v>
      </c>
      <c r="F845" s="99" t="s">
        <v>839</v>
      </c>
      <c r="G845" s="107" t="s">
        <v>840</v>
      </c>
    </row>
    <row r="846" spans="1:7">
      <c r="A846" s="95"/>
      <c r="B846" s="115"/>
      <c r="C846" s="102"/>
      <c r="D846" s="103" t="s">
        <v>322</v>
      </c>
      <c r="E846" s="103" t="s">
        <v>323</v>
      </c>
      <c r="F846" s="104" t="s">
        <v>324</v>
      </c>
      <c r="G846" s="109" t="s">
        <v>325</v>
      </c>
    </row>
    <row r="847" spans="1:7">
      <c r="A847" s="95"/>
      <c r="B847" s="826"/>
      <c r="C847" s="827"/>
      <c r="D847" s="96"/>
      <c r="E847" s="96"/>
      <c r="F847" s="96"/>
      <c r="G847" s="116"/>
    </row>
    <row r="848" spans="1:7" ht="13.5" thickBot="1">
      <c r="A848" s="95"/>
      <c r="B848" s="828" t="s">
        <v>841</v>
      </c>
      <c r="C848" s="829"/>
      <c r="D848" s="77"/>
      <c r="E848" s="82"/>
      <c r="F848" s="86"/>
      <c r="G848" s="112"/>
    </row>
    <row r="849" spans="1:8" ht="14.25" thickTop="1" thickBot="1">
      <c r="A849" s="95"/>
      <c r="B849" s="808"/>
      <c r="C849" s="808"/>
      <c r="D849" s="808"/>
      <c r="E849" s="809"/>
      <c r="F849" s="120" t="s">
        <v>856</v>
      </c>
      <c r="G849" s="118">
        <f>SUM(G844:G848)</f>
        <v>0</v>
      </c>
    </row>
    <row r="850" spans="1:8" ht="14.25" thickTop="1" thickBot="1">
      <c r="A850" s="95"/>
      <c r="B850" s="810"/>
      <c r="C850" s="810"/>
      <c r="D850" s="810"/>
      <c r="E850" s="810"/>
      <c r="F850" s="810"/>
      <c r="G850" s="834"/>
    </row>
    <row r="851" spans="1:8" ht="13.5" thickTop="1">
      <c r="A851" s="95"/>
      <c r="B851" s="811" t="s">
        <v>326</v>
      </c>
      <c r="C851" s="812"/>
      <c r="D851" s="812"/>
      <c r="E851" s="812"/>
      <c r="F851" s="813"/>
      <c r="G851" s="121">
        <f>+G815+G831+G842</f>
        <v>29240</v>
      </c>
    </row>
    <row r="852" spans="1:8">
      <c r="A852" s="95"/>
      <c r="B852" s="814" t="s">
        <v>861</v>
      </c>
      <c r="C852" s="815"/>
      <c r="D852" s="815"/>
      <c r="E852" s="816"/>
      <c r="F852" s="128">
        <f>'MANO DE OBRA'!D59</f>
        <v>0</v>
      </c>
      <c r="G852" s="122">
        <f>ROUND(G851*F852,0)</f>
        <v>0</v>
      </c>
    </row>
    <row r="853" spans="1:8" ht="13.5" thickBot="1">
      <c r="A853" s="95"/>
      <c r="B853" s="805" t="s">
        <v>1049</v>
      </c>
      <c r="C853" s="806"/>
      <c r="D853" s="806"/>
      <c r="E853" s="806"/>
      <c r="F853" s="807"/>
      <c r="G853" s="118">
        <f>ROUND(G851+G852,-2)</f>
        <v>29200</v>
      </c>
      <c r="H853" s="505" t="s">
        <v>1670</v>
      </c>
    </row>
    <row r="854" spans="1:8" ht="15" thickTop="1">
      <c r="A854" s="95"/>
      <c r="B854" s="90" t="s">
        <v>303</v>
      </c>
      <c r="C854" s="843"/>
      <c r="D854" s="843"/>
      <c r="E854" s="843"/>
      <c r="F854" s="92" t="s">
        <v>781</v>
      </c>
      <c r="G854" s="93" t="s">
        <v>1067</v>
      </c>
    </row>
    <row r="855" spans="1:8">
      <c r="A855" s="95"/>
      <c r="B855" s="91" t="s">
        <v>834</v>
      </c>
      <c r="C855" s="844" t="s">
        <v>1408</v>
      </c>
      <c r="D855" s="844"/>
      <c r="E855" s="844"/>
      <c r="F855" s="15" t="s">
        <v>833</v>
      </c>
      <c r="G855" s="165" t="str">
        <f>'MANO DE OBRA'!D61</f>
        <v>Agosto de 2010</v>
      </c>
    </row>
    <row r="856" spans="1:8" ht="13.5" thickBot="1">
      <c r="A856" s="127"/>
      <c r="B856" s="94" t="s">
        <v>835</v>
      </c>
      <c r="C856" s="845" t="s">
        <v>501</v>
      </c>
      <c r="D856" s="845"/>
      <c r="E856" s="845"/>
      <c r="F856" s="845"/>
      <c r="G856" s="846"/>
    </row>
    <row r="857" spans="1:8" ht="14.25" thickTop="1" thickBot="1">
      <c r="A857" s="95"/>
      <c r="B857" s="847" t="s">
        <v>1409</v>
      </c>
      <c r="C857" s="847"/>
      <c r="D857" s="847"/>
      <c r="E857" s="847"/>
      <c r="F857" s="847"/>
      <c r="G857" s="847"/>
    </row>
    <row r="858" spans="1:8" ht="13.5" thickTop="1">
      <c r="A858" s="95"/>
      <c r="B858" s="811" t="s">
        <v>304</v>
      </c>
      <c r="C858" s="812"/>
      <c r="D858" s="812"/>
      <c r="E858" s="812"/>
      <c r="F858" s="812"/>
      <c r="G858" s="825"/>
    </row>
    <row r="859" spans="1:8">
      <c r="A859" s="95"/>
      <c r="B859" s="105"/>
      <c r="C859" s="97"/>
      <c r="D859" s="98" t="s">
        <v>301</v>
      </c>
      <c r="E859" s="98" t="s">
        <v>1072</v>
      </c>
      <c r="F859" s="99" t="s">
        <v>839</v>
      </c>
      <c r="G859" s="107" t="s">
        <v>840</v>
      </c>
    </row>
    <row r="860" spans="1:8">
      <c r="A860" s="95"/>
      <c r="B860" s="821" t="s">
        <v>838</v>
      </c>
      <c r="C860" s="822"/>
      <c r="D860" s="100" t="s">
        <v>308</v>
      </c>
      <c r="E860" s="100" t="s">
        <v>305</v>
      </c>
      <c r="F860" s="101" t="s">
        <v>306</v>
      </c>
      <c r="G860" s="108" t="s">
        <v>310</v>
      </c>
    </row>
    <row r="861" spans="1:8">
      <c r="A861" s="95"/>
      <c r="B861" s="115"/>
      <c r="C861" s="102"/>
      <c r="D861" s="103"/>
      <c r="E861" s="103" t="s">
        <v>309</v>
      </c>
      <c r="F861" s="104" t="s">
        <v>307</v>
      </c>
      <c r="G861" s="109"/>
    </row>
    <row r="862" spans="1:8">
      <c r="A862" s="127"/>
      <c r="B862" s="823" t="str">
        <f>'MAQUINARIA Y EQUIPOS'!C28</f>
        <v>HERRAMIENTAS MENORES</v>
      </c>
      <c r="C862" s="824"/>
      <c r="D862" s="87">
        <v>1</v>
      </c>
      <c r="E862" s="82">
        <f>ROUND(G895*0.05,0)</f>
        <v>551</v>
      </c>
      <c r="F862" s="81">
        <v>1</v>
      </c>
      <c r="G862" s="110">
        <f>ROUND(D862*E862/F862,0)</f>
        <v>551</v>
      </c>
    </row>
    <row r="863" spans="1:8">
      <c r="A863" s="95"/>
      <c r="B863" s="835" t="str">
        <f>'MAQUINARIA Y EQUIPOS'!C9</f>
        <v>ANDAMIO TUBULAR 1.50 m</v>
      </c>
      <c r="C863" s="836"/>
      <c r="D863" s="37">
        <v>4</v>
      </c>
      <c r="E863" s="129">
        <f>'MAQUINARIA Y EQUIPOS'!D9</f>
        <v>754</v>
      </c>
      <c r="F863" s="83">
        <v>9.64</v>
      </c>
      <c r="G863" s="111">
        <f>ROUND(D863*E863/F863,0)</f>
        <v>313</v>
      </c>
    </row>
    <row r="864" spans="1:8">
      <c r="A864" s="95"/>
      <c r="B864" s="835" t="str">
        <f>'MAQUINARIA Y EQUIPOS'!C47</f>
        <v>TABLONES 3m</v>
      </c>
      <c r="C864" s="836"/>
      <c r="D864" s="37">
        <v>4</v>
      </c>
      <c r="E864" s="129">
        <f>'MAQUINARIA Y EQUIPOS'!D47</f>
        <v>348</v>
      </c>
      <c r="F864" s="83">
        <v>9.64</v>
      </c>
      <c r="G864" s="111">
        <f>ROUND(D864*E864/F864,0)</f>
        <v>144</v>
      </c>
    </row>
    <row r="865" spans="1:8">
      <c r="A865" s="95"/>
      <c r="B865" s="835"/>
      <c r="C865" s="836"/>
      <c r="D865" s="89"/>
      <c r="E865" s="82"/>
      <c r="F865" s="83"/>
      <c r="G865" s="111"/>
    </row>
    <row r="866" spans="1:8">
      <c r="A866" s="95"/>
      <c r="B866" s="835" t="s">
        <v>841</v>
      </c>
      <c r="C866" s="836"/>
      <c r="D866" s="37"/>
      <c r="E866" s="82"/>
      <c r="F866" s="83"/>
      <c r="G866" s="111"/>
    </row>
    <row r="867" spans="1:8" ht="13.5" thickBot="1">
      <c r="A867" s="95"/>
      <c r="B867" s="839" t="s">
        <v>841</v>
      </c>
      <c r="C867" s="840"/>
      <c r="D867" s="77"/>
      <c r="E867" s="106"/>
      <c r="F867" s="86"/>
      <c r="G867" s="112"/>
    </row>
    <row r="868" spans="1:8" ht="14.25" thickTop="1" thickBot="1">
      <c r="A868" s="95"/>
      <c r="B868" s="808"/>
      <c r="C868" s="808"/>
      <c r="D868" s="808"/>
      <c r="E868" s="809"/>
      <c r="F868" s="119" t="s">
        <v>856</v>
      </c>
      <c r="G868" s="118">
        <f>SUM(G862:G867)</f>
        <v>1008</v>
      </c>
    </row>
    <row r="869" spans="1:8" ht="14.25" thickTop="1" thickBot="1">
      <c r="A869" s="95"/>
      <c r="B869" s="830"/>
      <c r="C869" s="830"/>
      <c r="D869" s="830"/>
      <c r="E869" s="830"/>
      <c r="F869" s="830"/>
      <c r="G869" s="830"/>
    </row>
    <row r="870" spans="1:8" ht="13.5" thickTop="1">
      <c r="A870" s="95"/>
      <c r="B870" s="811" t="s">
        <v>311</v>
      </c>
      <c r="C870" s="812"/>
      <c r="D870" s="812"/>
      <c r="E870" s="812"/>
      <c r="F870" s="812"/>
      <c r="G870" s="825"/>
    </row>
    <row r="871" spans="1:8">
      <c r="A871" s="95"/>
      <c r="B871" s="817" t="s">
        <v>838</v>
      </c>
      <c r="C871" s="818"/>
      <c r="D871" s="98" t="s">
        <v>842</v>
      </c>
      <c r="E871" s="98" t="s">
        <v>853</v>
      </c>
      <c r="F871" s="99" t="s">
        <v>1047</v>
      </c>
      <c r="G871" s="107" t="s">
        <v>840</v>
      </c>
    </row>
    <row r="872" spans="1:8">
      <c r="A872" s="95"/>
      <c r="B872" s="115"/>
      <c r="C872" s="102"/>
      <c r="D872" s="100"/>
      <c r="E872" s="100" t="s">
        <v>312</v>
      </c>
      <c r="F872" s="101" t="s">
        <v>313</v>
      </c>
      <c r="G872" s="108" t="s">
        <v>314</v>
      </c>
    </row>
    <row r="873" spans="1:8">
      <c r="A873" s="125"/>
      <c r="B873" s="841" t="str">
        <f>MATERIALES2!C423</f>
        <v>CANALETA 90 DE 7.00 M Cal. 24 ACESCO</v>
      </c>
      <c r="C873" s="842"/>
      <c r="D873" s="87" t="s">
        <v>865</v>
      </c>
      <c r="E873" s="81">
        <v>0.16</v>
      </c>
      <c r="F873" s="80">
        <f>MATERIALES2!E423</f>
        <v>90853</v>
      </c>
      <c r="G873" s="110">
        <f>ROUND(E873*F873,0)</f>
        <v>14536</v>
      </c>
    </row>
    <row r="874" spans="1:8">
      <c r="A874" s="123"/>
      <c r="B874" s="854" t="str">
        <f>MATERIALES2!C433</f>
        <v>TORNILLO FIJACION CANALETA ACESCO</v>
      </c>
      <c r="C874" s="855"/>
      <c r="D874" s="37" t="s">
        <v>865</v>
      </c>
      <c r="E874" s="83">
        <v>0.49</v>
      </c>
      <c r="F874" s="82">
        <f>MATERIALES2!E433</f>
        <v>175</v>
      </c>
      <c r="G874" s="111">
        <f>ROUND(E874*F874,0)</f>
        <v>86</v>
      </c>
    </row>
    <row r="875" spans="1:8">
      <c r="A875" s="95"/>
      <c r="B875" s="854" t="str">
        <f>MATERIALES2!C306</f>
        <v>JUNTAS (IGAS GRIS)</v>
      </c>
      <c r="C875" s="855"/>
      <c r="D875" s="37" t="s">
        <v>925</v>
      </c>
      <c r="E875" s="53">
        <v>0.17</v>
      </c>
      <c r="F875" s="82">
        <f>MATERIALES2!E306</f>
        <v>7800</v>
      </c>
      <c r="G875" s="111">
        <f>ROUND(E875*F875,0)</f>
        <v>1326</v>
      </c>
    </row>
    <row r="876" spans="1:8">
      <c r="A876" s="95"/>
      <c r="B876" s="854" t="str">
        <f>MATERIALES2!C434</f>
        <v>TORNILLO DE ALA CANALETA 90 ACESCO</v>
      </c>
      <c r="C876" s="855"/>
      <c r="D876" s="37" t="s">
        <v>865</v>
      </c>
      <c r="E876" s="83">
        <v>0.65</v>
      </c>
      <c r="F876" s="82">
        <f>MATERIALES2!E434</f>
        <v>230</v>
      </c>
      <c r="G876" s="111">
        <f>ROUND(E876*F876,0)</f>
        <v>150</v>
      </c>
    </row>
    <row r="877" spans="1:8">
      <c r="A877" s="95"/>
      <c r="B877" s="854"/>
      <c r="C877" s="855"/>
      <c r="D877" s="37"/>
      <c r="E877" s="53"/>
      <c r="F877" s="82"/>
      <c r="G877" s="111"/>
    </row>
    <row r="878" spans="1:8">
      <c r="A878" s="95"/>
      <c r="B878" s="854"/>
      <c r="C878" s="855"/>
      <c r="D878" s="37"/>
      <c r="E878" s="53"/>
      <c r="F878" s="82"/>
      <c r="G878" s="111"/>
    </row>
    <row r="879" spans="1:8">
      <c r="A879" s="95"/>
      <c r="B879" s="854"/>
      <c r="C879" s="855"/>
      <c r="D879" s="37"/>
      <c r="E879" s="53"/>
      <c r="F879" s="82"/>
      <c r="G879" s="111"/>
    </row>
    <row r="880" spans="1:8">
      <c r="A880" s="95"/>
      <c r="B880" s="938" t="s">
        <v>841</v>
      </c>
      <c r="C880" s="939"/>
      <c r="D880" s="53" t="s">
        <v>841</v>
      </c>
      <c r="E880" s="53"/>
      <c r="F880" s="82"/>
      <c r="G880" s="111"/>
      <c r="H880" s="505" t="s">
        <v>1670</v>
      </c>
    </row>
    <row r="881" spans="1:7" ht="13.5" thickBot="1">
      <c r="A881" s="95"/>
      <c r="B881" s="942" t="s">
        <v>841</v>
      </c>
      <c r="C881" s="943"/>
      <c r="D881" s="84" t="s">
        <v>841</v>
      </c>
      <c r="E881" s="84"/>
      <c r="F881" s="85"/>
      <c r="G881" s="112"/>
    </row>
    <row r="882" spans="1:7" ht="13.5" thickTop="1">
      <c r="A882" s="95"/>
      <c r="B882" s="808"/>
      <c r="C882" s="809"/>
      <c r="D882" s="801" t="s">
        <v>856</v>
      </c>
      <c r="E882" s="802"/>
      <c r="F882" s="9"/>
      <c r="G882" s="113">
        <f>SUM(G873:G881)</f>
        <v>16098</v>
      </c>
    </row>
    <row r="883" spans="1:7">
      <c r="A883" s="95"/>
      <c r="B883" s="819"/>
      <c r="C883" s="820"/>
      <c r="D883" s="801" t="s">
        <v>857</v>
      </c>
      <c r="E883" s="802"/>
      <c r="F883" s="79">
        <f>'MANO DE OBRA'!D60</f>
        <v>0.05</v>
      </c>
      <c r="G883" s="113">
        <f>ROUND(G882*F883,0)</f>
        <v>805</v>
      </c>
    </row>
    <row r="884" spans="1:7" ht="13.5" thickBot="1">
      <c r="A884" s="95"/>
      <c r="B884" s="819"/>
      <c r="C884" s="820"/>
      <c r="D884" s="803" t="s">
        <v>320</v>
      </c>
      <c r="E884" s="804"/>
      <c r="F884" s="114"/>
      <c r="G884" s="118">
        <f>+G882+G883</f>
        <v>16903</v>
      </c>
    </row>
    <row r="885" spans="1:7" ht="14.25" thickTop="1" thickBot="1">
      <c r="A885" s="95"/>
      <c r="B885" s="830"/>
      <c r="C885" s="830"/>
      <c r="D885" s="830"/>
      <c r="E885" s="830"/>
      <c r="F885" s="830"/>
      <c r="G885" s="830"/>
    </row>
    <row r="886" spans="1:7" ht="13.5" thickTop="1">
      <c r="A886" s="95"/>
      <c r="B886" s="811" t="s">
        <v>858</v>
      </c>
      <c r="C886" s="812"/>
      <c r="D886" s="812"/>
      <c r="E886" s="812"/>
      <c r="F886" s="812"/>
      <c r="G886" s="825"/>
    </row>
    <row r="887" spans="1:7">
      <c r="A887" s="95"/>
      <c r="B887" s="817"/>
      <c r="C887" s="818"/>
      <c r="D887" s="98" t="s">
        <v>301</v>
      </c>
      <c r="E887" s="98" t="s">
        <v>859</v>
      </c>
      <c r="F887" s="99" t="s">
        <v>839</v>
      </c>
      <c r="G887" s="107" t="s">
        <v>840</v>
      </c>
    </row>
    <row r="888" spans="1:7">
      <c r="A888" s="95"/>
      <c r="B888" s="821" t="s">
        <v>838</v>
      </c>
      <c r="C888" s="822"/>
      <c r="D888" s="100" t="s">
        <v>316</v>
      </c>
      <c r="E888" s="100" t="s">
        <v>315</v>
      </c>
      <c r="F888" s="101" t="s">
        <v>306</v>
      </c>
      <c r="G888" s="108" t="s">
        <v>319</v>
      </c>
    </row>
    <row r="889" spans="1:7">
      <c r="A889" s="95"/>
      <c r="B889" s="115"/>
      <c r="C889" s="102"/>
      <c r="D889" s="103"/>
      <c r="E889" s="103" t="s">
        <v>317</v>
      </c>
      <c r="F889" s="104" t="s">
        <v>318</v>
      </c>
      <c r="G889" s="109"/>
    </row>
    <row r="890" spans="1:7">
      <c r="A890" s="95"/>
      <c r="B890" s="823" t="str">
        <f>'MANO DE OBRA'!B10</f>
        <v>AYUDANTE CUAD. TIPO AA</v>
      </c>
      <c r="C890" s="824"/>
      <c r="D890" s="87">
        <v>1</v>
      </c>
      <c r="E890" s="80">
        <f>'MANO DE OBRA'!E10</f>
        <v>34680</v>
      </c>
      <c r="F890" s="81">
        <v>9.64</v>
      </c>
      <c r="G890" s="110">
        <f>ROUND(D890*E890/F890,0)</f>
        <v>3598</v>
      </c>
    </row>
    <row r="891" spans="1:7">
      <c r="A891" s="95"/>
      <c r="B891" s="835" t="str">
        <f>'MANO DE OBRA'!B15</f>
        <v xml:space="preserve">OFICIAL CUAD. TIPO AA </v>
      </c>
      <c r="C891" s="836"/>
      <c r="D891" s="37">
        <v>1</v>
      </c>
      <c r="E891" s="82">
        <f>'MANO DE OBRA'!E15</f>
        <v>71474</v>
      </c>
      <c r="F891" s="83">
        <v>9.64</v>
      </c>
      <c r="G891" s="111">
        <f>ROUND(D891*E891/F891,0)</f>
        <v>7414</v>
      </c>
    </row>
    <row r="892" spans="1:7">
      <c r="A892" s="95"/>
      <c r="B892" s="835"/>
      <c r="C892" s="836"/>
      <c r="D892" s="89"/>
      <c r="E892" s="82"/>
      <c r="F892" s="83"/>
      <c r="G892" s="111"/>
    </row>
    <row r="893" spans="1:7">
      <c r="A893" s="95"/>
      <c r="B893" s="835" t="s">
        <v>841</v>
      </c>
      <c r="C893" s="836"/>
      <c r="D893" s="37"/>
      <c r="E893" s="82"/>
      <c r="F893" s="83"/>
      <c r="G893" s="111"/>
    </row>
    <row r="894" spans="1:7" ht="13.5" thickBot="1">
      <c r="A894" s="95"/>
      <c r="B894" s="828" t="s">
        <v>841</v>
      </c>
      <c r="C894" s="829"/>
      <c r="D894" s="77"/>
      <c r="E894" s="82"/>
      <c r="F894" s="86"/>
      <c r="G894" s="112"/>
    </row>
    <row r="895" spans="1:7" ht="14.25" thickTop="1" thickBot="1">
      <c r="A895" s="95"/>
      <c r="B895" s="808"/>
      <c r="C895" s="808"/>
      <c r="D895" s="808"/>
      <c r="E895" s="809"/>
      <c r="F895" s="120" t="s">
        <v>856</v>
      </c>
      <c r="G895" s="118">
        <f>SUM(G890:G894)</f>
        <v>11012</v>
      </c>
    </row>
    <row r="896" spans="1:7" ht="14.25" thickTop="1" thickBot="1">
      <c r="A896" s="95"/>
      <c r="B896" s="810"/>
      <c r="C896" s="810"/>
      <c r="D896" s="810"/>
      <c r="E896" s="810"/>
      <c r="F896" s="810"/>
      <c r="G896" s="810"/>
    </row>
    <row r="897" spans="1:8" ht="13.5" thickTop="1">
      <c r="A897" s="95"/>
      <c r="B897" s="811" t="s">
        <v>321</v>
      </c>
      <c r="C897" s="812"/>
      <c r="D897" s="812"/>
      <c r="E897" s="812"/>
      <c r="F897" s="812"/>
      <c r="G897" s="825"/>
    </row>
    <row r="898" spans="1:8">
      <c r="A898" s="95"/>
      <c r="B898" s="817" t="s">
        <v>838</v>
      </c>
      <c r="C898" s="818"/>
      <c r="D898" s="98" t="s">
        <v>301</v>
      </c>
      <c r="E898" s="98" t="s">
        <v>297</v>
      </c>
      <c r="F898" s="99" t="s">
        <v>839</v>
      </c>
      <c r="G898" s="107" t="s">
        <v>840</v>
      </c>
    </row>
    <row r="899" spans="1:8">
      <c r="A899" s="95"/>
      <c r="B899" s="115"/>
      <c r="C899" s="102"/>
      <c r="D899" s="103" t="s">
        <v>322</v>
      </c>
      <c r="E899" s="103" t="s">
        <v>323</v>
      </c>
      <c r="F899" s="104" t="s">
        <v>324</v>
      </c>
      <c r="G899" s="109" t="s">
        <v>325</v>
      </c>
    </row>
    <row r="900" spans="1:8">
      <c r="A900" s="95"/>
      <c r="B900" s="826"/>
      <c r="C900" s="827"/>
      <c r="D900" s="96"/>
      <c r="E900" s="96"/>
      <c r="F900" s="96"/>
      <c r="G900" s="116"/>
    </row>
    <row r="901" spans="1:8" ht="13.5" thickBot="1">
      <c r="A901" s="95"/>
      <c r="B901" s="828" t="s">
        <v>841</v>
      </c>
      <c r="C901" s="829"/>
      <c r="D901" s="77"/>
      <c r="E901" s="82"/>
      <c r="F901" s="86"/>
      <c r="G901" s="112"/>
    </row>
    <row r="902" spans="1:8" ht="14.25" thickTop="1" thickBot="1">
      <c r="A902" s="95"/>
      <c r="B902" s="808"/>
      <c r="C902" s="808"/>
      <c r="D902" s="808"/>
      <c r="E902" s="809"/>
      <c r="F902" s="120" t="s">
        <v>856</v>
      </c>
      <c r="G902" s="118">
        <f>SUM(G897:G901)</f>
        <v>0</v>
      </c>
    </row>
    <row r="903" spans="1:8" ht="14.25" thickTop="1" thickBot="1">
      <c r="A903" s="95"/>
      <c r="B903" s="810"/>
      <c r="C903" s="810"/>
      <c r="D903" s="810"/>
      <c r="E903" s="810"/>
      <c r="F903" s="810"/>
      <c r="G903" s="834"/>
    </row>
    <row r="904" spans="1:8" ht="13.5" thickTop="1">
      <c r="A904" s="95"/>
      <c r="B904" s="811" t="s">
        <v>326</v>
      </c>
      <c r="C904" s="812"/>
      <c r="D904" s="812"/>
      <c r="E904" s="812"/>
      <c r="F904" s="813"/>
      <c r="G904" s="121">
        <f>+G868+G884+G895</f>
        <v>28923</v>
      </c>
    </row>
    <row r="905" spans="1:8">
      <c r="A905" s="95"/>
      <c r="B905" s="814" t="s">
        <v>861</v>
      </c>
      <c r="C905" s="815"/>
      <c r="D905" s="815"/>
      <c r="E905" s="816"/>
      <c r="F905" s="128">
        <f>'MANO DE OBRA'!D59</f>
        <v>0</v>
      </c>
      <c r="G905" s="122">
        <f>ROUND(G904*F905,0)</f>
        <v>0</v>
      </c>
    </row>
    <row r="906" spans="1:8" ht="13.5" thickBot="1">
      <c r="A906" s="95"/>
      <c r="B906" s="805" t="s">
        <v>1049</v>
      </c>
      <c r="C906" s="806"/>
      <c r="D906" s="806"/>
      <c r="E906" s="806"/>
      <c r="F906" s="807"/>
      <c r="G906" s="118">
        <f>ROUND(G904+G905,-2)</f>
        <v>28900</v>
      </c>
      <c r="H906" s="505" t="s">
        <v>1670</v>
      </c>
    </row>
    <row r="907" spans="1:8" ht="15" thickTop="1">
      <c r="A907" s="95"/>
      <c r="B907" s="90" t="s">
        <v>303</v>
      </c>
      <c r="C907" s="843"/>
      <c r="D907" s="843"/>
      <c r="E907" s="843"/>
      <c r="F907" s="92" t="s">
        <v>781</v>
      </c>
      <c r="G907" s="93" t="s">
        <v>1067</v>
      </c>
    </row>
    <row r="908" spans="1:8">
      <c r="A908" s="95"/>
      <c r="B908" s="91" t="s">
        <v>834</v>
      </c>
      <c r="C908" s="844" t="s">
        <v>1408</v>
      </c>
      <c r="D908" s="844"/>
      <c r="E908" s="844"/>
      <c r="F908" s="15" t="s">
        <v>833</v>
      </c>
      <c r="G908" s="165" t="str">
        <f>'MANO DE OBRA'!D61</f>
        <v>Agosto de 2010</v>
      </c>
    </row>
    <row r="909" spans="1:8" ht="13.5" thickBot="1">
      <c r="A909" s="127"/>
      <c r="B909" s="94" t="s">
        <v>835</v>
      </c>
      <c r="C909" s="845" t="s">
        <v>502</v>
      </c>
      <c r="D909" s="845"/>
      <c r="E909" s="845"/>
      <c r="F909" s="845"/>
      <c r="G909" s="846"/>
    </row>
    <row r="910" spans="1:8" ht="14.25" thickTop="1" thickBot="1">
      <c r="A910" s="95"/>
      <c r="B910" s="847" t="s">
        <v>1409</v>
      </c>
      <c r="C910" s="847"/>
      <c r="D910" s="847"/>
      <c r="E910" s="847"/>
      <c r="F910" s="847"/>
      <c r="G910" s="847"/>
    </row>
    <row r="911" spans="1:8" ht="13.5" thickTop="1">
      <c r="A911" s="95"/>
      <c r="B911" s="811" t="s">
        <v>304</v>
      </c>
      <c r="C911" s="812"/>
      <c r="D911" s="812"/>
      <c r="E911" s="812"/>
      <c r="F911" s="812"/>
      <c r="G911" s="825"/>
    </row>
    <row r="912" spans="1:8">
      <c r="A912" s="95"/>
      <c r="B912" s="105"/>
      <c r="C912" s="97"/>
      <c r="D912" s="98" t="s">
        <v>301</v>
      </c>
      <c r="E912" s="98" t="s">
        <v>1072</v>
      </c>
      <c r="F912" s="99" t="s">
        <v>839</v>
      </c>
      <c r="G912" s="107" t="s">
        <v>840</v>
      </c>
    </row>
    <row r="913" spans="1:7">
      <c r="A913" s="95"/>
      <c r="B913" s="821" t="s">
        <v>838</v>
      </c>
      <c r="C913" s="822"/>
      <c r="D913" s="100" t="s">
        <v>308</v>
      </c>
      <c r="E913" s="100" t="s">
        <v>305</v>
      </c>
      <c r="F913" s="101" t="s">
        <v>306</v>
      </c>
      <c r="G913" s="108" t="s">
        <v>310</v>
      </c>
    </row>
    <row r="914" spans="1:7">
      <c r="A914" s="95"/>
      <c r="B914" s="115"/>
      <c r="C914" s="102"/>
      <c r="D914" s="103"/>
      <c r="E914" s="103" t="s">
        <v>309</v>
      </c>
      <c r="F914" s="104" t="s">
        <v>307</v>
      </c>
      <c r="G914" s="109"/>
    </row>
    <row r="915" spans="1:7">
      <c r="A915" s="127"/>
      <c r="B915" s="823" t="str">
        <f>'MAQUINARIA Y EQUIPOS'!C28</f>
        <v>HERRAMIENTAS MENORES</v>
      </c>
      <c r="C915" s="824"/>
      <c r="D915" s="87">
        <v>1</v>
      </c>
      <c r="E915" s="82">
        <f>ROUND(G948*0.05,0)</f>
        <v>551</v>
      </c>
      <c r="F915" s="81">
        <v>1</v>
      </c>
      <c r="G915" s="110">
        <f>ROUND(D915*E915/F915,0)</f>
        <v>551</v>
      </c>
    </row>
    <row r="916" spans="1:7">
      <c r="A916" s="95"/>
      <c r="B916" s="835" t="str">
        <f>'MAQUINARIA Y EQUIPOS'!C9</f>
        <v>ANDAMIO TUBULAR 1.50 m</v>
      </c>
      <c r="C916" s="836"/>
      <c r="D916" s="37">
        <v>4</v>
      </c>
      <c r="E916" s="129">
        <f>'MAQUINARIA Y EQUIPOS'!D9</f>
        <v>754</v>
      </c>
      <c r="F916" s="83">
        <v>9.64</v>
      </c>
      <c r="G916" s="111">
        <f>ROUND(D916*E916/F916,0)</f>
        <v>313</v>
      </c>
    </row>
    <row r="917" spans="1:7">
      <c r="A917" s="95"/>
      <c r="B917" s="835" t="str">
        <f>'MAQUINARIA Y EQUIPOS'!C47</f>
        <v>TABLONES 3m</v>
      </c>
      <c r="C917" s="836"/>
      <c r="D917" s="37">
        <v>4</v>
      </c>
      <c r="E917" s="129">
        <f>'MAQUINARIA Y EQUIPOS'!D47</f>
        <v>348</v>
      </c>
      <c r="F917" s="83">
        <v>9.64</v>
      </c>
      <c r="G917" s="111">
        <f>ROUND(D917*E917/F917,0)</f>
        <v>144</v>
      </c>
    </row>
    <row r="918" spans="1:7">
      <c r="A918" s="95"/>
      <c r="B918" s="835"/>
      <c r="C918" s="836"/>
      <c r="D918" s="89"/>
      <c r="E918" s="82"/>
      <c r="F918" s="83"/>
      <c r="G918" s="111"/>
    </row>
    <row r="919" spans="1:7">
      <c r="A919" s="95"/>
      <c r="B919" s="835" t="s">
        <v>841</v>
      </c>
      <c r="C919" s="836"/>
      <c r="D919" s="37"/>
      <c r="E919" s="82"/>
      <c r="F919" s="83"/>
      <c r="G919" s="111"/>
    </row>
    <row r="920" spans="1:7" ht="13.5" thickBot="1">
      <c r="A920" s="95"/>
      <c r="B920" s="839" t="s">
        <v>841</v>
      </c>
      <c r="C920" s="840"/>
      <c r="D920" s="77"/>
      <c r="E920" s="106"/>
      <c r="F920" s="86"/>
      <c r="G920" s="112"/>
    </row>
    <row r="921" spans="1:7" ht="14.25" thickTop="1" thickBot="1">
      <c r="A921" s="95"/>
      <c r="B921" s="808"/>
      <c r="C921" s="808"/>
      <c r="D921" s="808"/>
      <c r="E921" s="809"/>
      <c r="F921" s="119" t="s">
        <v>856</v>
      </c>
      <c r="G921" s="118">
        <f>SUM(G915:G920)</f>
        <v>1008</v>
      </c>
    </row>
    <row r="922" spans="1:7" ht="14.25" thickTop="1" thickBot="1">
      <c r="A922" s="95"/>
      <c r="B922" s="830"/>
      <c r="C922" s="830"/>
      <c r="D922" s="830"/>
      <c r="E922" s="830"/>
      <c r="F922" s="830"/>
      <c r="G922" s="830"/>
    </row>
    <row r="923" spans="1:7" ht="13.5" thickTop="1">
      <c r="A923" s="95"/>
      <c r="B923" s="811" t="s">
        <v>311</v>
      </c>
      <c r="C923" s="812"/>
      <c r="D923" s="812"/>
      <c r="E923" s="812"/>
      <c r="F923" s="812"/>
      <c r="G923" s="825"/>
    </row>
    <row r="924" spans="1:7">
      <c r="A924" s="95"/>
      <c r="B924" s="817" t="s">
        <v>838</v>
      </c>
      <c r="C924" s="818"/>
      <c r="D924" s="98" t="s">
        <v>842</v>
      </c>
      <c r="E924" s="98" t="s">
        <v>853</v>
      </c>
      <c r="F924" s="99" t="s">
        <v>1047</v>
      </c>
      <c r="G924" s="107" t="s">
        <v>840</v>
      </c>
    </row>
    <row r="925" spans="1:7">
      <c r="A925" s="95"/>
      <c r="B925" s="115"/>
      <c r="C925" s="102"/>
      <c r="D925" s="100"/>
      <c r="E925" s="100" t="s">
        <v>312</v>
      </c>
      <c r="F925" s="101" t="s">
        <v>313</v>
      </c>
      <c r="G925" s="108" t="s">
        <v>314</v>
      </c>
    </row>
    <row r="926" spans="1:7">
      <c r="A926" s="125"/>
      <c r="B926" s="841" t="str">
        <f>MATERIALES2!C424</f>
        <v>CANALETA 90 DE 8.00 M Cal. 24 ACESCO</v>
      </c>
      <c r="C926" s="842"/>
      <c r="D926" s="87" t="s">
        <v>865</v>
      </c>
      <c r="E926" s="81">
        <v>0.16</v>
      </c>
      <c r="F926" s="80">
        <f>MATERIALES2!E424</f>
        <v>103844</v>
      </c>
      <c r="G926" s="110">
        <f>ROUND(E926*F926,0)</f>
        <v>16615</v>
      </c>
    </row>
    <row r="927" spans="1:7">
      <c r="A927" s="123"/>
      <c r="B927" s="854" t="str">
        <f>MATERIALES2!C433</f>
        <v>TORNILLO FIJACION CANALETA ACESCO</v>
      </c>
      <c r="C927" s="855"/>
      <c r="D927" s="37" t="s">
        <v>865</v>
      </c>
      <c r="E927" s="83">
        <v>0.49</v>
      </c>
      <c r="F927" s="82">
        <f>MATERIALES2!E433</f>
        <v>175</v>
      </c>
      <c r="G927" s="111">
        <f>ROUND(E927*F927,0)</f>
        <v>86</v>
      </c>
    </row>
    <row r="928" spans="1:7">
      <c r="A928" s="95"/>
      <c r="B928" s="854" t="str">
        <f>MATERIALES2!C306</f>
        <v>JUNTAS (IGAS GRIS)</v>
      </c>
      <c r="C928" s="855"/>
      <c r="D928" s="37" t="s">
        <v>925</v>
      </c>
      <c r="E928" s="53">
        <v>0.17</v>
      </c>
      <c r="F928" s="82">
        <f>MATERIALES2!E306</f>
        <v>7800</v>
      </c>
      <c r="G928" s="111">
        <f>ROUND(E928*F928,0)</f>
        <v>1326</v>
      </c>
    </row>
    <row r="929" spans="1:8">
      <c r="A929" s="95"/>
      <c r="B929" s="854" t="str">
        <f>MATERIALES2!C434</f>
        <v>TORNILLO DE ALA CANALETA 90 ACESCO</v>
      </c>
      <c r="C929" s="855"/>
      <c r="D929" s="37" t="s">
        <v>865</v>
      </c>
      <c r="E929" s="83">
        <v>0.65</v>
      </c>
      <c r="F929" s="82">
        <f>MATERIALES2!E434</f>
        <v>230</v>
      </c>
      <c r="G929" s="111">
        <f>ROUND(E929*F929,0)</f>
        <v>150</v>
      </c>
    </row>
    <row r="930" spans="1:8">
      <c r="A930" s="95"/>
      <c r="B930" s="854"/>
      <c r="C930" s="855"/>
      <c r="D930" s="37"/>
      <c r="E930" s="53"/>
      <c r="F930" s="82"/>
      <c r="G930" s="111"/>
    </row>
    <row r="931" spans="1:8">
      <c r="A931" s="95"/>
      <c r="B931" s="854"/>
      <c r="C931" s="855"/>
      <c r="D931" s="37"/>
      <c r="E931" s="53"/>
      <c r="F931" s="82"/>
      <c r="G931" s="111"/>
    </row>
    <row r="932" spans="1:8">
      <c r="A932" s="95"/>
      <c r="B932" s="854"/>
      <c r="C932" s="855"/>
      <c r="D932" s="37"/>
      <c r="E932" s="53"/>
      <c r="F932" s="82"/>
      <c r="G932" s="111"/>
    </row>
    <row r="933" spans="1:8">
      <c r="A933" s="95"/>
      <c r="B933" s="938" t="s">
        <v>841</v>
      </c>
      <c r="C933" s="939"/>
      <c r="D933" s="53" t="s">
        <v>841</v>
      </c>
      <c r="E933" s="53"/>
      <c r="F933" s="82"/>
      <c r="G933" s="111"/>
      <c r="H933" s="505" t="s">
        <v>1670</v>
      </c>
    </row>
    <row r="934" spans="1:8" ht="13.5" thickBot="1">
      <c r="A934" s="95"/>
      <c r="B934" s="942" t="s">
        <v>841</v>
      </c>
      <c r="C934" s="943"/>
      <c r="D934" s="84" t="s">
        <v>841</v>
      </c>
      <c r="E934" s="84"/>
      <c r="F934" s="85"/>
      <c r="G934" s="112"/>
    </row>
    <row r="935" spans="1:8" ht="13.5" thickTop="1">
      <c r="A935" s="95"/>
      <c r="B935" s="808"/>
      <c r="C935" s="809"/>
      <c r="D935" s="801" t="s">
        <v>856</v>
      </c>
      <c r="E935" s="802"/>
      <c r="F935" s="9"/>
      <c r="G935" s="113">
        <f>SUM(G926:G934)</f>
        <v>18177</v>
      </c>
    </row>
    <row r="936" spans="1:8">
      <c r="A936" s="95"/>
      <c r="B936" s="819"/>
      <c r="C936" s="820"/>
      <c r="D936" s="801" t="s">
        <v>857</v>
      </c>
      <c r="E936" s="802"/>
      <c r="F936" s="79">
        <f>'MANO DE OBRA'!D60</f>
        <v>0.05</v>
      </c>
      <c r="G936" s="113">
        <f>ROUND(G935*F936,0)</f>
        <v>909</v>
      </c>
    </row>
    <row r="937" spans="1:8" ht="13.5" thickBot="1">
      <c r="A937" s="95"/>
      <c r="B937" s="819"/>
      <c r="C937" s="820"/>
      <c r="D937" s="803" t="s">
        <v>320</v>
      </c>
      <c r="E937" s="804"/>
      <c r="F937" s="114"/>
      <c r="G937" s="118">
        <f>+G935+G936</f>
        <v>19086</v>
      </c>
    </row>
    <row r="938" spans="1:8" ht="14.25" thickTop="1" thickBot="1">
      <c r="A938" s="95"/>
      <c r="B938" s="830"/>
      <c r="C938" s="830"/>
      <c r="D938" s="830"/>
      <c r="E938" s="830"/>
      <c r="F938" s="830"/>
      <c r="G938" s="830"/>
    </row>
    <row r="939" spans="1:8" ht="13.5" thickTop="1">
      <c r="A939" s="95"/>
      <c r="B939" s="811" t="s">
        <v>858</v>
      </c>
      <c r="C939" s="812"/>
      <c r="D939" s="812"/>
      <c r="E939" s="812"/>
      <c r="F939" s="812"/>
      <c r="G939" s="825"/>
    </row>
    <row r="940" spans="1:8">
      <c r="A940" s="95"/>
      <c r="B940" s="817"/>
      <c r="C940" s="818"/>
      <c r="D940" s="98" t="s">
        <v>301</v>
      </c>
      <c r="E940" s="98" t="s">
        <v>859</v>
      </c>
      <c r="F940" s="99" t="s">
        <v>839</v>
      </c>
      <c r="G940" s="107" t="s">
        <v>840</v>
      </c>
    </row>
    <row r="941" spans="1:8">
      <c r="A941" s="95"/>
      <c r="B941" s="821" t="s">
        <v>838</v>
      </c>
      <c r="C941" s="822"/>
      <c r="D941" s="100" t="s">
        <v>316</v>
      </c>
      <c r="E941" s="100" t="s">
        <v>315</v>
      </c>
      <c r="F941" s="101" t="s">
        <v>306</v>
      </c>
      <c r="G941" s="108" t="s">
        <v>319</v>
      </c>
    </row>
    <row r="942" spans="1:8">
      <c r="A942" s="95"/>
      <c r="B942" s="115"/>
      <c r="C942" s="102"/>
      <c r="D942" s="103"/>
      <c r="E942" s="103" t="s">
        <v>317</v>
      </c>
      <c r="F942" s="104" t="s">
        <v>318</v>
      </c>
      <c r="G942" s="109"/>
    </row>
    <row r="943" spans="1:8">
      <c r="A943" s="95"/>
      <c r="B943" s="823" t="str">
        <f>'MANO DE OBRA'!B10</f>
        <v>AYUDANTE CUAD. TIPO AA</v>
      </c>
      <c r="C943" s="824"/>
      <c r="D943" s="87">
        <v>1</v>
      </c>
      <c r="E943" s="80">
        <f>'MANO DE OBRA'!E10</f>
        <v>34680</v>
      </c>
      <c r="F943" s="81">
        <v>9.64</v>
      </c>
      <c r="G943" s="110">
        <f>ROUND(D943*E943/F943,0)</f>
        <v>3598</v>
      </c>
    </row>
    <row r="944" spans="1:8">
      <c r="A944" s="95"/>
      <c r="B944" s="835" t="str">
        <f>'MANO DE OBRA'!B15</f>
        <v xml:space="preserve">OFICIAL CUAD. TIPO AA </v>
      </c>
      <c r="C944" s="836"/>
      <c r="D944" s="37">
        <v>1</v>
      </c>
      <c r="E944" s="82">
        <f>'MANO DE OBRA'!E15</f>
        <v>71474</v>
      </c>
      <c r="F944" s="83">
        <v>9.64</v>
      </c>
      <c r="G944" s="111">
        <f>ROUND(D944*E944/F944,0)</f>
        <v>7414</v>
      </c>
    </row>
    <row r="945" spans="1:8">
      <c r="A945" s="95"/>
      <c r="B945" s="835"/>
      <c r="C945" s="836"/>
      <c r="D945" s="89"/>
      <c r="E945" s="82"/>
      <c r="F945" s="83"/>
      <c r="G945" s="111"/>
    </row>
    <row r="946" spans="1:8">
      <c r="A946" s="95"/>
      <c r="B946" s="835" t="s">
        <v>841</v>
      </c>
      <c r="C946" s="836"/>
      <c r="D946" s="37"/>
      <c r="E946" s="82"/>
      <c r="F946" s="83"/>
      <c r="G946" s="111"/>
    </row>
    <row r="947" spans="1:8" ht="13.5" thickBot="1">
      <c r="A947" s="95"/>
      <c r="B947" s="828" t="s">
        <v>841</v>
      </c>
      <c r="C947" s="829"/>
      <c r="D947" s="77"/>
      <c r="E947" s="82"/>
      <c r="F947" s="86"/>
      <c r="G947" s="112"/>
    </row>
    <row r="948" spans="1:8" ht="14.25" thickTop="1" thickBot="1">
      <c r="A948" s="95"/>
      <c r="B948" s="808"/>
      <c r="C948" s="808"/>
      <c r="D948" s="808"/>
      <c r="E948" s="809"/>
      <c r="F948" s="120" t="s">
        <v>856</v>
      </c>
      <c r="G948" s="118">
        <f>SUM(G943:G947)</f>
        <v>11012</v>
      </c>
    </row>
    <row r="949" spans="1:8" ht="14.25" thickTop="1" thickBot="1">
      <c r="A949" s="95"/>
      <c r="B949" s="810"/>
      <c r="C949" s="810"/>
      <c r="D949" s="810"/>
      <c r="E949" s="810"/>
      <c r="F949" s="810"/>
      <c r="G949" s="810"/>
    </row>
    <row r="950" spans="1:8" ht="13.5" thickTop="1">
      <c r="A950" s="95"/>
      <c r="B950" s="811" t="s">
        <v>321</v>
      </c>
      <c r="C950" s="812"/>
      <c r="D950" s="812"/>
      <c r="E950" s="812"/>
      <c r="F950" s="812"/>
      <c r="G950" s="825"/>
    </row>
    <row r="951" spans="1:8">
      <c r="A951" s="95"/>
      <c r="B951" s="817" t="s">
        <v>838</v>
      </c>
      <c r="C951" s="818"/>
      <c r="D951" s="98" t="s">
        <v>301</v>
      </c>
      <c r="E951" s="98" t="s">
        <v>297</v>
      </c>
      <c r="F951" s="99" t="s">
        <v>839</v>
      </c>
      <c r="G951" s="107" t="s">
        <v>840</v>
      </c>
    </row>
    <row r="952" spans="1:8">
      <c r="A952" s="95"/>
      <c r="B952" s="115"/>
      <c r="C952" s="102"/>
      <c r="D952" s="103" t="s">
        <v>322</v>
      </c>
      <c r="E952" s="103" t="s">
        <v>323</v>
      </c>
      <c r="F952" s="104" t="s">
        <v>324</v>
      </c>
      <c r="G952" s="109" t="s">
        <v>325</v>
      </c>
    </row>
    <row r="953" spans="1:8">
      <c r="A953" s="95"/>
      <c r="B953" s="826"/>
      <c r="C953" s="827"/>
      <c r="D953" s="96"/>
      <c r="E953" s="96"/>
      <c r="F953" s="96"/>
      <c r="G953" s="116"/>
    </row>
    <row r="954" spans="1:8" ht="13.5" thickBot="1">
      <c r="A954" s="95"/>
      <c r="B954" s="828" t="s">
        <v>841</v>
      </c>
      <c r="C954" s="829"/>
      <c r="D954" s="77"/>
      <c r="E954" s="82"/>
      <c r="F954" s="86"/>
      <c r="G954" s="112"/>
    </row>
    <row r="955" spans="1:8" ht="14.25" thickTop="1" thickBot="1">
      <c r="A955" s="95"/>
      <c r="B955" s="808"/>
      <c r="C955" s="808"/>
      <c r="D955" s="808"/>
      <c r="E955" s="809"/>
      <c r="F955" s="120" t="s">
        <v>856</v>
      </c>
      <c r="G955" s="118">
        <f>SUM(G950:G954)</f>
        <v>0</v>
      </c>
    </row>
    <row r="956" spans="1:8" ht="14.25" thickTop="1" thickBot="1">
      <c r="A956" s="95"/>
      <c r="B956" s="810"/>
      <c r="C956" s="810"/>
      <c r="D956" s="810"/>
      <c r="E956" s="810"/>
      <c r="F956" s="810"/>
      <c r="G956" s="834"/>
    </row>
    <row r="957" spans="1:8" ht="13.5" thickTop="1">
      <c r="A957" s="95"/>
      <c r="B957" s="811" t="s">
        <v>326</v>
      </c>
      <c r="C957" s="812"/>
      <c r="D957" s="812"/>
      <c r="E957" s="812"/>
      <c r="F957" s="813"/>
      <c r="G957" s="121">
        <f>+G921+G937+G948</f>
        <v>31106</v>
      </c>
    </row>
    <row r="958" spans="1:8">
      <c r="A958" s="95"/>
      <c r="B958" s="814" t="s">
        <v>861</v>
      </c>
      <c r="C958" s="815"/>
      <c r="D958" s="815"/>
      <c r="E958" s="816"/>
      <c r="F958" s="128">
        <f>'MANO DE OBRA'!D59</f>
        <v>0</v>
      </c>
      <c r="G958" s="122">
        <f>ROUND(G957*F958,0)</f>
        <v>0</v>
      </c>
    </row>
    <row r="959" spans="1:8" ht="13.5" thickBot="1">
      <c r="A959" s="95"/>
      <c r="B959" s="805" t="s">
        <v>1049</v>
      </c>
      <c r="C959" s="806"/>
      <c r="D959" s="806"/>
      <c r="E959" s="806"/>
      <c r="F959" s="807"/>
      <c r="G959" s="118">
        <f>ROUND(G957+G958,-2)</f>
        <v>31100</v>
      </c>
      <c r="H959" s="505" t="s">
        <v>1670</v>
      </c>
    </row>
    <row r="960" spans="1:8" ht="15" thickTop="1">
      <c r="A960" s="95"/>
      <c r="B960" s="90" t="s">
        <v>303</v>
      </c>
      <c r="C960" s="843"/>
      <c r="D960" s="843"/>
      <c r="E960" s="843"/>
      <c r="F960" s="92" t="s">
        <v>781</v>
      </c>
      <c r="G960" s="93" t="s">
        <v>1067</v>
      </c>
    </row>
    <row r="961" spans="1:7">
      <c r="A961" s="95"/>
      <c r="B961" s="91" t="s">
        <v>834</v>
      </c>
      <c r="C961" s="844" t="s">
        <v>1408</v>
      </c>
      <c r="D961" s="844"/>
      <c r="E961" s="844"/>
      <c r="F961" s="15" t="s">
        <v>833</v>
      </c>
      <c r="G961" s="165" t="str">
        <f>'MANO DE OBRA'!D61</f>
        <v>Agosto de 2010</v>
      </c>
    </row>
    <row r="962" spans="1:7" ht="13.5" thickBot="1">
      <c r="A962" s="127"/>
      <c r="B962" s="94" t="s">
        <v>835</v>
      </c>
      <c r="C962" s="845" t="s">
        <v>1411</v>
      </c>
      <c r="D962" s="845"/>
      <c r="E962" s="845"/>
      <c r="F962" s="845"/>
      <c r="G962" s="846"/>
    </row>
    <row r="963" spans="1:7" ht="14.25" thickTop="1" thickBot="1">
      <c r="A963" s="95"/>
      <c r="B963" s="847" t="s">
        <v>1409</v>
      </c>
      <c r="C963" s="847"/>
      <c r="D963" s="847"/>
      <c r="E963" s="847"/>
      <c r="F963" s="847"/>
      <c r="G963" s="847"/>
    </row>
    <row r="964" spans="1:7" ht="13.5" thickTop="1">
      <c r="A964" s="95"/>
      <c r="B964" s="811" t="s">
        <v>304</v>
      </c>
      <c r="C964" s="812"/>
      <c r="D964" s="812"/>
      <c r="E964" s="812"/>
      <c r="F964" s="812"/>
      <c r="G964" s="825"/>
    </row>
    <row r="965" spans="1:7">
      <c r="A965" s="95"/>
      <c r="B965" s="105"/>
      <c r="C965" s="97"/>
      <c r="D965" s="98" t="s">
        <v>301</v>
      </c>
      <c r="E965" s="98" t="s">
        <v>1072</v>
      </c>
      <c r="F965" s="99" t="s">
        <v>839</v>
      </c>
      <c r="G965" s="107" t="s">
        <v>840</v>
      </c>
    </row>
    <row r="966" spans="1:7">
      <c r="A966" s="95"/>
      <c r="B966" s="821" t="s">
        <v>838</v>
      </c>
      <c r="C966" s="822"/>
      <c r="D966" s="100" t="s">
        <v>308</v>
      </c>
      <c r="E966" s="100" t="s">
        <v>305</v>
      </c>
      <c r="F966" s="101" t="s">
        <v>306</v>
      </c>
      <c r="G966" s="108" t="s">
        <v>310</v>
      </c>
    </row>
    <row r="967" spans="1:7">
      <c r="A967" s="95"/>
      <c r="B967" s="115"/>
      <c r="C967" s="102"/>
      <c r="D967" s="103"/>
      <c r="E967" s="103" t="s">
        <v>309</v>
      </c>
      <c r="F967" s="104" t="s">
        <v>307</v>
      </c>
      <c r="G967" s="109"/>
    </row>
    <row r="968" spans="1:7">
      <c r="A968" s="127"/>
      <c r="B968" s="823" t="str">
        <f>'MAQUINARIA Y EQUIPOS'!C28</f>
        <v>HERRAMIENTAS MENORES</v>
      </c>
      <c r="C968" s="824"/>
      <c r="D968" s="87">
        <v>1</v>
      </c>
      <c r="E968" s="82">
        <f>ROUND(G1001*0.05,0)</f>
        <v>796</v>
      </c>
      <c r="F968" s="81">
        <v>1</v>
      </c>
      <c r="G968" s="110">
        <f>ROUND(D968*E968/F968,0)</f>
        <v>796</v>
      </c>
    </row>
    <row r="969" spans="1:7">
      <c r="A969" s="95"/>
      <c r="B969" s="835" t="str">
        <f>'MAQUINARIA Y EQUIPOS'!C9</f>
        <v>ANDAMIO TUBULAR 1.50 m</v>
      </c>
      <c r="C969" s="836"/>
      <c r="D969" s="37">
        <v>4</v>
      </c>
      <c r="E969" s="129">
        <f>'MAQUINARIA Y EQUIPOS'!D9</f>
        <v>754</v>
      </c>
      <c r="F969" s="83">
        <v>6.67</v>
      </c>
      <c r="G969" s="111">
        <f>ROUND(D969*E969/F969,0)</f>
        <v>452</v>
      </c>
    </row>
    <row r="970" spans="1:7">
      <c r="A970" s="95"/>
      <c r="B970" s="835" t="str">
        <f>'MAQUINARIA Y EQUIPOS'!C47</f>
        <v>TABLONES 3m</v>
      </c>
      <c r="C970" s="836"/>
      <c r="D970" s="37">
        <v>4</v>
      </c>
      <c r="E970" s="129">
        <f>'MAQUINARIA Y EQUIPOS'!D47</f>
        <v>348</v>
      </c>
      <c r="F970" s="83">
        <v>6.67</v>
      </c>
      <c r="G970" s="111">
        <f>ROUND(D970*E970/F970,0)</f>
        <v>209</v>
      </c>
    </row>
    <row r="971" spans="1:7">
      <c r="A971" s="95"/>
      <c r="B971" s="835"/>
      <c r="C971" s="836"/>
      <c r="D971" s="89"/>
      <c r="E971" s="82"/>
      <c r="F971" s="83"/>
      <c r="G971" s="111"/>
    </row>
    <row r="972" spans="1:7">
      <c r="A972" s="95"/>
      <c r="B972" s="835" t="s">
        <v>841</v>
      </c>
      <c r="C972" s="836"/>
      <c r="D972" s="37"/>
      <c r="E972" s="82"/>
      <c r="F972" s="83"/>
      <c r="G972" s="111"/>
    </row>
    <row r="973" spans="1:7" ht="13.5" thickBot="1">
      <c r="A973" s="95"/>
      <c r="B973" s="839" t="s">
        <v>841</v>
      </c>
      <c r="C973" s="840"/>
      <c r="D973" s="77"/>
      <c r="E973" s="106"/>
      <c r="F973" s="86"/>
      <c r="G973" s="112"/>
    </row>
    <row r="974" spans="1:7" ht="14.25" thickTop="1" thickBot="1">
      <c r="A974" s="95"/>
      <c r="B974" s="808"/>
      <c r="C974" s="808"/>
      <c r="D974" s="808"/>
      <c r="E974" s="809"/>
      <c r="F974" s="119" t="s">
        <v>856</v>
      </c>
      <c r="G974" s="118">
        <f>SUM(G968:G973)</f>
        <v>1457</v>
      </c>
    </row>
    <row r="975" spans="1:7" ht="14.25" thickTop="1" thickBot="1">
      <c r="A975" s="95"/>
      <c r="B975" s="830"/>
      <c r="C975" s="830"/>
      <c r="D975" s="830"/>
      <c r="E975" s="830"/>
      <c r="F975" s="830"/>
      <c r="G975" s="830"/>
    </row>
    <row r="976" spans="1:7" ht="13.5" thickTop="1">
      <c r="A976" s="95"/>
      <c r="B976" s="811" t="s">
        <v>311</v>
      </c>
      <c r="C976" s="812"/>
      <c r="D976" s="812"/>
      <c r="E976" s="812"/>
      <c r="F976" s="812"/>
      <c r="G976" s="825"/>
    </row>
    <row r="977" spans="1:8">
      <c r="A977" s="95"/>
      <c r="B977" s="817" t="s">
        <v>838</v>
      </c>
      <c r="C977" s="818"/>
      <c r="D977" s="98" t="s">
        <v>842</v>
      </c>
      <c r="E977" s="98" t="s">
        <v>853</v>
      </c>
      <c r="F977" s="99" t="s">
        <v>1047</v>
      </c>
      <c r="G977" s="107" t="s">
        <v>840</v>
      </c>
    </row>
    <row r="978" spans="1:8">
      <c r="A978" s="95"/>
      <c r="B978" s="115"/>
      <c r="C978" s="102"/>
      <c r="D978" s="100"/>
      <c r="E978" s="100" t="s">
        <v>312</v>
      </c>
      <c r="F978" s="101" t="s">
        <v>313</v>
      </c>
      <c r="G978" s="108" t="s">
        <v>314</v>
      </c>
    </row>
    <row r="979" spans="1:8">
      <c r="A979" s="125"/>
      <c r="B979" s="841" t="str">
        <f>MATERIALES2!C402</f>
        <v>TEJA BARRO GRANDE RUSTICA</v>
      </c>
      <c r="C979" s="842"/>
      <c r="D979" s="87" t="s">
        <v>865</v>
      </c>
      <c r="E979" s="81">
        <v>30</v>
      </c>
      <c r="F979" s="80">
        <f>MATERIALES2!E402</f>
        <v>350</v>
      </c>
      <c r="G979" s="110">
        <f>ROUND(E979*F979,0)</f>
        <v>10500</v>
      </c>
    </row>
    <row r="980" spans="1:8">
      <c r="A980" s="123"/>
      <c r="B980" s="854" t="str">
        <f>MATERIALES2!C13</f>
        <v>CEMENTO GRIS</v>
      </c>
      <c r="C980" s="855"/>
      <c r="D980" s="37" t="s">
        <v>925</v>
      </c>
      <c r="E980" s="83">
        <v>9.08</v>
      </c>
      <c r="F980" s="82">
        <f>MATERIALES2!E13</f>
        <v>420</v>
      </c>
      <c r="G980" s="111">
        <f>ROUND(E980*F980,0)</f>
        <v>3814</v>
      </c>
    </row>
    <row r="981" spans="1:8" ht="14.25">
      <c r="A981" s="95"/>
      <c r="B981" s="854" t="str">
        <f>MATERIALES2!C20</f>
        <v xml:space="preserve">ARENA </v>
      </c>
      <c r="C981" s="855"/>
      <c r="D981" s="37" t="s">
        <v>1066</v>
      </c>
      <c r="E981" s="53">
        <v>2.1999999999999999E-2</v>
      </c>
      <c r="F981" s="82">
        <f>MATERIALES2!E20</f>
        <v>35000</v>
      </c>
      <c r="G981" s="111">
        <f>ROUND(E981*F981,0)</f>
        <v>770</v>
      </c>
    </row>
    <row r="982" spans="1:8">
      <c r="A982" s="95"/>
      <c r="B982" s="854" t="str">
        <f>MATERIALES2!C28</f>
        <v>AGUA</v>
      </c>
      <c r="C982" s="855"/>
      <c r="D982" s="37" t="s">
        <v>1071</v>
      </c>
      <c r="E982" s="83">
        <v>5.04</v>
      </c>
      <c r="F982" s="82">
        <f>MATERIALES2!E28</f>
        <v>50</v>
      </c>
      <c r="G982" s="111">
        <f>ROUND(E982*F982,0)</f>
        <v>252</v>
      </c>
    </row>
    <row r="983" spans="1:8">
      <c r="A983" s="95"/>
      <c r="B983" s="854"/>
      <c r="C983" s="855"/>
      <c r="D983" s="37"/>
      <c r="E983" s="53"/>
      <c r="F983" s="82"/>
      <c r="G983" s="111"/>
    </row>
    <row r="984" spans="1:8">
      <c r="A984" s="95"/>
      <c r="B984" s="854"/>
      <c r="C984" s="855"/>
      <c r="D984" s="37"/>
      <c r="E984" s="53"/>
      <c r="F984" s="82"/>
      <c r="G984" s="111"/>
    </row>
    <row r="985" spans="1:8">
      <c r="A985" s="95"/>
      <c r="B985" s="854"/>
      <c r="C985" s="855"/>
      <c r="D985" s="37"/>
      <c r="E985" s="53"/>
      <c r="F985" s="82"/>
      <c r="G985" s="111"/>
    </row>
    <row r="986" spans="1:8">
      <c r="A986" s="95"/>
      <c r="B986" s="938" t="s">
        <v>841</v>
      </c>
      <c r="C986" s="939"/>
      <c r="D986" s="53" t="s">
        <v>841</v>
      </c>
      <c r="E986" s="53"/>
      <c r="F986" s="82"/>
      <c r="G986" s="111"/>
      <c r="H986" s="505" t="s">
        <v>1670</v>
      </c>
    </row>
    <row r="987" spans="1:8" ht="13.5" thickBot="1">
      <c r="A987" s="95"/>
      <c r="B987" s="942" t="s">
        <v>841</v>
      </c>
      <c r="C987" s="943"/>
      <c r="D987" s="84" t="s">
        <v>841</v>
      </c>
      <c r="E987" s="84"/>
      <c r="F987" s="85"/>
      <c r="G987" s="112"/>
    </row>
    <row r="988" spans="1:8" ht="13.5" thickTop="1">
      <c r="A988" s="95"/>
      <c r="B988" s="808"/>
      <c r="C988" s="809"/>
      <c r="D988" s="801" t="s">
        <v>856</v>
      </c>
      <c r="E988" s="802"/>
      <c r="F988" s="9"/>
      <c r="G988" s="113">
        <f>SUM(G979:G987)</f>
        <v>15336</v>
      </c>
    </row>
    <row r="989" spans="1:8">
      <c r="A989" s="95"/>
      <c r="B989" s="819"/>
      <c r="C989" s="820"/>
      <c r="D989" s="801" t="s">
        <v>857</v>
      </c>
      <c r="E989" s="802"/>
      <c r="F989" s="79">
        <f>'MANO DE OBRA'!D60</f>
        <v>0.05</v>
      </c>
      <c r="G989" s="113">
        <f>ROUND(G988*F989,0)</f>
        <v>767</v>
      </c>
    </row>
    <row r="990" spans="1:8" ht="13.5" thickBot="1">
      <c r="A990" s="95"/>
      <c r="B990" s="819"/>
      <c r="C990" s="820"/>
      <c r="D990" s="803" t="s">
        <v>320</v>
      </c>
      <c r="E990" s="804"/>
      <c r="F990" s="114"/>
      <c r="G990" s="118">
        <f>+G988+G989</f>
        <v>16103</v>
      </c>
    </row>
    <row r="991" spans="1:8" ht="14.25" thickTop="1" thickBot="1">
      <c r="A991" s="95"/>
      <c r="B991" s="830"/>
      <c r="C991" s="830"/>
      <c r="D991" s="830"/>
      <c r="E991" s="830"/>
      <c r="F991" s="830"/>
      <c r="G991" s="830"/>
    </row>
    <row r="992" spans="1:8" ht="13.5" thickTop="1">
      <c r="A992" s="95"/>
      <c r="B992" s="811" t="s">
        <v>858</v>
      </c>
      <c r="C992" s="812"/>
      <c r="D992" s="812"/>
      <c r="E992" s="812"/>
      <c r="F992" s="812"/>
      <c r="G992" s="825"/>
    </row>
    <row r="993" spans="1:7">
      <c r="A993" s="95"/>
      <c r="B993" s="817"/>
      <c r="C993" s="818"/>
      <c r="D993" s="98" t="s">
        <v>301</v>
      </c>
      <c r="E993" s="98" t="s">
        <v>859</v>
      </c>
      <c r="F993" s="99" t="s">
        <v>839</v>
      </c>
      <c r="G993" s="107" t="s">
        <v>840</v>
      </c>
    </row>
    <row r="994" spans="1:7">
      <c r="A994" s="95"/>
      <c r="B994" s="821" t="s">
        <v>838</v>
      </c>
      <c r="C994" s="822"/>
      <c r="D994" s="100" t="s">
        <v>316</v>
      </c>
      <c r="E994" s="100" t="s">
        <v>315</v>
      </c>
      <c r="F994" s="101" t="s">
        <v>306</v>
      </c>
      <c r="G994" s="108" t="s">
        <v>319</v>
      </c>
    </row>
    <row r="995" spans="1:7">
      <c r="A995" s="95"/>
      <c r="B995" s="115"/>
      <c r="C995" s="102"/>
      <c r="D995" s="103"/>
      <c r="E995" s="103" t="s">
        <v>317</v>
      </c>
      <c r="F995" s="104" t="s">
        <v>318</v>
      </c>
      <c r="G995" s="109"/>
    </row>
    <row r="996" spans="1:7">
      <c r="A996" s="95"/>
      <c r="B996" s="823" t="str">
        <f>'MANO DE OBRA'!B10</f>
        <v>AYUDANTE CUAD. TIPO AA</v>
      </c>
      <c r="C996" s="824"/>
      <c r="D996" s="87">
        <v>1</v>
      </c>
      <c r="E996" s="80">
        <f>'MANO DE OBRA'!E10</f>
        <v>34680</v>
      </c>
      <c r="F996" s="81">
        <v>6.67</v>
      </c>
      <c r="G996" s="110">
        <f>ROUND(D996*E996/F996,0)</f>
        <v>5199</v>
      </c>
    </row>
    <row r="997" spans="1:7">
      <c r="A997" s="95"/>
      <c r="B997" s="835" t="str">
        <f>'MANO DE OBRA'!B15</f>
        <v xml:space="preserve">OFICIAL CUAD. TIPO AA </v>
      </c>
      <c r="C997" s="836"/>
      <c r="D997" s="37">
        <v>1</v>
      </c>
      <c r="E997" s="82">
        <f>'MANO DE OBRA'!E15</f>
        <v>71474</v>
      </c>
      <c r="F997" s="83">
        <v>6.67</v>
      </c>
      <c r="G997" s="111">
        <f>ROUND(D997*E997/F997,0)</f>
        <v>10716</v>
      </c>
    </row>
    <row r="998" spans="1:7">
      <c r="A998" s="95"/>
      <c r="B998" s="835"/>
      <c r="C998" s="836"/>
      <c r="D998" s="89"/>
      <c r="E998" s="82"/>
      <c r="F998" s="83"/>
      <c r="G998" s="111"/>
    </row>
    <row r="999" spans="1:7">
      <c r="A999" s="95"/>
      <c r="B999" s="835" t="s">
        <v>841</v>
      </c>
      <c r="C999" s="836"/>
      <c r="D999" s="37"/>
      <c r="E999" s="82"/>
      <c r="F999" s="83"/>
      <c r="G999" s="111"/>
    </row>
    <row r="1000" spans="1:7" ht="13.5" thickBot="1">
      <c r="A1000" s="95"/>
      <c r="B1000" s="828" t="s">
        <v>841</v>
      </c>
      <c r="C1000" s="829"/>
      <c r="D1000" s="77"/>
      <c r="E1000" s="82"/>
      <c r="F1000" s="86"/>
      <c r="G1000" s="112"/>
    </row>
    <row r="1001" spans="1:7" ht="14.25" thickTop="1" thickBot="1">
      <c r="A1001" s="95"/>
      <c r="B1001" s="808"/>
      <c r="C1001" s="808"/>
      <c r="D1001" s="808"/>
      <c r="E1001" s="809"/>
      <c r="F1001" s="120" t="s">
        <v>856</v>
      </c>
      <c r="G1001" s="118">
        <f>SUM(G996:G1000)</f>
        <v>15915</v>
      </c>
    </row>
    <row r="1002" spans="1:7" ht="14.25" thickTop="1" thickBot="1">
      <c r="A1002" s="95"/>
      <c r="B1002" s="810"/>
      <c r="C1002" s="810"/>
      <c r="D1002" s="810"/>
      <c r="E1002" s="810"/>
      <c r="F1002" s="810"/>
      <c r="G1002" s="810"/>
    </row>
    <row r="1003" spans="1:7" ht="13.5" thickTop="1">
      <c r="A1003" s="95"/>
      <c r="B1003" s="811" t="s">
        <v>321</v>
      </c>
      <c r="C1003" s="812"/>
      <c r="D1003" s="812"/>
      <c r="E1003" s="812"/>
      <c r="F1003" s="812"/>
      <c r="G1003" s="825"/>
    </row>
    <row r="1004" spans="1:7">
      <c r="A1004" s="95"/>
      <c r="B1004" s="817" t="s">
        <v>838</v>
      </c>
      <c r="C1004" s="818"/>
      <c r="D1004" s="98" t="s">
        <v>301</v>
      </c>
      <c r="E1004" s="98" t="s">
        <v>297</v>
      </c>
      <c r="F1004" s="99" t="s">
        <v>839</v>
      </c>
      <c r="G1004" s="107" t="s">
        <v>840</v>
      </c>
    </row>
    <row r="1005" spans="1:7">
      <c r="A1005" s="95"/>
      <c r="B1005" s="115"/>
      <c r="C1005" s="102"/>
      <c r="D1005" s="103" t="s">
        <v>322</v>
      </c>
      <c r="E1005" s="103" t="s">
        <v>323</v>
      </c>
      <c r="F1005" s="104" t="s">
        <v>324</v>
      </c>
      <c r="G1005" s="109" t="s">
        <v>325</v>
      </c>
    </row>
    <row r="1006" spans="1:7">
      <c r="A1006" s="95"/>
      <c r="B1006" s="826"/>
      <c r="C1006" s="827"/>
      <c r="D1006" s="96"/>
      <c r="E1006" s="96"/>
      <c r="F1006" s="96"/>
      <c r="G1006" s="116"/>
    </row>
    <row r="1007" spans="1:7" ht="13.5" thickBot="1">
      <c r="A1007" s="95"/>
      <c r="B1007" s="828" t="s">
        <v>841</v>
      </c>
      <c r="C1007" s="829"/>
      <c r="D1007" s="77"/>
      <c r="E1007" s="82"/>
      <c r="F1007" s="86"/>
      <c r="G1007" s="112"/>
    </row>
    <row r="1008" spans="1:7" ht="14.25" thickTop="1" thickBot="1">
      <c r="A1008" s="95"/>
      <c r="B1008" s="808"/>
      <c r="C1008" s="808"/>
      <c r="D1008" s="808"/>
      <c r="E1008" s="809"/>
      <c r="F1008" s="120" t="s">
        <v>856</v>
      </c>
      <c r="G1008" s="118">
        <f>SUM(G1003:G1007)</f>
        <v>0</v>
      </c>
    </row>
    <row r="1009" spans="1:8" ht="14.25" thickTop="1" thickBot="1">
      <c r="A1009" s="95"/>
      <c r="B1009" s="810"/>
      <c r="C1009" s="810"/>
      <c r="D1009" s="810"/>
      <c r="E1009" s="810"/>
      <c r="F1009" s="810"/>
      <c r="G1009" s="834"/>
    </row>
    <row r="1010" spans="1:8" ht="13.5" thickTop="1">
      <c r="A1010" s="95"/>
      <c r="B1010" s="811" t="s">
        <v>326</v>
      </c>
      <c r="C1010" s="812"/>
      <c r="D1010" s="812"/>
      <c r="E1010" s="812"/>
      <c r="F1010" s="813"/>
      <c r="G1010" s="121">
        <f>+G974+G990+G1001</f>
        <v>33475</v>
      </c>
    </row>
    <row r="1011" spans="1:8">
      <c r="A1011" s="95"/>
      <c r="B1011" s="814" t="s">
        <v>861</v>
      </c>
      <c r="C1011" s="815"/>
      <c r="D1011" s="815"/>
      <c r="E1011" s="816"/>
      <c r="F1011" s="128">
        <f>'MANO DE OBRA'!D59</f>
        <v>0</v>
      </c>
      <c r="G1011" s="122">
        <f>ROUND(G1010*F1011,0)</f>
        <v>0</v>
      </c>
    </row>
    <row r="1012" spans="1:8" ht="13.5" thickBot="1">
      <c r="A1012" s="95"/>
      <c r="B1012" s="805" t="s">
        <v>1049</v>
      </c>
      <c r="C1012" s="806"/>
      <c r="D1012" s="806"/>
      <c r="E1012" s="806"/>
      <c r="F1012" s="807"/>
      <c r="G1012" s="118">
        <f>ROUND(G1010+G1011,-2)</f>
        <v>33500</v>
      </c>
      <c r="H1012" s="505" t="s">
        <v>1670</v>
      </c>
    </row>
    <row r="1013" spans="1:8" ht="15" thickTop="1">
      <c r="A1013" s="95"/>
      <c r="B1013" s="90" t="s">
        <v>303</v>
      </c>
      <c r="C1013" s="843"/>
      <c r="D1013" s="843"/>
      <c r="E1013" s="843"/>
      <c r="F1013" s="92" t="s">
        <v>781</v>
      </c>
      <c r="G1013" s="93" t="s">
        <v>1067</v>
      </c>
    </row>
    <row r="1014" spans="1:8">
      <c r="A1014" s="95"/>
      <c r="B1014" s="91" t="s">
        <v>834</v>
      </c>
      <c r="C1014" s="844" t="s">
        <v>1408</v>
      </c>
      <c r="D1014" s="844"/>
      <c r="E1014" s="844"/>
      <c r="F1014" s="15" t="s">
        <v>833</v>
      </c>
      <c r="G1014" s="165" t="str">
        <f>'MANO DE OBRA'!D61</f>
        <v>Agosto de 2010</v>
      </c>
    </row>
    <row r="1015" spans="1:8" ht="13.5" thickBot="1">
      <c r="A1015" s="127"/>
      <c r="B1015" s="94" t="s">
        <v>835</v>
      </c>
      <c r="C1015" s="845" t="s">
        <v>1412</v>
      </c>
      <c r="D1015" s="845"/>
      <c r="E1015" s="845"/>
      <c r="F1015" s="845"/>
      <c r="G1015" s="846"/>
    </row>
    <row r="1016" spans="1:8" ht="14.25" thickTop="1" thickBot="1">
      <c r="A1016" s="95"/>
      <c r="B1016" s="847" t="s">
        <v>1409</v>
      </c>
      <c r="C1016" s="847"/>
      <c r="D1016" s="847"/>
      <c r="E1016" s="847"/>
      <c r="F1016" s="847"/>
      <c r="G1016" s="847"/>
    </row>
    <row r="1017" spans="1:8" ht="13.5" thickTop="1">
      <c r="A1017" s="95"/>
      <c r="B1017" s="811" t="s">
        <v>304</v>
      </c>
      <c r="C1017" s="812"/>
      <c r="D1017" s="812"/>
      <c r="E1017" s="812"/>
      <c r="F1017" s="812"/>
      <c r="G1017" s="825"/>
    </row>
    <row r="1018" spans="1:8">
      <c r="A1018" s="95"/>
      <c r="B1018" s="105"/>
      <c r="C1018" s="97"/>
      <c r="D1018" s="98" t="s">
        <v>301</v>
      </c>
      <c r="E1018" s="98" t="s">
        <v>1072</v>
      </c>
      <c r="F1018" s="99" t="s">
        <v>839</v>
      </c>
      <c r="G1018" s="107" t="s">
        <v>840</v>
      </c>
    </row>
    <row r="1019" spans="1:8">
      <c r="A1019" s="95"/>
      <c r="B1019" s="821" t="s">
        <v>838</v>
      </c>
      <c r="C1019" s="822"/>
      <c r="D1019" s="100" t="s">
        <v>308</v>
      </c>
      <c r="E1019" s="100" t="s">
        <v>305</v>
      </c>
      <c r="F1019" s="101" t="s">
        <v>306</v>
      </c>
      <c r="G1019" s="108" t="s">
        <v>310</v>
      </c>
    </row>
    <row r="1020" spans="1:8">
      <c r="A1020" s="95"/>
      <c r="B1020" s="115"/>
      <c r="C1020" s="102"/>
      <c r="D1020" s="103"/>
      <c r="E1020" s="103" t="s">
        <v>309</v>
      </c>
      <c r="F1020" s="104" t="s">
        <v>307</v>
      </c>
      <c r="G1020" s="109"/>
    </row>
    <row r="1021" spans="1:8">
      <c r="A1021" s="127"/>
      <c r="B1021" s="823" t="str">
        <f>'MAQUINARIA Y EQUIPOS'!C28</f>
        <v>HERRAMIENTAS MENORES</v>
      </c>
      <c r="C1021" s="824"/>
      <c r="D1021" s="87">
        <v>1</v>
      </c>
      <c r="E1021" s="82">
        <f>ROUND(G1054*0.05,0)</f>
        <v>299</v>
      </c>
      <c r="F1021" s="81">
        <v>1</v>
      </c>
      <c r="G1021" s="110">
        <f>ROUND(D1021*E1021/F1021,0)</f>
        <v>299</v>
      </c>
    </row>
    <row r="1022" spans="1:8">
      <c r="A1022" s="95"/>
      <c r="B1022" s="835" t="str">
        <f>'MAQUINARIA Y EQUIPOS'!C9</f>
        <v>ANDAMIO TUBULAR 1.50 m</v>
      </c>
      <c r="C1022" s="836"/>
      <c r="D1022" s="37">
        <v>4</v>
      </c>
      <c r="E1022" s="129">
        <f>'MAQUINARIA Y EQUIPOS'!D9</f>
        <v>754</v>
      </c>
      <c r="F1022" s="83">
        <v>17.78</v>
      </c>
      <c r="G1022" s="111">
        <f>ROUND(D1022*E1022/F1022,0)</f>
        <v>170</v>
      </c>
    </row>
    <row r="1023" spans="1:8">
      <c r="A1023" s="95"/>
      <c r="B1023" s="835" t="str">
        <f>'MAQUINARIA Y EQUIPOS'!C47</f>
        <v>TABLONES 3m</v>
      </c>
      <c r="C1023" s="836"/>
      <c r="D1023" s="37">
        <v>4</v>
      </c>
      <c r="E1023" s="129">
        <f>'MAQUINARIA Y EQUIPOS'!D47</f>
        <v>348</v>
      </c>
      <c r="F1023" s="83">
        <v>17.78</v>
      </c>
      <c r="G1023" s="111">
        <f>ROUND(D1023*E1023/F1023,0)</f>
        <v>78</v>
      </c>
    </row>
    <row r="1024" spans="1:8">
      <c r="A1024" s="95"/>
      <c r="B1024" s="835"/>
      <c r="C1024" s="836"/>
      <c r="D1024" s="89"/>
      <c r="E1024" s="82"/>
      <c r="F1024" s="83"/>
      <c r="G1024" s="111"/>
    </row>
    <row r="1025" spans="1:8">
      <c r="A1025" s="95"/>
      <c r="B1025" s="835" t="s">
        <v>841</v>
      </c>
      <c r="C1025" s="836"/>
      <c r="D1025" s="37"/>
      <c r="E1025" s="82"/>
      <c r="F1025" s="83"/>
      <c r="G1025" s="111"/>
    </row>
    <row r="1026" spans="1:8" ht="13.5" thickBot="1">
      <c r="A1026" s="95"/>
      <c r="B1026" s="839" t="s">
        <v>841</v>
      </c>
      <c r="C1026" s="840"/>
      <c r="D1026" s="77"/>
      <c r="E1026" s="106"/>
      <c r="F1026" s="86"/>
      <c r="G1026" s="112"/>
    </row>
    <row r="1027" spans="1:8" ht="14.25" thickTop="1" thickBot="1">
      <c r="A1027" s="95"/>
      <c r="B1027" s="808"/>
      <c r="C1027" s="808"/>
      <c r="D1027" s="808"/>
      <c r="E1027" s="809"/>
      <c r="F1027" s="119" t="s">
        <v>856</v>
      </c>
      <c r="G1027" s="118">
        <f>SUM(G1021:G1026)</f>
        <v>547</v>
      </c>
    </row>
    <row r="1028" spans="1:8" ht="14.25" thickTop="1" thickBot="1">
      <c r="A1028" s="95"/>
      <c r="B1028" s="830"/>
      <c r="C1028" s="830"/>
      <c r="D1028" s="830"/>
      <c r="E1028" s="830"/>
      <c r="F1028" s="830"/>
      <c r="G1028" s="830"/>
    </row>
    <row r="1029" spans="1:8" ht="13.5" thickTop="1">
      <c r="A1029" s="95"/>
      <c r="B1029" s="811" t="s">
        <v>311</v>
      </c>
      <c r="C1029" s="812"/>
      <c r="D1029" s="812"/>
      <c r="E1029" s="812"/>
      <c r="F1029" s="812"/>
      <c r="G1029" s="825"/>
    </row>
    <row r="1030" spans="1:8">
      <c r="A1030" s="95"/>
      <c r="B1030" s="817" t="s">
        <v>838</v>
      </c>
      <c r="C1030" s="818"/>
      <c r="D1030" s="98" t="s">
        <v>842</v>
      </c>
      <c r="E1030" s="98" t="s">
        <v>853</v>
      </c>
      <c r="F1030" s="99" t="s">
        <v>1047</v>
      </c>
      <c r="G1030" s="107" t="s">
        <v>840</v>
      </c>
    </row>
    <row r="1031" spans="1:8">
      <c r="A1031" s="95"/>
      <c r="B1031" s="115"/>
      <c r="C1031" s="102"/>
      <c r="D1031" s="100"/>
      <c r="E1031" s="100" t="s">
        <v>312</v>
      </c>
      <c r="F1031" s="101" t="s">
        <v>313</v>
      </c>
      <c r="G1031" s="108" t="s">
        <v>314</v>
      </c>
    </row>
    <row r="1032" spans="1:8">
      <c r="A1032" s="125"/>
      <c r="B1032" s="841" t="str">
        <f>MATERIALES2!C395</f>
        <v>TEJA ESPAÑOLA x 1.6 M</v>
      </c>
      <c r="C1032" s="842"/>
      <c r="D1032" s="87" t="s">
        <v>865</v>
      </c>
      <c r="E1032" s="81">
        <v>0.53</v>
      </c>
      <c r="F1032" s="80">
        <f>MATERIALES2!E395</f>
        <v>30918</v>
      </c>
      <c r="G1032" s="110">
        <f>ROUND(E1032*F1032,0)</f>
        <v>16387</v>
      </c>
    </row>
    <row r="1033" spans="1:8">
      <c r="A1033" s="123"/>
      <c r="B1033" s="854" t="str">
        <f>MATERIALES2!C396</f>
        <v>TEJA ESPAÑOLA x 0.7 M</v>
      </c>
      <c r="C1033" s="855"/>
      <c r="D1033" s="37" t="s">
        <v>865</v>
      </c>
      <c r="E1033" s="83">
        <v>0.26</v>
      </c>
      <c r="F1033" s="82">
        <f>MATERIALES2!E396</f>
        <v>27770</v>
      </c>
      <c r="G1033" s="111">
        <f>ROUND(E1033*F1033,0)</f>
        <v>7220</v>
      </c>
    </row>
    <row r="1034" spans="1:8">
      <c r="A1034" s="95"/>
      <c r="B1034" s="854" t="str">
        <f>MATERIALES2!C401</f>
        <v>GANCHO TEJA 150 mm.</v>
      </c>
      <c r="C1034" s="855"/>
      <c r="D1034" s="37" t="s">
        <v>865</v>
      </c>
      <c r="E1034" s="53">
        <v>1.59</v>
      </c>
      <c r="F1034" s="82">
        <f>MATERIALES2!E401</f>
        <v>322</v>
      </c>
      <c r="G1034" s="111">
        <f>ROUND(E1034*F1034,0)</f>
        <v>512</v>
      </c>
    </row>
    <row r="1035" spans="1:8">
      <c r="A1035" s="95"/>
      <c r="B1035" s="854"/>
      <c r="C1035" s="855"/>
      <c r="D1035" s="37"/>
      <c r="E1035" s="83"/>
      <c r="F1035" s="82"/>
      <c r="G1035" s="111"/>
    </row>
    <row r="1036" spans="1:8">
      <c r="A1036" s="95"/>
      <c r="B1036" s="854"/>
      <c r="C1036" s="855"/>
      <c r="D1036" s="37"/>
      <c r="E1036" s="53"/>
      <c r="F1036" s="82"/>
      <c r="G1036" s="111"/>
    </row>
    <row r="1037" spans="1:8">
      <c r="A1037" s="95"/>
      <c r="B1037" s="854"/>
      <c r="C1037" s="855"/>
      <c r="D1037" s="37"/>
      <c r="E1037" s="53"/>
      <c r="F1037" s="82"/>
      <c r="G1037" s="111"/>
    </row>
    <row r="1038" spans="1:8">
      <c r="A1038" s="95"/>
      <c r="B1038" s="854"/>
      <c r="C1038" s="855"/>
      <c r="D1038" s="37"/>
      <c r="E1038" s="53"/>
      <c r="F1038" s="82"/>
      <c r="G1038" s="111"/>
    </row>
    <row r="1039" spans="1:8">
      <c r="A1039" s="95"/>
      <c r="B1039" s="938" t="s">
        <v>841</v>
      </c>
      <c r="C1039" s="939"/>
      <c r="D1039" s="53" t="s">
        <v>841</v>
      </c>
      <c r="E1039" s="53"/>
      <c r="F1039" s="82"/>
      <c r="G1039" s="111"/>
      <c r="H1039" s="505" t="s">
        <v>1670</v>
      </c>
    </row>
    <row r="1040" spans="1:8" ht="13.5" thickBot="1">
      <c r="A1040" s="95"/>
      <c r="B1040" s="942" t="s">
        <v>841</v>
      </c>
      <c r="C1040" s="943"/>
      <c r="D1040" s="84" t="s">
        <v>841</v>
      </c>
      <c r="E1040" s="84"/>
      <c r="F1040" s="85"/>
      <c r="G1040" s="112"/>
    </row>
    <row r="1041" spans="1:7" ht="13.5" thickTop="1">
      <c r="A1041" s="95"/>
      <c r="B1041" s="808"/>
      <c r="C1041" s="809"/>
      <c r="D1041" s="801" t="s">
        <v>856</v>
      </c>
      <c r="E1041" s="802"/>
      <c r="F1041" s="9"/>
      <c r="G1041" s="113">
        <f>SUM(G1032:G1040)</f>
        <v>24119</v>
      </c>
    </row>
    <row r="1042" spans="1:7">
      <c r="A1042" s="95"/>
      <c r="B1042" s="819"/>
      <c r="C1042" s="820"/>
      <c r="D1042" s="801" t="s">
        <v>857</v>
      </c>
      <c r="E1042" s="802"/>
      <c r="F1042" s="79">
        <f>'MANO DE OBRA'!D60</f>
        <v>0.05</v>
      </c>
      <c r="G1042" s="113">
        <f>ROUND(G1041*F1042,0)</f>
        <v>1206</v>
      </c>
    </row>
    <row r="1043" spans="1:7" ht="13.5" thickBot="1">
      <c r="A1043" s="95"/>
      <c r="B1043" s="819"/>
      <c r="C1043" s="820"/>
      <c r="D1043" s="803" t="s">
        <v>320</v>
      </c>
      <c r="E1043" s="804"/>
      <c r="F1043" s="114"/>
      <c r="G1043" s="118">
        <f>+G1041+G1042</f>
        <v>25325</v>
      </c>
    </row>
    <row r="1044" spans="1:7" ht="14.25" thickTop="1" thickBot="1">
      <c r="A1044" s="95"/>
      <c r="B1044" s="830"/>
      <c r="C1044" s="830"/>
      <c r="D1044" s="830"/>
      <c r="E1044" s="830"/>
      <c r="F1044" s="830"/>
      <c r="G1044" s="830"/>
    </row>
    <row r="1045" spans="1:7" ht="13.5" thickTop="1">
      <c r="A1045" s="95"/>
      <c r="B1045" s="811" t="s">
        <v>858</v>
      </c>
      <c r="C1045" s="812"/>
      <c r="D1045" s="812"/>
      <c r="E1045" s="812"/>
      <c r="F1045" s="812"/>
      <c r="G1045" s="825"/>
    </row>
    <row r="1046" spans="1:7">
      <c r="A1046" s="95"/>
      <c r="B1046" s="817"/>
      <c r="C1046" s="818"/>
      <c r="D1046" s="98" t="s">
        <v>301</v>
      </c>
      <c r="E1046" s="98" t="s">
        <v>859</v>
      </c>
      <c r="F1046" s="99" t="s">
        <v>839</v>
      </c>
      <c r="G1046" s="107" t="s">
        <v>840</v>
      </c>
    </row>
    <row r="1047" spans="1:7">
      <c r="A1047" s="95"/>
      <c r="B1047" s="821" t="s">
        <v>838</v>
      </c>
      <c r="C1047" s="822"/>
      <c r="D1047" s="100" t="s">
        <v>316</v>
      </c>
      <c r="E1047" s="100" t="s">
        <v>315</v>
      </c>
      <c r="F1047" s="101" t="s">
        <v>306</v>
      </c>
      <c r="G1047" s="108" t="s">
        <v>319</v>
      </c>
    </row>
    <row r="1048" spans="1:7">
      <c r="A1048" s="95"/>
      <c r="B1048" s="115"/>
      <c r="C1048" s="102"/>
      <c r="D1048" s="103"/>
      <c r="E1048" s="103" t="s">
        <v>317</v>
      </c>
      <c r="F1048" s="104" t="s">
        <v>318</v>
      </c>
      <c r="G1048" s="109"/>
    </row>
    <row r="1049" spans="1:7">
      <c r="A1049" s="95"/>
      <c r="B1049" s="823" t="str">
        <f>'MANO DE OBRA'!B10</f>
        <v>AYUDANTE CUAD. TIPO AA</v>
      </c>
      <c r="C1049" s="824"/>
      <c r="D1049" s="87">
        <v>1</v>
      </c>
      <c r="E1049" s="80">
        <f>'MANO DE OBRA'!E10</f>
        <v>34680</v>
      </c>
      <c r="F1049" s="81">
        <v>17.78</v>
      </c>
      <c r="G1049" s="110">
        <f>ROUND(D1049*E1049/F1049,0)</f>
        <v>1951</v>
      </c>
    </row>
    <row r="1050" spans="1:7">
      <c r="A1050" s="95"/>
      <c r="B1050" s="835" t="str">
        <f>'MANO DE OBRA'!B15</f>
        <v xml:space="preserve">OFICIAL CUAD. TIPO AA </v>
      </c>
      <c r="C1050" s="836"/>
      <c r="D1050" s="37">
        <v>1</v>
      </c>
      <c r="E1050" s="82">
        <f>'MANO DE OBRA'!E15</f>
        <v>71474</v>
      </c>
      <c r="F1050" s="83">
        <v>17.78</v>
      </c>
      <c r="G1050" s="111">
        <f>ROUND(D1050*E1050/F1050,0)</f>
        <v>4020</v>
      </c>
    </row>
    <row r="1051" spans="1:7">
      <c r="A1051" s="95"/>
      <c r="B1051" s="835"/>
      <c r="C1051" s="836"/>
      <c r="D1051" s="89"/>
      <c r="E1051" s="82"/>
      <c r="F1051" s="83"/>
      <c r="G1051" s="111"/>
    </row>
    <row r="1052" spans="1:7">
      <c r="A1052" s="95"/>
      <c r="B1052" s="835" t="s">
        <v>841</v>
      </c>
      <c r="C1052" s="836"/>
      <c r="D1052" s="37"/>
      <c r="E1052" s="82"/>
      <c r="F1052" s="83"/>
      <c r="G1052" s="111"/>
    </row>
    <row r="1053" spans="1:7" ht="13.5" thickBot="1">
      <c r="A1053" s="95"/>
      <c r="B1053" s="828" t="s">
        <v>841</v>
      </c>
      <c r="C1053" s="829"/>
      <c r="D1053" s="77"/>
      <c r="E1053" s="82"/>
      <c r="F1053" s="86"/>
      <c r="G1053" s="112"/>
    </row>
    <row r="1054" spans="1:7" ht="14.25" thickTop="1" thickBot="1">
      <c r="A1054" s="95"/>
      <c r="B1054" s="808"/>
      <c r="C1054" s="808"/>
      <c r="D1054" s="808"/>
      <c r="E1054" s="809"/>
      <c r="F1054" s="120" t="s">
        <v>856</v>
      </c>
      <c r="G1054" s="118">
        <f>SUM(G1049:G1053)</f>
        <v>5971</v>
      </c>
    </row>
    <row r="1055" spans="1:7" ht="14.25" thickTop="1" thickBot="1">
      <c r="A1055" s="95"/>
      <c r="B1055" s="810"/>
      <c r="C1055" s="810"/>
      <c r="D1055" s="810"/>
      <c r="E1055" s="810"/>
      <c r="F1055" s="810"/>
      <c r="G1055" s="810"/>
    </row>
    <row r="1056" spans="1:7" ht="13.5" thickTop="1">
      <c r="A1056" s="95"/>
      <c r="B1056" s="811" t="s">
        <v>321</v>
      </c>
      <c r="C1056" s="812"/>
      <c r="D1056" s="812"/>
      <c r="E1056" s="812"/>
      <c r="F1056" s="812"/>
      <c r="G1056" s="825"/>
    </row>
    <row r="1057" spans="1:8">
      <c r="A1057" s="95"/>
      <c r="B1057" s="817" t="s">
        <v>838</v>
      </c>
      <c r="C1057" s="818"/>
      <c r="D1057" s="98" t="s">
        <v>301</v>
      </c>
      <c r="E1057" s="98" t="s">
        <v>297</v>
      </c>
      <c r="F1057" s="99" t="s">
        <v>839</v>
      </c>
      <c r="G1057" s="107" t="s">
        <v>840</v>
      </c>
    </row>
    <row r="1058" spans="1:8">
      <c r="A1058" s="95"/>
      <c r="B1058" s="115"/>
      <c r="C1058" s="102"/>
      <c r="D1058" s="103" t="s">
        <v>322</v>
      </c>
      <c r="E1058" s="103" t="s">
        <v>323</v>
      </c>
      <c r="F1058" s="104" t="s">
        <v>324</v>
      </c>
      <c r="G1058" s="109" t="s">
        <v>325</v>
      </c>
    </row>
    <row r="1059" spans="1:8">
      <c r="A1059" s="95"/>
      <c r="B1059" s="826"/>
      <c r="C1059" s="827"/>
      <c r="D1059" s="96"/>
      <c r="E1059" s="96"/>
      <c r="F1059" s="96"/>
      <c r="G1059" s="116"/>
    </row>
    <row r="1060" spans="1:8" ht="13.5" thickBot="1">
      <c r="A1060" s="95"/>
      <c r="B1060" s="828" t="s">
        <v>841</v>
      </c>
      <c r="C1060" s="829"/>
      <c r="D1060" s="77"/>
      <c r="E1060" s="82"/>
      <c r="F1060" s="86"/>
      <c r="G1060" s="112"/>
    </row>
    <row r="1061" spans="1:8" ht="14.25" thickTop="1" thickBot="1">
      <c r="A1061" s="95"/>
      <c r="B1061" s="808"/>
      <c r="C1061" s="808"/>
      <c r="D1061" s="808"/>
      <c r="E1061" s="809"/>
      <c r="F1061" s="120" t="s">
        <v>856</v>
      </c>
      <c r="G1061" s="118">
        <f>SUM(G1056:G1060)</f>
        <v>0</v>
      </c>
    </row>
    <row r="1062" spans="1:8" ht="14.25" thickTop="1" thickBot="1">
      <c r="A1062" s="95"/>
      <c r="B1062" s="810"/>
      <c r="C1062" s="810"/>
      <c r="D1062" s="810"/>
      <c r="E1062" s="810"/>
      <c r="F1062" s="810"/>
      <c r="G1062" s="834"/>
    </row>
    <row r="1063" spans="1:8" ht="13.5" thickTop="1">
      <c r="A1063" s="95"/>
      <c r="B1063" s="811" t="s">
        <v>326</v>
      </c>
      <c r="C1063" s="812"/>
      <c r="D1063" s="812"/>
      <c r="E1063" s="812"/>
      <c r="F1063" s="813"/>
      <c r="G1063" s="121">
        <f>+G1027+G1043+G1054</f>
        <v>31843</v>
      </c>
    </row>
    <row r="1064" spans="1:8">
      <c r="A1064" s="95"/>
      <c r="B1064" s="814" t="s">
        <v>861</v>
      </c>
      <c r="C1064" s="815"/>
      <c r="D1064" s="815"/>
      <c r="E1064" s="816"/>
      <c r="F1064" s="128">
        <f>'MANO DE OBRA'!D59</f>
        <v>0</v>
      </c>
      <c r="G1064" s="122">
        <f>ROUND(G1063*F1064,0)</f>
        <v>0</v>
      </c>
    </row>
    <row r="1065" spans="1:8" ht="13.5" thickBot="1">
      <c r="A1065" s="95"/>
      <c r="B1065" s="805" t="s">
        <v>1049</v>
      </c>
      <c r="C1065" s="806"/>
      <c r="D1065" s="806"/>
      <c r="E1065" s="806"/>
      <c r="F1065" s="807"/>
      <c r="G1065" s="118">
        <f>ROUND(G1063+G1064,-2)</f>
        <v>31800</v>
      </c>
      <c r="H1065" s="505" t="s">
        <v>1670</v>
      </c>
    </row>
    <row r="1066" spans="1:8" ht="15" thickTop="1">
      <c r="A1066" s="95"/>
      <c r="B1066" s="90" t="s">
        <v>303</v>
      </c>
      <c r="C1066" s="843"/>
      <c r="D1066" s="843"/>
      <c r="E1066" s="843"/>
      <c r="F1066" s="92" t="s">
        <v>781</v>
      </c>
      <c r="G1066" s="93" t="s">
        <v>1067</v>
      </c>
    </row>
    <row r="1067" spans="1:8">
      <c r="A1067" s="95"/>
      <c r="B1067" s="91" t="s">
        <v>834</v>
      </c>
      <c r="C1067" s="844" t="s">
        <v>1408</v>
      </c>
      <c r="D1067" s="844"/>
      <c r="E1067" s="844"/>
      <c r="F1067" s="15" t="s">
        <v>833</v>
      </c>
      <c r="G1067" s="165" t="str">
        <f>'MANO DE OBRA'!D61</f>
        <v>Agosto de 2010</v>
      </c>
    </row>
    <row r="1068" spans="1:8" ht="13.5" thickBot="1">
      <c r="A1068" s="127"/>
      <c r="B1068" s="94" t="s">
        <v>835</v>
      </c>
      <c r="C1068" s="845" t="s">
        <v>216</v>
      </c>
      <c r="D1068" s="845"/>
      <c r="E1068" s="845"/>
      <c r="F1068" s="845"/>
      <c r="G1068" s="846"/>
    </row>
    <row r="1069" spans="1:8" ht="14.25" thickTop="1" thickBot="1">
      <c r="A1069" s="95"/>
      <c r="B1069" s="847" t="s">
        <v>1409</v>
      </c>
      <c r="C1069" s="847"/>
      <c r="D1069" s="847"/>
      <c r="E1069" s="847"/>
      <c r="F1069" s="847"/>
      <c r="G1069" s="847"/>
    </row>
    <row r="1070" spans="1:8" ht="13.5" thickTop="1">
      <c r="A1070" s="95"/>
      <c r="B1070" s="811" t="s">
        <v>304</v>
      </c>
      <c r="C1070" s="812"/>
      <c r="D1070" s="812"/>
      <c r="E1070" s="812"/>
      <c r="F1070" s="812"/>
      <c r="G1070" s="825"/>
    </row>
    <row r="1071" spans="1:8">
      <c r="A1071" s="95"/>
      <c r="B1071" s="105"/>
      <c r="C1071" s="97"/>
      <c r="D1071" s="98" t="s">
        <v>301</v>
      </c>
      <c r="E1071" s="98" t="s">
        <v>1072</v>
      </c>
      <c r="F1071" s="99" t="s">
        <v>839</v>
      </c>
      <c r="G1071" s="107" t="s">
        <v>840</v>
      </c>
    </row>
    <row r="1072" spans="1:8">
      <c r="A1072" s="95"/>
      <c r="B1072" s="821" t="s">
        <v>838</v>
      </c>
      <c r="C1072" s="822"/>
      <c r="D1072" s="100" t="s">
        <v>308</v>
      </c>
      <c r="E1072" s="100" t="s">
        <v>305</v>
      </c>
      <c r="F1072" s="101" t="s">
        <v>306</v>
      </c>
      <c r="G1072" s="108" t="s">
        <v>310</v>
      </c>
    </row>
    <row r="1073" spans="1:7">
      <c r="A1073" s="95"/>
      <c r="B1073" s="115"/>
      <c r="C1073" s="102"/>
      <c r="D1073" s="103"/>
      <c r="E1073" s="103" t="s">
        <v>309</v>
      </c>
      <c r="F1073" s="104" t="s">
        <v>307</v>
      </c>
      <c r="G1073" s="109"/>
    </row>
    <row r="1074" spans="1:7">
      <c r="A1074" s="127"/>
      <c r="B1074" s="823" t="str">
        <f>'MAQUINARIA Y EQUIPOS'!C28</f>
        <v>HERRAMIENTAS MENORES</v>
      </c>
      <c r="C1074" s="824"/>
      <c r="D1074" s="87">
        <v>1</v>
      </c>
      <c r="E1074" s="82">
        <f>ROUND(G1107*0.05,0)</f>
        <v>370</v>
      </c>
      <c r="F1074" s="81">
        <v>1</v>
      </c>
      <c r="G1074" s="110">
        <f>ROUND(D1074*E1074/F1074,0)</f>
        <v>370</v>
      </c>
    </row>
    <row r="1075" spans="1:7">
      <c r="A1075" s="95"/>
      <c r="B1075" s="835" t="str">
        <f>'MAQUINARIA Y EQUIPOS'!C9</f>
        <v>ANDAMIO TUBULAR 1.50 m</v>
      </c>
      <c r="C1075" s="836"/>
      <c r="D1075" s="37">
        <v>4</v>
      </c>
      <c r="E1075" s="129">
        <f>'MAQUINARIA Y EQUIPOS'!D9</f>
        <v>754</v>
      </c>
      <c r="F1075" s="83">
        <v>13.33</v>
      </c>
      <c r="G1075" s="111">
        <f>ROUND(D1075*E1075/F1075,0)</f>
        <v>226</v>
      </c>
    </row>
    <row r="1076" spans="1:7">
      <c r="A1076" s="95"/>
      <c r="B1076" s="835" t="str">
        <f>'MAQUINARIA Y EQUIPOS'!C47</f>
        <v>TABLONES 3m</v>
      </c>
      <c r="C1076" s="836"/>
      <c r="D1076" s="37">
        <v>4</v>
      </c>
      <c r="E1076" s="129">
        <f>'MAQUINARIA Y EQUIPOS'!D47</f>
        <v>348</v>
      </c>
      <c r="F1076" s="83">
        <v>13.33</v>
      </c>
      <c r="G1076" s="111">
        <f>ROUND(D1076*E1076/F1076,0)</f>
        <v>104</v>
      </c>
    </row>
    <row r="1077" spans="1:7">
      <c r="A1077" s="95"/>
      <c r="B1077" s="835"/>
      <c r="C1077" s="836"/>
      <c r="D1077" s="89"/>
      <c r="E1077" s="82"/>
      <c r="F1077" s="83"/>
      <c r="G1077" s="111"/>
    </row>
    <row r="1078" spans="1:7">
      <c r="A1078" s="95"/>
      <c r="B1078" s="835" t="s">
        <v>841</v>
      </c>
      <c r="C1078" s="836"/>
      <c r="D1078" s="37"/>
      <c r="E1078" s="82"/>
      <c r="F1078" s="83"/>
      <c r="G1078" s="111"/>
    </row>
    <row r="1079" spans="1:7" ht="13.5" thickBot="1">
      <c r="A1079" s="95"/>
      <c r="B1079" s="839" t="s">
        <v>841</v>
      </c>
      <c r="C1079" s="840"/>
      <c r="D1079" s="77"/>
      <c r="E1079" s="106"/>
      <c r="F1079" s="86"/>
      <c r="G1079" s="112"/>
    </row>
    <row r="1080" spans="1:7" ht="14.25" thickTop="1" thickBot="1">
      <c r="A1080" s="95"/>
      <c r="B1080" s="808"/>
      <c r="C1080" s="808"/>
      <c r="D1080" s="808"/>
      <c r="E1080" s="809"/>
      <c r="F1080" s="119" t="s">
        <v>856</v>
      </c>
      <c r="G1080" s="118">
        <f>SUM(G1074:G1079)</f>
        <v>700</v>
      </c>
    </row>
    <row r="1081" spans="1:7" ht="14.25" thickTop="1" thickBot="1">
      <c r="A1081" s="95"/>
      <c r="B1081" s="830"/>
      <c r="C1081" s="830"/>
      <c r="D1081" s="830"/>
      <c r="E1081" s="830"/>
      <c r="F1081" s="830"/>
      <c r="G1081" s="830"/>
    </row>
    <row r="1082" spans="1:7" ht="13.5" thickTop="1">
      <c r="A1082" s="95"/>
      <c r="B1082" s="811" t="s">
        <v>311</v>
      </c>
      <c r="C1082" s="812"/>
      <c r="D1082" s="812"/>
      <c r="E1082" s="812"/>
      <c r="F1082" s="812"/>
      <c r="G1082" s="825"/>
    </row>
    <row r="1083" spans="1:7">
      <c r="A1083" s="95"/>
      <c r="B1083" s="817" t="s">
        <v>838</v>
      </c>
      <c r="C1083" s="818"/>
      <c r="D1083" s="98" t="s">
        <v>842</v>
      </c>
      <c r="E1083" s="98" t="s">
        <v>853</v>
      </c>
      <c r="F1083" s="99" t="s">
        <v>1047</v>
      </c>
      <c r="G1083" s="107" t="s">
        <v>840</v>
      </c>
    </row>
    <row r="1084" spans="1:7">
      <c r="A1084" s="95"/>
      <c r="B1084" s="115"/>
      <c r="C1084" s="102"/>
      <c r="D1084" s="100"/>
      <c r="E1084" s="100" t="s">
        <v>312</v>
      </c>
      <c r="F1084" s="101" t="s">
        <v>313</v>
      </c>
      <c r="G1084" s="108" t="s">
        <v>314</v>
      </c>
    </row>
    <row r="1085" spans="1:7">
      <c r="A1085" s="125"/>
      <c r="B1085" s="841" t="str">
        <f>MATERIALES2!C386</f>
        <v>TEJA ONDULADA Nº 4</v>
      </c>
      <c r="C1085" s="842"/>
      <c r="D1085" s="87" t="s">
        <v>865</v>
      </c>
      <c r="E1085" s="81">
        <v>1.06</v>
      </c>
      <c r="F1085" s="80">
        <f>MATERIALES2!E386</f>
        <v>14400</v>
      </c>
      <c r="G1085" s="110">
        <f>ROUND(E1085*F1085,0)</f>
        <v>15264</v>
      </c>
    </row>
    <row r="1086" spans="1:7">
      <c r="A1086" s="123"/>
      <c r="B1086" s="854" t="str">
        <f>MATERIALES2!C401</f>
        <v>GANCHO TEJA 150 mm.</v>
      </c>
      <c r="C1086" s="855"/>
      <c r="D1086" s="37" t="s">
        <v>865</v>
      </c>
      <c r="E1086" s="83">
        <v>2</v>
      </c>
      <c r="F1086" s="82">
        <f>MATERIALES2!E401</f>
        <v>322</v>
      </c>
      <c r="G1086" s="111">
        <f>ROUND(E1086*F1086,0)</f>
        <v>644</v>
      </c>
    </row>
    <row r="1087" spans="1:7">
      <c r="A1087" s="95"/>
      <c r="B1087" s="854"/>
      <c r="C1087" s="855"/>
      <c r="D1087" s="37"/>
      <c r="E1087" s="53"/>
      <c r="F1087" s="82"/>
      <c r="G1087" s="111"/>
    </row>
    <row r="1088" spans="1:7">
      <c r="A1088" s="95"/>
      <c r="B1088" s="854"/>
      <c r="C1088" s="855"/>
      <c r="D1088" s="37"/>
      <c r="E1088" s="83"/>
      <c r="F1088" s="82"/>
      <c r="G1088" s="111"/>
    </row>
    <row r="1089" spans="1:8">
      <c r="A1089" s="95"/>
      <c r="B1089" s="854"/>
      <c r="C1089" s="855"/>
      <c r="D1089" s="37"/>
      <c r="E1089" s="53"/>
      <c r="F1089" s="82"/>
      <c r="G1089" s="111"/>
    </row>
    <row r="1090" spans="1:8">
      <c r="A1090" s="95"/>
      <c r="B1090" s="854"/>
      <c r="C1090" s="855"/>
      <c r="D1090" s="37"/>
      <c r="E1090" s="53"/>
      <c r="F1090" s="82"/>
      <c r="G1090" s="111"/>
    </row>
    <row r="1091" spans="1:8">
      <c r="A1091" s="95"/>
      <c r="B1091" s="854"/>
      <c r="C1091" s="855"/>
      <c r="D1091" s="37"/>
      <c r="E1091" s="53"/>
      <c r="F1091" s="82"/>
      <c r="G1091" s="111"/>
    </row>
    <row r="1092" spans="1:8">
      <c r="A1092" s="95"/>
      <c r="B1092" s="938" t="s">
        <v>841</v>
      </c>
      <c r="C1092" s="939"/>
      <c r="D1092" s="53" t="s">
        <v>841</v>
      </c>
      <c r="E1092" s="53"/>
      <c r="F1092" s="82"/>
      <c r="G1092" s="111"/>
      <c r="H1092" s="505" t="s">
        <v>1670</v>
      </c>
    </row>
    <row r="1093" spans="1:8" ht="13.5" thickBot="1">
      <c r="A1093" s="95"/>
      <c r="B1093" s="942" t="s">
        <v>841</v>
      </c>
      <c r="C1093" s="943"/>
      <c r="D1093" s="84" t="s">
        <v>841</v>
      </c>
      <c r="E1093" s="84"/>
      <c r="F1093" s="85"/>
      <c r="G1093" s="112"/>
    </row>
    <row r="1094" spans="1:8" ht="13.5" thickTop="1">
      <c r="A1094" s="95"/>
      <c r="B1094" s="808"/>
      <c r="C1094" s="809"/>
      <c r="D1094" s="801" t="s">
        <v>856</v>
      </c>
      <c r="E1094" s="802"/>
      <c r="F1094" s="9"/>
      <c r="G1094" s="113">
        <f>SUM(G1085:G1093)</f>
        <v>15908</v>
      </c>
    </row>
    <row r="1095" spans="1:8">
      <c r="A1095" s="95"/>
      <c r="B1095" s="819"/>
      <c r="C1095" s="820"/>
      <c r="D1095" s="801" t="s">
        <v>857</v>
      </c>
      <c r="E1095" s="802"/>
      <c r="F1095" s="79">
        <f>'MANO DE OBRA'!D60</f>
        <v>0.05</v>
      </c>
      <c r="G1095" s="113">
        <f>ROUND(G1094*F1095,0)</f>
        <v>795</v>
      </c>
    </row>
    <row r="1096" spans="1:8" ht="13.5" thickBot="1">
      <c r="A1096" s="95"/>
      <c r="B1096" s="819"/>
      <c r="C1096" s="820"/>
      <c r="D1096" s="803" t="s">
        <v>320</v>
      </c>
      <c r="E1096" s="804"/>
      <c r="F1096" s="114"/>
      <c r="G1096" s="118">
        <f>+G1094+G1095</f>
        <v>16703</v>
      </c>
    </row>
    <row r="1097" spans="1:8" ht="14.25" thickTop="1" thickBot="1">
      <c r="A1097" s="95"/>
      <c r="B1097" s="830"/>
      <c r="C1097" s="830"/>
      <c r="D1097" s="830"/>
      <c r="E1097" s="830"/>
      <c r="F1097" s="830"/>
      <c r="G1097" s="830"/>
    </row>
    <row r="1098" spans="1:8" ht="13.5" thickTop="1">
      <c r="A1098" s="95"/>
      <c r="B1098" s="811" t="s">
        <v>858</v>
      </c>
      <c r="C1098" s="812"/>
      <c r="D1098" s="812"/>
      <c r="E1098" s="812"/>
      <c r="F1098" s="812"/>
      <c r="G1098" s="825"/>
    </row>
    <row r="1099" spans="1:8">
      <c r="A1099" s="95"/>
      <c r="B1099" s="817"/>
      <c r="C1099" s="818"/>
      <c r="D1099" s="98" t="s">
        <v>301</v>
      </c>
      <c r="E1099" s="98" t="s">
        <v>859</v>
      </c>
      <c r="F1099" s="99" t="s">
        <v>839</v>
      </c>
      <c r="G1099" s="107" t="s">
        <v>840</v>
      </c>
    </row>
    <row r="1100" spans="1:8">
      <c r="A1100" s="95"/>
      <c r="B1100" s="821" t="s">
        <v>838</v>
      </c>
      <c r="C1100" s="822"/>
      <c r="D1100" s="100" t="s">
        <v>316</v>
      </c>
      <c r="E1100" s="100" t="s">
        <v>315</v>
      </c>
      <c r="F1100" s="101" t="s">
        <v>306</v>
      </c>
      <c r="G1100" s="108" t="s">
        <v>319</v>
      </c>
    </row>
    <row r="1101" spans="1:8">
      <c r="A1101" s="95"/>
      <c r="B1101" s="115"/>
      <c r="C1101" s="102"/>
      <c r="D1101" s="103"/>
      <c r="E1101" s="103" t="s">
        <v>317</v>
      </c>
      <c r="F1101" s="104" t="s">
        <v>318</v>
      </c>
      <c r="G1101" s="109"/>
    </row>
    <row r="1102" spans="1:8">
      <c r="A1102" s="95"/>
      <c r="B1102" s="823" t="str">
        <f>'MANO DE OBRA'!B10</f>
        <v>AYUDANTE CUAD. TIPO AA</v>
      </c>
      <c r="C1102" s="824"/>
      <c r="D1102" s="87">
        <v>1</v>
      </c>
      <c r="E1102" s="80">
        <f>'MANO DE OBRA'!E10</f>
        <v>34680</v>
      </c>
      <c r="F1102" s="81">
        <v>14.33</v>
      </c>
      <c r="G1102" s="110">
        <f>ROUND(D1102*E1102/F1102,0)</f>
        <v>2420</v>
      </c>
    </row>
    <row r="1103" spans="1:8">
      <c r="A1103" s="95"/>
      <c r="B1103" s="835" t="str">
        <f>'MANO DE OBRA'!B15</f>
        <v xml:space="preserve">OFICIAL CUAD. TIPO AA </v>
      </c>
      <c r="C1103" s="836"/>
      <c r="D1103" s="37">
        <v>1</v>
      </c>
      <c r="E1103" s="82">
        <f>'MANO DE OBRA'!E15</f>
        <v>71474</v>
      </c>
      <c r="F1103" s="83">
        <v>14.33</v>
      </c>
      <c r="G1103" s="111">
        <f>ROUND(D1103*E1103/F1103,0)</f>
        <v>4988</v>
      </c>
    </row>
    <row r="1104" spans="1:8">
      <c r="A1104" s="95"/>
      <c r="B1104" s="835"/>
      <c r="C1104" s="836"/>
      <c r="D1104" s="89"/>
      <c r="E1104" s="82"/>
      <c r="F1104" s="83"/>
      <c r="G1104" s="111"/>
    </row>
    <row r="1105" spans="1:8">
      <c r="A1105" s="95"/>
      <c r="B1105" s="835" t="s">
        <v>841</v>
      </c>
      <c r="C1105" s="836"/>
      <c r="D1105" s="37"/>
      <c r="E1105" s="82"/>
      <c r="F1105" s="83"/>
      <c r="G1105" s="111"/>
    </row>
    <row r="1106" spans="1:8" ht="13.5" thickBot="1">
      <c r="A1106" s="95"/>
      <c r="B1106" s="828" t="s">
        <v>841</v>
      </c>
      <c r="C1106" s="829"/>
      <c r="D1106" s="77"/>
      <c r="E1106" s="82"/>
      <c r="F1106" s="86"/>
      <c r="G1106" s="112"/>
    </row>
    <row r="1107" spans="1:8" ht="14.25" thickTop="1" thickBot="1">
      <c r="A1107" s="95"/>
      <c r="B1107" s="808"/>
      <c r="C1107" s="808"/>
      <c r="D1107" s="808"/>
      <c r="E1107" s="809"/>
      <c r="F1107" s="120" t="s">
        <v>856</v>
      </c>
      <c r="G1107" s="118">
        <f>SUM(G1102:G1106)</f>
        <v>7408</v>
      </c>
    </row>
    <row r="1108" spans="1:8" ht="14.25" thickTop="1" thickBot="1">
      <c r="A1108" s="95"/>
      <c r="B1108" s="810"/>
      <c r="C1108" s="810"/>
      <c r="D1108" s="810"/>
      <c r="E1108" s="810"/>
      <c r="F1108" s="810"/>
      <c r="G1108" s="810"/>
    </row>
    <row r="1109" spans="1:8" ht="13.5" thickTop="1">
      <c r="A1109" s="95"/>
      <c r="B1109" s="811" t="s">
        <v>321</v>
      </c>
      <c r="C1109" s="812"/>
      <c r="D1109" s="812"/>
      <c r="E1109" s="812"/>
      <c r="F1109" s="812"/>
      <c r="G1109" s="825"/>
    </row>
    <row r="1110" spans="1:8">
      <c r="A1110" s="95"/>
      <c r="B1110" s="817" t="s">
        <v>838</v>
      </c>
      <c r="C1110" s="818"/>
      <c r="D1110" s="98" t="s">
        <v>301</v>
      </c>
      <c r="E1110" s="98" t="s">
        <v>297</v>
      </c>
      <c r="F1110" s="99" t="s">
        <v>839</v>
      </c>
      <c r="G1110" s="107" t="s">
        <v>840</v>
      </c>
    </row>
    <row r="1111" spans="1:8">
      <c r="A1111" s="95"/>
      <c r="B1111" s="115"/>
      <c r="C1111" s="102"/>
      <c r="D1111" s="103" t="s">
        <v>322</v>
      </c>
      <c r="E1111" s="103" t="s">
        <v>323</v>
      </c>
      <c r="F1111" s="104" t="s">
        <v>324</v>
      </c>
      <c r="G1111" s="109" t="s">
        <v>325</v>
      </c>
    </row>
    <row r="1112" spans="1:8">
      <c r="A1112" s="95"/>
      <c r="B1112" s="826"/>
      <c r="C1112" s="827"/>
      <c r="D1112" s="96"/>
      <c r="E1112" s="96"/>
      <c r="F1112" s="96"/>
      <c r="G1112" s="116"/>
    </row>
    <row r="1113" spans="1:8" ht="13.5" thickBot="1">
      <c r="A1113" s="95"/>
      <c r="B1113" s="828" t="s">
        <v>841</v>
      </c>
      <c r="C1113" s="829"/>
      <c r="D1113" s="77"/>
      <c r="E1113" s="82"/>
      <c r="F1113" s="86"/>
      <c r="G1113" s="112"/>
    </row>
    <row r="1114" spans="1:8" ht="14.25" thickTop="1" thickBot="1">
      <c r="A1114" s="95"/>
      <c r="B1114" s="808"/>
      <c r="C1114" s="808"/>
      <c r="D1114" s="808"/>
      <c r="E1114" s="809"/>
      <c r="F1114" s="120" t="s">
        <v>856</v>
      </c>
      <c r="G1114" s="118">
        <f>SUM(G1109:G1113)</f>
        <v>0</v>
      </c>
    </row>
    <row r="1115" spans="1:8" ht="14.25" thickTop="1" thickBot="1">
      <c r="A1115" s="95"/>
      <c r="B1115" s="810"/>
      <c r="C1115" s="810"/>
      <c r="D1115" s="810"/>
      <c r="E1115" s="810"/>
      <c r="F1115" s="810"/>
      <c r="G1115" s="834"/>
    </row>
    <row r="1116" spans="1:8" ht="13.5" thickTop="1">
      <c r="A1116" s="95"/>
      <c r="B1116" s="811" t="s">
        <v>326</v>
      </c>
      <c r="C1116" s="812"/>
      <c r="D1116" s="812"/>
      <c r="E1116" s="812"/>
      <c r="F1116" s="813"/>
      <c r="G1116" s="121">
        <f>+G1080+G1096+G1107</f>
        <v>24811</v>
      </c>
    </row>
    <row r="1117" spans="1:8">
      <c r="A1117" s="95"/>
      <c r="B1117" s="814" t="s">
        <v>861</v>
      </c>
      <c r="C1117" s="815"/>
      <c r="D1117" s="815"/>
      <c r="E1117" s="816"/>
      <c r="F1117" s="128">
        <f>'MANO DE OBRA'!D59</f>
        <v>0</v>
      </c>
      <c r="G1117" s="122">
        <f>ROUND(G1116*F1117,0)</f>
        <v>0</v>
      </c>
    </row>
    <row r="1118" spans="1:8" ht="13.5" thickBot="1">
      <c r="A1118" s="95"/>
      <c r="B1118" s="805" t="s">
        <v>1049</v>
      </c>
      <c r="C1118" s="806"/>
      <c r="D1118" s="806"/>
      <c r="E1118" s="806"/>
      <c r="F1118" s="807"/>
      <c r="G1118" s="118">
        <f>ROUND(G1116+G1117,-2)</f>
        <v>24800</v>
      </c>
      <c r="H1118" s="505" t="s">
        <v>1670</v>
      </c>
    </row>
    <row r="1119" spans="1:8" ht="15" thickTop="1">
      <c r="A1119" s="95"/>
      <c r="B1119" s="90" t="s">
        <v>303</v>
      </c>
      <c r="C1119" s="843"/>
      <c r="D1119" s="843"/>
      <c r="E1119" s="843"/>
      <c r="F1119" s="92" t="s">
        <v>781</v>
      </c>
      <c r="G1119" s="93" t="s">
        <v>1067</v>
      </c>
    </row>
    <row r="1120" spans="1:8">
      <c r="A1120" s="95"/>
      <c r="B1120" s="91" t="s">
        <v>834</v>
      </c>
      <c r="C1120" s="844" t="s">
        <v>1408</v>
      </c>
      <c r="D1120" s="844"/>
      <c r="E1120" s="844"/>
      <c r="F1120" s="15" t="s">
        <v>833</v>
      </c>
      <c r="G1120" s="165" t="str">
        <f>'MANO DE OBRA'!D61</f>
        <v>Agosto de 2010</v>
      </c>
    </row>
    <row r="1121" spans="1:7" ht="13.5" thickBot="1">
      <c r="A1121" s="127"/>
      <c r="B1121" s="94" t="s">
        <v>835</v>
      </c>
      <c r="C1121" s="845" t="s">
        <v>217</v>
      </c>
      <c r="D1121" s="845"/>
      <c r="E1121" s="845"/>
      <c r="F1121" s="845"/>
      <c r="G1121" s="846"/>
    </row>
    <row r="1122" spans="1:7" ht="14.25" thickTop="1" thickBot="1">
      <c r="A1122" s="95"/>
      <c r="B1122" s="847" t="s">
        <v>1409</v>
      </c>
      <c r="C1122" s="847"/>
      <c r="D1122" s="847"/>
      <c r="E1122" s="847"/>
      <c r="F1122" s="847"/>
      <c r="G1122" s="847"/>
    </row>
    <row r="1123" spans="1:7" ht="13.5" thickTop="1">
      <c r="A1123" s="95"/>
      <c r="B1123" s="811" t="s">
        <v>304</v>
      </c>
      <c r="C1123" s="812"/>
      <c r="D1123" s="812"/>
      <c r="E1123" s="812"/>
      <c r="F1123" s="812"/>
      <c r="G1123" s="825"/>
    </row>
    <row r="1124" spans="1:7">
      <c r="A1124" s="95"/>
      <c r="B1124" s="105"/>
      <c r="C1124" s="97"/>
      <c r="D1124" s="98" t="s">
        <v>301</v>
      </c>
      <c r="E1124" s="98" t="s">
        <v>1072</v>
      </c>
      <c r="F1124" s="99" t="s">
        <v>839</v>
      </c>
      <c r="G1124" s="107" t="s">
        <v>840</v>
      </c>
    </row>
    <row r="1125" spans="1:7">
      <c r="A1125" s="95"/>
      <c r="B1125" s="821" t="s">
        <v>838</v>
      </c>
      <c r="C1125" s="822"/>
      <c r="D1125" s="100" t="s">
        <v>308</v>
      </c>
      <c r="E1125" s="100" t="s">
        <v>305</v>
      </c>
      <c r="F1125" s="101" t="s">
        <v>306</v>
      </c>
      <c r="G1125" s="108" t="s">
        <v>310</v>
      </c>
    </row>
    <row r="1126" spans="1:7">
      <c r="A1126" s="95"/>
      <c r="B1126" s="115"/>
      <c r="C1126" s="102"/>
      <c r="D1126" s="103"/>
      <c r="E1126" s="103" t="s">
        <v>309</v>
      </c>
      <c r="F1126" s="104" t="s">
        <v>307</v>
      </c>
      <c r="G1126" s="109"/>
    </row>
    <row r="1127" spans="1:7">
      <c r="A1127" s="127"/>
      <c r="B1127" s="823" t="str">
        <f>'MAQUINARIA Y EQUIPOS'!C28</f>
        <v>HERRAMIENTAS MENORES</v>
      </c>
      <c r="C1127" s="824"/>
      <c r="D1127" s="87">
        <v>1</v>
      </c>
      <c r="E1127" s="82">
        <f>ROUND(G1160*0.05,0)</f>
        <v>425</v>
      </c>
      <c r="F1127" s="81">
        <v>1</v>
      </c>
      <c r="G1127" s="110">
        <f>ROUND(D1127*E1127/F1127,0)</f>
        <v>425</v>
      </c>
    </row>
    <row r="1128" spans="1:7">
      <c r="A1128" s="95"/>
      <c r="B1128" s="835" t="str">
        <f>'MAQUINARIA Y EQUIPOS'!C9</f>
        <v>ANDAMIO TUBULAR 1.50 m</v>
      </c>
      <c r="C1128" s="836"/>
      <c r="D1128" s="37">
        <v>4</v>
      </c>
      <c r="E1128" s="129">
        <f>'MAQUINARIA Y EQUIPOS'!D9</f>
        <v>754</v>
      </c>
      <c r="F1128" s="83">
        <v>12</v>
      </c>
      <c r="G1128" s="111">
        <f>ROUND(D1128*E1128/F1128,0)</f>
        <v>251</v>
      </c>
    </row>
    <row r="1129" spans="1:7">
      <c r="A1129" s="95"/>
      <c r="B1129" s="835" t="str">
        <f>'MAQUINARIA Y EQUIPOS'!C47</f>
        <v>TABLONES 3m</v>
      </c>
      <c r="C1129" s="836"/>
      <c r="D1129" s="37">
        <v>4</v>
      </c>
      <c r="E1129" s="129">
        <f>'MAQUINARIA Y EQUIPOS'!D47</f>
        <v>348</v>
      </c>
      <c r="F1129" s="83">
        <v>12</v>
      </c>
      <c r="G1129" s="111">
        <f>ROUND(D1129*E1129/F1129,0)</f>
        <v>116</v>
      </c>
    </row>
    <row r="1130" spans="1:7">
      <c r="A1130" s="95"/>
      <c r="B1130" s="835"/>
      <c r="C1130" s="836"/>
      <c r="D1130" s="89"/>
      <c r="E1130" s="82"/>
      <c r="F1130" s="83"/>
      <c r="G1130" s="111"/>
    </row>
    <row r="1131" spans="1:7">
      <c r="A1131" s="95"/>
      <c r="B1131" s="835" t="s">
        <v>841</v>
      </c>
      <c r="C1131" s="836"/>
      <c r="D1131" s="37"/>
      <c r="E1131" s="82"/>
      <c r="F1131" s="83"/>
      <c r="G1131" s="111"/>
    </row>
    <row r="1132" spans="1:7" ht="13.5" thickBot="1">
      <c r="A1132" s="95"/>
      <c r="B1132" s="839" t="s">
        <v>841</v>
      </c>
      <c r="C1132" s="840"/>
      <c r="D1132" s="77"/>
      <c r="E1132" s="106"/>
      <c r="F1132" s="86"/>
      <c r="G1132" s="112"/>
    </row>
    <row r="1133" spans="1:7" ht="14.25" thickTop="1" thickBot="1">
      <c r="A1133" s="95"/>
      <c r="B1133" s="808"/>
      <c r="C1133" s="808"/>
      <c r="D1133" s="808"/>
      <c r="E1133" s="809"/>
      <c r="F1133" s="119" t="s">
        <v>856</v>
      </c>
      <c r="G1133" s="118">
        <f>SUM(G1127:G1132)</f>
        <v>792</v>
      </c>
    </row>
    <row r="1134" spans="1:7" ht="14.25" thickTop="1" thickBot="1">
      <c r="A1134" s="95"/>
      <c r="B1134" s="830"/>
      <c r="C1134" s="830"/>
      <c r="D1134" s="830"/>
      <c r="E1134" s="830"/>
      <c r="F1134" s="830"/>
      <c r="G1134" s="830"/>
    </row>
    <row r="1135" spans="1:7" ht="13.5" thickTop="1">
      <c r="A1135" s="95"/>
      <c r="B1135" s="811" t="s">
        <v>311</v>
      </c>
      <c r="C1135" s="812"/>
      <c r="D1135" s="812"/>
      <c r="E1135" s="812"/>
      <c r="F1135" s="812"/>
      <c r="G1135" s="825"/>
    </row>
    <row r="1136" spans="1:7">
      <c r="A1136" s="95"/>
      <c r="B1136" s="817" t="s">
        <v>838</v>
      </c>
      <c r="C1136" s="818"/>
      <c r="D1136" s="98" t="s">
        <v>842</v>
      </c>
      <c r="E1136" s="98" t="s">
        <v>853</v>
      </c>
      <c r="F1136" s="99" t="s">
        <v>1047</v>
      </c>
      <c r="G1136" s="107" t="s">
        <v>840</v>
      </c>
    </row>
    <row r="1137" spans="1:8">
      <c r="A1137" s="95"/>
      <c r="B1137" s="115"/>
      <c r="C1137" s="102"/>
      <c r="D1137" s="100"/>
      <c r="E1137" s="100" t="s">
        <v>312</v>
      </c>
      <c r="F1137" s="101" t="s">
        <v>313</v>
      </c>
      <c r="G1137" s="108" t="s">
        <v>314</v>
      </c>
    </row>
    <row r="1138" spans="1:8">
      <c r="A1138" s="125"/>
      <c r="B1138" s="841" t="str">
        <f>MATERIALES2!C387</f>
        <v>TEJA ETERNIT Nº 5</v>
      </c>
      <c r="C1138" s="842"/>
      <c r="D1138" s="87" t="s">
        <v>865</v>
      </c>
      <c r="E1138" s="81">
        <v>0.83</v>
      </c>
      <c r="F1138" s="80">
        <f>MATERIALES2!E387</f>
        <v>27799</v>
      </c>
      <c r="G1138" s="110">
        <f>ROUND(E1138*F1138,0)</f>
        <v>23073</v>
      </c>
    </row>
    <row r="1139" spans="1:8">
      <c r="A1139" s="123"/>
      <c r="B1139" s="854" t="str">
        <f>MATERIALES2!C401</f>
        <v>GANCHO TEJA 150 mm.</v>
      </c>
      <c r="C1139" s="855"/>
      <c r="D1139" s="37" t="s">
        <v>865</v>
      </c>
      <c r="E1139" s="83">
        <v>1.65</v>
      </c>
      <c r="F1139" s="82">
        <f>MATERIALES2!E401</f>
        <v>322</v>
      </c>
      <c r="G1139" s="111">
        <f>ROUND(E1139*F1139,0)</f>
        <v>531</v>
      </c>
    </row>
    <row r="1140" spans="1:8">
      <c r="A1140" s="95"/>
      <c r="B1140" s="854"/>
      <c r="C1140" s="855"/>
      <c r="D1140" s="37"/>
      <c r="E1140" s="53"/>
      <c r="F1140" s="82"/>
      <c r="G1140" s="111"/>
    </row>
    <row r="1141" spans="1:8">
      <c r="A1141" s="95"/>
      <c r="B1141" s="854"/>
      <c r="C1141" s="855"/>
      <c r="D1141" s="37"/>
      <c r="E1141" s="83"/>
      <c r="F1141" s="82"/>
      <c r="G1141" s="111"/>
    </row>
    <row r="1142" spans="1:8">
      <c r="A1142" s="95"/>
      <c r="B1142" s="854"/>
      <c r="C1142" s="855"/>
      <c r="D1142" s="37"/>
      <c r="E1142" s="53"/>
      <c r="F1142" s="82"/>
      <c r="G1142" s="111"/>
    </row>
    <row r="1143" spans="1:8">
      <c r="A1143" s="95"/>
      <c r="B1143" s="854"/>
      <c r="C1143" s="855"/>
      <c r="D1143" s="37"/>
      <c r="E1143" s="53"/>
      <c r="F1143" s="82"/>
      <c r="G1143" s="111"/>
    </row>
    <row r="1144" spans="1:8">
      <c r="A1144" s="95"/>
      <c r="B1144" s="854"/>
      <c r="C1144" s="855"/>
      <c r="D1144" s="37"/>
      <c r="E1144" s="53"/>
      <c r="F1144" s="82"/>
      <c r="G1144" s="111"/>
    </row>
    <row r="1145" spans="1:8">
      <c r="A1145" s="95"/>
      <c r="B1145" s="938" t="s">
        <v>841</v>
      </c>
      <c r="C1145" s="939"/>
      <c r="D1145" s="53" t="s">
        <v>841</v>
      </c>
      <c r="E1145" s="53"/>
      <c r="F1145" s="82"/>
      <c r="G1145" s="111"/>
      <c r="H1145" s="505" t="s">
        <v>1670</v>
      </c>
    </row>
    <row r="1146" spans="1:8" ht="13.5" thickBot="1">
      <c r="A1146" s="95"/>
      <c r="B1146" s="942" t="s">
        <v>841</v>
      </c>
      <c r="C1146" s="943"/>
      <c r="D1146" s="84" t="s">
        <v>841</v>
      </c>
      <c r="E1146" s="84"/>
      <c r="F1146" s="85"/>
      <c r="G1146" s="112"/>
    </row>
    <row r="1147" spans="1:8" ht="13.5" thickTop="1">
      <c r="A1147" s="95"/>
      <c r="B1147" s="808"/>
      <c r="C1147" s="809"/>
      <c r="D1147" s="801" t="s">
        <v>856</v>
      </c>
      <c r="E1147" s="802"/>
      <c r="F1147" s="9"/>
      <c r="G1147" s="113">
        <f>SUM(G1138:G1146)</f>
        <v>23604</v>
      </c>
    </row>
    <row r="1148" spans="1:8">
      <c r="A1148" s="95"/>
      <c r="B1148" s="819"/>
      <c r="C1148" s="820"/>
      <c r="D1148" s="801" t="s">
        <v>857</v>
      </c>
      <c r="E1148" s="802"/>
      <c r="F1148" s="79">
        <f>'MANO DE OBRA'!D60</f>
        <v>0.05</v>
      </c>
      <c r="G1148" s="113">
        <f>ROUND(G1147*F1148,0)</f>
        <v>1180</v>
      </c>
    </row>
    <row r="1149" spans="1:8" ht="13.5" thickBot="1">
      <c r="A1149" s="95"/>
      <c r="B1149" s="819"/>
      <c r="C1149" s="820"/>
      <c r="D1149" s="803" t="s">
        <v>320</v>
      </c>
      <c r="E1149" s="804"/>
      <c r="F1149" s="114"/>
      <c r="G1149" s="118">
        <f>+G1147+G1148</f>
        <v>24784</v>
      </c>
    </row>
    <row r="1150" spans="1:8" ht="14.25" thickTop="1" thickBot="1">
      <c r="A1150" s="95"/>
      <c r="B1150" s="830"/>
      <c r="C1150" s="830"/>
      <c r="D1150" s="830"/>
      <c r="E1150" s="830"/>
      <c r="F1150" s="830"/>
      <c r="G1150" s="830"/>
    </row>
    <row r="1151" spans="1:8" ht="13.5" thickTop="1">
      <c r="A1151" s="95"/>
      <c r="B1151" s="811" t="s">
        <v>858</v>
      </c>
      <c r="C1151" s="812"/>
      <c r="D1151" s="812"/>
      <c r="E1151" s="812"/>
      <c r="F1151" s="812"/>
      <c r="G1151" s="825"/>
    </row>
    <row r="1152" spans="1:8">
      <c r="A1152" s="95"/>
      <c r="B1152" s="817"/>
      <c r="C1152" s="818"/>
      <c r="D1152" s="98" t="s">
        <v>301</v>
      </c>
      <c r="E1152" s="98" t="s">
        <v>859</v>
      </c>
      <c r="F1152" s="99" t="s">
        <v>839</v>
      </c>
      <c r="G1152" s="107" t="s">
        <v>840</v>
      </c>
    </row>
    <row r="1153" spans="1:7">
      <c r="A1153" s="95"/>
      <c r="B1153" s="821" t="s">
        <v>838</v>
      </c>
      <c r="C1153" s="822"/>
      <c r="D1153" s="100" t="s">
        <v>316</v>
      </c>
      <c r="E1153" s="100" t="s">
        <v>315</v>
      </c>
      <c r="F1153" s="101" t="s">
        <v>306</v>
      </c>
      <c r="G1153" s="108" t="s">
        <v>319</v>
      </c>
    </row>
    <row r="1154" spans="1:7">
      <c r="A1154" s="95"/>
      <c r="B1154" s="115"/>
      <c r="C1154" s="102"/>
      <c r="D1154" s="103"/>
      <c r="E1154" s="103" t="s">
        <v>317</v>
      </c>
      <c r="F1154" s="104" t="s">
        <v>318</v>
      </c>
      <c r="G1154" s="109"/>
    </row>
    <row r="1155" spans="1:7">
      <c r="A1155" s="95"/>
      <c r="B1155" s="823" t="str">
        <f>'MANO DE OBRA'!B10</f>
        <v>AYUDANTE CUAD. TIPO AA</v>
      </c>
      <c r="C1155" s="824"/>
      <c r="D1155" s="87">
        <v>1</v>
      </c>
      <c r="E1155" s="80">
        <f>'MANO DE OBRA'!E10</f>
        <v>34680</v>
      </c>
      <c r="F1155" s="81">
        <v>12.5</v>
      </c>
      <c r="G1155" s="110">
        <f>ROUND(D1155*E1155/F1155,0)</f>
        <v>2774</v>
      </c>
    </row>
    <row r="1156" spans="1:7">
      <c r="A1156" s="95"/>
      <c r="B1156" s="835" t="str">
        <f>'MANO DE OBRA'!B15</f>
        <v xml:space="preserve">OFICIAL CUAD. TIPO AA </v>
      </c>
      <c r="C1156" s="836"/>
      <c r="D1156" s="37">
        <v>1</v>
      </c>
      <c r="E1156" s="82">
        <f>'MANO DE OBRA'!E15</f>
        <v>71474</v>
      </c>
      <c r="F1156" s="83">
        <v>12.5</v>
      </c>
      <c r="G1156" s="111">
        <f>ROUND(D1156*E1156/F1156,0)</f>
        <v>5718</v>
      </c>
    </row>
    <row r="1157" spans="1:7">
      <c r="A1157" s="95"/>
      <c r="B1157" s="835"/>
      <c r="C1157" s="836"/>
      <c r="D1157" s="89"/>
      <c r="E1157" s="82"/>
      <c r="F1157" s="83"/>
      <c r="G1157" s="111"/>
    </row>
    <row r="1158" spans="1:7">
      <c r="A1158" s="95"/>
      <c r="B1158" s="835" t="s">
        <v>841</v>
      </c>
      <c r="C1158" s="836"/>
      <c r="D1158" s="37"/>
      <c r="E1158" s="82"/>
      <c r="F1158" s="83"/>
      <c r="G1158" s="111"/>
    </row>
    <row r="1159" spans="1:7" ht="13.5" thickBot="1">
      <c r="A1159" s="95"/>
      <c r="B1159" s="828" t="s">
        <v>841</v>
      </c>
      <c r="C1159" s="829"/>
      <c r="D1159" s="77"/>
      <c r="E1159" s="82"/>
      <c r="F1159" s="86"/>
      <c r="G1159" s="112"/>
    </row>
    <row r="1160" spans="1:7" ht="14.25" thickTop="1" thickBot="1">
      <c r="A1160" s="95"/>
      <c r="B1160" s="808"/>
      <c r="C1160" s="808"/>
      <c r="D1160" s="808"/>
      <c r="E1160" s="809"/>
      <c r="F1160" s="120" t="s">
        <v>856</v>
      </c>
      <c r="G1160" s="118">
        <f>SUM(G1155:G1159)</f>
        <v>8492</v>
      </c>
    </row>
    <row r="1161" spans="1:7" ht="14.25" thickTop="1" thickBot="1">
      <c r="A1161" s="95"/>
      <c r="B1161" s="810"/>
      <c r="C1161" s="810"/>
      <c r="D1161" s="810"/>
      <c r="E1161" s="810"/>
      <c r="F1161" s="810"/>
      <c r="G1161" s="810"/>
    </row>
    <row r="1162" spans="1:7" ht="13.5" thickTop="1">
      <c r="A1162" s="95"/>
      <c r="B1162" s="811" t="s">
        <v>321</v>
      </c>
      <c r="C1162" s="812"/>
      <c r="D1162" s="812"/>
      <c r="E1162" s="812"/>
      <c r="F1162" s="812"/>
      <c r="G1162" s="825"/>
    </row>
    <row r="1163" spans="1:7">
      <c r="A1163" s="95"/>
      <c r="B1163" s="817" t="s">
        <v>838</v>
      </c>
      <c r="C1163" s="818"/>
      <c r="D1163" s="98" t="s">
        <v>301</v>
      </c>
      <c r="E1163" s="98" t="s">
        <v>297</v>
      </c>
      <c r="F1163" s="99" t="s">
        <v>839</v>
      </c>
      <c r="G1163" s="107" t="s">
        <v>840</v>
      </c>
    </row>
    <row r="1164" spans="1:7">
      <c r="A1164" s="95"/>
      <c r="B1164" s="115"/>
      <c r="C1164" s="102"/>
      <c r="D1164" s="103" t="s">
        <v>322</v>
      </c>
      <c r="E1164" s="103" t="s">
        <v>323</v>
      </c>
      <c r="F1164" s="104" t="s">
        <v>324</v>
      </c>
      <c r="G1164" s="109" t="s">
        <v>325</v>
      </c>
    </row>
    <row r="1165" spans="1:7">
      <c r="A1165" s="95"/>
      <c r="B1165" s="826"/>
      <c r="C1165" s="827"/>
      <c r="D1165" s="96"/>
      <c r="E1165" s="96"/>
      <c r="F1165" s="96"/>
      <c r="G1165" s="116"/>
    </row>
    <row r="1166" spans="1:7" ht="13.5" thickBot="1">
      <c r="A1166" s="95"/>
      <c r="B1166" s="828" t="s">
        <v>841</v>
      </c>
      <c r="C1166" s="829"/>
      <c r="D1166" s="77"/>
      <c r="E1166" s="82"/>
      <c r="F1166" s="86"/>
      <c r="G1166" s="112"/>
    </row>
    <row r="1167" spans="1:7" ht="14.25" thickTop="1" thickBot="1">
      <c r="A1167" s="95"/>
      <c r="B1167" s="808"/>
      <c r="C1167" s="808"/>
      <c r="D1167" s="808"/>
      <c r="E1167" s="809"/>
      <c r="F1167" s="120" t="s">
        <v>856</v>
      </c>
      <c r="G1167" s="118">
        <f>SUM(G1162:G1166)</f>
        <v>0</v>
      </c>
    </row>
    <row r="1168" spans="1:7" ht="14.25" thickTop="1" thickBot="1">
      <c r="A1168" s="95"/>
      <c r="B1168" s="810"/>
      <c r="C1168" s="810"/>
      <c r="D1168" s="810"/>
      <c r="E1168" s="810"/>
      <c r="F1168" s="810"/>
      <c r="G1168" s="834"/>
    </row>
    <row r="1169" spans="1:8" ht="13.5" thickTop="1">
      <c r="A1169" s="95"/>
      <c r="B1169" s="811" t="s">
        <v>326</v>
      </c>
      <c r="C1169" s="812"/>
      <c r="D1169" s="812"/>
      <c r="E1169" s="812"/>
      <c r="F1169" s="813"/>
      <c r="G1169" s="121">
        <f>+G1133+G1149+G1160</f>
        <v>34068</v>
      </c>
    </row>
    <row r="1170" spans="1:8">
      <c r="A1170" s="95"/>
      <c r="B1170" s="814" t="s">
        <v>861</v>
      </c>
      <c r="C1170" s="815"/>
      <c r="D1170" s="815"/>
      <c r="E1170" s="816"/>
      <c r="F1170" s="128">
        <f>'MANO DE OBRA'!D59</f>
        <v>0</v>
      </c>
      <c r="G1170" s="122">
        <f>ROUND(G1169*F1170,0)</f>
        <v>0</v>
      </c>
    </row>
    <row r="1171" spans="1:8" ht="13.5" thickBot="1">
      <c r="A1171" s="95"/>
      <c r="B1171" s="805" t="s">
        <v>1049</v>
      </c>
      <c r="C1171" s="806"/>
      <c r="D1171" s="806"/>
      <c r="E1171" s="806"/>
      <c r="F1171" s="807"/>
      <c r="G1171" s="118">
        <f>ROUND(G1169+G1170,-2)</f>
        <v>34100</v>
      </c>
      <c r="H1171" s="505" t="s">
        <v>1670</v>
      </c>
    </row>
    <row r="1172" spans="1:8" ht="15" thickTop="1">
      <c r="A1172" s="95"/>
      <c r="B1172" s="90" t="s">
        <v>303</v>
      </c>
      <c r="C1172" s="843"/>
      <c r="D1172" s="843"/>
      <c r="E1172" s="843"/>
      <c r="F1172" s="92" t="s">
        <v>781</v>
      </c>
      <c r="G1172" s="93" t="s">
        <v>1067</v>
      </c>
    </row>
    <row r="1173" spans="1:8">
      <c r="A1173" s="95"/>
      <c r="B1173" s="91" t="s">
        <v>834</v>
      </c>
      <c r="C1173" s="844" t="s">
        <v>429</v>
      </c>
      <c r="D1173" s="844"/>
      <c r="E1173" s="844"/>
      <c r="F1173" s="15" t="s">
        <v>833</v>
      </c>
      <c r="G1173" s="165" t="str">
        <f>'MANO DE OBRA'!D61</f>
        <v>Agosto de 2010</v>
      </c>
    </row>
    <row r="1174" spans="1:8" ht="13.5" thickBot="1">
      <c r="A1174" s="127"/>
      <c r="B1174" s="94" t="s">
        <v>835</v>
      </c>
      <c r="C1174" s="845" t="s">
        <v>754</v>
      </c>
      <c r="D1174" s="845"/>
      <c r="E1174" s="845"/>
      <c r="F1174" s="845"/>
      <c r="G1174" s="846"/>
    </row>
    <row r="1175" spans="1:8" ht="14.25" thickTop="1" thickBot="1">
      <c r="A1175" s="95"/>
      <c r="B1175" s="847" t="s">
        <v>1409</v>
      </c>
      <c r="C1175" s="847"/>
      <c r="D1175" s="847"/>
      <c r="E1175" s="847"/>
      <c r="F1175" s="847"/>
      <c r="G1175" s="847"/>
    </row>
    <row r="1176" spans="1:8" ht="13.5" thickTop="1">
      <c r="A1176" s="95"/>
      <c r="B1176" s="811" t="s">
        <v>304</v>
      </c>
      <c r="C1176" s="812"/>
      <c r="D1176" s="812"/>
      <c r="E1176" s="812"/>
      <c r="F1176" s="812"/>
      <c r="G1176" s="825"/>
    </row>
    <row r="1177" spans="1:8">
      <c r="A1177" s="95"/>
      <c r="B1177" s="105"/>
      <c r="C1177" s="97"/>
      <c r="D1177" s="98" t="s">
        <v>301</v>
      </c>
      <c r="E1177" s="98" t="s">
        <v>1072</v>
      </c>
      <c r="F1177" s="99" t="s">
        <v>839</v>
      </c>
      <c r="G1177" s="107" t="s">
        <v>840</v>
      </c>
    </row>
    <row r="1178" spans="1:8">
      <c r="A1178" s="95"/>
      <c r="B1178" s="821" t="s">
        <v>838</v>
      </c>
      <c r="C1178" s="822"/>
      <c r="D1178" s="100" t="s">
        <v>308</v>
      </c>
      <c r="E1178" s="100" t="s">
        <v>305</v>
      </c>
      <c r="F1178" s="101" t="s">
        <v>306</v>
      </c>
      <c r="G1178" s="108" t="s">
        <v>310</v>
      </c>
    </row>
    <row r="1179" spans="1:8">
      <c r="A1179" s="95"/>
      <c r="B1179" s="115"/>
      <c r="C1179" s="102"/>
      <c r="D1179" s="103"/>
      <c r="E1179" s="103" t="s">
        <v>309</v>
      </c>
      <c r="F1179" s="104" t="s">
        <v>307</v>
      </c>
      <c r="G1179" s="109"/>
    </row>
    <row r="1180" spans="1:8">
      <c r="A1180" s="127"/>
      <c r="B1180" s="823" t="str">
        <f>'MAQUINARIA Y EQUIPOS'!C28</f>
        <v>HERRAMIENTAS MENORES</v>
      </c>
      <c r="C1180" s="824"/>
      <c r="D1180" s="87">
        <v>1</v>
      </c>
      <c r="E1180" s="82">
        <f>ROUND(G1213*0.05,0)</f>
        <v>462</v>
      </c>
      <c r="F1180" s="81">
        <v>1</v>
      </c>
      <c r="G1180" s="110">
        <f>ROUND(D1180*E1180/F1180,0)</f>
        <v>462</v>
      </c>
    </row>
    <row r="1181" spans="1:8">
      <c r="A1181" s="95"/>
      <c r="B1181" s="835" t="str">
        <f>'MAQUINARIA Y EQUIPOS'!C9</f>
        <v>ANDAMIO TUBULAR 1.50 m</v>
      </c>
      <c r="C1181" s="836"/>
      <c r="D1181" s="37">
        <v>4</v>
      </c>
      <c r="E1181" s="129">
        <f>'MAQUINARIA Y EQUIPOS'!D9</f>
        <v>754</v>
      </c>
      <c r="F1181" s="83">
        <v>11.5</v>
      </c>
      <c r="G1181" s="111">
        <f>ROUND(D1181*E1181/F1181,0)</f>
        <v>262</v>
      </c>
    </row>
    <row r="1182" spans="1:8">
      <c r="A1182" s="95"/>
      <c r="B1182" s="835" t="str">
        <f>'MAQUINARIA Y EQUIPOS'!C47</f>
        <v>TABLONES 3m</v>
      </c>
      <c r="C1182" s="836"/>
      <c r="D1182" s="37">
        <v>4</v>
      </c>
      <c r="E1182" s="129">
        <f>'MAQUINARIA Y EQUIPOS'!D47</f>
        <v>348</v>
      </c>
      <c r="F1182" s="83">
        <v>11.5</v>
      </c>
      <c r="G1182" s="111">
        <f>ROUND(D1182*E1182/F1182,0)</f>
        <v>121</v>
      </c>
    </row>
    <row r="1183" spans="1:8">
      <c r="A1183" s="95"/>
      <c r="B1183" s="835"/>
      <c r="C1183" s="836"/>
      <c r="D1183" s="89"/>
      <c r="E1183" s="82"/>
      <c r="F1183" s="83"/>
      <c r="G1183" s="111"/>
    </row>
    <row r="1184" spans="1:8">
      <c r="A1184" s="95"/>
      <c r="B1184" s="835" t="s">
        <v>841</v>
      </c>
      <c r="C1184" s="836"/>
      <c r="D1184" s="37"/>
      <c r="E1184" s="82"/>
      <c r="F1184" s="83"/>
      <c r="G1184" s="111"/>
    </row>
    <row r="1185" spans="1:8" ht="13.5" thickBot="1">
      <c r="A1185" s="95"/>
      <c r="B1185" s="839" t="s">
        <v>841</v>
      </c>
      <c r="C1185" s="840"/>
      <c r="D1185" s="77"/>
      <c r="E1185" s="106"/>
      <c r="F1185" s="86"/>
      <c r="G1185" s="112"/>
    </row>
    <row r="1186" spans="1:8" ht="14.25" thickTop="1" thickBot="1">
      <c r="A1186" s="95"/>
      <c r="B1186" s="808"/>
      <c r="C1186" s="808"/>
      <c r="D1186" s="808"/>
      <c r="E1186" s="809"/>
      <c r="F1186" s="119" t="s">
        <v>856</v>
      </c>
      <c r="G1186" s="118">
        <f>SUM(G1180:G1185)</f>
        <v>845</v>
      </c>
    </row>
    <row r="1187" spans="1:8" ht="14.25" thickTop="1" thickBot="1">
      <c r="A1187" s="95"/>
      <c r="B1187" s="830"/>
      <c r="C1187" s="830"/>
      <c r="D1187" s="830"/>
      <c r="E1187" s="830"/>
      <c r="F1187" s="830"/>
      <c r="G1187" s="830"/>
    </row>
    <row r="1188" spans="1:8" ht="13.5" thickTop="1">
      <c r="A1188" s="95"/>
      <c r="B1188" s="811" t="s">
        <v>311</v>
      </c>
      <c r="C1188" s="812"/>
      <c r="D1188" s="812"/>
      <c r="E1188" s="812"/>
      <c r="F1188" s="812"/>
      <c r="G1188" s="825"/>
    </row>
    <row r="1189" spans="1:8">
      <c r="A1189" s="95"/>
      <c r="B1189" s="817" t="s">
        <v>838</v>
      </c>
      <c r="C1189" s="818"/>
      <c r="D1189" s="98" t="s">
        <v>842</v>
      </c>
      <c r="E1189" s="98" t="s">
        <v>853</v>
      </c>
      <c r="F1189" s="99" t="s">
        <v>1047</v>
      </c>
      <c r="G1189" s="107" t="s">
        <v>840</v>
      </c>
    </row>
    <row r="1190" spans="1:8">
      <c r="A1190" s="95"/>
      <c r="B1190" s="115"/>
      <c r="C1190" s="102"/>
      <c r="D1190" s="100"/>
      <c r="E1190" s="100" t="s">
        <v>312</v>
      </c>
      <c r="F1190" s="101" t="s">
        <v>313</v>
      </c>
      <c r="G1190" s="108" t="s">
        <v>314</v>
      </c>
    </row>
    <row r="1191" spans="1:8">
      <c r="A1191" s="125"/>
      <c r="B1191" s="841" t="str">
        <f>MATERIALES2!C388</f>
        <v>TEJA ONDULADA Nº 6</v>
      </c>
      <c r="C1191" s="842"/>
      <c r="D1191" s="87" t="s">
        <v>865</v>
      </c>
      <c r="E1191" s="81">
        <v>0.68</v>
      </c>
      <c r="F1191" s="80">
        <f>MATERIALES2!E388</f>
        <v>21400</v>
      </c>
      <c r="G1191" s="110">
        <f>ROUND(E1191*F1191,0)</f>
        <v>14552</v>
      </c>
    </row>
    <row r="1192" spans="1:8">
      <c r="A1192" s="123"/>
      <c r="B1192" s="854" t="str">
        <f>MATERIALES2!C401</f>
        <v>GANCHO TEJA 150 mm.</v>
      </c>
      <c r="C1192" s="855"/>
      <c r="D1192" s="37" t="s">
        <v>865</v>
      </c>
      <c r="E1192" s="83">
        <v>1.35</v>
      </c>
      <c r="F1192" s="82">
        <f>MATERIALES2!E401</f>
        <v>322</v>
      </c>
      <c r="G1192" s="111">
        <f>ROUND(E1192*F1192,0)</f>
        <v>435</v>
      </c>
    </row>
    <row r="1193" spans="1:8">
      <c r="A1193" s="95"/>
      <c r="B1193" s="854"/>
      <c r="C1193" s="855"/>
      <c r="D1193" s="37"/>
      <c r="E1193" s="53"/>
      <c r="F1193" s="82"/>
      <c r="G1193" s="111"/>
    </row>
    <row r="1194" spans="1:8">
      <c r="A1194" s="95"/>
      <c r="B1194" s="854"/>
      <c r="C1194" s="855"/>
      <c r="D1194" s="37"/>
      <c r="E1194" s="83"/>
      <c r="F1194" s="82"/>
      <c r="G1194" s="111"/>
    </row>
    <row r="1195" spans="1:8">
      <c r="A1195" s="95"/>
      <c r="B1195" s="854"/>
      <c r="C1195" s="855"/>
      <c r="D1195" s="37"/>
      <c r="E1195" s="53"/>
      <c r="F1195" s="82"/>
      <c r="G1195" s="111"/>
    </row>
    <row r="1196" spans="1:8">
      <c r="A1196" s="95"/>
      <c r="B1196" s="854"/>
      <c r="C1196" s="855"/>
      <c r="D1196" s="37"/>
      <c r="E1196" s="53"/>
      <c r="F1196" s="82"/>
      <c r="G1196" s="111"/>
    </row>
    <row r="1197" spans="1:8">
      <c r="A1197" s="95"/>
      <c r="B1197" s="854"/>
      <c r="C1197" s="855"/>
      <c r="D1197" s="37"/>
      <c r="E1197" s="53"/>
      <c r="F1197" s="82"/>
      <c r="G1197" s="111"/>
    </row>
    <row r="1198" spans="1:8">
      <c r="A1198" s="95"/>
      <c r="B1198" s="938" t="s">
        <v>841</v>
      </c>
      <c r="C1198" s="939"/>
      <c r="D1198" s="53" t="s">
        <v>841</v>
      </c>
      <c r="E1198" s="53"/>
      <c r="F1198" s="82"/>
      <c r="G1198" s="111"/>
      <c r="H1198" s="505" t="s">
        <v>1670</v>
      </c>
    </row>
    <row r="1199" spans="1:8" ht="13.5" thickBot="1">
      <c r="A1199" s="95"/>
      <c r="B1199" s="942" t="s">
        <v>841</v>
      </c>
      <c r="C1199" s="943"/>
      <c r="D1199" s="84" t="s">
        <v>841</v>
      </c>
      <c r="E1199" s="84"/>
      <c r="F1199" s="85"/>
      <c r="G1199" s="112"/>
    </row>
    <row r="1200" spans="1:8" ht="13.5" thickTop="1">
      <c r="A1200" s="95"/>
      <c r="B1200" s="808"/>
      <c r="C1200" s="809"/>
      <c r="D1200" s="801" t="s">
        <v>856</v>
      </c>
      <c r="E1200" s="802"/>
      <c r="F1200" s="9"/>
      <c r="G1200" s="113">
        <f>SUM(G1191:G1199)</f>
        <v>14987</v>
      </c>
    </row>
    <row r="1201" spans="1:7">
      <c r="A1201" s="95"/>
      <c r="B1201" s="819"/>
      <c r="C1201" s="820"/>
      <c r="D1201" s="801" t="s">
        <v>857</v>
      </c>
      <c r="E1201" s="802"/>
      <c r="F1201" s="79">
        <f>'MANO DE OBRA'!D60</f>
        <v>0.05</v>
      </c>
      <c r="G1201" s="113">
        <f>ROUND(G1200*F1201,0)</f>
        <v>749</v>
      </c>
    </row>
    <row r="1202" spans="1:7" ht="13.5" thickBot="1">
      <c r="A1202" s="95"/>
      <c r="B1202" s="819"/>
      <c r="C1202" s="820"/>
      <c r="D1202" s="803" t="s">
        <v>320</v>
      </c>
      <c r="E1202" s="804"/>
      <c r="F1202" s="114"/>
      <c r="G1202" s="118">
        <f>+G1200+G1201</f>
        <v>15736</v>
      </c>
    </row>
    <row r="1203" spans="1:7" ht="14.25" thickTop="1" thickBot="1">
      <c r="A1203" s="95"/>
      <c r="B1203" s="830"/>
      <c r="C1203" s="830"/>
      <c r="D1203" s="830"/>
      <c r="E1203" s="830"/>
      <c r="F1203" s="830"/>
      <c r="G1203" s="830"/>
    </row>
    <row r="1204" spans="1:7" ht="13.5" thickTop="1">
      <c r="A1204" s="95"/>
      <c r="B1204" s="811" t="s">
        <v>858</v>
      </c>
      <c r="C1204" s="812"/>
      <c r="D1204" s="812"/>
      <c r="E1204" s="812"/>
      <c r="F1204" s="812"/>
      <c r="G1204" s="825"/>
    </row>
    <row r="1205" spans="1:7">
      <c r="A1205" s="95"/>
      <c r="B1205" s="817"/>
      <c r="C1205" s="818"/>
      <c r="D1205" s="98" t="s">
        <v>301</v>
      </c>
      <c r="E1205" s="98" t="s">
        <v>859</v>
      </c>
      <c r="F1205" s="99" t="s">
        <v>839</v>
      </c>
      <c r="G1205" s="107" t="s">
        <v>840</v>
      </c>
    </row>
    <row r="1206" spans="1:7">
      <c r="A1206" s="95"/>
      <c r="B1206" s="821" t="s">
        <v>838</v>
      </c>
      <c r="C1206" s="822"/>
      <c r="D1206" s="100" t="s">
        <v>316</v>
      </c>
      <c r="E1206" s="100" t="s">
        <v>315</v>
      </c>
      <c r="F1206" s="101" t="s">
        <v>306</v>
      </c>
      <c r="G1206" s="108" t="s">
        <v>319</v>
      </c>
    </row>
    <row r="1207" spans="1:7">
      <c r="A1207" s="95"/>
      <c r="B1207" s="115"/>
      <c r="C1207" s="102"/>
      <c r="D1207" s="103"/>
      <c r="E1207" s="103" t="s">
        <v>317</v>
      </c>
      <c r="F1207" s="104" t="s">
        <v>318</v>
      </c>
      <c r="G1207" s="109"/>
    </row>
    <row r="1208" spans="1:7">
      <c r="A1208" s="95"/>
      <c r="B1208" s="823" t="str">
        <f>'MANO DE OBRA'!B10</f>
        <v>AYUDANTE CUAD. TIPO AA</v>
      </c>
      <c r="C1208" s="824"/>
      <c r="D1208" s="87">
        <v>1</v>
      </c>
      <c r="E1208" s="80">
        <f>'MANO DE OBRA'!E10</f>
        <v>34680</v>
      </c>
      <c r="F1208" s="81">
        <v>11.5</v>
      </c>
      <c r="G1208" s="110">
        <f>ROUND(D1208*E1208/F1208,0)</f>
        <v>3016</v>
      </c>
    </row>
    <row r="1209" spans="1:7">
      <c r="A1209" s="95"/>
      <c r="B1209" s="835" t="str">
        <f>'MANO DE OBRA'!B15</f>
        <v xml:space="preserve">OFICIAL CUAD. TIPO AA </v>
      </c>
      <c r="C1209" s="836"/>
      <c r="D1209" s="37">
        <v>1</v>
      </c>
      <c r="E1209" s="82">
        <f>'MANO DE OBRA'!E15</f>
        <v>71474</v>
      </c>
      <c r="F1209" s="83">
        <v>11.5</v>
      </c>
      <c r="G1209" s="111">
        <f>ROUND(D1209*E1209/F1209,0)</f>
        <v>6215</v>
      </c>
    </row>
    <row r="1210" spans="1:7">
      <c r="A1210" s="95"/>
      <c r="B1210" s="835"/>
      <c r="C1210" s="836"/>
      <c r="D1210" s="89"/>
      <c r="E1210" s="82"/>
      <c r="F1210" s="83"/>
      <c r="G1210" s="111"/>
    </row>
    <row r="1211" spans="1:7">
      <c r="A1211" s="95"/>
      <c r="B1211" s="835" t="s">
        <v>841</v>
      </c>
      <c r="C1211" s="836"/>
      <c r="D1211" s="37"/>
      <c r="E1211" s="82"/>
      <c r="F1211" s="83"/>
      <c r="G1211" s="111"/>
    </row>
    <row r="1212" spans="1:7" ht="13.5" thickBot="1">
      <c r="A1212" s="95"/>
      <c r="B1212" s="828" t="s">
        <v>841</v>
      </c>
      <c r="C1212" s="829"/>
      <c r="D1212" s="77"/>
      <c r="E1212" s="82"/>
      <c r="F1212" s="86"/>
      <c r="G1212" s="112"/>
    </row>
    <row r="1213" spans="1:7" ht="14.25" thickTop="1" thickBot="1">
      <c r="A1213" s="95"/>
      <c r="B1213" s="808"/>
      <c r="C1213" s="808"/>
      <c r="D1213" s="808"/>
      <c r="E1213" s="809"/>
      <c r="F1213" s="120" t="s">
        <v>856</v>
      </c>
      <c r="G1213" s="118">
        <f>SUM(G1208:G1212)</f>
        <v>9231</v>
      </c>
    </row>
    <row r="1214" spans="1:7" ht="14.25" thickTop="1" thickBot="1">
      <c r="A1214" s="95"/>
      <c r="B1214" s="810"/>
      <c r="C1214" s="810"/>
      <c r="D1214" s="810"/>
      <c r="E1214" s="810"/>
      <c r="F1214" s="810"/>
      <c r="G1214" s="810"/>
    </row>
    <row r="1215" spans="1:7" ht="13.5" thickTop="1">
      <c r="A1215" s="95"/>
      <c r="B1215" s="811" t="s">
        <v>321</v>
      </c>
      <c r="C1215" s="812"/>
      <c r="D1215" s="812"/>
      <c r="E1215" s="812"/>
      <c r="F1215" s="812"/>
      <c r="G1215" s="825"/>
    </row>
    <row r="1216" spans="1:7">
      <c r="A1216" s="95"/>
      <c r="B1216" s="817" t="s">
        <v>838</v>
      </c>
      <c r="C1216" s="818"/>
      <c r="D1216" s="98" t="s">
        <v>301</v>
      </c>
      <c r="E1216" s="98" t="s">
        <v>297</v>
      </c>
      <c r="F1216" s="99" t="s">
        <v>839</v>
      </c>
      <c r="G1216" s="107" t="s">
        <v>840</v>
      </c>
    </row>
    <row r="1217" spans="1:8">
      <c r="A1217" s="95"/>
      <c r="B1217" s="115"/>
      <c r="C1217" s="102"/>
      <c r="D1217" s="103" t="s">
        <v>322</v>
      </c>
      <c r="E1217" s="103" t="s">
        <v>323</v>
      </c>
      <c r="F1217" s="104" t="s">
        <v>324</v>
      </c>
      <c r="G1217" s="109" t="s">
        <v>325</v>
      </c>
    </row>
    <row r="1218" spans="1:8">
      <c r="A1218" s="95"/>
      <c r="B1218" s="826"/>
      <c r="C1218" s="827"/>
      <c r="D1218" s="96"/>
      <c r="E1218" s="96"/>
      <c r="F1218" s="96"/>
      <c r="G1218" s="116"/>
    </row>
    <row r="1219" spans="1:8" ht="13.5" thickBot="1">
      <c r="A1219" s="95"/>
      <c r="B1219" s="828" t="s">
        <v>841</v>
      </c>
      <c r="C1219" s="829"/>
      <c r="D1219" s="77"/>
      <c r="E1219" s="82"/>
      <c r="F1219" s="86"/>
      <c r="G1219" s="112"/>
    </row>
    <row r="1220" spans="1:8" ht="14.25" thickTop="1" thickBot="1">
      <c r="A1220" s="95"/>
      <c r="B1220" s="808"/>
      <c r="C1220" s="808"/>
      <c r="D1220" s="808"/>
      <c r="E1220" s="809"/>
      <c r="F1220" s="120" t="s">
        <v>856</v>
      </c>
      <c r="G1220" s="118">
        <f>SUM(G1215:G1219)</f>
        <v>0</v>
      </c>
    </row>
    <row r="1221" spans="1:8" ht="14.25" thickTop="1" thickBot="1">
      <c r="A1221" s="95"/>
      <c r="B1221" s="810"/>
      <c r="C1221" s="810"/>
      <c r="D1221" s="810"/>
      <c r="E1221" s="810"/>
      <c r="F1221" s="810"/>
      <c r="G1221" s="834"/>
    </row>
    <row r="1222" spans="1:8" ht="13.5" thickTop="1">
      <c r="A1222" s="95"/>
      <c r="B1222" s="811" t="s">
        <v>326</v>
      </c>
      <c r="C1222" s="812"/>
      <c r="D1222" s="812"/>
      <c r="E1222" s="812"/>
      <c r="F1222" s="813"/>
      <c r="G1222" s="121">
        <f>+G1186+G1202+G1213</f>
        <v>25812</v>
      </c>
    </row>
    <row r="1223" spans="1:8">
      <c r="A1223" s="95"/>
      <c r="B1223" s="814" t="s">
        <v>861</v>
      </c>
      <c r="C1223" s="815"/>
      <c r="D1223" s="815"/>
      <c r="E1223" s="816"/>
      <c r="F1223" s="128">
        <f>'MANO DE OBRA'!D59</f>
        <v>0</v>
      </c>
      <c r="G1223" s="122">
        <f>ROUND(G1222*F1223,0)</f>
        <v>0</v>
      </c>
    </row>
    <row r="1224" spans="1:8" ht="13.5" thickBot="1">
      <c r="A1224" s="95"/>
      <c r="B1224" s="805" t="s">
        <v>1049</v>
      </c>
      <c r="C1224" s="806"/>
      <c r="D1224" s="806"/>
      <c r="E1224" s="806"/>
      <c r="F1224" s="807"/>
      <c r="G1224" s="118">
        <f>ROUND(G1222+G1223,-2)</f>
        <v>25800</v>
      </c>
      <c r="H1224" s="505" t="s">
        <v>1670</v>
      </c>
    </row>
    <row r="1225" spans="1:8" ht="15" thickTop="1">
      <c r="A1225" s="95"/>
      <c r="B1225" s="90" t="s">
        <v>303</v>
      </c>
      <c r="C1225" s="843"/>
      <c r="D1225" s="843"/>
      <c r="E1225" s="843"/>
      <c r="F1225" s="92" t="s">
        <v>781</v>
      </c>
      <c r="G1225" s="93" t="s">
        <v>1067</v>
      </c>
    </row>
    <row r="1226" spans="1:8">
      <c r="A1226" s="95"/>
      <c r="B1226" s="91" t="s">
        <v>834</v>
      </c>
      <c r="C1226" s="844" t="s">
        <v>1408</v>
      </c>
      <c r="D1226" s="844"/>
      <c r="E1226" s="844"/>
      <c r="F1226" s="15" t="s">
        <v>833</v>
      </c>
      <c r="G1226" s="165" t="str">
        <f>'MANO DE OBRA'!D61</f>
        <v>Agosto de 2010</v>
      </c>
    </row>
    <row r="1227" spans="1:8" ht="13.5" thickBot="1">
      <c r="A1227" s="127"/>
      <c r="B1227" s="94" t="s">
        <v>835</v>
      </c>
      <c r="C1227" s="845" t="s">
        <v>218</v>
      </c>
      <c r="D1227" s="845"/>
      <c r="E1227" s="845"/>
      <c r="F1227" s="845"/>
      <c r="G1227" s="846"/>
    </row>
    <row r="1228" spans="1:8" ht="14.25" thickTop="1" thickBot="1">
      <c r="A1228" s="95"/>
      <c r="B1228" s="847" t="s">
        <v>1409</v>
      </c>
      <c r="C1228" s="847"/>
      <c r="D1228" s="847"/>
      <c r="E1228" s="847"/>
      <c r="F1228" s="847"/>
      <c r="G1228" s="847"/>
    </row>
    <row r="1229" spans="1:8" ht="13.5" thickTop="1">
      <c r="A1229" s="95"/>
      <c r="B1229" s="811" t="s">
        <v>304</v>
      </c>
      <c r="C1229" s="812"/>
      <c r="D1229" s="812"/>
      <c r="E1229" s="812"/>
      <c r="F1229" s="812"/>
      <c r="G1229" s="825"/>
    </row>
    <row r="1230" spans="1:8">
      <c r="A1230" s="95"/>
      <c r="B1230" s="105"/>
      <c r="C1230" s="97"/>
      <c r="D1230" s="98" t="s">
        <v>301</v>
      </c>
      <c r="E1230" s="98" t="s">
        <v>1072</v>
      </c>
      <c r="F1230" s="99" t="s">
        <v>839</v>
      </c>
      <c r="G1230" s="107" t="s">
        <v>840</v>
      </c>
    </row>
    <row r="1231" spans="1:8">
      <c r="A1231" s="95"/>
      <c r="B1231" s="821" t="s">
        <v>838</v>
      </c>
      <c r="C1231" s="822"/>
      <c r="D1231" s="100" t="s">
        <v>308</v>
      </c>
      <c r="E1231" s="100" t="s">
        <v>305</v>
      </c>
      <c r="F1231" s="101" t="s">
        <v>306</v>
      </c>
      <c r="G1231" s="108" t="s">
        <v>310</v>
      </c>
    </row>
    <row r="1232" spans="1:8">
      <c r="A1232" s="95"/>
      <c r="B1232" s="115"/>
      <c r="C1232" s="102"/>
      <c r="D1232" s="103"/>
      <c r="E1232" s="103" t="s">
        <v>309</v>
      </c>
      <c r="F1232" s="104" t="s">
        <v>307</v>
      </c>
      <c r="G1232" s="109"/>
    </row>
    <row r="1233" spans="1:7">
      <c r="A1233" s="127"/>
      <c r="B1233" s="823" t="str">
        <f>'MAQUINARIA Y EQUIPOS'!C28</f>
        <v>HERRAMIENTAS MENORES</v>
      </c>
      <c r="C1233" s="824"/>
      <c r="D1233" s="87">
        <v>1</v>
      </c>
      <c r="E1233" s="82">
        <f>ROUND(G1266*0.05,0)</f>
        <v>559</v>
      </c>
      <c r="F1233" s="81">
        <v>1</v>
      </c>
      <c r="G1233" s="110">
        <f>ROUND(D1233*E1233/F1233,0)</f>
        <v>559</v>
      </c>
    </row>
    <row r="1234" spans="1:7">
      <c r="A1234" s="95"/>
      <c r="B1234" s="835" t="str">
        <f>'MAQUINARIA Y EQUIPOS'!C9</f>
        <v>ANDAMIO TUBULAR 1.50 m</v>
      </c>
      <c r="C1234" s="836"/>
      <c r="D1234" s="37">
        <v>4</v>
      </c>
      <c r="E1234" s="129">
        <f>'MAQUINARIA Y EQUIPOS'!D9</f>
        <v>754</v>
      </c>
      <c r="F1234" s="83">
        <v>10</v>
      </c>
      <c r="G1234" s="111">
        <f>ROUND(D1234*E1234/F1234,0)</f>
        <v>302</v>
      </c>
    </row>
    <row r="1235" spans="1:7">
      <c r="A1235" s="95"/>
      <c r="B1235" s="835" t="str">
        <f>'MAQUINARIA Y EQUIPOS'!C47</f>
        <v>TABLONES 3m</v>
      </c>
      <c r="C1235" s="836"/>
      <c r="D1235" s="37">
        <v>4</v>
      </c>
      <c r="E1235" s="129">
        <f>'MAQUINARIA Y EQUIPOS'!D47</f>
        <v>348</v>
      </c>
      <c r="F1235" s="83">
        <v>10</v>
      </c>
      <c r="G1235" s="111">
        <f>ROUND(D1235*E1235/F1235,0)</f>
        <v>139</v>
      </c>
    </row>
    <row r="1236" spans="1:7">
      <c r="A1236" s="95"/>
      <c r="B1236" s="835"/>
      <c r="C1236" s="836"/>
      <c r="D1236" s="89"/>
      <c r="E1236" s="82"/>
      <c r="F1236" s="83"/>
      <c r="G1236" s="111"/>
    </row>
    <row r="1237" spans="1:7">
      <c r="A1237" s="95"/>
      <c r="B1237" s="835" t="s">
        <v>841</v>
      </c>
      <c r="C1237" s="836"/>
      <c r="D1237" s="37"/>
      <c r="E1237" s="82"/>
      <c r="F1237" s="83"/>
      <c r="G1237" s="111"/>
    </row>
    <row r="1238" spans="1:7" ht="13.5" thickBot="1">
      <c r="A1238" s="95"/>
      <c r="B1238" s="839" t="s">
        <v>841</v>
      </c>
      <c r="C1238" s="840"/>
      <c r="D1238" s="77"/>
      <c r="E1238" s="106"/>
      <c r="F1238" s="86"/>
      <c r="G1238" s="112"/>
    </row>
    <row r="1239" spans="1:7" ht="14.25" thickTop="1" thickBot="1">
      <c r="A1239" s="95"/>
      <c r="B1239" s="808"/>
      <c r="C1239" s="808"/>
      <c r="D1239" s="808"/>
      <c r="E1239" s="809"/>
      <c r="F1239" s="119" t="s">
        <v>856</v>
      </c>
      <c r="G1239" s="118">
        <f>SUM(G1233:G1238)</f>
        <v>1000</v>
      </c>
    </row>
    <row r="1240" spans="1:7" ht="14.25" thickTop="1" thickBot="1">
      <c r="A1240" s="95"/>
      <c r="B1240" s="830"/>
      <c r="C1240" s="830"/>
      <c r="D1240" s="830"/>
      <c r="E1240" s="830"/>
      <c r="F1240" s="830"/>
      <c r="G1240" s="830"/>
    </row>
    <row r="1241" spans="1:7" ht="13.5" thickTop="1">
      <c r="A1241" s="95"/>
      <c r="B1241" s="811" t="s">
        <v>311</v>
      </c>
      <c r="C1241" s="812"/>
      <c r="D1241" s="812"/>
      <c r="E1241" s="812"/>
      <c r="F1241" s="812"/>
      <c r="G1241" s="825"/>
    </row>
    <row r="1242" spans="1:7">
      <c r="A1242" s="95"/>
      <c r="B1242" s="817" t="s">
        <v>838</v>
      </c>
      <c r="C1242" s="818"/>
      <c r="D1242" s="98" t="s">
        <v>842</v>
      </c>
      <c r="E1242" s="98" t="s">
        <v>853</v>
      </c>
      <c r="F1242" s="99" t="s">
        <v>1047</v>
      </c>
      <c r="G1242" s="107" t="s">
        <v>840</v>
      </c>
    </row>
    <row r="1243" spans="1:7">
      <c r="A1243" s="95"/>
      <c r="B1243" s="115"/>
      <c r="C1243" s="102"/>
      <c r="D1243" s="100"/>
      <c r="E1243" s="100" t="s">
        <v>312</v>
      </c>
      <c r="F1243" s="101" t="s">
        <v>313</v>
      </c>
      <c r="G1243" s="108" t="s">
        <v>314</v>
      </c>
    </row>
    <row r="1244" spans="1:7">
      <c r="A1244" s="125"/>
      <c r="B1244" s="841" t="str">
        <f>MATERIALES2!C389</f>
        <v>TEJA ONDULADA Nº 8</v>
      </c>
      <c r="C1244" s="842"/>
      <c r="D1244" s="87" t="s">
        <v>865</v>
      </c>
      <c r="E1244" s="81">
        <v>0.5</v>
      </c>
      <c r="F1244" s="80">
        <f>MATERIALES2!E389</f>
        <v>26700</v>
      </c>
      <c r="G1244" s="110">
        <f>ROUND(E1244*F1244,0)</f>
        <v>13350</v>
      </c>
    </row>
    <row r="1245" spans="1:7">
      <c r="A1245" s="123"/>
      <c r="B1245" s="854" t="str">
        <f>MATERIALES2!C401</f>
        <v>GANCHO TEJA 150 mm.</v>
      </c>
      <c r="C1245" s="855"/>
      <c r="D1245" s="37" t="s">
        <v>865</v>
      </c>
      <c r="E1245" s="83">
        <v>0.99</v>
      </c>
      <c r="F1245" s="82">
        <f>MATERIALES2!E401</f>
        <v>322</v>
      </c>
      <c r="G1245" s="111">
        <f>ROUND(E1245*F1245,0)</f>
        <v>319</v>
      </c>
    </row>
    <row r="1246" spans="1:7">
      <c r="A1246" s="95"/>
      <c r="B1246" s="854"/>
      <c r="C1246" s="855"/>
      <c r="D1246" s="37"/>
      <c r="E1246" s="53"/>
      <c r="F1246" s="82"/>
      <c r="G1246" s="111"/>
    </row>
    <row r="1247" spans="1:7">
      <c r="A1247" s="95"/>
      <c r="B1247" s="854"/>
      <c r="C1247" s="855"/>
      <c r="D1247" s="37"/>
      <c r="E1247" s="83"/>
      <c r="F1247" s="82"/>
      <c r="G1247" s="111"/>
    </row>
    <row r="1248" spans="1:7">
      <c r="A1248" s="95"/>
      <c r="B1248" s="854"/>
      <c r="C1248" s="855"/>
      <c r="D1248" s="37"/>
      <c r="E1248" s="53"/>
      <c r="F1248" s="82"/>
      <c r="G1248" s="111"/>
    </row>
    <row r="1249" spans="1:8">
      <c r="A1249" s="95"/>
      <c r="B1249" s="854"/>
      <c r="C1249" s="855"/>
      <c r="D1249" s="37"/>
      <c r="E1249" s="53"/>
      <c r="F1249" s="82"/>
      <c r="G1249" s="111"/>
    </row>
    <row r="1250" spans="1:8">
      <c r="A1250" s="95"/>
      <c r="B1250" s="854"/>
      <c r="C1250" s="855"/>
      <c r="D1250" s="37"/>
      <c r="E1250" s="53"/>
      <c r="F1250" s="82"/>
      <c r="G1250" s="111"/>
    </row>
    <row r="1251" spans="1:8">
      <c r="A1251" s="95"/>
      <c r="B1251" s="938" t="s">
        <v>841</v>
      </c>
      <c r="C1251" s="939"/>
      <c r="D1251" s="53" t="s">
        <v>841</v>
      </c>
      <c r="E1251" s="53"/>
      <c r="F1251" s="82"/>
      <c r="G1251" s="111"/>
      <c r="H1251" s="505" t="s">
        <v>1670</v>
      </c>
    </row>
    <row r="1252" spans="1:8" ht="13.5" thickBot="1">
      <c r="A1252" s="95"/>
      <c r="B1252" s="942" t="s">
        <v>841</v>
      </c>
      <c r="C1252" s="943"/>
      <c r="D1252" s="84" t="s">
        <v>841</v>
      </c>
      <c r="E1252" s="84"/>
      <c r="F1252" s="85"/>
      <c r="G1252" s="112"/>
    </row>
    <row r="1253" spans="1:8" ht="13.5" thickTop="1">
      <c r="A1253" s="95"/>
      <c r="B1253" s="808"/>
      <c r="C1253" s="809"/>
      <c r="D1253" s="801" t="s">
        <v>856</v>
      </c>
      <c r="E1253" s="802"/>
      <c r="F1253" s="9"/>
      <c r="G1253" s="113">
        <f>SUM(G1244:G1252)</f>
        <v>13669</v>
      </c>
    </row>
    <row r="1254" spans="1:8">
      <c r="A1254" s="95"/>
      <c r="B1254" s="819"/>
      <c r="C1254" s="820"/>
      <c r="D1254" s="801" t="s">
        <v>857</v>
      </c>
      <c r="E1254" s="802"/>
      <c r="F1254" s="79">
        <f>'MANO DE OBRA'!D60</f>
        <v>0.05</v>
      </c>
      <c r="G1254" s="113">
        <f>ROUND(G1253*F1254,0)</f>
        <v>683</v>
      </c>
    </row>
    <row r="1255" spans="1:8" ht="13.5" thickBot="1">
      <c r="A1255" s="95"/>
      <c r="B1255" s="819"/>
      <c r="C1255" s="820"/>
      <c r="D1255" s="803" t="s">
        <v>320</v>
      </c>
      <c r="E1255" s="804"/>
      <c r="F1255" s="114"/>
      <c r="G1255" s="118">
        <f>+G1253+G1254</f>
        <v>14352</v>
      </c>
    </row>
    <row r="1256" spans="1:8" ht="14.25" thickTop="1" thickBot="1">
      <c r="A1256" s="95"/>
      <c r="B1256" s="830"/>
      <c r="C1256" s="830"/>
      <c r="D1256" s="830"/>
      <c r="E1256" s="830"/>
      <c r="F1256" s="830"/>
      <c r="G1256" s="830"/>
    </row>
    <row r="1257" spans="1:8" ht="13.5" thickTop="1">
      <c r="A1257" s="95"/>
      <c r="B1257" s="811" t="s">
        <v>858</v>
      </c>
      <c r="C1257" s="812"/>
      <c r="D1257" s="812"/>
      <c r="E1257" s="812"/>
      <c r="F1257" s="812"/>
      <c r="G1257" s="825"/>
    </row>
    <row r="1258" spans="1:8">
      <c r="A1258" s="95"/>
      <c r="B1258" s="817"/>
      <c r="C1258" s="818"/>
      <c r="D1258" s="98" t="s">
        <v>301</v>
      </c>
      <c r="E1258" s="98" t="s">
        <v>859</v>
      </c>
      <c r="F1258" s="99" t="s">
        <v>839</v>
      </c>
      <c r="G1258" s="107" t="s">
        <v>840</v>
      </c>
    </row>
    <row r="1259" spans="1:8">
      <c r="A1259" s="95"/>
      <c r="B1259" s="821" t="s">
        <v>838</v>
      </c>
      <c r="C1259" s="822"/>
      <c r="D1259" s="100" t="s">
        <v>316</v>
      </c>
      <c r="E1259" s="100" t="s">
        <v>315</v>
      </c>
      <c r="F1259" s="101" t="s">
        <v>306</v>
      </c>
      <c r="G1259" s="108" t="s">
        <v>319</v>
      </c>
    </row>
    <row r="1260" spans="1:8">
      <c r="A1260" s="95"/>
      <c r="B1260" s="115"/>
      <c r="C1260" s="102"/>
      <c r="D1260" s="103"/>
      <c r="E1260" s="103" t="s">
        <v>317</v>
      </c>
      <c r="F1260" s="104" t="s">
        <v>318</v>
      </c>
      <c r="G1260" s="109"/>
    </row>
    <row r="1261" spans="1:8">
      <c r="A1261" s="95"/>
      <c r="B1261" s="823" t="str">
        <f>'MANO DE OBRA'!B10</f>
        <v>AYUDANTE CUAD. TIPO AA</v>
      </c>
      <c r="C1261" s="824"/>
      <c r="D1261" s="87">
        <v>1</v>
      </c>
      <c r="E1261" s="80">
        <f>'MANO DE OBRA'!E10</f>
        <v>34680</v>
      </c>
      <c r="F1261" s="81">
        <v>9.5</v>
      </c>
      <c r="G1261" s="110">
        <f>ROUND(D1261*E1261/F1261,0)</f>
        <v>3651</v>
      </c>
    </row>
    <row r="1262" spans="1:8">
      <c r="A1262" s="95"/>
      <c r="B1262" s="835" t="str">
        <f>'MANO DE OBRA'!B15</f>
        <v xml:space="preserve">OFICIAL CUAD. TIPO AA </v>
      </c>
      <c r="C1262" s="836"/>
      <c r="D1262" s="37">
        <v>1</v>
      </c>
      <c r="E1262" s="82">
        <f>'MANO DE OBRA'!E15</f>
        <v>71474</v>
      </c>
      <c r="F1262" s="83">
        <v>9.5</v>
      </c>
      <c r="G1262" s="111">
        <f>ROUND(D1262*E1262/F1262,0)</f>
        <v>7524</v>
      </c>
    </row>
    <row r="1263" spans="1:8">
      <c r="A1263" s="95"/>
      <c r="B1263" s="835"/>
      <c r="C1263" s="836"/>
      <c r="D1263" s="89"/>
      <c r="E1263" s="82"/>
      <c r="F1263" s="83"/>
      <c r="G1263" s="111"/>
    </row>
    <row r="1264" spans="1:8">
      <c r="A1264" s="95"/>
      <c r="B1264" s="835" t="s">
        <v>841</v>
      </c>
      <c r="C1264" s="836"/>
      <c r="D1264" s="37"/>
      <c r="E1264" s="82"/>
      <c r="F1264" s="83"/>
      <c r="G1264" s="111"/>
    </row>
    <row r="1265" spans="1:8" ht="13.5" thickBot="1">
      <c r="A1265" s="95"/>
      <c r="B1265" s="828" t="s">
        <v>841</v>
      </c>
      <c r="C1265" s="829"/>
      <c r="D1265" s="77"/>
      <c r="E1265" s="82"/>
      <c r="F1265" s="86"/>
      <c r="G1265" s="112"/>
    </row>
    <row r="1266" spans="1:8" ht="14.25" thickTop="1" thickBot="1">
      <c r="A1266" s="95"/>
      <c r="B1266" s="808"/>
      <c r="C1266" s="808"/>
      <c r="D1266" s="808"/>
      <c r="E1266" s="809"/>
      <c r="F1266" s="120" t="s">
        <v>856</v>
      </c>
      <c r="G1266" s="118">
        <f>SUM(G1261:G1265)</f>
        <v>11175</v>
      </c>
    </row>
    <row r="1267" spans="1:8" ht="14.25" thickTop="1" thickBot="1">
      <c r="A1267" s="95"/>
      <c r="B1267" s="810"/>
      <c r="C1267" s="810"/>
      <c r="D1267" s="810"/>
      <c r="E1267" s="810"/>
      <c r="F1267" s="810"/>
      <c r="G1267" s="810"/>
    </row>
    <row r="1268" spans="1:8" ht="13.5" thickTop="1">
      <c r="A1268" s="95"/>
      <c r="B1268" s="811" t="s">
        <v>321</v>
      </c>
      <c r="C1268" s="812"/>
      <c r="D1268" s="812"/>
      <c r="E1268" s="812"/>
      <c r="F1268" s="812"/>
      <c r="G1268" s="825"/>
    </row>
    <row r="1269" spans="1:8">
      <c r="A1269" s="95"/>
      <c r="B1269" s="817" t="s">
        <v>838</v>
      </c>
      <c r="C1269" s="818"/>
      <c r="D1269" s="98" t="s">
        <v>301</v>
      </c>
      <c r="E1269" s="98" t="s">
        <v>297</v>
      </c>
      <c r="F1269" s="99" t="s">
        <v>839</v>
      </c>
      <c r="G1269" s="107" t="s">
        <v>840</v>
      </c>
    </row>
    <row r="1270" spans="1:8">
      <c r="A1270" s="95"/>
      <c r="B1270" s="115"/>
      <c r="C1270" s="102"/>
      <c r="D1270" s="103" t="s">
        <v>322</v>
      </c>
      <c r="E1270" s="103" t="s">
        <v>323</v>
      </c>
      <c r="F1270" s="104" t="s">
        <v>324</v>
      </c>
      <c r="G1270" s="109" t="s">
        <v>325</v>
      </c>
    </row>
    <row r="1271" spans="1:8">
      <c r="A1271" s="95"/>
      <c r="B1271" s="826"/>
      <c r="C1271" s="827"/>
      <c r="D1271" s="96"/>
      <c r="E1271" s="96"/>
      <c r="F1271" s="96"/>
      <c r="G1271" s="116"/>
    </row>
    <row r="1272" spans="1:8" ht="13.5" thickBot="1">
      <c r="A1272" s="95"/>
      <c r="B1272" s="828" t="s">
        <v>841</v>
      </c>
      <c r="C1272" s="829"/>
      <c r="D1272" s="77"/>
      <c r="E1272" s="82"/>
      <c r="F1272" s="86"/>
      <c r="G1272" s="112"/>
    </row>
    <row r="1273" spans="1:8" ht="14.25" thickTop="1" thickBot="1">
      <c r="A1273" s="95"/>
      <c r="B1273" s="808"/>
      <c r="C1273" s="808"/>
      <c r="D1273" s="808"/>
      <c r="E1273" s="809"/>
      <c r="F1273" s="120" t="s">
        <v>856</v>
      </c>
      <c r="G1273" s="118">
        <f>SUM(G1268:G1272)</f>
        <v>0</v>
      </c>
    </row>
    <row r="1274" spans="1:8" ht="14.25" thickTop="1" thickBot="1">
      <c r="A1274" s="95"/>
      <c r="B1274" s="810"/>
      <c r="C1274" s="810"/>
      <c r="D1274" s="810"/>
      <c r="E1274" s="810"/>
      <c r="F1274" s="810"/>
      <c r="G1274" s="834"/>
    </row>
    <row r="1275" spans="1:8" ht="13.5" thickTop="1">
      <c r="A1275" s="95"/>
      <c r="B1275" s="811" t="s">
        <v>326</v>
      </c>
      <c r="C1275" s="812"/>
      <c r="D1275" s="812"/>
      <c r="E1275" s="812"/>
      <c r="F1275" s="813"/>
      <c r="G1275" s="121">
        <f>+G1239+G1255+G1266</f>
        <v>26527</v>
      </c>
    </row>
    <row r="1276" spans="1:8">
      <c r="A1276" s="95"/>
      <c r="B1276" s="814" t="s">
        <v>861</v>
      </c>
      <c r="C1276" s="815"/>
      <c r="D1276" s="815"/>
      <c r="E1276" s="816"/>
      <c r="F1276" s="128">
        <f>'MANO DE OBRA'!D59</f>
        <v>0</v>
      </c>
      <c r="G1276" s="122">
        <f>ROUND(G1275*F1276,0)</f>
        <v>0</v>
      </c>
    </row>
    <row r="1277" spans="1:8" ht="13.5" thickBot="1">
      <c r="A1277" s="95"/>
      <c r="B1277" s="805" t="s">
        <v>1049</v>
      </c>
      <c r="C1277" s="806"/>
      <c r="D1277" s="806"/>
      <c r="E1277" s="806"/>
      <c r="F1277" s="807"/>
      <c r="G1277" s="118">
        <f>ROUND(G1275+G1276,-2)</f>
        <v>26500</v>
      </c>
      <c r="H1277" s="505" t="s">
        <v>1670</v>
      </c>
    </row>
    <row r="1278" spans="1:8" ht="15" thickTop="1">
      <c r="A1278" s="95"/>
      <c r="B1278" s="90" t="s">
        <v>303</v>
      </c>
      <c r="C1278" s="843"/>
      <c r="D1278" s="843"/>
      <c r="E1278" s="843"/>
      <c r="F1278" s="92" t="s">
        <v>781</v>
      </c>
      <c r="G1278" s="93" t="s">
        <v>1067</v>
      </c>
    </row>
    <row r="1279" spans="1:8">
      <c r="A1279" s="95"/>
      <c r="B1279" s="91" t="s">
        <v>834</v>
      </c>
      <c r="C1279" s="844" t="s">
        <v>1408</v>
      </c>
      <c r="D1279" s="844"/>
      <c r="E1279" s="844"/>
      <c r="F1279" s="15" t="s">
        <v>833</v>
      </c>
      <c r="G1279" s="165" t="str">
        <f>'MANO DE OBRA'!D61</f>
        <v>Agosto de 2010</v>
      </c>
    </row>
    <row r="1280" spans="1:8" ht="13.5" thickBot="1">
      <c r="A1280" s="127"/>
      <c r="B1280" s="94" t="s">
        <v>835</v>
      </c>
      <c r="C1280" s="845" t="s">
        <v>1413</v>
      </c>
      <c r="D1280" s="845"/>
      <c r="E1280" s="845"/>
      <c r="F1280" s="845"/>
      <c r="G1280" s="846"/>
    </row>
    <row r="1281" spans="1:7" ht="14.25" thickTop="1" thickBot="1">
      <c r="A1281" s="95"/>
      <c r="B1281" s="847" t="s">
        <v>1409</v>
      </c>
      <c r="C1281" s="847"/>
      <c r="D1281" s="847"/>
      <c r="E1281" s="847"/>
      <c r="F1281" s="847"/>
      <c r="G1281" s="847"/>
    </row>
    <row r="1282" spans="1:7" ht="13.5" thickTop="1">
      <c r="A1282" s="95"/>
      <c r="B1282" s="811" t="s">
        <v>304</v>
      </c>
      <c r="C1282" s="812"/>
      <c r="D1282" s="812"/>
      <c r="E1282" s="812"/>
      <c r="F1282" s="812"/>
      <c r="G1282" s="825"/>
    </row>
    <row r="1283" spans="1:7">
      <c r="A1283" s="95"/>
      <c r="B1283" s="105"/>
      <c r="C1283" s="97"/>
      <c r="D1283" s="98" t="s">
        <v>301</v>
      </c>
      <c r="E1283" s="98" t="s">
        <v>1072</v>
      </c>
      <c r="F1283" s="99" t="s">
        <v>839</v>
      </c>
      <c r="G1283" s="107" t="s">
        <v>840</v>
      </c>
    </row>
    <row r="1284" spans="1:7">
      <c r="A1284" s="95"/>
      <c r="B1284" s="821" t="s">
        <v>838</v>
      </c>
      <c r="C1284" s="822"/>
      <c r="D1284" s="100" t="s">
        <v>308</v>
      </c>
      <c r="E1284" s="100" t="s">
        <v>305</v>
      </c>
      <c r="F1284" s="101" t="s">
        <v>306</v>
      </c>
      <c r="G1284" s="108" t="s">
        <v>310</v>
      </c>
    </row>
    <row r="1285" spans="1:7">
      <c r="A1285" s="95"/>
      <c r="B1285" s="115"/>
      <c r="C1285" s="102"/>
      <c r="D1285" s="103"/>
      <c r="E1285" s="103" t="s">
        <v>309</v>
      </c>
      <c r="F1285" s="104" t="s">
        <v>307</v>
      </c>
      <c r="G1285" s="109"/>
    </row>
    <row r="1286" spans="1:7">
      <c r="A1286" s="127"/>
      <c r="B1286" s="823" t="str">
        <f>'MAQUINARIA Y EQUIPOS'!C28</f>
        <v>HERRAMIENTAS MENORES</v>
      </c>
      <c r="C1286" s="824"/>
      <c r="D1286" s="87">
        <v>1</v>
      </c>
      <c r="E1286" s="82">
        <f>ROUND(G1319*0.05,0)</f>
        <v>398</v>
      </c>
      <c r="F1286" s="81">
        <v>1</v>
      </c>
      <c r="G1286" s="110">
        <f>ROUND(D1286*E1286/F1286,0)</f>
        <v>398</v>
      </c>
    </row>
    <row r="1287" spans="1:7">
      <c r="A1287" s="95"/>
      <c r="B1287" s="835" t="str">
        <f>'MAQUINARIA Y EQUIPOS'!C9</f>
        <v>ANDAMIO TUBULAR 1.50 m</v>
      </c>
      <c r="C1287" s="836"/>
      <c r="D1287" s="37">
        <v>4</v>
      </c>
      <c r="E1287" s="129">
        <f>'MAQUINARIA Y EQUIPOS'!D9</f>
        <v>754</v>
      </c>
      <c r="F1287" s="83">
        <v>13.33</v>
      </c>
      <c r="G1287" s="111">
        <f>ROUND(D1287*E1287/F1287,0)</f>
        <v>226</v>
      </c>
    </row>
    <row r="1288" spans="1:7">
      <c r="A1288" s="95"/>
      <c r="B1288" s="835" t="str">
        <f>'MAQUINARIA Y EQUIPOS'!C47</f>
        <v>TABLONES 3m</v>
      </c>
      <c r="C1288" s="836"/>
      <c r="D1288" s="37">
        <v>4</v>
      </c>
      <c r="E1288" s="129">
        <f>'MAQUINARIA Y EQUIPOS'!D47</f>
        <v>348</v>
      </c>
      <c r="F1288" s="83">
        <v>13.33</v>
      </c>
      <c r="G1288" s="111">
        <f>ROUND(D1288*E1288/F1288,0)</f>
        <v>104</v>
      </c>
    </row>
    <row r="1289" spans="1:7">
      <c r="A1289" s="95"/>
      <c r="B1289" s="835"/>
      <c r="C1289" s="836"/>
      <c r="D1289" s="89"/>
      <c r="E1289" s="82"/>
      <c r="F1289" s="83"/>
      <c r="G1289" s="111"/>
    </row>
    <row r="1290" spans="1:7">
      <c r="A1290" s="95"/>
      <c r="B1290" s="835" t="s">
        <v>841</v>
      </c>
      <c r="C1290" s="836"/>
      <c r="D1290" s="37"/>
      <c r="E1290" s="82"/>
      <c r="F1290" s="83"/>
      <c r="G1290" s="111"/>
    </row>
    <row r="1291" spans="1:7" ht="13.5" thickBot="1">
      <c r="A1291" s="95"/>
      <c r="B1291" s="839" t="s">
        <v>841</v>
      </c>
      <c r="C1291" s="840"/>
      <c r="D1291" s="77"/>
      <c r="E1291" s="106"/>
      <c r="F1291" s="86"/>
      <c r="G1291" s="112"/>
    </row>
    <row r="1292" spans="1:7" ht="14.25" thickTop="1" thickBot="1">
      <c r="A1292" s="95"/>
      <c r="B1292" s="808"/>
      <c r="C1292" s="808"/>
      <c r="D1292" s="808"/>
      <c r="E1292" s="809"/>
      <c r="F1292" s="119" t="s">
        <v>856</v>
      </c>
      <c r="G1292" s="118">
        <f>SUM(G1286:G1291)</f>
        <v>728</v>
      </c>
    </row>
    <row r="1293" spans="1:7" ht="14.25" thickTop="1" thickBot="1">
      <c r="A1293" s="95"/>
      <c r="B1293" s="830"/>
      <c r="C1293" s="830"/>
      <c r="D1293" s="830"/>
      <c r="E1293" s="830"/>
      <c r="F1293" s="830"/>
      <c r="G1293" s="830"/>
    </row>
    <row r="1294" spans="1:7" ht="13.5" thickTop="1">
      <c r="A1294" s="95"/>
      <c r="B1294" s="811" t="s">
        <v>311</v>
      </c>
      <c r="C1294" s="812"/>
      <c r="D1294" s="812"/>
      <c r="E1294" s="812"/>
      <c r="F1294" s="812"/>
      <c r="G1294" s="825"/>
    </row>
    <row r="1295" spans="1:7">
      <c r="A1295" s="95"/>
      <c r="B1295" s="817" t="s">
        <v>838</v>
      </c>
      <c r="C1295" s="818"/>
      <c r="D1295" s="98" t="s">
        <v>842</v>
      </c>
      <c r="E1295" s="98" t="s">
        <v>853</v>
      </c>
      <c r="F1295" s="99" t="s">
        <v>1047</v>
      </c>
      <c r="G1295" s="107" t="s">
        <v>840</v>
      </c>
    </row>
    <row r="1296" spans="1:7">
      <c r="A1296" s="95"/>
      <c r="B1296" s="115"/>
      <c r="C1296" s="102"/>
      <c r="D1296" s="100"/>
      <c r="E1296" s="100" t="s">
        <v>312</v>
      </c>
      <c r="F1296" s="101" t="s">
        <v>313</v>
      </c>
      <c r="G1296" s="108" t="s">
        <v>314</v>
      </c>
    </row>
    <row r="1297" spans="1:8">
      <c r="A1297" s="125"/>
      <c r="B1297" s="841" t="str">
        <f>MATERIALES2!C425</f>
        <v>TEJA PLASTICA No. 4 (CAL. 6)</v>
      </c>
      <c r="C1297" s="842"/>
      <c r="D1297" s="87" t="s">
        <v>865</v>
      </c>
      <c r="E1297" s="81">
        <v>1.06</v>
      </c>
      <c r="F1297" s="80">
        <f>MATERIALES2!E425</f>
        <v>18417</v>
      </c>
      <c r="G1297" s="110">
        <f>ROUND(E1297*F1297,0)</f>
        <v>19522</v>
      </c>
    </row>
    <row r="1298" spans="1:8">
      <c r="A1298" s="123"/>
      <c r="B1298" s="854" t="str">
        <f>MATERIALES2!C401</f>
        <v>GANCHO TEJA 150 mm.</v>
      </c>
      <c r="C1298" s="855"/>
      <c r="D1298" s="37" t="s">
        <v>865</v>
      </c>
      <c r="E1298" s="83">
        <v>2</v>
      </c>
      <c r="F1298" s="82">
        <f>MATERIALES2!E401</f>
        <v>322</v>
      </c>
      <c r="G1298" s="111">
        <f>ROUND(E1298*F1298,0)</f>
        <v>644</v>
      </c>
    </row>
    <row r="1299" spans="1:8">
      <c r="A1299" s="95"/>
      <c r="B1299" s="854"/>
      <c r="C1299" s="855"/>
      <c r="D1299" s="37"/>
      <c r="E1299" s="53"/>
      <c r="F1299" s="82"/>
      <c r="G1299" s="111"/>
    </row>
    <row r="1300" spans="1:8">
      <c r="A1300" s="95"/>
      <c r="B1300" s="854"/>
      <c r="C1300" s="855"/>
      <c r="D1300" s="37"/>
      <c r="E1300" s="83"/>
      <c r="F1300" s="82"/>
      <c r="G1300" s="111"/>
    </row>
    <row r="1301" spans="1:8">
      <c r="A1301" s="95"/>
      <c r="B1301" s="854"/>
      <c r="C1301" s="855"/>
      <c r="D1301" s="37"/>
      <c r="E1301" s="53"/>
      <c r="F1301" s="82"/>
      <c r="G1301" s="111"/>
    </row>
    <row r="1302" spans="1:8">
      <c r="A1302" s="95"/>
      <c r="B1302" s="854"/>
      <c r="C1302" s="855"/>
      <c r="D1302" s="37"/>
      <c r="E1302" s="53"/>
      <c r="F1302" s="82"/>
      <c r="G1302" s="111"/>
    </row>
    <row r="1303" spans="1:8">
      <c r="A1303" s="95"/>
      <c r="B1303" s="854"/>
      <c r="C1303" s="855"/>
      <c r="D1303" s="37"/>
      <c r="E1303" s="53"/>
      <c r="F1303" s="82"/>
      <c r="G1303" s="111"/>
    </row>
    <row r="1304" spans="1:8">
      <c r="A1304" s="95"/>
      <c r="B1304" s="938" t="s">
        <v>841</v>
      </c>
      <c r="C1304" s="939"/>
      <c r="D1304" s="53" t="s">
        <v>841</v>
      </c>
      <c r="E1304" s="53"/>
      <c r="F1304" s="82"/>
      <c r="G1304" s="111"/>
      <c r="H1304" s="505" t="s">
        <v>1670</v>
      </c>
    </row>
    <row r="1305" spans="1:8" ht="13.5" thickBot="1">
      <c r="A1305" s="95"/>
      <c r="B1305" s="942" t="s">
        <v>841</v>
      </c>
      <c r="C1305" s="943"/>
      <c r="D1305" s="84" t="s">
        <v>841</v>
      </c>
      <c r="E1305" s="84"/>
      <c r="F1305" s="85"/>
      <c r="G1305" s="112"/>
    </row>
    <row r="1306" spans="1:8" ht="13.5" thickTop="1">
      <c r="A1306" s="95"/>
      <c r="B1306" s="808"/>
      <c r="C1306" s="809"/>
      <c r="D1306" s="801" t="s">
        <v>856</v>
      </c>
      <c r="E1306" s="802"/>
      <c r="F1306" s="9"/>
      <c r="G1306" s="113">
        <f>SUM(G1297:G1305)</f>
        <v>20166</v>
      </c>
    </row>
    <row r="1307" spans="1:8">
      <c r="A1307" s="95"/>
      <c r="B1307" s="819"/>
      <c r="C1307" s="820"/>
      <c r="D1307" s="801" t="s">
        <v>857</v>
      </c>
      <c r="E1307" s="802"/>
      <c r="F1307" s="79">
        <f>'MANO DE OBRA'!D60</f>
        <v>0.05</v>
      </c>
      <c r="G1307" s="113">
        <f>ROUND(G1306*F1307,0)</f>
        <v>1008</v>
      </c>
    </row>
    <row r="1308" spans="1:8" ht="13.5" thickBot="1">
      <c r="A1308" s="95"/>
      <c r="B1308" s="819"/>
      <c r="C1308" s="820"/>
      <c r="D1308" s="803" t="s">
        <v>320</v>
      </c>
      <c r="E1308" s="804"/>
      <c r="F1308" s="114"/>
      <c r="G1308" s="118">
        <f>+G1306+G1307</f>
        <v>21174</v>
      </c>
    </row>
    <row r="1309" spans="1:8" ht="14.25" thickTop="1" thickBot="1">
      <c r="A1309" s="95"/>
      <c r="B1309" s="830"/>
      <c r="C1309" s="830"/>
      <c r="D1309" s="830"/>
      <c r="E1309" s="830"/>
      <c r="F1309" s="830"/>
      <c r="G1309" s="830"/>
    </row>
    <row r="1310" spans="1:8" ht="13.5" thickTop="1">
      <c r="A1310" s="95"/>
      <c r="B1310" s="811" t="s">
        <v>858</v>
      </c>
      <c r="C1310" s="812"/>
      <c r="D1310" s="812"/>
      <c r="E1310" s="812"/>
      <c r="F1310" s="812"/>
      <c r="G1310" s="825"/>
    </row>
    <row r="1311" spans="1:8">
      <c r="A1311" s="95"/>
      <c r="B1311" s="817"/>
      <c r="C1311" s="818"/>
      <c r="D1311" s="98" t="s">
        <v>301</v>
      </c>
      <c r="E1311" s="98" t="s">
        <v>859</v>
      </c>
      <c r="F1311" s="99" t="s">
        <v>839</v>
      </c>
      <c r="G1311" s="107" t="s">
        <v>840</v>
      </c>
    </row>
    <row r="1312" spans="1:8">
      <c r="A1312" s="95"/>
      <c r="B1312" s="821" t="s">
        <v>838</v>
      </c>
      <c r="C1312" s="822"/>
      <c r="D1312" s="100" t="s">
        <v>316</v>
      </c>
      <c r="E1312" s="100" t="s">
        <v>315</v>
      </c>
      <c r="F1312" s="101" t="s">
        <v>306</v>
      </c>
      <c r="G1312" s="108" t="s">
        <v>319</v>
      </c>
    </row>
    <row r="1313" spans="1:7">
      <c r="A1313" s="95"/>
      <c r="B1313" s="115"/>
      <c r="C1313" s="102"/>
      <c r="D1313" s="103"/>
      <c r="E1313" s="103" t="s">
        <v>317</v>
      </c>
      <c r="F1313" s="104" t="s">
        <v>318</v>
      </c>
      <c r="G1313" s="109"/>
    </row>
    <row r="1314" spans="1:7">
      <c r="A1314" s="95"/>
      <c r="B1314" s="823" t="str">
        <f>'MANO DE OBRA'!B10</f>
        <v>AYUDANTE CUAD. TIPO AA</v>
      </c>
      <c r="C1314" s="824"/>
      <c r="D1314" s="87">
        <v>1</v>
      </c>
      <c r="E1314" s="80">
        <f>'MANO DE OBRA'!E10</f>
        <v>34680</v>
      </c>
      <c r="F1314" s="81">
        <v>13.33</v>
      </c>
      <c r="G1314" s="110">
        <f>ROUND(D1314*E1314/F1314,0)</f>
        <v>2602</v>
      </c>
    </row>
    <row r="1315" spans="1:7">
      <c r="A1315" s="95"/>
      <c r="B1315" s="835" t="str">
        <f>'MANO DE OBRA'!B15</f>
        <v xml:space="preserve">OFICIAL CUAD. TIPO AA </v>
      </c>
      <c r="C1315" s="836"/>
      <c r="D1315" s="37">
        <v>1</v>
      </c>
      <c r="E1315" s="82">
        <f>'MANO DE OBRA'!E15</f>
        <v>71474</v>
      </c>
      <c r="F1315" s="83">
        <v>13.33</v>
      </c>
      <c r="G1315" s="111">
        <f>ROUND(D1315*E1315/F1315,0)</f>
        <v>5362</v>
      </c>
    </row>
    <row r="1316" spans="1:7">
      <c r="A1316" s="95"/>
      <c r="B1316" s="835"/>
      <c r="C1316" s="836"/>
      <c r="D1316" s="89"/>
      <c r="E1316" s="82"/>
      <c r="F1316" s="83"/>
      <c r="G1316" s="111"/>
    </row>
    <row r="1317" spans="1:7">
      <c r="A1317" s="95"/>
      <c r="B1317" s="835" t="s">
        <v>841</v>
      </c>
      <c r="C1317" s="836"/>
      <c r="D1317" s="37"/>
      <c r="E1317" s="82"/>
      <c r="F1317" s="83"/>
      <c r="G1317" s="111"/>
    </row>
    <row r="1318" spans="1:7" ht="13.5" thickBot="1">
      <c r="A1318" s="95"/>
      <c r="B1318" s="828" t="s">
        <v>841</v>
      </c>
      <c r="C1318" s="829"/>
      <c r="D1318" s="77"/>
      <c r="E1318" s="82"/>
      <c r="F1318" s="86"/>
      <c r="G1318" s="112"/>
    </row>
    <row r="1319" spans="1:7" ht="14.25" thickTop="1" thickBot="1">
      <c r="A1319" s="95"/>
      <c r="B1319" s="808"/>
      <c r="C1319" s="808"/>
      <c r="D1319" s="808"/>
      <c r="E1319" s="809"/>
      <c r="F1319" s="120" t="s">
        <v>856</v>
      </c>
      <c r="G1319" s="118">
        <f>SUM(G1314:G1318)</f>
        <v>7964</v>
      </c>
    </row>
    <row r="1320" spans="1:7" ht="14.25" thickTop="1" thickBot="1">
      <c r="A1320" s="95"/>
      <c r="B1320" s="810"/>
      <c r="C1320" s="810"/>
      <c r="D1320" s="810"/>
      <c r="E1320" s="810"/>
      <c r="F1320" s="810"/>
      <c r="G1320" s="810"/>
    </row>
    <row r="1321" spans="1:7" ht="13.5" thickTop="1">
      <c r="A1321" s="95"/>
      <c r="B1321" s="811" t="s">
        <v>321</v>
      </c>
      <c r="C1321" s="812"/>
      <c r="D1321" s="812"/>
      <c r="E1321" s="812"/>
      <c r="F1321" s="812"/>
      <c r="G1321" s="825"/>
    </row>
    <row r="1322" spans="1:7">
      <c r="A1322" s="95"/>
      <c r="B1322" s="817" t="s">
        <v>838</v>
      </c>
      <c r="C1322" s="818"/>
      <c r="D1322" s="98" t="s">
        <v>301</v>
      </c>
      <c r="E1322" s="98" t="s">
        <v>297</v>
      </c>
      <c r="F1322" s="99" t="s">
        <v>839</v>
      </c>
      <c r="G1322" s="107" t="s">
        <v>840</v>
      </c>
    </row>
    <row r="1323" spans="1:7">
      <c r="A1323" s="95"/>
      <c r="B1323" s="115"/>
      <c r="C1323" s="102"/>
      <c r="D1323" s="103" t="s">
        <v>322</v>
      </c>
      <c r="E1323" s="103" t="s">
        <v>323</v>
      </c>
      <c r="F1323" s="104" t="s">
        <v>324</v>
      </c>
      <c r="G1323" s="109" t="s">
        <v>325</v>
      </c>
    </row>
    <row r="1324" spans="1:7">
      <c r="A1324" s="95"/>
      <c r="B1324" s="826"/>
      <c r="C1324" s="827"/>
      <c r="D1324" s="96"/>
      <c r="E1324" s="96"/>
      <c r="F1324" s="96"/>
      <c r="G1324" s="116"/>
    </row>
    <row r="1325" spans="1:7" ht="13.5" thickBot="1">
      <c r="A1325" s="95"/>
      <c r="B1325" s="828" t="s">
        <v>841</v>
      </c>
      <c r="C1325" s="829"/>
      <c r="D1325" s="77"/>
      <c r="E1325" s="82"/>
      <c r="F1325" s="86"/>
      <c r="G1325" s="112"/>
    </row>
    <row r="1326" spans="1:7" ht="14.25" thickTop="1" thickBot="1">
      <c r="A1326" s="95"/>
      <c r="B1326" s="808"/>
      <c r="C1326" s="808"/>
      <c r="D1326" s="808"/>
      <c r="E1326" s="809"/>
      <c r="F1326" s="120" t="s">
        <v>856</v>
      </c>
      <c r="G1326" s="118">
        <f>SUM(G1321:G1325)</f>
        <v>0</v>
      </c>
    </row>
    <row r="1327" spans="1:7" ht="14.25" thickTop="1" thickBot="1">
      <c r="A1327" s="95"/>
      <c r="B1327" s="810"/>
      <c r="C1327" s="810"/>
      <c r="D1327" s="810"/>
      <c r="E1327" s="810"/>
      <c r="F1327" s="810"/>
      <c r="G1327" s="834"/>
    </row>
    <row r="1328" spans="1:7" ht="13.5" thickTop="1">
      <c r="A1328" s="95"/>
      <c r="B1328" s="811" t="s">
        <v>326</v>
      </c>
      <c r="C1328" s="812"/>
      <c r="D1328" s="812"/>
      <c r="E1328" s="812"/>
      <c r="F1328" s="813"/>
      <c r="G1328" s="121">
        <f>+G1292+G1308+G1319</f>
        <v>29866</v>
      </c>
    </row>
    <row r="1329" spans="1:8">
      <c r="A1329" s="95"/>
      <c r="B1329" s="814" t="s">
        <v>861</v>
      </c>
      <c r="C1329" s="815"/>
      <c r="D1329" s="815"/>
      <c r="E1329" s="816"/>
      <c r="F1329" s="128">
        <f>'MANO DE OBRA'!D59</f>
        <v>0</v>
      </c>
      <c r="G1329" s="122">
        <f>ROUND(G1328*F1329,0)</f>
        <v>0</v>
      </c>
    </row>
    <row r="1330" spans="1:8" ht="13.5" thickBot="1">
      <c r="A1330" s="95"/>
      <c r="B1330" s="805" t="s">
        <v>1049</v>
      </c>
      <c r="C1330" s="806"/>
      <c r="D1330" s="806"/>
      <c r="E1330" s="806"/>
      <c r="F1330" s="807"/>
      <c r="G1330" s="118">
        <f>ROUND(G1328+G1329,-2)</f>
        <v>29900</v>
      </c>
      <c r="H1330" s="505" t="s">
        <v>1670</v>
      </c>
    </row>
    <row r="1331" spans="1:8" ht="15" thickTop="1">
      <c r="A1331" s="95"/>
      <c r="B1331" s="90" t="s">
        <v>303</v>
      </c>
      <c r="C1331" s="843"/>
      <c r="D1331" s="843"/>
      <c r="E1331" s="843"/>
      <c r="F1331" s="92" t="s">
        <v>781</v>
      </c>
      <c r="G1331" s="93" t="s">
        <v>1067</v>
      </c>
    </row>
    <row r="1332" spans="1:8">
      <c r="A1332" s="95"/>
      <c r="B1332" s="91" t="s">
        <v>834</v>
      </c>
      <c r="C1332" s="844" t="s">
        <v>1408</v>
      </c>
      <c r="D1332" s="844"/>
      <c r="E1332" s="844"/>
      <c r="F1332" s="15" t="s">
        <v>833</v>
      </c>
      <c r="G1332" s="165" t="str">
        <f>'MANO DE OBRA'!D61</f>
        <v>Agosto de 2010</v>
      </c>
    </row>
    <row r="1333" spans="1:8" ht="13.5" thickBot="1">
      <c r="A1333" s="127"/>
      <c r="B1333" s="94" t="s">
        <v>835</v>
      </c>
      <c r="C1333" s="845" t="s">
        <v>1414</v>
      </c>
      <c r="D1333" s="845"/>
      <c r="E1333" s="845"/>
      <c r="F1333" s="845"/>
      <c r="G1333" s="846"/>
    </row>
    <row r="1334" spans="1:8" ht="14.25" thickTop="1" thickBot="1">
      <c r="A1334" s="95"/>
      <c r="B1334" s="847" t="s">
        <v>1409</v>
      </c>
      <c r="C1334" s="847"/>
      <c r="D1334" s="847"/>
      <c r="E1334" s="847"/>
      <c r="F1334" s="847"/>
      <c r="G1334" s="847"/>
    </row>
    <row r="1335" spans="1:8" ht="13.5" thickTop="1">
      <c r="A1335" s="95"/>
      <c r="B1335" s="811" t="s">
        <v>304</v>
      </c>
      <c r="C1335" s="812"/>
      <c r="D1335" s="812"/>
      <c r="E1335" s="812"/>
      <c r="F1335" s="812"/>
      <c r="G1335" s="825"/>
    </row>
    <row r="1336" spans="1:8">
      <c r="A1336" s="95"/>
      <c r="B1336" s="105"/>
      <c r="C1336" s="97"/>
      <c r="D1336" s="98" t="s">
        <v>301</v>
      </c>
      <c r="E1336" s="98" t="s">
        <v>1072</v>
      </c>
      <c r="F1336" s="99" t="s">
        <v>839</v>
      </c>
      <c r="G1336" s="107" t="s">
        <v>840</v>
      </c>
    </row>
    <row r="1337" spans="1:8">
      <c r="A1337" s="95"/>
      <c r="B1337" s="821" t="s">
        <v>838</v>
      </c>
      <c r="C1337" s="822"/>
      <c r="D1337" s="100" t="s">
        <v>308</v>
      </c>
      <c r="E1337" s="100" t="s">
        <v>305</v>
      </c>
      <c r="F1337" s="101" t="s">
        <v>306</v>
      </c>
      <c r="G1337" s="108" t="s">
        <v>310</v>
      </c>
    </row>
    <row r="1338" spans="1:8">
      <c r="A1338" s="95"/>
      <c r="B1338" s="115"/>
      <c r="C1338" s="102"/>
      <c r="D1338" s="103"/>
      <c r="E1338" s="103" t="s">
        <v>309</v>
      </c>
      <c r="F1338" s="104" t="s">
        <v>307</v>
      </c>
      <c r="G1338" s="109"/>
    </row>
    <row r="1339" spans="1:8">
      <c r="A1339" s="127"/>
      <c r="B1339" s="823" t="str">
        <f>'MAQUINARIA Y EQUIPOS'!C28</f>
        <v>HERRAMIENTAS MENORES</v>
      </c>
      <c r="C1339" s="824"/>
      <c r="D1339" s="87">
        <v>1</v>
      </c>
      <c r="E1339" s="82">
        <f>ROUND(G1372*0.05,0)</f>
        <v>358</v>
      </c>
      <c r="F1339" s="81">
        <v>1</v>
      </c>
      <c r="G1339" s="110">
        <f>ROUND(D1339*E1339/F1339,0)</f>
        <v>358</v>
      </c>
    </row>
    <row r="1340" spans="1:8">
      <c r="A1340" s="95"/>
      <c r="B1340" s="835" t="str">
        <f>'MAQUINARIA Y EQUIPOS'!C9</f>
        <v>ANDAMIO TUBULAR 1.50 m</v>
      </c>
      <c r="C1340" s="836"/>
      <c r="D1340" s="37">
        <v>4</v>
      </c>
      <c r="E1340" s="129">
        <f>'MAQUINARIA Y EQUIPOS'!D9</f>
        <v>754</v>
      </c>
      <c r="F1340" s="83">
        <v>14.81</v>
      </c>
      <c r="G1340" s="111">
        <f>ROUND(D1340*E1340/F1340,0)</f>
        <v>204</v>
      </c>
    </row>
    <row r="1341" spans="1:8">
      <c r="A1341" s="95"/>
      <c r="B1341" s="835" t="str">
        <f>'MAQUINARIA Y EQUIPOS'!C47</f>
        <v>TABLONES 3m</v>
      </c>
      <c r="C1341" s="836"/>
      <c r="D1341" s="37">
        <v>4</v>
      </c>
      <c r="E1341" s="129">
        <f>'MAQUINARIA Y EQUIPOS'!D47</f>
        <v>348</v>
      </c>
      <c r="F1341" s="83">
        <v>14.81</v>
      </c>
      <c r="G1341" s="111">
        <f>ROUND(D1341*E1341/F1341,0)</f>
        <v>94</v>
      </c>
    </row>
    <row r="1342" spans="1:8">
      <c r="A1342" s="95"/>
      <c r="B1342" s="835"/>
      <c r="C1342" s="836"/>
      <c r="D1342" s="89"/>
      <c r="E1342" s="82"/>
      <c r="F1342" s="83"/>
      <c r="G1342" s="111"/>
    </row>
    <row r="1343" spans="1:8">
      <c r="A1343" s="95"/>
      <c r="B1343" s="835" t="s">
        <v>841</v>
      </c>
      <c r="C1343" s="836"/>
      <c r="D1343" s="37"/>
      <c r="E1343" s="82"/>
      <c r="F1343" s="83"/>
      <c r="G1343" s="111"/>
    </row>
    <row r="1344" spans="1:8" ht="13.5" thickBot="1">
      <c r="A1344" s="95"/>
      <c r="B1344" s="839" t="s">
        <v>841</v>
      </c>
      <c r="C1344" s="840"/>
      <c r="D1344" s="77"/>
      <c r="E1344" s="106"/>
      <c r="F1344" s="86"/>
      <c r="G1344" s="112"/>
    </row>
    <row r="1345" spans="1:8" ht="14.25" thickTop="1" thickBot="1">
      <c r="A1345" s="95"/>
      <c r="B1345" s="808"/>
      <c r="C1345" s="808"/>
      <c r="D1345" s="808"/>
      <c r="E1345" s="809"/>
      <c r="F1345" s="119" t="s">
        <v>856</v>
      </c>
      <c r="G1345" s="118">
        <f>SUM(G1339:G1344)</f>
        <v>656</v>
      </c>
    </row>
    <row r="1346" spans="1:8" ht="14.25" thickTop="1" thickBot="1">
      <c r="A1346" s="95"/>
      <c r="B1346" s="830"/>
      <c r="C1346" s="830"/>
      <c r="D1346" s="830"/>
      <c r="E1346" s="830"/>
      <c r="F1346" s="830"/>
      <c r="G1346" s="830"/>
    </row>
    <row r="1347" spans="1:8" ht="13.5" thickTop="1">
      <c r="A1347" s="95"/>
      <c r="B1347" s="811" t="s">
        <v>311</v>
      </c>
      <c r="C1347" s="812"/>
      <c r="D1347" s="812"/>
      <c r="E1347" s="812"/>
      <c r="F1347" s="812"/>
      <c r="G1347" s="825"/>
    </row>
    <row r="1348" spans="1:8">
      <c r="A1348" s="95"/>
      <c r="B1348" s="817" t="s">
        <v>838</v>
      </c>
      <c r="C1348" s="818"/>
      <c r="D1348" s="98" t="s">
        <v>842</v>
      </c>
      <c r="E1348" s="98" t="s">
        <v>853</v>
      </c>
      <c r="F1348" s="99" t="s">
        <v>1047</v>
      </c>
      <c r="G1348" s="107" t="s">
        <v>840</v>
      </c>
    </row>
    <row r="1349" spans="1:8">
      <c r="A1349" s="95"/>
      <c r="B1349" s="115"/>
      <c r="C1349" s="102"/>
      <c r="D1349" s="100"/>
      <c r="E1349" s="100" t="s">
        <v>312</v>
      </c>
      <c r="F1349" s="101" t="s">
        <v>313</v>
      </c>
      <c r="G1349" s="108" t="s">
        <v>314</v>
      </c>
    </row>
    <row r="1350" spans="1:8">
      <c r="A1350" s="125"/>
      <c r="B1350" s="841" t="str">
        <f>MATERIALES2!C426</f>
        <v>TEJA PLASTICA No. 6 (CAL. 6)</v>
      </c>
      <c r="C1350" s="842"/>
      <c r="D1350" s="87" t="s">
        <v>865</v>
      </c>
      <c r="E1350" s="81">
        <v>0.68</v>
      </c>
      <c r="F1350" s="80">
        <f>MATERIALES2!E426</f>
        <v>27553</v>
      </c>
      <c r="G1350" s="110">
        <f>ROUND(E1350*F1350,0)</f>
        <v>18736</v>
      </c>
    </row>
    <row r="1351" spans="1:8">
      <c r="A1351" s="123"/>
      <c r="B1351" s="854" t="str">
        <f>MATERIALES2!C401</f>
        <v>GANCHO TEJA 150 mm.</v>
      </c>
      <c r="C1351" s="855"/>
      <c r="D1351" s="37" t="s">
        <v>865</v>
      </c>
      <c r="E1351" s="83">
        <v>1.35</v>
      </c>
      <c r="F1351" s="82">
        <f>MATERIALES2!E401</f>
        <v>322</v>
      </c>
      <c r="G1351" s="111">
        <f>ROUND(E1351*F1351,0)</f>
        <v>435</v>
      </c>
    </row>
    <row r="1352" spans="1:8">
      <c r="A1352" s="95"/>
      <c r="B1352" s="854"/>
      <c r="C1352" s="855"/>
      <c r="D1352" s="37"/>
      <c r="E1352" s="53"/>
      <c r="F1352" s="82"/>
      <c r="G1352" s="111"/>
    </row>
    <row r="1353" spans="1:8">
      <c r="A1353" s="95"/>
      <c r="B1353" s="854"/>
      <c r="C1353" s="855"/>
      <c r="D1353" s="37"/>
      <c r="E1353" s="83"/>
      <c r="F1353" s="82"/>
      <c r="G1353" s="111"/>
    </row>
    <row r="1354" spans="1:8">
      <c r="A1354" s="95"/>
      <c r="B1354" s="854"/>
      <c r="C1354" s="855"/>
      <c r="D1354" s="37"/>
      <c r="E1354" s="53"/>
      <c r="F1354" s="82"/>
      <c r="G1354" s="111"/>
    </row>
    <row r="1355" spans="1:8">
      <c r="A1355" s="95"/>
      <c r="B1355" s="854"/>
      <c r="C1355" s="855"/>
      <c r="D1355" s="37"/>
      <c r="E1355" s="53"/>
      <c r="F1355" s="82"/>
      <c r="G1355" s="111"/>
    </row>
    <row r="1356" spans="1:8">
      <c r="A1356" s="95"/>
      <c r="B1356" s="854"/>
      <c r="C1356" s="855"/>
      <c r="D1356" s="37"/>
      <c r="E1356" s="53"/>
      <c r="F1356" s="82"/>
      <c r="G1356" s="111"/>
    </row>
    <row r="1357" spans="1:8">
      <c r="A1357" s="95"/>
      <c r="B1357" s="938" t="s">
        <v>841</v>
      </c>
      <c r="C1357" s="939"/>
      <c r="D1357" s="53" t="s">
        <v>841</v>
      </c>
      <c r="E1357" s="53"/>
      <c r="F1357" s="82"/>
      <c r="G1357" s="111"/>
      <c r="H1357" s="505" t="s">
        <v>1670</v>
      </c>
    </row>
    <row r="1358" spans="1:8" ht="13.5" thickBot="1">
      <c r="A1358" s="95"/>
      <c r="B1358" s="942" t="s">
        <v>841</v>
      </c>
      <c r="C1358" s="943"/>
      <c r="D1358" s="84" t="s">
        <v>841</v>
      </c>
      <c r="E1358" s="84"/>
      <c r="F1358" s="85"/>
      <c r="G1358" s="112"/>
    </row>
    <row r="1359" spans="1:8" ht="13.5" thickTop="1">
      <c r="A1359" s="95"/>
      <c r="B1359" s="808"/>
      <c r="C1359" s="809"/>
      <c r="D1359" s="801" t="s">
        <v>856</v>
      </c>
      <c r="E1359" s="802"/>
      <c r="F1359" s="9"/>
      <c r="G1359" s="113">
        <f>SUM(G1350:G1358)</f>
        <v>19171</v>
      </c>
    </row>
    <row r="1360" spans="1:8">
      <c r="A1360" s="95"/>
      <c r="B1360" s="819"/>
      <c r="C1360" s="820"/>
      <c r="D1360" s="801" t="s">
        <v>857</v>
      </c>
      <c r="E1360" s="802"/>
      <c r="F1360" s="79">
        <f>'MANO DE OBRA'!D60</f>
        <v>0.05</v>
      </c>
      <c r="G1360" s="113">
        <f>ROUND(G1359*F1360,0)</f>
        <v>959</v>
      </c>
    </row>
    <row r="1361" spans="1:7" ht="13.5" thickBot="1">
      <c r="A1361" s="95"/>
      <c r="B1361" s="819"/>
      <c r="C1361" s="820"/>
      <c r="D1361" s="803" t="s">
        <v>320</v>
      </c>
      <c r="E1361" s="804"/>
      <c r="F1361" s="114"/>
      <c r="G1361" s="118">
        <f>+G1359+G1360</f>
        <v>20130</v>
      </c>
    </row>
    <row r="1362" spans="1:7" ht="14.25" thickTop="1" thickBot="1">
      <c r="A1362" s="95"/>
      <c r="B1362" s="830"/>
      <c r="C1362" s="830"/>
      <c r="D1362" s="830"/>
      <c r="E1362" s="830"/>
      <c r="F1362" s="830"/>
      <c r="G1362" s="830"/>
    </row>
    <row r="1363" spans="1:7" ht="13.5" thickTop="1">
      <c r="A1363" s="95"/>
      <c r="B1363" s="811" t="s">
        <v>858</v>
      </c>
      <c r="C1363" s="812"/>
      <c r="D1363" s="812"/>
      <c r="E1363" s="812"/>
      <c r="F1363" s="812"/>
      <c r="G1363" s="825"/>
    </row>
    <row r="1364" spans="1:7">
      <c r="A1364" s="95"/>
      <c r="B1364" s="817"/>
      <c r="C1364" s="818"/>
      <c r="D1364" s="98" t="s">
        <v>301</v>
      </c>
      <c r="E1364" s="98" t="s">
        <v>859</v>
      </c>
      <c r="F1364" s="99" t="s">
        <v>839</v>
      </c>
      <c r="G1364" s="107" t="s">
        <v>840</v>
      </c>
    </row>
    <row r="1365" spans="1:7">
      <c r="A1365" s="95"/>
      <c r="B1365" s="821" t="s">
        <v>838</v>
      </c>
      <c r="C1365" s="822"/>
      <c r="D1365" s="100" t="s">
        <v>316</v>
      </c>
      <c r="E1365" s="100" t="s">
        <v>315</v>
      </c>
      <c r="F1365" s="101" t="s">
        <v>306</v>
      </c>
      <c r="G1365" s="108" t="s">
        <v>319</v>
      </c>
    </row>
    <row r="1366" spans="1:7">
      <c r="A1366" s="95"/>
      <c r="B1366" s="115"/>
      <c r="C1366" s="102"/>
      <c r="D1366" s="103"/>
      <c r="E1366" s="103" t="s">
        <v>317</v>
      </c>
      <c r="F1366" s="104" t="s">
        <v>318</v>
      </c>
      <c r="G1366" s="109"/>
    </row>
    <row r="1367" spans="1:7">
      <c r="A1367" s="95"/>
      <c r="B1367" s="823" t="str">
        <f>'MANO DE OBRA'!B10</f>
        <v>AYUDANTE CUAD. TIPO AA</v>
      </c>
      <c r="C1367" s="824"/>
      <c r="D1367" s="87">
        <v>1</v>
      </c>
      <c r="E1367" s="80">
        <f>'MANO DE OBRA'!E10</f>
        <v>34680</v>
      </c>
      <c r="F1367" s="81">
        <v>14.81</v>
      </c>
      <c r="G1367" s="110">
        <f>ROUND(D1367*E1367/F1367,0)</f>
        <v>2342</v>
      </c>
    </row>
    <row r="1368" spans="1:7">
      <c r="A1368" s="95"/>
      <c r="B1368" s="835" t="str">
        <f>'MANO DE OBRA'!B15</f>
        <v xml:space="preserve">OFICIAL CUAD. TIPO AA </v>
      </c>
      <c r="C1368" s="836"/>
      <c r="D1368" s="37">
        <v>1</v>
      </c>
      <c r="E1368" s="82">
        <f>'MANO DE OBRA'!E15</f>
        <v>71474</v>
      </c>
      <c r="F1368" s="83">
        <v>14.81</v>
      </c>
      <c r="G1368" s="111">
        <f>ROUND(D1368*E1368/F1368,0)</f>
        <v>4826</v>
      </c>
    </row>
    <row r="1369" spans="1:7">
      <c r="A1369" s="95"/>
      <c r="B1369" s="835"/>
      <c r="C1369" s="836"/>
      <c r="D1369" s="89"/>
      <c r="E1369" s="82"/>
      <c r="F1369" s="83"/>
      <c r="G1369" s="111"/>
    </row>
    <row r="1370" spans="1:7">
      <c r="A1370" s="95"/>
      <c r="B1370" s="835" t="s">
        <v>841</v>
      </c>
      <c r="C1370" s="836"/>
      <c r="D1370" s="37"/>
      <c r="E1370" s="82"/>
      <c r="F1370" s="83"/>
      <c r="G1370" s="111"/>
    </row>
    <row r="1371" spans="1:7" ht="13.5" thickBot="1">
      <c r="A1371" s="95"/>
      <c r="B1371" s="828" t="s">
        <v>841</v>
      </c>
      <c r="C1371" s="829"/>
      <c r="D1371" s="77"/>
      <c r="E1371" s="82"/>
      <c r="F1371" s="86"/>
      <c r="G1371" s="112"/>
    </row>
    <row r="1372" spans="1:7" ht="14.25" thickTop="1" thickBot="1">
      <c r="A1372" s="95"/>
      <c r="B1372" s="808"/>
      <c r="C1372" s="808"/>
      <c r="D1372" s="808"/>
      <c r="E1372" s="809"/>
      <c r="F1372" s="120" t="s">
        <v>856</v>
      </c>
      <c r="G1372" s="118">
        <f>SUM(G1367:G1371)</f>
        <v>7168</v>
      </c>
    </row>
    <row r="1373" spans="1:7" ht="14.25" thickTop="1" thickBot="1">
      <c r="A1373" s="95"/>
      <c r="B1373" s="810"/>
      <c r="C1373" s="810"/>
      <c r="D1373" s="810"/>
      <c r="E1373" s="810"/>
      <c r="F1373" s="810"/>
      <c r="G1373" s="810"/>
    </row>
    <row r="1374" spans="1:7" ht="13.5" thickTop="1">
      <c r="A1374" s="95"/>
      <c r="B1374" s="811" t="s">
        <v>321</v>
      </c>
      <c r="C1374" s="812"/>
      <c r="D1374" s="812"/>
      <c r="E1374" s="812"/>
      <c r="F1374" s="812"/>
      <c r="G1374" s="825"/>
    </row>
    <row r="1375" spans="1:7">
      <c r="A1375" s="95"/>
      <c r="B1375" s="817" t="s">
        <v>838</v>
      </c>
      <c r="C1375" s="818"/>
      <c r="D1375" s="98" t="s">
        <v>301</v>
      </c>
      <c r="E1375" s="98" t="s">
        <v>297</v>
      </c>
      <c r="F1375" s="99" t="s">
        <v>839</v>
      </c>
      <c r="G1375" s="107" t="s">
        <v>840</v>
      </c>
    </row>
    <row r="1376" spans="1:7">
      <c r="A1376" s="95"/>
      <c r="B1376" s="115"/>
      <c r="C1376" s="102"/>
      <c r="D1376" s="103" t="s">
        <v>322</v>
      </c>
      <c r="E1376" s="103" t="s">
        <v>323</v>
      </c>
      <c r="F1376" s="104" t="s">
        <v>324</v>
      </c>
      <c r="G1376" s="109" t="s">
        <v>325</v>
      </c>
    </row>
    <row r="1377" spans="1:8">
      <c r="A1377" s="95"/>
      <c r="B1377" s="826"/>
      <c r="C1377" s="827"/>
      <c r="D1377" s="96"/>
      <c r="E1377" s="96"/>
      <c r="F1377" s="96"/>
      <c r="G1377" s="116"/>
    </row>
    <row r="1378" spans="1:8" ht="13.5" thickBot="1">
      <c r="A1378" s="95"/>
      <c r="B1378" s="828" t="s">
        <v>841</v>
      </c>
      <c r="C1378" s="829"/>
      <c r="D1378" s="77"/>
      <c r="E1378" s="82"/>
      <c r="F1378" s="86"/>
      <c r="G1378" s="112"/>
    </row>
    <row r="1379" spans="1:8" ht="14.25" thickTop="1" thickBot="1">
      <c r="A1379" s="95"/>
      <c r="B1379" s="808"/>
      <c r="C1379" s="808"/>
      <c r="D1379" s="808"/>
      <c r="E1379" s="809"/>
      <c r="F1379" s="120" t="s">
        <v>856</v>
      </c>
      <c r="G1379" s="118">
        <f>SUM(G1374:G1378)</f>
        <v>0</v>
      </c>
    </row>
    <row r="1380" spans="1:8" ht="14.25" thickTop="1" thickBot="1">
      <c r="A1380" s="95"/>
      <c r="B1380" s="810"/>
      <c r="C1380" s="810"/>
      <c r="D1380" s="810"/>
      <c r="E1380" s="810"/>
      <c r="F1380" s="810"/>
      <c r="G1380" s="834"/>
    </row>
    <row r="1381" spans="1:8" ht="13.5" thickTop="1">
      <c r="A1381" s="95"/>
      <c r="B1381" s="811" t="s">
        <v>326</v>
      </c>
      <c r="C1381" s="812"/>
      <c r="D1381" s="812"/>
      <c r="E1381" s="812"/>
      <c r="F1381" s="813"/>
      <c r="G1381" s="121">
        <f>+G1345+G1361+G1372</f>
        <v>27954</v>
      </c>
    </row>
    <row r="1382" spans="1:8">
      <c r="A1382" s="95"/>
      <c r="B1382" s="814" t="s">
        <v>861</v>
      </c>
      <c r="C1382" s="815"/>
      <c r="D1382" s="815"/>
      <c r="E1382" s="816"/>
      <c r="F1382" s="128">
        <f>'MANO DE OBRA'!D60</f>
        <v>0.05</v>
      </c>
      <c r="G1382" s="122"/>
    </row>
    <row r="1383" spans="1:8" ht="13.5" thickBot="1">
      <c r="A1383" s="95"/>
      <c r="B1383" s="805" t="s">
        <v>1049</v>
      </c>
      <c r="C1383" s="806"/>
      <c r="D1383" s="806"/>
      <c r="E1383" s="806"/>
      <c r="F1383" s="807"/>
      <c r="G1383" s="118">
        <f>ROUND(G1381+G1382,-2)</f>
        <v>28000</v>
      </c>
      <c r="H1383" s="505" t="s">
        <v>1670</v>
      </c>
    </row>
    <row r="1384" spans="1:8" ht="15" thickTop="1">
      <c r="A1384" s="95"/>
      <c r="B1384" s="90" t="s">
        <v>303</v>
      </c>
      <c r="C1384" s="843"/>
      <c r="D1384" s="843"/>
      <c r="E1384" s="843"/>
      <c r="F1384" s="92" t="s">
        <v>781</v>
      </c>
      <c r="G1384" s="93" t="s">
        <v>1067</v>
      </c>
    </row>
    <row r="1385" spans="1:8">
      <c r="A1385" s="95"/>
      <c r="B1385" s="91" t="s">
        <v>834</v>
      </c>
      <c r="C1385" s="844" t="s">
        <v>1408</v>
      </c>
      <c r="D1385" s="844"/>
      <c r="E1385" s="844"/>
      <c r="F1385" s="15" t="s">
        <v>833</v>
      </c>
      <c r="G1385" s="165" t="str">
        <f>'MANO DE OBRA'!D61</f>
        <v>Agosto de 2010</v>
      </c>
    </row>
    <row r="1386" spans="1:8" ht="13.5" thickBot="1">
      <c r="A1386" s="127"/>
      <c r="B1386" s="94" t="s">
        <v>835</v>
      </c>
      <c r="C1386" s="845" t="s">
        <v>1415</v>
      </c>
      <c r="D1386" s="845"/>
      <c r="E1386" s="845"/>
      <c r="F1386" s="845"/>
      <c r="G1386" s="846"/>
    </row>
    <row r="1387" spans="1:8" ht="14.25" thickTop="1" thickBot="1">
      <c r="A1387" s="95"/>
      <c r="B1387" s="847" t="s">
        <v>1409</v>
      </c>
      <c r="C1387" s="847"/>
      <c r="D1387" s="847"/>
      <c r="E1387" s="847"/>
      <c r="F1387" s="847"/>
      <c r="G1387" s="847"/>
    </row>
    <row r="1388" spans="1:8" ht="13.5" thickTop="1">
      <c r="A1388" s="95"/>
      <c r="B1388" s="811" t="s">
        <v>304</v>
      </c>
      <c r="C1388" s="812"/>
      <c r="D1388" s="812"/>
      <c r="E1388" s="812"/>
      <c r="F1388" s="812"/>
      <c r="G1388" s="825"/>
    </row>
    <row r="1389" spans="1:8">
      <c r="A1389" s="95"/>
      <c r="B1389" s="105"/>
      <c r="C1389" s="97"/>
      <c r="D1389" s="98" t="s">
        <v>301</v>
      </c>
      <c r="E1389" s="98" t="s">
        <v>1072</v>
      </c>
      <c r="F1389" s="99" t="s">
        <v>839</v>
      </c>
      <c r="G1389" s="107" t="s">
        <v>840</v>
      </c>
    </row>
    <row r="1390" spans="1:8">
      <c r="A1390" s="95"/>
      <c r="B1390" s="821" t="s">
        <v>838</v>
      </c>
      <c r="C1390" s="822"/>
      <c r="D1390" s="100" t="s">
        <v>308</v>
      </c>
      <c r="E1390" s="100" t="s">
        <v>305</v>
      </c>
      <c r="F1390" s="101" t="s">
        <v>306</v>
      </c>
      <c r="G1390" s="108" t="s">
        <v>310</v>
      </c>
    </row>
    <row r="1391" spans="1:8">
      <c r="A1391" s="95"/>
      <c r="B1391" s="115"/>
      <c r="C1391" s="102"/>
      <c r="D1391" s="103"/>
      <c r="E1391" s="100" t="s">
        <v>309</v>
      </c>
      <c r="F1391" s="104" t="s">
        <v>307</v>
      </c>
      <c r="G1391" s="109"/>
    </row>
    <row r="1392" spans="1:8">
      <c r="A1392" s="127"/>
      <c r="B1392" s="823" t="str">
        <f>'MAQUINARIA Y EQUIPOS'!C28</f>
        <v>HERRAMIENTAS MENORES</v>
      </c>
      <c r="C1392" s="824"/>
      <c r="D1392" s="87">
        <v>1</v>
      </c>
      <c r="E1392" s="80">
        <f>ROUND(G1425*0.05,0)</f>
        <v>1062</v>
      </c>
      <c r="F1392" s="81">
        <v>1</v>
      </c>
      <c r="G1392" s="110">
        <f>ROUND(D1392*E1392/F1392,0)</f>
        <v>1062</v>
      </c>
    </row>
    <row r="1393" spans="1:7">
      <c r="A1393" s="95"/>
      <c r="B1393" s="835" t="str">
        <f>'MAQUINARIA Y EQUIPOS'!C9</f>
        <v>ANDAMIO TUBULAR 1.50 m</v>
      </c>
      <c r="C1393" s="836"/>
      <c r="D1393" s="37">
        <v>4</v>
      </c>
      <c r="E1393" s="129">
        <f>'MAQUINARIA Y EQUIPOS'!D9</f>
        <v>754</v>
      </c>
      <c r="F1393" s="83">
        <v>6</v>
      </c>
      <c r="G1393" s="111">
        <f>ROUND(D1393*E1393/F1393,0)</f>
        <v>503</v>
      </c>
    </row>
    <row r="1394" spans="1:7">
      <c r="A1394" s="95"/>
      <c r="B1394" s="835" t="str">
        <f>'MAQUINARIA Y EQUIPOS'!C47</f>
        <v>TABLONES 3m</v>
      </c>
      <c r="C1394" s="836"/>
      <c r="D1394" s="37">
        <v>4</v>
      </c>
      <c r="E1394" s="129">
        <f>'MAQUINARIA Y EQUIPOS'!D47</f>
        <v>348</v>
      </c>
      <c r="F1394" s="83">
        <v>6</v>
      </c>
      <c r="G1394" s="111">
        <f>ROUND(D1394*E1394/F1394,0)</f>
        <v>232</v>
      </c>
    </row>
    <row r="1395" spans="1:7">
      <c r="A1395" s="95"/>
      <c r="B1395" s="835"/>
      <c r="C1395" s="836"/>
      <c r="D1395" s="89"/>
      <c r="E1395" s="82"/>
      <c r="F1395" s="83"/>
      <c r="G1395" s="111"/>
    </row>
    <row r="1396" spans="1:7">
      <c r="A1396" s="95"/>
      <c r="B1396" s="835" t="s">
        <v>841</v>
      </c>
      <c r="C1396" s="836"/>
      <c r="D1396" s="37"/>
      <c r="E1396" s="82"/>
      <c r="F1396" s="83"/>
      <c r="G1396" s="111"/>
    </row>
    <row r="1397" spans="1:7" ht="13.5" thickBot="1">
      <c r="A1397" s="95"/>
      <c r="B1397" s="839" t="s">
        <v>841</v>
      </c>
      <c r="C1397" s="840"/>
      <c r="D1397" s="77"/>
      <c r="E1397" s="106"/>
      <c r="F1397" s="86"/>
      <c r="G1397" s="112"/>
    </row>
    <row r="1398" spans="1:7" ht="14.25" thickTop="1" thickBot="1">
      <c r="A1398" s="95"/>
      <c r="B1398" s="808"/>
      <c r="C1398" s="808"/>
      <c r="D1398" s="808"/>
      <c r="E1398" s="809"/>
      <c r="F1398" s="119" t="s">
        <v>856</v>
      </c>
      <c r="G1398" s="118">
        <f>SUM(G1392:G1397)</f>
        <v>1797</v>
      </c>
    </row>
    <row r="1399" spans="1:7" ht="14.25" thickTop="1" thickBot="1">
      <c r="A1399" s="95"/>
      <c r="B1399" s="830"/>
      <c r="C1399" s="830"/>
      <c r="D1399" s="830"/>
      <c r="E1399" s="830"/>
      <c r="F1399" s="830"/>
      <c r="G1399" s="830"/>
    </row>
    <row r="1400" spans="1:7" ht="13.5" thickTop="1">
      <c r="A1400" s="95"/>
      <c r="B1400" s="811" t="s">
        <v>311</v>
      </c>
      <c r="C1400" s="812"/>
      <c r="D1400" s="812"/>
      <c r="E1400" s="812"/>
      <c r="F1400" s="812"/>
      <c r="G1400" s="825"/>
    </row>
    <row r="1401" spans="1:7">
      <c r="A1401" s="95"/>
      <c r="B1401" s="817" t="s">
        <v>838</v>
      </c>
      <c r="C1401" s="818"/>
      <c r="D1401" s="98" t="s">
        <v>842</v>
      </c>
      <c r="E1401" s="98" t="s">
        <v>853</v>
      </c>
      <c r="F1401" s="99" t="s">
        <v>1047</v>
      </c>
      <c r="G1401" s="107" t="s">
        <v>840</v>
      </c>
    </row>
    <row r="1402" spans="1:7">
      <c r="A1402" s="95"/>
      <c r="B1402" s="115"/>
      <c r="C1402" s="102"/>
      <c r="D1402" s="100"/>
      <c r="E1402" s="100" t="s">
        <v>312</v>
      </c>
      <c r="F1402" s="101" t="s">
        <v>313</v>
      </c>
      <c r="G1402" s="108" t="s">
        <v>314</v>
      </c>
    </row>
    <row r="1403" spans="1:7">
      <c r="A1403" s="125"/>
      <c r="B1403" s="841" t="str">
        <f>MATERIALES2!C154</f>
        <v>ABARCO DE 2X6X4,50</v>
      </c>
      <c r="C1403" s="842"/>
      <c r="D1403" s="87" t="s">
        <v>865</v>
      </c>
      <c r="E1403" s="81">
        <v>0.57999999999999996</v>
      </c>
      <c r="F1403" s="80">
        <f>MATERIALES2!E154</f>
        <v>15000</v>
      </c>
      <c r="G1403" s="110">
        <f>ROUND(E1403*F1403,0)</f>
        <v>8700</v>
      </c>
    </row>
    <row r="1404" spans="1:7">
      <c r="A1404" s="123"/>
      <c r="B1404" s="854" t="str">
        <f>MATERIALES2!C152</f>
        <v>ABARCO DE 2X3X4,50</v>
      </c>
      <c r="C1404" s="855"/>
      <c r="D1404" s="37" t="s">
        <v>865</v>
      </c>
      <c r="E1404" s="83">
        <v>0.11</v>
      </c>
      <c r="F1404" s="82">
        <f>MATERIALES2!E152</f>
        <v>7500</v>
      </c>
      <c r="G1404" s="111">
        <f>ROUND(E1404*F1404,0)</f>
        <v>825</v>
      </c>
    </row>
    <row r="1405" spans="1:7">
      <c r="A1405" s="95"/>
      <c r="B1405" s="854" t="str">
        <f>MATERIALES2!C918</f>
        <v>PUNTILLAS DE 2"</v>
      </c>
      <c r="C1405" s="855"/>
      <c r="D1405" s="37" t="s">
        <v>922</v>
      </c>
      <c r="E1405" s="83">
        <v>0.2</v>
      </c>
      <c r="F1405" s="82">
        <f>MATERIALES2!E918</f>
        <v>1500</v>
      </c>
      <c r="G1405" s="111">
        <f>ROUND(E1405*F1405,0)</f>
        <v>300</v>
      </c>
    </row>
    <row r="1406" spans="1:7">
      <c r="A1406" s="95"/>
      <c r="B1406" s="854"/>
      <c r="C1406" s="855"/>
      <c r="D1406" s="37"/>
      <c r="E1406" s="83"/>
      <c r="F1406" s="82"/>
      <c r="G1406" s="111"/>
    </row>
    <row r="1407" spans="1:7">
      <c r="A1407" s="95"/>
      <c r="B1407" s="854"/>
      <c r="C1407" s="855"/>
      <c r="D1407" s="37"/>
      <c r="E1407" s="53"/>
      <c r="F1407" s="82"/>
      <c r="G1407" s="111"/>
    </row>
    <row r="1408" spans="1:7">
      <c r="A1408" s="95"/>
      <c r="B1408" s="854"/>
      <c r="C1408" s="855"/>
      <c r="D1408" s="37"/>
      <c r="E1408" s="53"/>
      <c r="F1408" s="82"/>
      <c r="G1408" s="111"/>
    </row>
    <row r="1409" spans="1:8">
      <c r="A1409" s="95"/>
      <c r="B1409" s="854"/>
      <c r="C1409" s="855"/>
      <c r="D1409" s="37"/>
      <c r="E1409" s="53"/>
      <c r="F1409" s="82"/>
      <c r="G1409" s="111"/>
    </row>
    <row r="1410" spans="1:8">
      <c r="A1410" s="95"/>
      <c r="B1410" s="938" t="s">
        <v>841</v>
      </c>
      <c r="C1410" s="939"/>
      <c r="D1410" s="53" t="s">
        <v>841</v>
      </c>
      <c r="E1410" s="53"/>
      <c r="F1410" s="82"/>
      <c r="G1410" s="111"/>
      <c r="H1410" s="505" t="s">
        <v>1670</v>
      </c>
    </row>
    <row r="1411" spans="1:8" ht="13.5" thickBot="1">
      <c r="A1411" s="95"/>
      <c r="B1411" s="942" t="s">
        <v>841</v>
      </c>
      <c r="C1411" s="943"/>
      <c r="D1411" s="84" t="s">
        <v>841</v>
      </c>
      <c r="E1411" s="84"/>
      <c r="F1411" s="85"/>
      <c r="G1411" s="112"/>
    </row>
    <row r="1412" spans="1:8" ht="13.5" thickTop="1">
      <c r="A1412" s="95"/>
      <c r="B1412" s="808"/>
      <c r="C1412" s="809"/>
      <c r="D1412" s="801" t="s">
        <v>856</v>
      </c>
      <c r="E1412" s="802"/>
      <c r="F1412" s="9"/>
      <c r="G1412" s="113">
        <f>SUM(G1403:G1411)</f>
        <v>9825</v>
      </c>
    </row>
    <row r="1413" spans="1:8">
      <c r="A1413" s="95"/>
      <c r="B1413" s="819"/>
      <c r="C1413" s="820"/>
      <c r="D1413" s="801" t="s">
        <v>857</v>
      </c>
      <c r="E1413" s="802"/>
      <c r="F1413" s="79">
        <f>'MANO DE OBRA'!D60</f>
        <v>0.05</v>
      </c>
      <c r="G1413" s="113">
        <f>ROUND(G1412*F1413,0)</f>
        <v>491</v>
      </c>
    </row>
    <row r="1414" spans="1:8" ht="13.5" thickBot="1">
      <c r="A1414" s="95"/>
      <c r="B1414" s="819"/>
      <c r="C1414" s="820"/>
      <c r="D1414" s="803" t="s">
        <v>320</v>
      </c>
      <c r="E1414" s="804"/>
      <c r="F1414" s="114"/>
      <c r="G1414" s="118">
        <f>+G1412+G1413</f>
        <v>10316</v>
      </c>
    </row>
    <row r="1415" spans="1:8" ht="14.25" thickTop="1" thickBot="1">
      <c r="A1415" s="95"/>
      <c r="B1415" s="830"/>
      <c r="C1415" s="830"/>
      <c r="D1415" s="830"/>
      <c r="E1415" s="830"/>
      <c r="F1415" s="830"/>
      <c r="G1415" s="830"/>
    </row>
    <row r="1416" spans="1:8" ht="13.5" thickTop="1">
      <c r="A1416" s="95"/>
      <c r="B1416" s="811" t="s">
        <v>858</v>
      </c>
      <c r="C1416" s="812"/>
      <c r="D1416" s="812"/>
      <c r="E1416" s="812"/>
      <c r="F1416" s="812"/>
      <c r="G1416" s="825"/>
    </row>
    <row r="1417" spans="1:8">
      <c r="A1417" s="95"/>
      <c r="B1417" s="817"/>
      <c r="C1417" s="818"/>
      <c r="D1417" s="98" t="s">
        <v>301</v>
      </c>
      <c r="E1417" s="98" t="s">
        <v>859</v>
      </c>
      <c r="F1417" s="99" t="s">
        <v>839</v>
      </c>
      <c r="G1417" s="107" t="s">
        <v>840</v>
      </c>
    </row>
    <row r="1418" spans="1:8">
      <c r="A1418" s="95"/>
      <c r="B1418" s="821" t="s">
        <v>838</v>
      </c>
      <c r="C1418" s="822"/>
      <c r="D1418" s="100" t="s">
        <v>316</v>
      </c>
      <c r="E1418" s="100" t="s">
        <v>315</v>
      </c>
      <c r="F1418" s="101" t="s">
        <v>306</v>
      </c>
      <c r="G1418" s="108" t="s">
        <v>319</v>
      </c>
    </row>
    <row r="1419" spans="1:8">
      <c r="A1419" s="95"/>
      <c r="B1419" s="115"/>
      <c r="C1419" s="102"/>
      <c r="D1419" s="103"/>
      <c r="E1419" s="103" t="s">
        <v>317</v>
      </c>
      <c r="F1419" s="104" t="s">
        <v>318</v>
      </c>
      <c r="G1419" s="109"/>
    </row>
    <row r="1420" spans="1:8">
      <c r="A1420" s="95"/>
      <c r="B1420" s="823" t="str">
        <f>'MANO DE OBRA'!B10</f>
        <v>AYUDANTE CUAD. TIPO AA</v>
      </c>
      <c r="C1420" s="824"/>
      <c r="D1420" s="87">
        <v>1</v>
      </c>
      <c r="E1420" s="80">
        <f>'MANO DE OBRA'!E10</f>
        <v>34680</v>
      </c>
      <c r="F1420" s="81">
        <v>5</v>
      </c>
      <c r="G1420" s="110">
        <f>ROUND(D1420*E1420/F1420,0)</f>
        <v>6936</v>
      </c>
    </row>
    <row r="1421" spans="1:8">
      <c r="A1421" s="95"/>
      <c r="B1421" s="835" t="str">
        <f>'MANO DE OBRA'!B15</f>
        <v xml:space="preserve">OFICIAL CUAD. TIPO AA </v>
      </c>
      <c r="C1421" s="836"/>
      <c r="D1421" s="37">
        <v>1</v>
      </c>
      <c r="E1421" s="82">
        <f>'MANO DE OBRA'!E15</f>
        <v>71474</v>
      </c>
      <c r="F1421" s="83">
        <v>5</v>
      </c>
      <c r="G1421" s="111">
        <f>ROUND(D1421*E1421/F1421,0)</f>
        <v>14295</v>
      </c>
    </row>
    <row r="1422" spans="1:8">
      <c r="A1422" s="95"/>
      <c r="B1422" s="835"/>
      <c r="C1422" s="836"/>
      <c r="D1422" s="89"/>
      <c r="E1422" s="82"/>
      <c r="F1422" s="83"/>
      <c r="G1422" s="111"/>
    </row>
    <row r="1423" spans="1:8">
      <c r="A1423" s="95"/>
      <c r="B1423" s="835" t="s">
        <v>841</v>
      </c>
      <c r="C1423" s="836"/>
      <c r="D1423" s="37"/>
      <c r="E1423" s="82"/>
      <c r="F1423" s="83"/>
      <c r="G1423" s="111"/>
    </row>
    <row r="1424" spans="1:8" ht="13.5" thickBot="1">
      <c r="A1424" s="95"/>
      <c r="B1424" s="828" t="s">
        <v>841</v>
      </c>
      <c r="C1424" s="829"/>
      <c r="D1424" s="77"/>
      <c r="E1424" s="82"/>
      <c r="F1424" s="86"/>
      <c r="G1424" s="112"/>
    </row>
    <row r="1425" spans="1:8" ht="14.25" thickTop="1" thickBot="1">
      <c r="A1425" s="95"/>
      <c r="B1425" s="808"/>
      <c r="C1425" s="808"/>
      <c r="D1425" s="808"/>
      <c r="E1425" s="809"/>
      <c r="F1425" s="120" t="s">
        <v>856</v>
      </c>
      <c r="G1425" s="118">
        <f>SUM(G1420:G1424)</f>
        <v>21231</v>
      </c>
    </row>
    <row r="1426" spans="1:8" ht="14.25" thickTop="1" thickBot="1">
      <c r="A1426" s="95"/>
      <c r="B1426" s="810"/>
      <c r="C1426" s="810"/>
      <c r="D1426" s="810"/>
      <c r="E1426" s="810"/>
      <c r="F1426" s="810"/>
      <c r="G1426" s="810"/>
    </row>
    <row r="1427" spans="1:8" ht="13.5" thickTop="1">
      <c r="A1427" s="95"/>
      <c r="B1427" s="811" t="s">
        <v>321</v>
      </c>
      <c r="C1427" s="812"/>
      <c r="D1427" s="812"/>
      <c r="E1427" s="812"/>
      <c r="F1427" s="812"/>
      <c r="G1427" s="825"/>
    </row>
    <row r="1428" spans="1:8">
      <c r="A1428" s="95"/>
      <c r="B1428" s="817" t="s">
        <v>838</v>
      </c>
      <c r="C1428" s="818"/>
      <c r="D1428" s="98" t="s">
        <v>301</v>
      </c>
      <c r="E1428" s="98" t="s">
        <v>297</v>
      </c>
      <c r="F1428" s="99" t="s">
        <v>839</v>
      </c>
      <c r="G1428" s="107" t="s">
        <v>840</v>
      </c>
    </row>
    <row r="1429" spans="1:8">
      <c r="A1429" s="95"/>
      <c r="B1429" s="115"/>
      <c r="C1429" s="102"/>
      <c r="D1429" s="103" t="s">
        <v>322</v>
      </c>
      <c r="E1429" s="103" t="s">
        <v>323</v>
      </c>
      <c r="F1429" s="104" t="s">
        <v>324</v>
      </c>
      <c r="G1429" s="109" t="s">
        <v>325</v>
      </c>
    </row>
    <row r="1430" spans="1:8">
      <c r="A1430" s="95"/>
      <c r="B1430" s="826"/>
      <c r="C1430" s="827"/>
      <c r="D1430" s="96"/>
      <c r="E1430" s="96"/>
      <c r="F1430" s="96"/>
      <c r="G1430" s="116"/>
    </row>
    <row r="1431" spans="1:8" ht="13.5" thickBot="1">
      <c r="A1431" s="95"/>
      <c r="B1431" s="828" t="s">
        <v>841</v>
      </c>
      <c r="C1431" s="829"/>
      <c r="D1431" s="77"/>
      <c r="E1431" s="82"/>
      <c r="F1431" s="86"/>
      <c r="G1431" s="112"/>
    </row>
    <row r="1432" spans="1:8" ht="14.25" thickTop="1" thickBot="1">
      <c r="A1432" s="95"/>
      <c r="B1432" s="808"/>
      <c r="C1432" s="808"/>
      <c r="D1432" s="808"/>
      <c r="E1432" s="809"/>
      <c r="F1432" s="120" t="s">
        <v>856</v>
      </c>
      <c r="G1432" s="118">
        <f>SUM(G1427:G1431)</f>
        <v>0</v>
      </c>
    </row>
    <row r="1433" spans="1:8" ht="14.25" thickTop="1" thickBot="1">
      <c r="A1433" s="95"/>
      <c r="B1433" s="810"/>
      <c r="C1433" s="810"/>
      <c r="D1433" s="810"/>
      <c r="E1433" s="810"/>
      <c r="F1433" s="810"/>
      <c r="G1433" s="834"/>
    </row>
    <row r="1434" spans="1:8" ht="13.5" thickTop="1">
      <c r="A1434" s="95"/>
      <c r="B1434" s="811" t="s">
        <v>326</v>
      </c>
      <c r="C1434" s="812"/>
      <c r="D1434" s="812"/>
      <c r="E1434" s="812"/>
      <c r="F1434" s="813"/>
      <c r="G1434" s="121">
        <f>+G1398+G1414+G1425</f>
        <v>33344</v>
      </c>
    </row>
    <row r="1435" spans="1:8">
      <c r="A1435" s="95"/>
      <c r="B1435" s="814" t="s">
        <v>861</v>
      </c>
      <c r="C1435" s="815"/>
      <c r="D1435" s="815"/>
      <c r="E1435" s="816"/>
      <c r="F1435" s="128">
        <f>'MANO DE OBRA'!D59</f>
        <v>0</v>
      </c>
      <c r="G1435" s="122">
        <f>ROUND(G1434*F1435,0)</f>
        <v>0</v>
      </c>
    </row>
    <row r="1436" spans="1:8" ht="13.5" thickBot="1">
      <c r="A1436" s="95"/>
      <c r="B1436" s="805" t="s">
        <v>1049</v>
      </c>
      <c r="C1436" s="806"/>
      <c r="D1436" s="806"/>
      <c r="E1436" s="806"/>
      <c r="F1436" s="807"/>
      <c r="G1436" s="118">
        <f>ROUND(G1434+G1435,-2)</f>
        <v>33300</v>
      </c>
      <c r="H1436" s="505" t="s">
        <v>1670</v>
      </c>
    </row>
    <row r="1437" spans="1:8" ht="14.25" thickTop="1" thickBot="1"/>
    <row r="1438" spans="1:8" ht="15" thickTop="1">
      <c r="B1438" s="90" t="s">
        <v>303</v>
      </c>
      <c r="C1438" s="843"/>
      <c r="D1438" s="843"/>
      <c r="E1438" s="843"/>
      <c r="F1438" s="92" t="s">
        <v>781</v>
      </c>
      <c r="G1438" s="93" t="s">
        <v>1067</v>
      </c>
    </row>
    <row r="1439" spans="1:8">
      <c r="B1439" s="91" t="s">
        <v>834</v>
      </c>
      <c r="C1439" s="844" t="s">
        <v>1408</v>
      </c>
      <c r="D1439" s="844"/>
      <c r="E1439" s="844"/>
      <c r="F1439" s="15" t="s">
        <v>833</v>
      </c>
      <c r="G1439" s="165" t="str">
        <f>'MANO DE OBRA'!D61</f>
        <v>Agosto de 2010</v>
      </c>
    </row>
    <row r="1440" spans="1:8" ht="13.5" thickBot="1">
      <c r="B1440" s="94" t="s">
        <v>835</v>
      </c>
      <c r="C1440" s="845" t="s">
        <v>1302</v>
      </c>
      <c r="D1440" s="845"/>
      <c r="E1440" s="845"/>
      <c r="F1440" s="845"/>
      <c r="G1440" s="846"/>
    </row>
    <row r="1441" spans="2:7" ht="14.25" thickTop="1" thickBot="1">
      <c r="B1441" s="847" t="s">
        <v>1409</v>
      </c>
      <c r="C1441" s="847"/>
      <c r="D1441" s="847"/>
      <c r="E1441" s="847"/>
      <c r="F1441" s="847"/>
      <c r="G1441" s="847"/>
    </row>
    <row r="1442" spans="2:7" ht="13.5" thickTop="1">
      <c r="B1442" s="811" t="s">
        <v>304</v>
      </c>
      <c r="C1442" s="812"/>
      <c r="D1442" s="812"/>
      <c r="E1442" s="812"/>
      <c r="F1442" s="812"/>
      <c r="G1442" s="825"/>
    </row>
    <row r="1443" spans="2:7">
      <c r="B1443" s="105"/>
      <c r="C1443" s="97"/>
      <c r="D1443" s="98" t="s">
        <v>301</v>
      </c>
      <c r="E1443" s="98" t="s">
        <v>1072</v>
      </c>
      <c r="F1443" s="99" t="s">
        <v>839</v>
      </c>
      <c r="G1443" s="107" t="s">
        <v>840</v>
      </c>
    </row>
    <row r="1444" spans="2:7">
      <c r="B1444" s="821" t="s">
        <v>838</v>
      </c>
      <c r="C1444" s="822"/>
      <c r="D1444" s="100" t="s">
        <v>308</v>
      </c>
      <c r="E1444" s="100" t="s">
        <v>305</v>
      </c>
      <c r="F1444" s="101" t="s">
        <v>306</v>
      </c>
      <c r="G1444" s="108" t="s">
        <v>310</v>
      </c>
    </row>
    <row r="1445" spans="2:7">
      <c r="B1445" s="115"/>
      <c r="C1445" s="102"/>
      <c r="D1445" s="103"/>
      <c r="E1445" s="100" t="s">
        <v>309</v>
      </c>
      <c r="F1445" s="104" t="s">
        <v>307</v>
      </c>
      <c r="G1445" s="109"/>
    </row>
    <row r="1446" spans="2:7">
      <c r="B1446" s="823" t="str">
        <f>'MAQUINARIA Y EQUIPOS'!C28</f>
        <v>HERRAMIENTAS MENORES</v>
      </c>
      <c r="C1446" s="824"/>
      <c r="D1446" s="87">
        <v>1</v>
      </c>
      <c r="E1446" s="80">
        <f>ROUND(G1479*0.05,0)</f>
        <v>282</v>
      </c>
      <c r="F1446" s="81">
        <v>1</v>
      </c>
      <c r="G1446" s="110">
        <f>ROUND(D1446*E1446/F1446,0)</f>
        <v>282</v>
      </c>
    </row>
    <row r="1447" spans="2:7">
      <c r="B1447" s="835"/>
      <c r="C1447" s="836"/>
      <c r="D1447" s="37"/>
      <c r="E1447" s="129"/>
      <c r="F1447" s="83"/>
      <c r="G1447" s="111"/>
    </row>
    <row r="1448" spans="2:7">
      <c r="B1448" s="835"/>
      <c r="C1448" s="836"/>
      <c r="D1448" s="37"/>
      <c r="E1448" s="129"/>
      <c r="F1448" s="83"/>
      <c r="G1448" s="111"/>
    </row>
    <row r="1449" spans="2:7">
      <c r="B1449" s="835"/>
      <c r="C1449" s="836"/>
      <c r="D1449" s="89"/>
      <c r="E1449" s="82"/>
      <c r="F1449" s="83"/>
      <c r="G1449" s="111"/>
    </row>
    <row r="1450" spans="2:7">
      <c r="B1450" s="835" t="s">
        <v>841</v>
      </c>
      <c r="C1450" s="836"/>
      <c r="D1450" s="37"/>
      <c r="E1450" s="82"/>
      <c r="F1450" s="83"/>
      <c r="G1450" s="111"/>
    </row>
    <row r="1451" spans="2:7" ht="13.5" thickBot="1">
      <c r="B1451" s="839" t="s">
        <v>841</v>
      </c>
      <c r="C1451" s="840"/>
      <c r="D1451" s="77"/>
      <c r="E1451" s="106"/>
      <c r="F1451" s="86"/>
      <c r="G1451" s="112"/>
    </row>
    <row r="1452" spans="2:7" ht="14.25" thickTop="1" thickBot="1">
      <c r="B1452" s="808"/>
      <c r="C1452" s="808"/>
      <c r="D1452" s="808"/>
      <c r="E1452" s="809"/>
      <c r="F1452" s="119" t="s">
        <v>856</v>
      </c>
      <c r="G1452" s="118">
        <f>SUM(G1446:G1451)</f>
        <v>282</v>
      </c>
    </row>
    <row r="1453" spans="2:7" ht="14.25" thickTop="1" thickBot="1">
      <c r="B1453" s="830"/>
      <c r="C1453" s="830"/>
      <c r="D1453" s="830"/>
      <c r="E1453" s="830"/>
      <c r="F1453" s="830"/>
      <c r="G1453" s="830"/>
    </row>
    <row r="1454" spans="2:7" ht="13.5" thickTop="1">
      <c r="B1454" s="811" t="s">
        <v>311</v>
      </c>
      <c r="C1454" s="812"/>
      <c r="D1454" s="812"/>
      <c r="E1454" s="812"/>
      <c r="F1454" s="812"/>
      <c r="G1454" s="825"/>
    </row>
    <row r="1455" spans="2:7">
      <c r="B1455" s="817" t="s">
        <v>838</v>
      </c>
      <c r="C1455" s="818"/>
      <c r="D1455" s="98" t="s">
        <v>842</v>
      </c>
      <c r="E1455" s="98" t="s">
        <v>853</v>
      </c>
      <c r="F1455" s="99" t="s">
        <v>1047</v>
      </c>
      <c r="G1455" s="107" t="s">
        <v>840</v>
      </c>
    </row>
    <row r="1456" spans="2:7">
      <c r="B1456" s="115"/>
      <c r="C1456" s="102"/>
      <c r="D1456" s="100"/>
      <c r="E1456" s="100" t="s">
        <v>312</v>
      </c>
      <c r="F1456" s="101" t="s">
        <v>313</v>
      </c>
      <c r="G1456" s="108" t="s">
        <v>314</v>
      </c>
    </row>
    <row r="1457" spans="2:8">
      <c r="B1457" s="841" t="str">
        <f>MATERIALES2!C922</f>
        <v>ALUMOL - RECUBRIMIENTO ALUMINIO</v>
      </c>
      <c r="C1457" s="842"/>
      <c r="D1457" s="87" t="s">
        <v>925</v>
      </c>
      <c r="E1457" s="81">
        <v>0.24</v>
      </c>
      <c r="F1457" s="80">
        <f>MATERIALES2!E922</f>
        <v>15800</v>
      </c>
      <c r="G1457" s="110">
        <f>ROUND(E1457*F1457,0)</f>
        <v>3792</v>
      </c>
    </row>
    <row r="1458" spans="2:8">
      <c r="B1458" s="854" t="str">
        <f>MATERIALES2!C923</f>
        <v>ASFALTO TIPO 190/220 200 KG</v>
      </c>
      <c r="C1458" s="855"/>
      <c r="D1458" s="37" t="s">
        <v>925</v>
      </c>
      <c r="E1458" s="83">
        <v>2.08</v>
      </c>
      <c r="F1458" s="82">
        <f>MATERIALES2!E923</f>
        <v>1600</v>
      </c>
      <c r="G1458" s="111">
        <f>ROUND(E1458*F1458,0)</f>
        <v>3328</v>
      </c>
    </row>
    <row r="1459" spans="2:8">
      <c r="B1459" s="854" t="str">
        <f>MATERIALES2!C924</f>
        <v>PERMA GLAS 6 FIBERGLASS</v>
      </c>
      <c r="C1459" s="855"/>
      <c r="D1459" s="37" t="s">
        <v>868</v>
      </c>
      <c r="E1459" s="83">
        <v>3.55</v>
      </c>
      <c r="F1459" s="82">
        <f>MATERIALES2!E924</f>
        <v>2200</v>
      </c>
      <c r="G1459" s="111">
        <f>ROUND(E1459*F1459,0)</f>
        <v>7810</v>
      </c>
    </row>
    <row r="1460" spans="2:8">
      <c r="B1460" s="854"/>
      <c r="C1460" s="855"/>
      <c r="D1460" s="37"/>
      <c r="E1460" s="83"/>
      <c r="F1460" s="82"/>
      <c r="G1460" s="111"/>
    </row>
    <row r="1461" spans="2:8">
      <c r="B1461" s="854"/>
      <c r="C1461" s="855"/>
      <c r="D1461" s="37"/>
      <c r="E1461" s="53"/>
      <c r="F1461" s="82"/>
      <c r="G1461" s="111"/>
    </row>
    <row r="1462" spans="2:8">
      <c r="B1462" s="854"/>
      <c r="C1462" s="855"/>
      <c r="D1462" s="37"/>
      <c r="E1462" s="53"/>
      <c r="F1462" s="82"/>
      <c r="G1462" s="111"/>
    </row>
    <row r="1463" spans="2:8">
      <c r="B1463" s="854"/>
      <c r="C1463" s="855"/>
      <c r="D1463" s="37"/>
      <c r="E1463" s="53"/>
      <c r="F1463" s="82"/>
      <c r="G1463" s="111"/>
    </row>
    <row r="1464" spans="2:8">
      <c r="B1464" s="938" t="s">
        <v>841</v>
      </c>
      <c r="C1464" s="939"/>
      <c r="D1464" s="53" t="s">
        <v>841</v>
      </c>
      <c r="E1464" s="53"/>
      <c r="F1464" s="82"/>
      <c r="G1464" s="111"/>
      <c r="H1464" s="505" t="s">
        <v>1670</v>
      </c>
    </row>
    <row r="1465" spans="2:8" ht="13.5" thickBot="1">
      <c r="B1465" s="942" t="s">
        <v>841</v>
      </c>
      <c r="C1465" s="943"/>
      <c r="D1465" s="84" t="s">
        <v>841</v>
      </c>
      <c r="E1465" s="84"/>
      <c r="F1465" s="85"/>
      <c r="G1465" s="112"/>
    </row>
    <row r="1466" spans="2:8" ht="13.5" thickTop="1">
      <c r="B1466" s="808"/>
      <c r="C1466" s="809"/>
      <c r="D1466" s="801" t="s">
        <v>856</v>
      </c>
      <c r="E1466" s="802"/>
      <c r="F1466" s="9"/>
      <c r="G1466" s="113">
        <f>SUM(G1457:G1465)</f>
        <v>14930</v>
      </c>
    </row>
    <row r="1467" spans="2:8">
      <c r="B1467" s="819"/>
      <c r="C1467" s="820"/>
      <c r="D1467" s="801" t="s">
        <v>857</v>
      </c>
      <c r="E1467" s="802"/>
      <c r="F1467" s="79">
        <f>'MANO DE OBRA'!D114</f>
        <v>0</v>
      </c>
      <c r="G1467" s="113">
        <f>ROUND(G1466*F1467,0)</f>
        <v>0</v>
      </c>
    </row>
    <row r="1468" spans="2:8" ht="13.5" thickBot="1">
      <c r="B1468" s="819"/>
      <c r="C1468" s="820"/>
      <c r="D1468" s="803" t="s">
        <v>320</v>
      </c>
      <c r="E1468" s="804"/>
      <c r="F1468" s="114"/>
      <c r="G1468" s="118">
        <f>+G1466+G1467</f>
        <v>14930</v>
      </c>
    </row>
    <row r="1469" spans="2:8" ht="14.25" thickTop="1" thickBot="1">
      <c r="B1469" s="830"/>
      <c r="C1469" s="830"/>
      <c r="D1469" s="830"/>
      <c r="E1469" s="830"/>
      <c r="F1469" s="830"/>
      <c r="G1469" s="830"/>
    </row>
    <row r="1470" spans="2:8" ht="13.5" thickTop="1">
      <c r="B1470" s="811" t="s">
        <v>858</v>
      </c>
      <c r="C1470" s="812"/>
      <c r="D1470" s="812"/>
      <c r="E1470" s="812"/>
      <c r="F1470" s="812"/>
      <c r="G1470" s="825"/>
    </row>
    <row r="1471" spans="2:8">
      <c r="B1471" s="817"/>
      <c r="C1471" s="818"/>
      <c r="D1471" s="98" t="s">
        <v>301</v>
      </c>
      <c r="E1471" s="98" t="s">
        <v>859</v>
      </c>
      <c r="F1471" s="99" t="s">
        <v>839</v>
      </c>
      <c r="G1471" s="107" t="s">
        <v>840</v>
      </c>
    </row>
    <row r="1472" spans="2:8">
      <c r="B1472" s="821" t="s">
        <v>838</v>
      </c>
      <c r="C1472" s="822"/>
      <c r="D1472" s="100" t="s">
        <v>316</v>
      </c>
      <c r="E1472" s="100" t="s">
        <v>315</v>
      </c>
      <c r="F1472" s="101" t="s">
        <v>306</v>
      </c>
      <c r="G1472" s="108" t="s">
        <v>319</v>
      </c>
    </row>
    <row r="1473" spans="2:7">
      <c r="B1473" s="115"/>
      <c r="C1473" s="102"/>
      <c r="D1473" s="103"/>
      <c r="E1473" s="103" t="s">
        <v>317</v>
      </c>
      <c r="F1473" s="104" t="s">
        <v>318</v>
      </c>
      <c r="G1473" s="109"/>
    </row>
    <row r="1474" spans="2:7">
      <c r="B1474" s="823" t="str">
        <f>'MANO DE OBRA'!B10</f>
        <v>AYUDANTE CUAD. TIPO AA</v>
      </c>
      <c r="C1474" s="824"/>
      <c r="D1474" s="87">
        <v>2</v>
      </c>
      <c r="E1474" s="80">
        <f>'MANO DE OBRA'!E10</f>
        <v>34680</v>
      </c>
      <c r="F1474" s="81">
        <v>25</v>
      </c>
      <c r="G1474" s="110">
        <f>ROUND(D1474*E1474/F1474,0)</f>
        <v>2774</v>
      </c>
    </row>
    <row r="1475" spans="2:7">
      <c r="B1475" s="835" t="str">
        <f>'MANO DE OBRA'!B15</f>
        <v xml:space="preserve">OFICIAL CUAD. TIPO AA </v>
      </c>
      <c r="C1475" s="836"/>
      <c r="D1475" s="37">
        <v>1</v>
      </c>
      <c r="E1475" s="82">
        <f>'MANO DE OBRA'!E15</f>
        <v>71474</v>
      </c>
      <c r="F1475" s="83">
        <v>25</v>
      </c>
      <c r="G1475" s="111">
        <f>ROUND(D1475*E1475/F1475,0)</f>
        <v>2859</v>
      </c>
    </row>
    <row r="1476" spans="2:7">
      <c r="B1476" s="835"/>
      <c r="C1476" s="836"/>
      <c r="D1476" s="89"/>
      <c r="E1476" s="82"/>
      <c r="F1476" s="83"/>
      <c r="G1476" s="111"/>
    </row>
    <row r="1477" spans="2:7">
      <c r="B1477" s="835" t="s">
        <v>841</v>
      </c>
      <c r="C1477" s="836"/>
      <c r="D1477" s="37"/>
      <c r="E1477" s="82"/>
      <c r="F1477" s="83"/>
      <c r="G1477" s="111"/>
    </row>
    <row r="1478" spans="2:7" ht="13.5" thickBot="1">
      <c r="B1478" s="828" t="s">
        <v>841</v>
      </c>
      <c r="C1478" s="829"/>
      <c r="D1478" s="77"/>
      <c r="E1478" s="82"/>
      <c r="F1478" s="86"/>
      <c r="G1478" s="112"/>
    </row>
    <row r="1479" spans="2:7" ht="14.25" thickTop="1" thickBot="1">
      <c r="B1479" s="808"/>
      <c r="C1479" s="808"/>
      <c r="D1479" s="808"/>
      <c r="E1479" s="809"/>
      <c r="F1479" s="120" t="s">
        <v>856</v>
      </c>
      <c r="G1479" s="118">
        <f>SUM(G1474:G1478)</f>
        <v>5633</v>
      </c>
    </row>
    <row r="1480" spans="2:7" ht="14.25" thickTop="1" thickBot="1">
      <c r="B1480" s="810"/>
      <c r="C1480" s="810"/>
      <c r="D1480" s="810"/>
      <c r="E1480" s="810"/>
      <c r="F1480" s="810"/>
      <c r="G1480" s="810"/>
    </row>
    <row r="1481" spans="2:7" ht="13.5" thickTop="1">
      <c r="B1481" s="811" t="s">
        <v>321</v>
      </c>
      <c r="C1481" s="812"/>
      <c r="D1481" s="812"/>
      <c r="E1481" s="812"/>
      <c r="F1481" s="812"/>
      <c r="G1481" s="825"/>
    </row>
    <row r="1482" spans="2:7">
      <c r="B1482" s="817" t="s">
        <v>838</v>
      </c>
      <c r="C1482" s="818"/>
      <c r="D1482" s="98" t="s">
        <v>301</v>
      </c>
      <c r="E1482" s="98" t="s">
        <v>297</v>
      </c>
      <c r="F1482" s="99" t="s">
        <v>839</v>
      </c>
      <c r="G1482" s="107" t="s">
        <v>840</v>
      </c>
    </row>
    <row r="1483" spans="2:7">
      <c r="B1483" s="115"/>
      <c r="C1483" s="102"/>
      <c r="D1483" s="103" t="s">
        <v>322</v>
      </c>
      <c r="E1483" s="103" t="s">
        <v>323</v>
      </c>
      <c r="F1483" s="104" t="s">
        <v>324</v>
      </c>
      <c r="G1483" s="109" t="s">
        <v>325</v>
      </c>
    </row>
    <row r="1484" spans="2:7">
      <c r="B1484" s="826"/>
      <c r="C1484" s="827"/>
      <c r="D1484" s="96"/>
      <c r="E1484" s="96"/>
      <c r="F1484" s="96"/>
      <c r="G1484" s="116"/>
    </row>
    <row r="1485" spans="2:7" ht="13.5" thickBot="1">
      <c r="B1485" s="828" t="s">
        <v>841</v>
      </c>
      <c r="C1485" s="829"/>
      <c r="D1485" s="77"/>
      <c r="E1485" s="82"/>
      <c r="F1485" s="86"/>
      <c r="G1485" s="112"/>
    </row>
    <row r="1486" spans="2:7" ht="14.25" thickTop="1" thickBot="1">
      <c r="B1486" s="808"/>
      <c r="C1486" s="808"/>
      <c r="D1486" s="808"/>
      <c r="E1486" s="809"/>
      <c r="F1486" s="120" t="s">
        <v>856</v>
      </c>
      <c r="G1486" s="118">
        <f>SUM(G1481:G1485)</f>
        <v>0</v>
      </c>
    </row>
    <row r="1487" spans="2:7" ht="14.25" thickTop="1" thickBot="1">
      <c r="B1487" s="810"/>
      <c r="C1487" s="810"/>
      <c r="D1487" s="810"/>
      <c r="E1487" s="810"/>
      <c r="F1487" s="810"/>
      <c r="G1487" s="834"/>
    </row>
    <row r="1488" spans="2:7" ht="13.5" thickTop="1">
      <c r="B1488" s="811" t="s">
        <v>326</v>
      </c>
      <c r="C1488" s="812"/>
      <c r="D1488" s="812"/>
      <c r="E1488" s="812"/>
      <c r="F1488" s="813"/>
      <c r="G1488" s="121">
        <f>+G1452+G1468+G1479</f>
        <v>20845</v>
      </c>
    </row>
    <row r="1489" spans="2:8">
      <c r="B1489" s="814" t="s">
        <v>861</v>
      </c>
      <c r="C1489" s="815"/>
      <c r="D1489" s="815"/>
      <c r="E1489" s="816"/>
      <c r="F1489" s="128">
        <f>'MANO DE OBRA'!D113</f>
        <v>0</v>
      </c>
      <c r="G1489" s="122">
        <f>ROUND(G1488*F1489,0)</f>
        <v>0</v>
      </c>
    </row>
    <row r="1490" spans="2:8" ht="13.5" thickBot="1">
      <c r="B1490" s="805" t="s">
        <v>1049</v>
      </c>
      <c r="C1490" s="806"/>
      <c r="D1490" s="806"/>
      <c r="E1490" s="806"/>
      <c r="F1490" s="807"/>
      <c r="G1490" s="118">
        <f>ROUND(G1488+G1489,-2)</f>
        <v>20800</v>
      </c>
      <c r="H1490" s="505" t="s">
        <v>1670</v>
      </c>
    </row>
    <row r="1491" spans="2:8" ht="14.25" thickTop="1" thickBot="1"/>
    <row r="1492" spans="2:8" ht="13.5" thickTop="1">
      <c r="B1492" s="90" t="s">
        <v>303</v>
      </c>
      <c r="C1492" s="843"/>
      <c r="D1492" s="843"/>
      <c r="E1492" s="843"/>
      <c r="F1492" s="92" t="s">
        <v>781</v>
      </c>
      <c r="G1492" s="93" t="s">
        <v>831</v>
      </c>
    </row>
    <row r="1493" spans="2:8">
      <c r="B1493" s="91" t="s">
        <v>834</v>
      </c>
      <c r="C1493" s="844" t="s">
        <v>429</v>
      </c>
      <c r="D1493" s="844"/>
      <c r="E1493" s="844"/>
      <c r="F1493" s="15" t="s">
        <v>833</v>
      </c>
      <c r="G1493" s="165" t="str">
        <f>'MANO DE OBRA'!D61</f>
        <v>Agosto de 2010</v>
      </c>
    </row>
    <row r="1494" spans="2:8" ht="13.5" thickBot="1">
      <c r="B1494" s="94" t="s">
        <v>835</v>
      </c>
      <c r="C1494" s="845" t="s">
        <v>1308</v>
      </c>
      <c r="D1494" s="845"/>
      <c r="E1494" s="845"/>
      <c r="F1494" s="845"/>
      <c r="G1494" s="846"/>
    </row>
    <row r="1495" spans="2:8" ht="14.25" thickTop="1" thickBot="1">
      <c r="B1495" s="847" t="s">
        <v>1409</v>
      </c>
      <c r="C1495" s="847"/>
      <c r="D1495" s="847"/>
      <c r="E1495" s="847"/>
      <c r="F1495" s="847"/>
      <c r="G1495" s="847"/>
    </row>
    <row r="1496" spans="2:8" ht="13.5" thickTop="1">
      <c r="B1496" s="811" t="s">
        <v>304</v>
      </c>
      <c r="C1496" s="812"/>
      <c r="D1496" s="812"/>
      <c r="E1496" s="812"/>
      <c r="F1496" s="812"/>
      <c r="G1496" s="825"/>
    </row>
    <row r="1497" spans="2:8">
      <c r="B1497" s="105"/>
      <c r="C1497" s="97"/>
      <c r="D1497" s="98" t="s">
        <v>301</v>
      </c>
      <c r="E1497" s="98" t="s">
        <v>1072</v>
      </c>
      <c r="F1497" s="99" t="s">
        <v>839</v>
      </c>
      <c r="G1497" s="107" t="s">
        <v>840</v>
      </c>
    </row>
    <row r="1498" spans="2:8">
      <c r="B1498" s="821" t="s">
        <v>838</v>
      </c>
      <c r="C1498" s="822"/>
      <c r="D1498" s="100" t="s">
        <v>308</v>
      </c>
      <c r="E1498" s="100" t="s">
        <v>305</v>
      </c>
      <c r="F1498" s="101" t="s">
        <v>306</v>
      </c>
      <c r="G1498" s="108" t="s">
        <v>310</v>
      </c>
    </row>
    <row r="1499" spans="2:8">
      <c r="B1499" s="115"/>
      <c r="C1499" s="102"/>
      <c r="D1499" s="103"/>
      <c r="E1499" s="100" t="s">
        <v>309</v>
      </c>
      <c r="F1499" s="104" t="s">
        <v>307</v>
      </c>
      <c r="G1499" s="109"/>
    </row>
    <row r="1500" spans="2:8">
      <c r="B1500" s="823" t="str">
        <f>'MAQUINARIA Y EQUIPOS'!C28</f>
        <v>HERRAMIENTAS MENORES</v>
      </c>
      <c r="C1500" s="824"/>
      <c r="D1500" s="87">
        <v>1</v>
      </c>
      <c r="E1500" s="80">
        <f>ROUND(G1533*0.05,0)</f>
        <v>704</v>
      </c>
      <c r="F1500" s="81">
        <v>1</v>
      </c>
      <c r="G1500" s="110">
        <f>ROUND(D1500*E1500/F1500,0)</f>
        <v>704</v>
      </c>
    </row>
    <row r="1501" spans="2:8">
      <c r="B1501" s="835" t="str">
        <f>'MAQUINARIA Y EQUIPOS'!C9</f>
        <v>ANDAMIO TUBULAR 1.50 m</v>
      </c>
      <c r="C1501" s="836"/>
      <c r="D1501" s="37">
        <v>6</v>
      </c>
      <c r="E1501" s="129">
        <f>'MAQUINARIA Y EQUIPOS'!D9</f>
        <v>754</v>
      </c>
      <c r="F1501" s="83">
        <v>4</v>
      </c>
      <c r="G1501" s="111">
        <f>ROUND(D1501*E1501/F1501,0)</f>
        <v>1131</v>
      </c>
    </row>
    <row r="1502" spans="2:8">
      <c r="B1502" s="835"/>
      <c r="C1502" s="836"/>
      <c r="D1502" s="37"/>
      <c r="E1502" s="129"/>
      <c r="F1502" s="83"/>
      <c r="G1502" s="111"/>
    </row>
    <row r="1503" spans="2:8">
      <c r="B1503" s="835"/>
      <c r="C1503" s="836"/>
      <c r="D1503" s="89"/>
      <c r="E1503" s="82"/>
      <c r="F1503" s="83"/>
      <c r="G1503" s="111"/>
    </row>
    <row r="1504" spans="2:8">
      <c r="B1504" s="835" t="s">
        <v>841</v>
      </c>
      <c r="C1504" s="836"/>
      <c r="D1504" s="37"/>
      <c r="E1504" s="82"/>
      <c r="F1504" s="83"/>
      <c r="G1504" s="111"/>
    </row>
    <row r="1505" spans="2:8" ht="13.5" thickBot="1">
      <c r="B1505" s="839" t="s">
        <v>841</v>
      </c>
      <c r="C1505" s="840"/>
      <c r="D1505" s="77"/>
      <c r="E1505" s="106"/>
      <c r="F1505" s="86"/>
      <c r="G1505" s="112"/>
    </row>
    <row r="1506" spans="2:8" ht="14.25" thickTop="1" thickBot="1">
      <c r="B1506" s="808"/>
      <c r="C1506" s="808"/>
      <c r="D1506" s="808"/>
      <c r="E1506" s="809"/>
      <c r="F1506" s="119" t="s">
        <v>856</v>
      </c>
      <c r="G1506" s="118">
        <f>SUM(G1500:G1505)</f>
        <v>1835</v>
      </c>
    </row>
    <row r="1507" spans="2:8" ht="14.25" thickTop="1" thickBot="1">
      <c r="B1507" s="830"/>
      <c r="C1507" s="830"/>
      <c r="D1507" s="830"/>
      <c r="E1507" s="830"/>
      <c r="F1507" s="830"/>
      <c r="G1507" s="830"/>
    </row>
    <row r="1508" spans="2:8" ht="13.5" thickTop="1">
      <c r="B1508" s="811" t="s">
        <v>311</v>
      </c>
      <c r="C1508" s="812"/>
      <c r="D1508" s="812"/>
      <c r="E1508" s="812"/>
      <c r="F1508" s="812"/>
      <c r="G1508" s="825"/>
    </row>
    <row r="1509" spans="2:8">
      <c r="B1509" s="817" t="s">
        <v>838</v>
      </c>
      <c r="C1509" s="818"/>
      <c r="D1509" s="98" t="s">
        <v>842</v>
      </c>
      <c r="E1509" s="98" t="s">
        <v>853</v>
      </c>
      <c r="F1509" s="99" t="s">
        <v>1047</v>
      </c>
      <c r="G1509" s="107" t="s">
        <v>840</v>
      </c>
    </row>
    <row r="1510" spans="2:8">
      <c r="B1510" s="115"/>
      <c r="C1510" s="102"/>
      <c r="D1510" s="100"/>
      <c r="E1510" s="100" t="s">
        <v>312</v>
      </c>
      <c r="F1510" s="101" t="s">
        <v>313</v>
      </c>
      <c r="G1510" s="108" t="s">
        <v>314</v>
      </c>
    </row>
    <row r="1511" spans="2:8">
      <c r="B1511" s="841" t="str">
        <f>MATERIALES2!C84</f>
        <v>VARILLA DE 3/8" X 6.0 M</v>
      </c>
      <c r="C1511" s="842"/>
      <c r="D1511" s="87" t="s">
        <v>831</v>
      </c>
      <c r="E1511" s="81">
        <v>0.5</v>
      </c>
      <c r="F1511" s="80">
        <f>MATERIALES2!E84</f>
        <v>10246</v>
      </c>
      <c r="G1511" s="110">
        <f>ROUND(E1511*F1511,0)</f>
        <v>5123</v>
      </c>
    </row>
    <row r="1512" spans="2:8">
      <c r="B1512" s="854" t="str">
        <f>MATERIALES2!C70</f>
        <v>VARILLA CORRUGADA ½" x 6.0 M</v>
      </c>
      <c r="C1512" s="855"/>
      <c r="D1512" s="37" t="s">
        <v>831</v>
      </c>
      <c r="E1512" s="83">
        <v>0.8</v>
      </c>
      <c r="F1512" s="82">
        <f>MATERIALES2!E70</f>
        <v>9300</v>
      </c>
      <c r="G1512" s="111">
        <f>ROUND(E1512*F1512,0)</f>
        <v>7440</v>
      </c>
    </row>
    <row r="1513" spans="2:8">
      <c r="B1513" s="854" t="str">
        <f>MATERIALES2!C251</f>
        <v>SOLDADURA 6013 3/32</v>
      </c>
      <c r="C1513" s="855"/>
      <c r="D1513" s="37" t="s">
        <v>925</v>
      </c>
      <c r="E1513" s="83">
        <v>0.3</v>
      </c>
      <c r="F1513" s="82">
        <f>MATERIALES2!E251</f>
        <v>8000</v>
      </c>
      <c r="G1513" s="111">
        <f>ROUND(E1513*F1513,0)</f>
        <v>2400</v>
      </c>
    </row>
    <row r="1514" spans="2:8">
      <c r="B1514" s="854"/>
      <c r="C1514" s="855"/>
      <c r="D1514" s="37"/>
      <c r="E1514" s="83"/>
      <c r="F1514" s="82"/>
      <c r="G1514" s="111"/>
    </row>
    <row r="1515" spans="2:8">
      <c r="B1515" s="854"/>
      <c r="C1515" s="855"/>
      <c r="D1515" s="37"/>
      <c r="E1515" s="53"/>
      <c r="F1515" s="82"/>
      <c r="G1515" s="111"/>
    </row>
    <row r="1516" spans="2:8">
      <c r="B1516" s="854"/>
      <c r="C1516" s="855"/>
      <c r="D1516" s="37"/>
      <c r="E1516" s="53"/>
      <c r="F1516" s="82"/>
      <c r="G1516" s="111"/>
    </row>
    <row r="1517" spans="2:8">
      <c r="B1517" s="854"/>
      <c r="C1517" s="855"/>
      <c r="D1517" s="37"/>
      <c r="E1517" s="53"/>
      <c r="F1517" s="82"/>
      <c r="G1517" s="111"/>
    </row>
    <row r="1518" spans="2:8">
      <c r="B1518" s="938" t="s">
        <v>841</v>
      </c>
      <c r="C1518" s="939"/>
      <c r="D1518" s="53" t="s">
        <v>841</v>
      </c>
      <c r="E1518" s="53"/>
      <c r="F1518" s="82"/>
      <c r="G1518" s="111"/>
      <c r="H1518" s="505" t="s">
        <v>1670</v>
      </c>
    </row>
    <row r="1519" spans="2:8" ht="13.5" thickBot="1">
      <c r="B1519" s="942" t="s">
        <v>841</v>
      </c>
      <c r="C1519" s="943"/>
      <c r="D1519" s="84" t="s">
        <v>841</v>
      </c>
      <c r="E1519" s="84"/>
      <c r="F1519" s="85"/>
      <c r="G1519" s="112"/>
    </row>
    <row r="1520" spans="2:8" ht="13.5" thickTop="1">
      <c r="B1520" s="808"/>
      <c r="C1520" s="809"/>
      <c r="D1520" s="801" t="s">
        <v>856</v>
      </c>
      <c r="E1520" s="802"/>
      <c r="F1520" s="9"/>
      <c r="G1520" s="113">
        <f>SUM(G1511:G1519)</f>
        <v>14963</v>
      </c>
    </row>
    <row r="1521" spans="2:7">
      <c r="B1521" s="819"/>
      <c r="C1521" s="820"/>
      <c r="D1521" s="801" t="s">
        <v>857</v>
      </c>
      <c r="E1521" s="802"/>
      <c r="F1521" s="79">
        <f>'MANO DE OBRA'!D60</f>
        <v>0.05</v>
      </c>
      <c r="G1521" s="113">
        <f>ROUND(G1520*F1521,0)</f>
        <v>748</v>
      </c>
    </row>
    <row r="1522" spans="2:7" ht="13.5" thickBot="1">
      <c r="B1522" s="819"/>
      <c r="C1522" s="820"/>
      <c r="D1522" s="803" t="s">
        <v>320</v>
      </c>
      <c r="E1522" s="804"/>
      <c r="F1522" s="114"/>
      <c r="G1522" s="118">
        <f>+G1520+G1521</f>
        <v>15711</v>
      </c>
    </row>
    <row r="1523" spans="2:7" ht="14.25" thickTop="1" thickBot="1">
      <c r="B1523" s="830"/>
      <c r="C1523" s="830"/>
      <c r="D1523" s="830"/>
      <c r="E1523" s="830"/>
      <c r="F1523" s="830"/>
      <c r="G1523" s="830"/>
    </row>
    <row r="1524" spans="2:7" ht="13.5" thickTop="1">
      <c r="B1524" s="811" t="s">
        <v>858</v>
      </c>
      <c r="C1524" s="812"/>
      <c r="D1524" s="812"/>
      <c r="E1524" s="812"/>
      <c r="F1524" s="812"/>
      <c r="G1524" s="825"/>
    </row>
    <row r="1525" spans="2:7">
      <c r="B1525" s="817"/>
      <c r="C1525" s="818"/>
      <c r="D1525" s="98" t="s">
        <v>301</v>
      </c>
      <c r="E1525" s="98" t="s">
        <v>859</v>
      </c>
      <c r="F1525" s="99" t="s">
        <v>839</v>
      </c>
      <c r="G1525" s="107" t="s">
        <v>840</v>
      </c>
    </row>
    <row r="1526" spans="2:7">
      <c r="B1526" s="821" t="s">
        <v>838</v>
      </c>
      <c r="C1526" s="822"/>
      <c r="D1526" s="100" t="s">
        <v>316</v>
      </c>
      <c r="E1526" s="100" t="s">
        <v>315</v>
      </c>
      <c r="F1526" s="101" t="s">
        <v>306</v>
      </c>
      <c r="G1526" s="108" t="s">
        <v>319</v>
      </c>
    </row>
    <row r="1527" spans="2:7">
      <c r="B1527" s="115"/>
      <c r="C1527" s="102"/>
      <c r="D1527" s="103"/>
      <c r="E1527" s="103" t="s">
        <v>317</v>
      </c>
      <c r="F1527" s="104" t="s">
        <v>318</v>
      </c>
      <c r="G1527" s="109"/>
    </row>
    <row r="1528" spans="2:7">
      <c r="B1528" s="823" t="str">
        <f>'MANO DE OBRA'!B10</f>
        <v>AYUDANTE CUAD. TIPO AA</v>
      </c>
      <c r="C1528" s="824"/>
      <c r="D1528" s="87">
        <v>2</v>
      </c>
      <c r="E1528" s="80">
        <f>'MANO DE OBRA'!E10</f>
        <v>34680</v>
      </c>
      <c r="F1528" s="81">
        <v>10</v>
      </c>
      <c r="G1528" s="110">
        <f>ROUND(D1528*E1528/F1528,0)</f>
        <v>6936</v>
      </c>
    </row>
    <row r="1529" spans="2:7">
      <c r="B1529" s="835" t="str">
        <f>'MANO DE OBRA'!B15</f>
        <v xml:space="preserve">OFICIAL CUAD. TIPO AA </v>
      </c>
      <c r="C1529" s="836"/>
      <c r="D1529" s="37">
        <v>1</v>
      </c>
      <c r="E1529" s="82">
        <f>'MANO DE OBRA'!E15</f>
        <v>71474</v>
      </c>
      <c r="F1529" s="83">
        <v>10</v>
      </c>
      <c r="G1529" s="111">
        <f>ROUND(D1529*E1529/F1529,0)</f>
        <v>7147</v>
      </c>
    </row>
    <row r="1530" spans="2:7">
      <c r="B1530" s="835"/>
      <c r="C1530" s="836"/>
      <c r="D1530" s="89"/>
      <c r="E1530" s="82"/>
      <c r="F1530" s="83"/>
      <c r="G1530" s="111"/>
    </row>
    <row r="1531" spans="2:7">
      <c r="B1531" s="835" t="s">
        <v>841</v>
      </c>
      <c r="C1531" s="836"/>
      <c r="D1531" s="37"/>
      <c r="E1531" s="82"/>
      <c r="F1531" s="83"/>
      <c r="G1531" s="111"/>
    </row>
    <row r="1532" spans="2:7" ht="13.5" thickBot="1">
      <c r="B1532" s="828" t="s">
        <v>841</v>
      </c>
      <c r="C1532" s="829"/>
      <c r="D1532" s="77"/>
      <c r="E1532" s="82"/>
      <c r="F1532" s="86"/>
      <c r="G1532" s="112"/>
    </row>
    <row r="1533" spans="2:7" ht="14.25" thickTop="1" thickBot="1">
      <c r="B1533" s="808"/>
      <c r="C1533" s="808"/>
      <c r="D1533" s="808"/>
      <c r="E1533" s="809"/>
      <c r="F1533" s="120" t="s">
        <v>856</v>
      </c>
      <c r="G1533" s="118">
        <f>SUM(G1528:G1532)</f>
        <v>14083</v>
      </c>
    </row>
    <row r="1534" spans="2:7" ht="14.25" thickTop="1" thickBot="1">
      <c r="B1534" s="810"/>
      <c r="C1534" s="810"/>
      <c r="D1534" s="810"/>
      <c r="E1534" s="810"/>
      <c r="F1534" s="810"/>
      <c r="G1534" s="810"/>
    </row>
    <row r="1535" spans="2:7" ht="13.5" thickTop="1">
      <c r="B1535" s="811" t="s">
        <v>321</v>
      </c>
      <c r="C1535" s="812"/>
      <c r="D1535" s="812"/>
      <c r="E1535" s="812"/>
      <c r="F1535" s="812"/>
      <c r="G1535" s="825"/>
    </row>
    <row r="1536" spans="2:7">
      <c r="B1536" s="817" t="s">
        <v>838</v>
      </c>
      <c r="C1536" s="818"/>
      <c r="D1536" s="98" t="s">
        <v>301</v>
      </c>
      <c r="E1536" s="98" t="s">
        <v>297</v>
      </c>
      <c r="F1536" s="99" t="s">
        <v>839</v>
      </c>
      <c r="G1536" s="107" t="s">
        <v>840</v>
      </c>
    </row>
    <row r="1537" spans="2:8">
      <c r="B1537" s="115"/>
      <c r="C1537" s="102"/>
      <c r="D1537" s="103" t="s">
        <v>322</v>
      </c>
      <c r="E1537" s="103" t="s">
        <v>323</v>
      </c>
      <c r="F1537" s="104" t="s">
        <v>324</v>
      </c>
      <c r="G1537" s="109" t="s">
        <v>325</v>
      </c>
    </row>
    <row r="1538" spans="2:8">
      <c r="B1538" s="826"/>
      <c r="C1538" s="827"/>
      <c r="D1538" s="96"/>
      <c r="E1538" s="96"/>
      <c r="F1538" s="96"/>
      <c r="G1538" s="116"/>
    </row>
    <row r="1539" spans="2:8" ht="13.5" thickBot="1">
      <c r="B1539" s="828" t="s">
        <v>841</v>
      </c>
      <c r="C1539" s="829"/>
      <c r="D1539" s="77"/>
      <c r="E1539" s="82"/>
      <c r="F1539" s="86"/>
      <c r="G1539" s="112"/>
    </row>
    <row r="1540" spans="2:8" ht="14.25" thickTop="1" thickBot="1">
      <c r="B1540" s="808"/>
      <c r="C1540" s="808"/>
      <c r="D1540" s="808"/>
      <c r="E1540" s="809"/>
      <c r="F1540" s="120" t="s">
        <v>856</v>
      </c>
      <c r="G1540" s="118">
        <f>SUM(G1535:G1539)</f>
        <v>0</v>
      </c>
    </row>
    <row r="1541" spans="2:8" ht="14.25" thickTop="1" thickBot="1">
      <c r="B1541" s="810"/>
      <c r="C1541" s="810"/>
      <c r="D1541" s="810"/>
      <c r="E1541" s="810"/>
      <c r="F1541" s="810"/>
      <c r="G1541" s="834"/>
    </row>
    <row r="1542" spans="2:8" ht="13.5" thickTop="1">
      <c r="B1542" s="811" t="s">
        <v>326</v>
      </c>
      <c r="C1542" s="812"/>
      <c r="D1542" s="812"/>
      <c r="E1542" s="812"/>
      <c r="F1542" s="813"/>
      <c r="G1542" s="121">
        <f>+G1506+G1522+G1533</f>
        <v>31629</v>
      </c>
    </row>
    <row r="1543" spans="2:8">
      <c r="B1543" s="814" t="s">
        <v>861</v>
      </c>
      <c r="C1543" s="815"/>
      <c r="D1543" s="815"/>
      <c r="E1543" s="816"/>
      <c r="F1543" s="128">
        <f>'MANO DE OBRA'!D167</f>
        <v>0</v>
      </c>
      <c r="G1543" s="122">
        <f>ROUND(G1542*F1543,0)</f>
        <v>0</v>
      </c>
    </row>
    <row r="1544" spans="2:8" ht="13.5" thickBot="1">
      <c r="B1544" s="805" t="s">
        <v>1049</v>
      </c>
      <c r="C1544" s="806"/>
      <c r="D1544" s="806"/>
      <c r="E1544" s="806"/>
      <c r="F1544" s="807"/>
      <c r="G1544" s="118">
        <f>ROUND(G1542+G1543,-2)</f>
        <v>31600</v>
      </c>
      <c r="H1544" s="505" t="s">
        <v>1670</v>
      </c>
    </row>
    <row r="1545" spans="2:8" ht="13.5" thickTop="1">
      <c r="B1545" s="90" t="s">
        <v>303</v>
      </c>
      <c r="C1545" s="843"/>
      <c r="D1545" s="843"/>
      <c r="E1545" s="843"/>
      <c r="F1545" s="92" t="s">
        <v>781</v>
      </c>
      <c r="G1545" s="93" t="s">
        <v>868</v>
      </c>
    </row>
    <row r="1546" spans="2:8">
      <c r="B1546" s="91" t="s">
        <v>834</v>
      </c>
      <c r="C1546" s="844" t="s">
        <v>429</v>
      </c>
      <c r="D1546" s="844"/>
      <c r="E1546" s="844"/>
      <c r="F1546" s="15" t="s">
        <v>833</v>
      </c>
      <c r="G1546" s="165" t="str">
        <f>'MANO DE OBRA'!D61</f>
        <v>Agosto de 2010</v>
      </c>
    </row>
    <row r="1547" spans="2:8" ht="13.5" thickBot="1">
      <c r="B1547" s="94" t="s">
        <v>835</v>
      </c>
      <c r="C1547" s="845" t="s">
        <v>1681</v>
      </c>
      <c r="D1547" s="845"/>
      <c r="E1547" s="845"/>
      <c r="F1547" s="845"/>
      <c r="G1547" s="846"/>
    </row>
    <row r="1548" spans="2:8" ht="14.25" thickTop="1" thickBot="1">
      <c r="B1548" s="847" t="s">
        <v>1409</v>
      </c>
      <c r="C1548" s="847"/>
      <c r="D1548" s="847"/>
      <c r="E1548" s="847"/>
      <c r="F1548" s="847"/>
      <c r="G1548" s="847"/>
    </row>
    <row r="1549" spans="2:8" ht="13.5" thickTop="1">
      <c r="B1549" s="811" t="s">
        <v>304</v>
      </c>
      <c r="C1549" s="812"/>
      <c r="D1549" s="812"/>
      <c r="E1549" s="812"/>
      <c r="F1549" s="812"/>
      <c r="G1549" s="825"/>
    </row>
    <row r="1550" spans="2:8">
      <c r="B1550" s="105"/>
      <c r="C1550" s="97"/>
      <c r="D1550" s="98" t="s">
        <v>301</v>
      </c>
      <c r="E1550" s="98" t="s">
        <v>1072</v>
      </c>
      <c r="F1550" s="99" t="s">
        <v>839</v>
      </c>
      <c r="G1550" s="107" t="s">
        <v>840</v>
      </c>
    </row>
    <row r="1551" spans="2:8">
      <c r="B1551" s="821" t="s">
        <v>838</v>
      </c>
      <c r="C1551" s="822"/>
      <c r="D1551" s="100" t="s">
        <v>308</v>
      </c>
      <c r="E1551" s="100" t="s">
        <v>305</v>
      </c>
      <c r="F1551" s="101" t="s">
        <v>306</v>
      </c>
      <c r="G1551" s="108" t="s">
        <v>310</v>
      </c>
    </row>
    <row r="1552" spans="2:8">
      <c r="B1552" s="115"/>
      <c r="C1552" s="102"/>
      <c r="D1552" s="103"/>
      <c r="E1552" s="100" t="s">
        <v>309</v>
      </c>
      <c r="F1552" s="104" t="s">
        <v>307</v>
      </c>
      <c r="G1552" s="109"/>
    </row>
    <row r="1553" spans="2:7">
      <c r="B1553" s="823" t="str">
        <f>'MAQUINARIA Y EQUIPOS'!C28</f>
        <v>HERRAMIENTAS MENORES</v>
      </c>
      <c r="C1553" s="824"/>
      <c r="D1553" s="87">
        <v>1</v>
      </c>
      <c r="E1553" s="80">
        <f>ROUND(G1586*0.05,0)</f>
        <v>1047</v>
      </c>
      <c r="F1553" s="81">
        <v>1</v>
      </c>
      <c r="G1553" s="110">
        <f>ROUND(D1553*E1553/F1553,0)</f>
        <v>1047</v>
      </c>
    </row>
    <row r="1554" spans="2:7">
      <c r="B1554" s="835" t="str">
        <f>'MAQUINARIA Y EQUIPOS'!$C$9</f>
        <v>ANDAMIO TUBULAR 1.50 m</v>
      </c>
      <c r="C1554" s="836"/>
      <c r="D1554" s="37">
        <v>4</v>
      </c>
      <c r="E1554" s="129">
        <f>'MAQUINARIA Y EQUIPOS'!D9</f>
        <v>754</v>
      </c>
      <c r="F1554" s="83">
        <v>8</v>
      </c>
      <c r="G1554" s="111">
        <f>ROUND(D1554*E1554/F1554,0)</f>
        <v>377</v>
      </c>
    </row>
    <row r="1555" spans="2:7">
      <c r="B1555" s="835" t="str">
        <f>'MAQUINARIA Y EQUIPOS'!C47</f>
        <v>TABLONES 3m</v>
      </c>
      <c r="C1555" s="836"/>
      <c r="D1555" s="37">
        <v>4</v>
      </c>
      <c r="E1555" s="129">
        <f>'MAQUINARIA Y EQUIPOS'!D47</f>
        <v>348</v>
      </c>
      <c r="F1555" s="83">
        <v>8</v>
      </c>
      <c r="G1555" s="111">
        <f>ROUND(D1555*E1555/F1555,0)</f>
        <v>174</v>
      </c>
    </row>
    <row r="1556" spans="2:7">
      <c r="B1556" s="835" t="str">
        <f>'MAQUINARIA Y EQUIPOS'!C23</f>
        <v>EQUIPO DE SOLDADURA</v>
      </c>
      <c r="C1556" s="836"/>
      <c r="D1556" s="37">
        <v>1</v>
      </c>
      <c r="E1556" s="129">
        <f>'MAQUINARIA Y EQUIPOS'!D23</f>
        <v>58000</v>
      </c>
      <c r="F1556" s="83">
        <v>8</v>
      </c>
      <c r="G1556" s="111">
        <f>ROUND(D1556*E1556/F1556,0)</f>
        <v>7250</v>
      </c>
    </row>
    <row r="1557" spans="2:7">
      <c r="B1557" s="835" t="str">
        <f>'MAQUINARIA Y EQUIPOS'!C43</f>
        <v>PULIDORA</v>
      </c>
      <c r="C1557" s="836"/>
      <c r="D1557" s="37">
        <v>1</v>
      </c>
      <c r="E1557" s="129">
        <f>'MAQUINARIA Y EQUIPOS'!D43</f>
        <v>29000</v>
      </c>
      <c r="F1557" s="83">
        <v>20</v>
      </c>
      <c r="G1557" s="111">
        <f>ROUND(D1557*E1557/F1557,0)</f>
        <v>1450</v>
      </c>
    </row>
    <row r="1558" spans="2:7" ht="13.5" thickBot="1">
      <c r="B1558" s="839" t="s">
        <v>841</v>
      </c>
      <c r="C1558" s="840"/>
      <c r="D1558" s="77"/>
      <c r="E1558" s="106"/>
      <c r="F1558" s="86"/>
      <c r="G1558" s="112"/>
    </row>
    <row r="1559" spans="2:7" ht="14.25" thickTop="1" thickBot="1">
      <c r="B1559" s="808"/>
      <c r="C1559" s="808"/>
      <c r="D1559" s="808"/>
      <c r="E1559" s="809"/>
      <c r="F1559" s="119" t="s">
        <v>856</v>
      </c>
      <c r="G1559" s="118">
        <f>SUM(G1553:G1558)</f>
        <v>10298</v>
      </c>
    </row>
    <row r="1560" spans="2:7" ht="14.25" thickTop="1" thickBot="1">
      <c r="B1560" s="830"/>
      <c r="C1560" s="830"/>
      <c r="D1560" s="830"/>
      <c r="E1560" s="830"/>
      <c r="F1560" s="830"/>
      <c r="G1560" s="830"/>
    </row>
    <row r="1561" spans="2:7" ht="13.5" thickTop="1">
      <c r="B1561" s="811" t="s">
        <v>311</v>
      </c>
      <c r="C1561" s="812"/>
      <c r="D1561" s="812"/>
      <c r="E1561" s="812"/>
      <c r="F1561" s="812"/>
      <c r="G1561" s="825"/>
    </row>
    <row r="1562" spans="2:7">
      <c r="B1562" s="817" t="s">
        <v>838</v>
      </c>
      <c r="C1562" s="818"/>
      <c r="D1562" s="98" t="s">
        <v>842</v>
      </c>
      <c r="E1562" s="98" t="s">
        <v>853</v>
      </c>
      <c r="F1562" s="99" t="s">
        <v>1047</v>
      </c>
      <c r="G1562" s="107" t="s">
        <v>840</v>
      </c>
    </row>
    <row r="1563" spans="2:7">
      <c r="B1563" s="115"/>
      <c r="C1563" s="102"/>
      <c r="D1563" s="100"/>
      <c r="E1563" s="100" t="s">
        <v>312</v>
      </c>
      <c r="F1563" s="101" t="s">
        <v>313</v>
      </c>
      <c r="G1563" s="108" t="s">
        <v>314</v>
      </c>
    </row>
    <row r="1564" spans="2:7">
      <c r="B1564" s="841" t="str">
        <f>MATERIALES2!C236</f>
        <v>TUBO 1"x1"x6.00 M</v>
      </c>
      <c r="C1564" s="842"/>
      <c r="D1564" s="87" t="s">
        <v>865</v>
      </c>
      <c r="E1564" s="81">
        <v>1</v>
      </c>
      <c r="F1564" s="80">
        <f>MATERIALES2!E236</f>
        <v>5300</v>
      </c>
      <c r="G1564" s="110">
        <f>ROUND(E1564*F1564,0)</f>
        <v>5300</v>
      </c>
    </row>
    <row r="1565" spans="2:7">
      <c r="B1565" s="854" t="str">
        <f>MATERIALES2!C243</f>
        <v>ANGULO DE 1"x1/8"x6.0 M</v>
      </c>
      <c r="C1565" s="855"/>
      <c r="D1565" s="37" t="s">
        <v>865</v>
      </c>
      <c r="E1565" s="83">
        <v>0.8</v>
      </c>
      <c r="F1565" s="82">
        <f>MATERIALES2!E243</f>
        <v>13500</v>
      </c>
      <c r="G1565" s="111">
        <f>ROUND(E1565*F1565,0)</f>
        <v>10800</v>
      </c>
    </row>
    <row r="1566" spans="2:7">
      <c r="B1566" s="854" t="str">
        <f>MATERIALES2!C250</f>
        <v>SOLDADURA 6013 1/8</v>
      </c>
      <c r="C1566" s="855"/>
      <c r="D1566" s="37" t="s">
        <v>925</v>
      </c>
      <c r="E1566" s="83">
        <v>0.3</v>
      </c>
      <c r="F1566" s="82">
        <f>MATERIALES2!E250</f>
        <v>8300</v>
      </c>
      <c r="G1566" s="111">
        <f>ROUND(E1566*F1566,0)</f>
        <v>2490</v>
      </c>
    </row>
    <row r="1567" spans="2:7">
      <c r="B1567" s="854"/>
      <c r="C1567" s="855"/>
      <c r="D1567" s="37"/>
      <c r="E1567" s="83"/>
      <c r="F1567" s="82"/>
      <c r="G1567" s="111"/>
    </row>
    <row r="1568" spans="2:7">
      <c r="B1568" s="854"/>
      <c r="C1568" s="855"/>
      <c r="D1568" s="37"/>
      <c r="E1568" s="53"/>
      <c r="F1568" s="82"/>
      <c r="G1568" s="111"/>
    </row>
    <row r="1569" spans="2:8">
      <c r="B1569" s="854"/>
      <c r="C1569" s="855"/>
      <c r="D1569" s="37"/>
      <c r="E1569" s="53"/>
      <c r="F1569" s="82"/>
      <c r="G1569" s="111"/>
    </row>
    <row r="1570" spans="2:8">
      <c r="B1570" s="854"/>
      <c r="C1570" s="855"/>
      <c r="D1570" s="37"/>
      <c r="E1570" s="53"/>
      <c r="F1570" s="82"/>
      <c r="G1570" s="111"/>
    </row>
    <row r="1571" spans="2:8">
      <c r="B1571" s="938" t="s">
        <v>841</v>
      </c>
      <c r="C1571" s="939"/>
      <c r="D1571" s="53" t="s">
        <v>841</v>
      </c>
      <c r="E1571" s="53"/>
      <c r="F1571" s="82"/>
      <c r="G1571" s="111"/>
      <c r="H1571" s="505" t="s">
        <v>1670</v>
      </c>
    </row>
    <row r="1572" spans="2:8" ht="13.5" thickBot="1">
      <c r="B1572" s="942" t="s">
        <v>841</v>
      </c>
      <c r="C1572" s="943"/>
      <c r="D1572" s="84" t="s">
        <v>841</v>
      </c>
      <c r="E1572" s="84"/>
      <c r="F1572" s="85"/>
      <c r="G1572" s="112"/>
    </row>
    <row r="1573" spans="2:8" ht="13.5" thickTop="1">
      <c r="B1573" s="808"/>
      <c r="C1573" s="809"/>
      <c r="D1573" s="801" t="s">
        <v>856</v>
      </c>
      <c r="E1573" s="802"/>
      <c r="F1573" s="9"/>
      <c r="G1573" s="113">
        <f>SUM(G1564:G1572)</f>
        <v>18590</v>
      </c>
    </row>
    <row r="1574" spans="2:8">
      <c r="B1574" s="819"/>
      <c r="C1574" s="820"/>
      <c r="D1574" s="801" t="s">
        <v>857</v>
      </c>
      <c r="E1574" s="802"/>
      <c r="F1574" s="79">
        <v>0.05</v>
      </c>
      <c r="G1574" s="113">
        <f>ROUND(G1573*F1574,0)</f>
        <v>930</v>
      </c>
    </row>
    <row r="1575" spans="2:8" ht="13.5" thickBot="1">
      <c r="B1575" s="819"/>
      <c r="C1575" s="820"/>
      <c r="D1575" s="803" t="s">
        <v>320</v>
      </c>
      <c r="E1575" s="804"/>
      <c r="F1575" s="114"/>
      <c r="G1575" s="118">
        <f>+G1573+G1574</f>
        <v>19520</v>
      </c>
    </row>
    <row r="1576" spans="2:8" ht="14.25" thickTop="1" thickBot="1">
      <c r="B1576" s="830"/>
      <c r="C1576" s="830"/>
      <c r="D1576" s="830"/>
      <c r="E1576" s="830"/>
      <c r="F1576" s="830"/>
      <c r="G1576" s="830"/>
    </row>
    <row r="1577" spans="2:8" ht="13.5" thickTop="1">
      <c r="B1577" s="811" t="s">
        <v>858</v>
      </c>
      <c r="C1577" s="812"/>
      <c r="D1577" s="812"/>
      <c r="E1577" s="812"/>
      <c r="F1577" s="812"/>
      <c r="G1577" s="825"/>
    </row>
    <row r="1578" spans="2:8">
      <c r="B1578" s="817"/>
      <c r="C1578" s="818"/>
      <c r="D1578" s="98" t="s">
        <v>301</v>
      </c>
      <c r="E1578" s="98" t="s">
        <v>859</v>
      </c>
      <c r="F1578" s="99" t="s">
        <v>839</v>
      </c>
      <c r="G1578" s="107" t="s">
        <v>840</v>
      </c>
    </row>
    <row r="1579" spans="2:8">
      <c r="B1579" s="821" t="s">
        <v>838</v>
      </c>
      <c r="C1579" s="822"/>
      <c r="D1579" s="100" t="s">
        <v>316</v>
      </c>
      <c r="E1579" s="100" t="s">
        <v>315</v>
      </c>
      <c r="F1579" s="101" t="s">
        <v>306</v>
      </c>
      <c r="G1579" s="108" t="s">
        <v>319</v>
      </c>
    </row>
    <row r="1580" spans="2:8">
      <c r="B1580" s="115"/>
      <c r="C1580" s="102"/>
      <c r="D1580" s="103"/>
      <c r="E1580" s="103" t="s">
        <v>317</v>
      </c>
      <c r="F1580" s="104" t="s">
        <v>318</v>
      </c>
      <c r="G1580" s="109"/>
    </row>
    <row r="1581" spans="2:8">
      <c r="B1581" s="823" t="str">
        <f>'MANO DE OBRA'!B10</f>
        <v>AYUDANTE CUAD. TIPO AA</v>
      </c>
      <c r="C1581" s="824"/>
      <c r="D1581" s="87">
        <v>3</v>
      </c>
      <c r="E1581" s="80">
        <f>'MANO DE OBRA'!E10</f>
        <v>34680</v>
      </c>
      <c r="F1581" s="81">
        <v>8</v>
      </c>
      <c r="G1581" s="110">
        <f>ROUND(D1581*E1581/F1581,0)</f>
        <v>13005</v>
      </c>
    </row>
    <row r="1582" spans="2:8">
      <c r="B1582" s="835" t="str">
        <f>'MANO DE OBRA'!B15</f>
        <v xml:space="preserve">OFICIAL CUAD. TIPO AA </v>
      </c>
      <c r="C1582" s="836"/>
      <c r="D1582" s="37">
        <v>1</v>
      </c>
      <c r="E1582" s="82">
        <f>'MANO DE OBRA'!E15</f>
        <v>71474</v>
      </c>
      <c r="F1582" s="83">
        <v>9</v>
      </c>
      <c r="G1582" s="111">
        <f>ROUND(D1582*E1582/F1582,0)</f>
        <v>7942</v>
      </c>
    </row>
    <row r="1583" spans="2:8">
      <c r="B1583" s="835"/>
      <c r="C1583" s="836"/>
      <c r="D1583" s="89"/>
      <c r="E1583" s="82"/>
      <c r="F1583" s="83"/>
      <c r="G1583" s="111"/>
    </row>
    <row r="1584" spans="2:8">
      <c r="B1584" s="835" t="s">
        <v>841</v>
      </c>
      <c r="C1584" s="836"/>
      <c r="D1584" s="37"/>
      <c r="E1584" s="82"/>
      <c r="F1584" s="83"/>
      <c r="G1584" s="111"/>
    </row>
    <row r="1585" spans="2:8" ht="13.5" thickBot="1">
      <c r="B1585" s="828" t="s">
        <v>841</v>
      </c>
      <c r="C1585" s="829"/>
      <c r="D1585" s="77"/>
      <c r="E1585" s="82"/>
      <c r="F1585" s="86"/>
      <c r="G1585" s="112"/>
    </row>
    <row r="1586" spans="2:8" ht="14.25" thickTop="1" thickBot="1">
      <c r="B1586" s="808"/>
      <c r="C1586" s="808"/>
      <c r="D1586" s="808"/>
      <c r="E1586" s="809"/>
      <c r="F1586" s="120" t="s">
        <v>856</v>
      </c>
      <c r="G1586" s="118">
        <f>SUM(G1581:G1585)</f>
        <v>20947</v>
      </c>
    </row>
    <row r="1587" spans="2:8" ht="14.25" thickTop="1" thickBot="1">
      <c r="B1587" s="810"/>
      <c r="C1587" s="810"/>
      <c r="D1587" s="810"/>
      <c r="E1587" s="810"/>
      <c r="F1587" s="810"/>
      <c r="G1587" s="810"/>
    </row>
    <row r="1588" spans="2:8" ht="13.5" thickTop="1">
      <c r="B1588" s="811" t="s">
        <v>321</v>
      </c>
      <c r="C1588" s="812"/>
      <c r="D1588" s="812"/>
      <c r="E1588" s="812"/>
      <c r="F1588" s="812"/>
      <c r="G1588" s="825"/>
    </row>
    <row r="1589" spans="2:8">
      <c r="B1589" s="817" t="s">
        <v>838</v>
      </c>
      <c r="C1589" s="818"/>
      <c r="D1589" s="98" t="s">
        <v>301</v>
      </c>
      <c r="E1589" s="98" t="s">
        <v>297</v>
      </c>
      <c r="F1589" s="99" t="s">
        <v>839</v>
      </c>
      <c r="G1589" s="107" t="s">
        <v>840</v>
      </c>
    </row>
    <row r="1590" spans="2:8">
      <c r="B1590" s="115"/>
      <c r="C1590" s="102"/>
      <c r="D1590" s="103" t="s">
        <v>322</v>
      </c>
      <c r="E1590" s="103" t="s">
        <v>323</v>
      </c>
      <c r="F1590" s="104" t="s">
        <v>324</v>
      </c>
      <c r="G1590" s="109" t="s">
        <v>325</v>
      </c>
    </row>
    <row r="1591" spans="2:8">
      <c r="B1591" s="826"/>
      <c r="C1591" s="827"/>
      <c r="D1591" s="96"/>
      <c r="E1591" s="96"/>
      <c r="F1591" s="96"/>
      <c r="G1591" s="116"/>
    </row>
    <row r="1592" spans="2:8" ht="13.5" thickBot="1">
      <c r="B1592" s="828" t="s">
        <v>841</v>
      </c>
      <c r="C1592" s="829"/>
      <c r="D1592" s="77"/>
      <c r="E1592" s="82"/>
      <c r="F1592" s="86"/>
      <c r="G1592" s="112"/>
    </row>
    <row r="1593" spans="2:8" ht="14.25" thickTop="1" thickBot="1">
      <c r="B1593" s="808"/>
      <c r="C1593" s="808"/>
      <c r="D1593" s="808"/>
      <c r="E1593" s="809"/>
      <c r="F1593" s="120" t="s">
        <v>856</v>
      </c>
      <c r="G1593" s="118">
        <f>SUM(G1588:G1592)</f>
        <v>0</v>
      </c>
    </row>
    <row r="1594" spans="2:8" ht="14.25" thickTop="1" thickBot="1">
      <c r="B1594" s="810"/>
      <c r="C1594" s="810"/>
      <c r="D1594" s="810"/>
      <c r="E1594" s="810"/>
      <c r="F1594" s="810"/>
      <c r="G1594" s="834"/>
    </row>
    <row r="1595" spans="2:8" ht="13.5" thickTop="1">
      <c r="B1595" s="811" t="s">
        <v>326</v>
      </c>
      <c r="C1595" s="812"/>
      <c r="D1595" s="812"/>
      <c r="E1595" s="812"/>
      <c r="F1595" s="813"/>
      <c r="G1595" s="121">
        <f>+G1559+G1575+G1586</f>
        <v>50765</v>
      </c>
    </row>
    <row r="1596" spans="2:8">
      <c r="B1596" s="814" t="s">
        <v>861</v>
      </c>
      <c r="C1596" s="815"/>
      <c r="D1596" s="815"/>
      <c r="E1596" s="816"/>
      <c r="F1596" s="128">
        <f>'MANO DE OBRA'!D220</f>
        <v>0</v>
      </c>
      <c r="G1596" s="122">
        <f>ROUND(G1595*F1596,0)</f>
        <v>0</v>
      </c>
    </row>
    <row r="1597" spans="2:8" ht="13.5" thickBot="1">
      <c r="B1597" s="805" t="s">
        <v>1049</v>
      </c>
      <c r="C1597" s="806"/>
      <c r="D1597" s="806"/>
      <c r="E1597" s="806"/>
      <c r="F1597" s="807"/>
      <c r="G1597" s="118">
        <f>ROUND(G1595+G1596,-2)</f>
        <v>50800</v>
      </c>
      <c r="H1597" s="505" t="s">
        <v>1670</v>
      </c>
    </row>
    <row r="1598" spans="2:8" ht="13.5" thickTop="1"/>
  </sheetData>
  <mergeCells count="1475">
    <mergeCell ref="B1589:C1589"/>
    <mergeCell ref="B1597:F1597"/>
    <mergeCell ref="B1591:C1591"/>
    <mergeCell ref="B1592:C1592"/>
    <mergeCell ref="B1593:E1593"/>
    <mergeCell ref="B1594:G1594"/>
    <mergeCell ref="B1595:F1595"/>
    <mergeCell ref="B1596:E1596"/>
    <mergeCell ref="B1572:C1572"/>
    <mergeCell ref="B1573:C1575"/>
    <mergeCell ref="D1573:E1573"/>
    <mergeCell ref="D1574:E1574"/>
    <mergeCell ref="D1575:E1575"/>
    <mergeCell ref="B1576:G1576"/>
    <mergeCell ref="B1577:G1577"/>
    <mergeCell ref="B1578:C1578"/>
    <mergeCell ref="B1579:C1579"/>
    <mergeCell ref="B1581:C1581"/>
    <mergeCell ref="B1582:C1582"/>
    <mergeCell ref="B1583:C1583"/>
    <mergeCell ref="B1584:C1584"/>
    <mergeCell ref="B1585:C1585"/>
    <mergeCell ref="B1586:E1586"/>
    <mergeCell ref="B1587:G1587"/>
    <mergeCell ref="B1588:G1588"/>
    <mergeCell ref="B1554:C1554"/>
    <mergeCell ref="B1555:C1555"/>
    <mergeCell ref="B1556:C1556"/>
    <mergeCell ref="B1557:C1557"/>
    <mergeCell ref="B1558:C1558"/>
    <mergeCell ref="B1559:E1559"/>
    <mergeCell ref="B1560:G1560"/>
    <mergeCell ref="B1561:G1561"/>
    <mergeCell ref="B1562:C1562"/>
    <mergeCell ref="B1564:C1564"/>
    <mergeCell ref="B1565:C1565"/>
    <mergeCell ref="B1566:C1566"/>
    <mergeCell ref="B1567:C1567"/>
    <mergeCell ref="B1568:C1568"/>
    <mergeCell ref="B1569:C1569"/>
    <mergeCell ref="B1570:C1570"/>
    <mergeCell ref="B1571:C1571"/>
    <mergeCell ref="C3:G3"/>
    <mergeCell ref="B4:G4"/>
    <mergeCell ref="C1:G1"/>
    <mergeCell ref="C2:G2"/>
    <mergeCell ref="B12:C12"/>
    <mergeCell ref="B14:C14"/>
    <mergeCell ref="C5:G5"/>
    <mergeCell ref="C6:E6"/>
    <mergeCell ref="C7:E7"/>
    <mergeCell ref="C8:G8"/>
    <mergeCell ref="C1545:E1545"/>
    <mergeCell ref="C1546:E1546"/>
    <mergeCell ref="C1547:G1547"/>
    <mergeCell ref="B1548:G1548"/>
    <mergeCell ref="B1549:G1549"/>
    <mergeCell ref="B1551:C1551"/>
    <mergeCell ref="B1553:C1553"/>
    <mergeCell ref="B26:C26"/>
    <mergeCell ref="B27:C27"/>
    <mergeCell ref="B28:C28"/>
    <mergeCell ref="B29:C29"/>
    <mergeCell ref="B30:C30"/>
    <mergeCell ref="B31:C31"/>
    <mergeCell ref="B19:C19"/>
    <mergeCell ref="B20:E20"/>
    <mergeCell ref="B21:G21"/>
    <mergeCell ref="B22:G22"/>
    <mergeCell ref="B23:C23"/>
    <mergeCell ref="B25:C25"/>
    <mergeCell ref="B9:G9"/>
    <mergeCell ref="B10:G10"/>
    <mergeCell ref="B15:C15"/>
    <mergeCell ref="B16:C16"/>
    <mergeCell ref="B17:C17"/>
    <mergeCell ref="B18:C18"/>
    <mergeCell ref="B44:C44"/>
    <mergeCell ref="B45:C45"/>
    <mergeCell ref="B46:C46"/>
    <mergeCell ref="B47:E47"/>
    <mergeCell ref="B48:G48"/>
    <mergeCell ref="B49:G49"/>
    <mergeCell ref="B37:G37"/>
    <mergeCell ref="B38:G38"/>
    <mergeCell ref="B39:C39"/>
    <mergeCell ref="B40:C40"/>
    <mergeCell ref="B42:C42"/>
    <mergeCell ref="B43:C43"/>
    <mergeCell ref="B32:C32"/>
    <mergeCell ref="B33:C33"/>
    <mergeCell ref="B34:C36"/>
    <mergeCell ref="D34:E34"/>
    <mergeCell ref="D35:E35"/>
    <mergeCell ref="D36:E36"/>
    <mergeCell ref="B63:G63"/>
    <mergeCell ref="B65:C65"/>
    <mergeCell ref="B67:C67"/>
    <mergeCell ref="B68:C68"/>
    <mergeCell ref="B69:C69"/>
    <mergeCell ref="B70:C70"/>
    <mergeCell ref="B57:E57"/>
    <mergeCell ref="B58:F58"/>
    <mergeCell ref="C59:E59"/>
    <mergeCell ref="C60:E60"/>
    <mergeCell ref="C61:G61"/>
    <mergeCell ref="B62:G62"/>
    <mergeCell ref="B50:C50"/>
    <mergeCell ref="B52:C52"/>
    <mergeCell ref="B53:C53"/>
    <mergeCell ref="B54:E54"/>
    <mergeCell ref="B55:G55"/>
    <mergeCell ref="B56:F56"/>
    <mergeCell ref="B84:C84"/>
    <mergeCell ref="B85:C85"/>
    <mergeCell ref="B86:C86"/>
    <mergeCell ref="B87:C89"/>
    <mergeCell ref="D87:E87"/>
    <mergeCell ref="D88:E88"/>
    <mergeCell ref="D89:E89"/>
    <mergeCell ref="B78:C78"/>
    <mergeCell ref="B79:C79"/>
    <mergeCell ref="B80:C80"/>
    <mergeCell ref="B81:C81"/>
    <mergeCell ref="B82:C82"/>
    <mergeCell ref="B83:C83"/>
    <mergeCell ref="B71:C71"/>
    <mergeCell ref="B72:C72"/>
    <mergeCell ref="B73:E73"/>
    <mergeCell ref="B74:G74"/>
    <mergeCell ref="B75:G75"/>
    <mergeCell ref="B76:C76"/>
    <mergeCell ref="B103:C103"/>
    <mergeCell ref="B105:C105"/>
    <mergeCell ref="B106:C106"/>
    <mergeCell ref="B107:E107"/>
    <mergeCell ref="B108:G108"/>
    <mergeCell ref="B109:F109"/>
    <mergeCell ref="B97:C97"/>
    <mergeCell ref="B98:C98"/>
    <mergeCell ref="B99:C99"/>
    <mergeCell ref="B100:E100"/>
    <mergeCell ref="B101:G101"/>
    <mergeCell ref="B102:G102"/>
    <mergeCell ref="B90:G90"/>
    <mergeCell ref="B91:G91"/>
    <mergeCell ref="B92:C92"/>
    <mergeCell ref="B93:C93"/>
    <mergeCell ref="B95:C95"/>
    <mergeCell ref="B96:C96"/>
    <mergeCell ref="B124:C124"/>
    <mergeCell ref="B125:C125"/>
    <mergeCell ref="B126:E126"/>
    <mergeCell ref="B127:G127"/>
    <mergeCell ref="B128:G128"/>
    <mergeCell ref="B129:C129"/>
    <mergeCell ref="B116:G116"/>
    <mergeCell ref="B118:C118"/>
    <mergeCell ref="B120:C120"/>
    <mergeCell ref="B121:C121"/>
    <mergeCell ref="B122:C122"/>
    <mergeCell ref="B123:C123"/>
    <mergeCell ref="B110:E110"/>
    <mergeCell ref="B111:F111"/>
    <mergeCell ref="C112:E112"/>
    <mergeCell ref="C113:E113"/>
    <mergeCell ref="C114:G114"/>
    <mergeCell ref="B115:G115"/>
    <mergeCell ref="B143:G143"/>
    <mergeCell ref="B144:G144"/>
    <mergeCell ref="B145:C145"/>
    <mergeCell ref="B146:C146"/>
    <mergeCell ref="B148:C148"/>
    <mergeCell ref="B149:C149"/>
    <mergeCell ref="B137:C137"/>
    <mergeCell ref="B138:C138"/>
    <mergeCell ref="B139:C139"/>
    <mergeCell ref="B140:C142"/>
    <mergeCell ref="D140:E140"/>
    <mergeCell ref="D141:E141"/>
    <mergeCell ref="D142:E142"/>
    <mergeCell ref="B131:C131"/>
    <mergeCell ref="B132:C132"/>
    <mergeCell ref="B133:C133"/>
    <mergeCell ref="B134:C134"/>
    <mergeCell ref="B135:C135"/>
    <mergeCell ref="B136:C136"/>
    <mergeCell ref="B163:E163"/>
    <mergeCell ref="B164:F164"/>
    <mergeCell ref="C165:E165"/>
    <mergeCell ref="C166:E166"/>
    <mergeCell ref="C167:G167"/>
    <mergeCell ref="B168:G168"/>
    <mergeCell ref="B156:C156"/>
    <mergeCell ref="B158:C158"/>
    <mergeCell ref="B159:C159"/>
    <mergeCell ref="B160:E160"/>
    <mergeCell ref="B161:G161"/>
    <mergeCell ref="B162:F162"/>
    <mergeCell ref="B150:C150"/>
    <mergeCell ref="B151:C151"/>
    <mergeCell ref="B152:C152"/>
    <mergeCell ref="B153:E153"/>
    <mergeCell ref="B154:G154"/>
    <mergeCell ref="B155:G155"/>
    <mergeCell ref="B184:C184"/>
    <mergeCell ref="B185:C185"/>
    <mergeCell ref="B186:C186"/>
    <mergeCell ref="B187:C187"/>
    <mergeCell ref="B188:C188"/>
    <mergeCell ref="B189:C189"/>
    <mergeCell ref="B177:C177"/>
    <mergeCell ref="B178:C178"/>
    <mergeCell ref="B179:E179"/>
    <mergeCell ref="B180:G180"/>
    <mergeCell ref="B181:G181"/>
    <mergeCell ref="B182:C182"/>
    <mergeCell ref="B169:G169"/>
    <mergeCell ref="B171:C171"/>
    <mergeCell ref="B173:C173"/>
    <mergeCell ref="B174:C174"/>
    <mergeCell ref="B175:C175"/>
    <mergeCell ref="B176:C176"/>
    <mergeCell ref="B203:C203"/>
    <mergeCell ref="B204:C204"/>
    <mergeCell ref="B205:C205"/>
    <mergeCell ref="B206:E206"/>
    <mergeCell ref="B207:G207"/>
    <mergeCell ref="B208:G208"/>
    <mergeCell ref="B196:G196"/>
    <mergeCell ref="B197:G197"/>
    <mergeCell ref="B198:C198"/>
    <mergeCell ref="B199:C199"/>
    <mergeCell ref="B201:C201"/>
    <mergeCell ref="B202:C202"/>
    <mergeCell ref="B190:C190"/>
    <mergeCell ref="B191:C191"/>
    <mergeCell ref="B192:C192"/>
    <mergeCell ref="B193:C195"/>
    <mergeCell ref="D193:E193"/>
    <mergeCell ref="D194:E194"/>
    <mergeCell ref="D195:E195"/>
    <mergeCell ref="B222:G222"/>
    <mergeCell ref="B224:C224"/>
    <mergeCell ref="B226:C226"/>
    <mergeCell ref="B227:C227"/>
    <mergeCell ref="B228:C228"/>
    <mergeCell ref="B229:C229"/>
    <mergeCell ref="B216:E216"/>
    <mergeCell ref="B217:F217"/>
    <mergeCell ref="C218:E218"/>
    <mergeCell ref="C219:E219"/>
    <mergeCell ref="C220:G220"/>
    <mergeCell ref="B221:G221"/>
    <mergeCell ref="B209:C209"/>
    <mergeCell ref="B211:C211"/>
    <mergeCell ref="B212:C212"/>
    <mergeCell ref="B213:E213"/>
    <mergeCell ref="B214:G214"/>
    <mergeCell ref="B215:F215"/>
    <mergeCell ref="B243:C243"/>
    <mergeCell ref="B244:C244"/>
    <mergeCell ref="B245:C245"/>
    <mergeCell ref="B246:C248"/>
    <mergeCell ref="D246:E246"/>
    <mergeCell ref="D247:E247"/>
    <mergeCell ref="D248:E248"/>
    <mergeCell ref="B237:C237"/>
    <mergeCell ref="B238:C238"/>
    <mergeCell ref="B239:C239"/>
    <mergeCell ref="B240:C240"/>
    <mergeCell ref="B241:C241"/>
    <mergeCell ref="B242:C242"/>
    <mergeCell ref="B230:C230"/>
    <mergeCell ref="B231:C231"/>
    <mergeCell ref="B232:E232"/>
    <mergeCell ref="B233:G233"/>
    <mergeCell ref="B234:G234"/>
    <mergeCell ref="B235:C235"/>
    <mergeCell ref="B262:C262"/>
    <mergeCell ref="B264:C264"/>
    <mergeCell ref="B265:C265"/>
    <mergeCell ref="B266:E266"/>
    <mergeCell ref="B267:G267"/>
    <mergeCell ref="B268:F268"/>
    <mergeCell ref="B256:C256"/>
    <mergeCell ref="B257:C257"/>
    <mergeCell ref="B258:C258"/>
    <mergeCell ref="B259:E259"/>
    <mergeCell ref="B260:G260"/>
    <mergeCell ref="B261:G261"/>
    <mergeCell ref="B249:G249"/>
    <mergeCell ref="B250:G250"/>
    <mergeCell ref="B251:C251"/>
    <mergeCell ref="B252:C252"/>
    <mergeCell ref="B254:C254"/>
    <mergeCell ref="B255:C255"/>
    <mergeCell ref="B283:C283"/>
    <mergeCell ref="B284:C284"/>
    <mergeCell ref="B285:E285"/>
    <mergeCell ref="B286:G286"/>
    <mergeCell ref="B287:G287"/>
    <mergeCell ref="B288:C288"/>
    <mergeCell ref="B275:G275"/>
    <mergeCell ref="B277:C277"/>
    <mergeCell ref="B279:C279"/>
    <mergeCell ref="B280:C280"/>
    <mergeCell ref="B281:C281"/>
    <mergeCell ref="B282:C282"/>
    <mergeCell ref="B269:E269"/>
    <mergeCell ref="B270:F270"/>
    <mergeCell ref="C271:E271"/>
    <mergeCell ref="C272:E272"/>
    <mergeCell ref="C273:G273"/>
    <mergeCell ref="B274:G274"/>
    <mergeCell ref="B302:G302"/>
    <mergeCell ref="B303:G303"/>
    <mergeCell ref="B304:C304"/>
    <mergeCell ref="B305:C305"/>
    <mergeCell ref="B307:C307"/>
    <mergeCell ref="B308:C308"/>
    <mergeCell ref="B296:C296"/>
    <mergeCell ref="B297:C297"/>
    <mergeCell ref="B298:C298"/>
    <mergeCell ref="B299:C301"/>
    <mergeCell ref="D299:E299"/>
    <mergeCell ref="D300:E300"/>
    <mergeCell ref="D301:E301"/>
    <mergeCell ref="B290:C290"/>
    <mergeCell ref="B291:C291"/>
    <mergeCell ref="B292:C292"/>
    <mergeCell ref="B293:C293"/>
    <mergeCell ref="B294:C294"/>
    <mergeCell ref="B295:C295"/>
    <mergeCell ref="B322:E322"/>
    <mergeCell ref="B323:F323"/>
    <mergeCell ref="C324:E324"/>
    <mergeCell ref="C325:E325"/>
    <mergeCell ref="C326:G326"/>
    <mergeCell ref="B327:G327"/>
    <mergeCell ref="B315:C315"/>
    <mergeCell ref="B317:C317"/>
    <mergeCell ref="B318:C318"/>
    <mergeCell ref="B319:E319"/>
    <mergeCell ref="B320:G320"/>
    <mergeCell ref="B321:F321"/>
    <mergeCell ref="B309:C309"/>
    <mergeCell ref="B310:C310"/>
    <mergeCell ref="B311:C311"/>
    <mergeCell ref="B312:E312"/>
    <mergeCell ref="B313:G313"/>
    <mergeCell ref="B314:G314"/>
    <mergeCell ref="B343:C343"/>
    <mergeCell ref="B344:C344"/>
    <mergeCell ref="B345:C345"/>
    <mergeCell ref="B346:C346"/>
    <mergeCell ref="B347:C347"/>
    <mergeCell ref="B348:C348"/>
    <mergeCell ref="B336:C336"/>
    <mergeCell ref="B337:C337"/>
    <mergeCell ref="B338:E338"/>
    <mergeCell ref="B339:G339"/>
    <mergeCell ref="B340:G340"/>
    <mergeCell ref="B341:C341"/>
    <mergeCell ref="B328:G328"/>
    <mergeCell ref="B330:C330"/>
    <mergeCell ref="B332:C332"/>
    <mergeCell ref="B333:C333"/>
    <mergeCell ref="B334:C334"/>
    <mergeCell ref="B335:C335"/>
    <mergeCell ref="B362:C362"/>
    <mergeCell ref="B363:C363"/>
    <mergeCell ref="B364:C364"/>
    <mergeCell ref="B365:E365"/>
    <mergeCell ref="B366:G366"/>
    <mergeCell ref="B367:G367"/>
    <mergeCell ref="B355:G355"/>
    <mergeCell ref="B356:G356"/>
    <mergeCell ref="B357:C357"/>
    <mergeCell ref="B358:C358"/>
    <mergeCell ref="B360:C360"/>
    <mergeCell ref="B361:C361"/>
    <mergeCell ref="B349:C349"/>
    <mergeCell ref="B350:C350"/>
    <mergeCell ref="B351:C351"/>
    <mergeCell ref="B352:C354"/>
    <mergeCell ref="D352:E352"/>
    <mergeCell ref="D353:E353"/>
    <mergeCell ref="D354:E354"/>
    <mergeCell ref="B381:G381"/>
    <mergeCell ref="B383:C383"/>
    <mergeCell ref="B385:C385"/>
    <mergeCell ref="B386:C386"/>
    <mergeCell ref="B387:C387"/>
    <mergeCell ref="B388:C388"/>
    <mergeCell ref="B375:E375"/>
    <mergeCell ref="B376:F376"/>
    <mergeCell ref="C377:E377"/>
    <mergeCell ref="C378:E378"/>
    <mergeCell ref="C379:G379"/>
    <mergeCell ref="B380:G380"/>
    <mergeCell ref="B368:C368"/>
    <mergeCell ref="B370:C370"/>
    <mergeCell ref="B371:C371"/>
    <mergeCell ref="B372:E372"/>
    <mergeCell ref="B373:G373"/>
    <mergeCell ref="B374:F374"/>
    <mergeCell ref="B402:C402"/>
    <mergeCell ref="B403:C403"/>
    <mergeCell ref="B404:C404"/>
    <mergeCell ref="B405:C407"/>
    <mergeCell ref="D405:E405"/>
    <mergeCell ref="D406:E406"/>
    <mergeCell ref="D407:E407"/>
    <mergeCell ref="B396:C396"/>
    <mergeCell ref="B397:C397"/>
    <mergeCell ref="B398:C398"/>
    <mergeCell ref="B399:C399"/>
    <mergeCell ref="B400:C400"/>
    <mergeCell ref="B401:C401"/>
    <mergeCell ref="B389:C389"/>
    <mergeCell ref="B390:C390"/>
    <mergeCell ref="B391:E391"/>
    <mergeCell ref="B392:G392"/>
    <mergeCell ref="B393:G393"/>
    <mergeCell ref="B394:C394"/>
    <mergeCell ref="B421:C421"/>
    <mergeCell ref="B423:C423"/>
    <mergeCell ref="B424:C424"/>
    <mergeCell ref="B425:E425"/>
    <mergeCell ref="B426:G426"/>
    <mergeCell ref="B427:F427"/>
    <mergeCell ref="B415:C415"/>
    <mergeCell ref="B416:C416"/>
    <mergeCell ref="B417:C417"/>
    <mergeCell ref="B418:E418"/>
    <mergeCell ref="B419:G419"/>
    <mergeCell ref="B420:G420"/>
    <mergeCell ref="B408:G408"/>
    <mergeCell ref="B409:G409"/>
    <mergeCell ref="B410:C410"/>
    <mergeCell ref="B411:C411"/>
    <mergeCell ref="B413:C413"/>
    <mergeCell ref="B414:C414"/>
    <mergeCell ref="B442:C442"/>
    <mergeCell ref="B443:C443"/>
    <mergeCell ref="B444:E444"/>
    <mergeCell ref="B445:G445"/>
    <mergeCell ref="B446:G446"/>
    <mergeCell ref="B447:C447"/>
    <mergeCell ref="B434:G434"/>
    <mergeCell ref="B436:C436"/>
    <mergeCell ref="B438:C438"/>
    <mergeCell ref="B439:C439"/>
    <mergeCell ref="B440:C440"/>
    <mergeCell ref="B441:C441"/>
    <mergeCell ref="B428:E428"/>
    <mergeCell ref="B429:F429"/>
    <mergeCell ref="C430:E430"/>
    <mergeCell ref="C431:E431"/>
    <mergeCell ref="C432:G432"/>
    <mergeCell ref="B433:G433"/>
    <mergeCell ref="B461:G461"/>
    <mergeCell ref="B462:G462"/>
    <mergeCell ref="B463:C463"/>
    <mergeCell ref="B464:C464"/>
    <mergeCell ref="B466:C466"/>
    <mergeCell ref="B467:C467"/>
    <mergeCell ref="B455:C455"/>
    <mergeCell ref="B456:C456"/>
    <mergeCell ref="B457:C457"/>
    <mergeCell ref="B458:C460"/>
    <mergeCell ref="D458:E458"/>
    <mergeCell ref="D459:E459"/>
    <mergeCell ref="D460:E460"/>
    <mergeCell ref="B449:C449"/>
    <mergeCell ref="B450:C450"/>
    <mergeCell ref="B451:C451"/>
    <mergeCell ref="B452:C452"/>
    <mergeCell ref="B453:C453"/>
    <mergeCell ref="B454:C454"/>
    <mergeCell ref="B481:E481"/>
    <mergeCell ref="B482:F482"/>
    <mergeCell ref="C483:E483"/>
    <mergeCell ref="C484:E484"/>
    <mergeCell ref="C485:G485"/>
    <mergeCell ref="B486:G486"/>
    <mergeCell ref="B474:C474"/>
    <mergeCell ref="B476:C476"/>
    <mergeCell ref="B477:C477"/>
    <mergeCell ref="B478:E478"/>
    <mergeCell ref="B479:G479"/>
    <mergeCell ref="B480:F480"/>
    <mergeCell ref="B468:C468"/>
    <mergeCell ref="B469:C469"/>
    <mergeCell ref="B470:C470"/>
    <mergeCell ref="B471:E471"/>
    <mergeCell ref="B472:G472"/>
    <mergeCell ref="B473:G473"/>
    <mergeCell ref="B502:C502"/>
    <mergeCell ref="B503:C503"/>
    <mergeCell ref="B504:C504"/>
    <mergeCell ref="B505:C505"/>
    <mergeCell ref="B506:C506"/>
    <mergeCell ref="B507:C507"/>
    <mergeCell ref="B495:C495"/>
    <mergeCell ref="B496:C496"/>
    <mergeCell ref="B497:E497"/>
    <mergeCell ref="B498:G498"/>
    <mergeCell ref="B499:G499"/>
    <mergeCell ref="B500:C500"/>
    <mergeCell ref="B487:G487"/>
    <mergeCell ref="B489:C489"/>
    <mergeCell ref="B491:C491"/>
    <mergeCell ref="B492:C492"/>
    <mergeCell ref="B493:C493"/>
    <mergeCell ref="B494:C494"/>
    <mergeCell ref="B521:C521"/>
    <mergeCell ref="B522:C522"/>
    <mergeCell ref="B523:C523"/>
    <mergeCell ref="B524:E524"/>
    <mergeCell ref="B525:G525"/>
    <mergeCell ref="B526:G526"/>
    <mergeCell ref="B514:G514"/>
    <mergeCell ref="B515:G515"/>
    <mergeCell ref="B516:C516"/>
    <mergeCell ref="B517:C517"/>
    <mergeCell ref="B519:C519"/>
    <mergeCell ref="B520:C520"/>
    <mergeCell ref="B508:C508"/>
    <mergeCell ref="B509:C509"/>
    <mergeCell ref="B510:C510"/>
    <mergeCell ref="B511:C513"/>
    <mergeCell ref="D511:E511"/>
    <mergeCell ref="D512:E512"/>
    <mergeCell ref="D513:E513"/>
    <mergeCell ref="B540:G540"/>
    <mergeCell ref="B542:C542"/>
    <mergeCell ref="B544:C544"/>
    <mergeCell ref="B545:C545"/>
    <mergeCell ref="B546:C546"/>
    <mergeCell ref="B547:C547"/>
    <mergeCell ref="B534:E534"/>
    <mergeCell ref="B535:F535"/>
    <mergeCell ref="C536:E536"/>
    <mergeCell ref="C537:E537"/>
    <mergeCell ref="C538:G538"/>
    <mergeCell ref="B539:G539"/>
    <mergeCell ref="B527:C527"/>
    <mergeCell ref="B529:C529"/>
    <mergeCell ref="B530:C530"/>
    <mergeCell ref="B531:E531"/>
    <mergeCell ref="B532:G532"/>
    <mergeCell ref="B533:F533"/>
    <mergeCell ref="B561:C561"/>
    <mergeCell ref="B562:C562"/>
    <mergeCell ref="B563:C563"/>
    <mergeCell ref="B564:C566"/>
    <mergeCell ref="D564:E564"/>
    <mergeCell ref="D565:E565"/>
    <mergeCell ref="D566:E566"/>
    <mergeCell ref="B555:C555"/>
    <mergeCell ref="B556:C556"/>
    <mergeCell ref="B557:C557"/>
    <mergeCell ref="B558:C558"/>
    <mergeCell ref="B559:C559"/>
    <mergeCell ref="B560:C560"/>
    <mergeCell ref="B548:C548"/>
    <mergeCell ref="B549:C549"/>
    <mergeCell ref="B550:E550"/>
    <mergeCell ref="B551:G551"/>
    <mergeCell ref="B552:G552"/>
    <mergeCell ref="B553:C553"/>
    <mergeCell ref="B580:C580"/>
    <mergeCell ref="B582:C582"/>
    <mergeCell ref="B583:C583"/>
    <mergeCell ref="B584:E584"/>
    <mergeCell ref="B585:G585"/>
    <mergeCell ref="B586:F586"/>
    <mergeCell ref="B574:C574"/>
    <mergeCell ref="B575:C575"/>
    <mergeCell ref="B576:C576"/>
    <mergeCell ref="B577:E577"/>
    <mergeCell ref="B578:G578"/>
    <mergeCell ref="B579:G579"/>
    <mergeCell ref="B567:G567"/>
    <mergeCell ref="B568:G568"/>
    <mergeCell ref="B569:C569"/>
    <mergeCell ref="B570:C570"/>
    <mergeCell ref="B572:C572"/>
    <mergeCell ref="B573:C573"/>
    <mergeCell ref="B601:C601"/>
    <mergeCell ref="B602:C602"/>
    <mergeCell ref="B603:E603"/>
    <mergeCell ref="B604:G604"/>
    <mergeCell ref="B605:G605"/>
    <mergeCell ref="B606:C606"/>
    <mergeCell ref="B593:G593"/>
    <mergeCell ref="B595:C595"/>
    <mergeCell ref="B597:C597"/>
    <mergeCell ref="B598:C598"/>
    <mergeCell ref="B599:C599"/>
    <mergeCell ref="B600:C600"/>
    <mergeCell ref="B587:E587"/>
    <mergeCell ref="B588:F588"/>
    <mergeCell ref="C589:E589"/>
    <mergeCell ref="C590:E590"/>
    <mergeCell ref="C591:G591"/>
    <mergeCell ref="B592:G592"/>
    <mergeCell ref="B620:G620"/>
    <mergeCell ref="B621:G621"/>
    <mergeCell ref="B622:C622"/>
    <mergeCell ref="B623:C623"/>
    <mergeCell ref="B625:C625"/>
    <mergeCell ref="B626:C626"/>
    <mergeCell ref="B614:C614"/>
    <mergeCell ref="B615:C615"/>
    <mergeCell ref="B616:C616"/>
    <mergeCell ref="B617:C619"/>
    <mergeCell ref="D617:E617"/>
    <mergeCell ref="D618:E618"/>
    <mergeCell ref="D619:E619"/>
    <mergeCell ref="B608:C608"/>
    <mergeCell ref="B609:C609"/>
    <mergeCell ref="B610:C610"/>
    <mergeCell ref="B611:C611"/>
    <mergeCell ref="B612:C612"/>
    <mergeCell ref="B613:C613"/>
    <mergeCell ref="B640:E640"/>
    <mergeCell ref="B641:F641"/>
    <mergeCell ref="C642:E642"/>
    <mergeCell ref="C643:E643"/>
    <mergeCell ref="C644:G644"/>
    <mergeCell ref="B645:G645"/>
    <mergeCell ref="B633:C633"/>
    <mergeCell ref="B635:C635"/>
    <mergeCell ref="B636:C636"/>
    <mergeCell ref="B637:E637"/>
    <mergeCell ref="B638:G638"/>
    <mergeCell ref="B639:F639"/>
    <mergeCell ref="B627:C627"/>
    <mergeCell ref="B628:C628"/>
    <mergeCell ref="B629:C629"/>
    <mergeCell ref="B630:E630"/>
    <mergeCell ref="B631:G631"/>
    <mergeCell ref="B632:G632"/>
    <mergeCell ref="B661:C661"/>
    <mergeCell ref="B662:C662"/>
    <mergeCell ref="B663:C663"/>
    <mergeCell ref="B664:C664"/>
    <mergeCell ref="B665:C665"/>
    <mergeCell ref="B666:C666"/>
    <mergeCell ref="B654:C654"/>
    <mergeCell ref="B655:C655"/>
    <mergeCell ref="B656:E656"/>
    <mergeCell ref="B657:G657"/>
    <mergeCell ref="B658:G658"/>
    <mergeCell ref="B659:C659"/>
    <mergeCell ref="B646:G646"/>
    <mergeCell ref="B648:C648"/>
    <mergeCell ref="B650:C650"/>
    <mergeCell ref="B651:C651"/>
    <mergeCell ref="B652:C652"/>
    <mergeCell ref="B653:C653"/>
    <mergeCell ref="B680:C680"/>
    <mergeCell ref="B681:C681"/>
    <mergeCell ref="B682:C682"/>
    <mergeCell ref="B683:E683"/>
    <mergeCell ref="B684:G684"/>
    <mergeCell ref="B685:G685"/>
    <mergeCell ref="B673:G673"/>
    <mergeCell ref="B674:G674"/>
    <mergeCell ref="B675:C675"/>
    <mergeCell ref="B676:C676"/>
    <mergeCell ref="B678:C678"/>
    <mergeCell ref="B679:C679"/>
    <mergeCell ref="B667:C667"/>
    <mergeCell ref="B668:C668"/>
    <mergeCell ref="B669:C669"/>
    <mergeCell ref="B670:C672"/>
    <mergeCell ref="D670:E670"/>
    <mergeCell ref="D671:E671"/>
    <mergeCell ref="D672:E672"/>
    <mergeCell ref="B699:G699"/>
    <mergeCell ref="B701:C701"/>
    <mergeCell ref="B703:C703"/>
    <mergeCell ref="B704:C704"/>
    <mergeCell ref="B705:C705"/>
    <mergeCell ref="B706:C706"/>
    <mergeCell ref="B693:E693"/>
    <mergeCell ref="B694:F694"/>
    <mergeCell ref="C695:E695"/>
    <mergeCell ref="C696:E696"/>
    <mergeCell ref="C697:G697"/>
    <mergeCell ref="B698:G698"/>
    <mergeCell ref="B686:C686"/>
    <mergeCell ref="B688:C688"/>
    <mergeCell ref="B689:C689"/>
    <mergeCell ref="B690:E690"/>
    <mergeCell ref="B691:G691"/>
    <mergeCell ref="B692:F692"/>
    <mergeCell ref="B720:C720"/>
    <mergeCell ref="B721:C721"/>
    <mergeCell ref="B722:C722"/>
    <mergeCell ref="B723:C725"/>
    <mergeCell ref="D723:E723"/>
    <mergeCell ref="D724:E724"/>
    <mergeCell ref="D725:E725"/>
    <mergeCell ref="B714:C714"/>
    <mergeCell ref="B715:C715"/>
    <mergeCell ref="B716:C716"/>
    <mergeCell ref="B717:C717"/>
    <mergeCell ref="B718:C718"/>
    <mergeCell ref="B719:C719"/>
    <mergeCell ref="B707:C707"/>
    <mergeCell ref="B708:C708"/>
    <mergeCell ref="B709:E709"/>
    <mergeCell ref="B710:G710"/>
    <mergeCell ref="B711:G711"/>
    <mergeCell ref="B712:C712"/>
    <mergeCell ref="B739:C739"/>
    <mergeCell ref="B741:C741"/>
    <mergeCell ref="B742:C742"/>
    <mergeCell ref="B743:E743"/>
    <mergeCell ref="B744:G744"/>
    <mergeCell ref="B745:F745"/>
    <mergeCell ref="B733:C733"/>
    <mergeCell ref="B734:C734"/>
    <mergeCell ref="B735:C735"/>
    <mergeCell ref="B736:E736"/>
    <mergeCell ref="B737:G737"/>
    <mergeCell ref="B738:G738"/>
    <mergeCell ref="B726:G726"/>
    <mergeCell ref="B727:G727"/>
    <mergeCell ref="B728:C728"/>
    <mergeCell ref="B729:C729"/>
    <mergeCell ref="B731:C731"/>
    <mergeCell ref="B732:C732"/>
    <mergeCell ref="B760:C760"/>
    <mergeCell ref="B761:C761"/>
    <mergeCell ref="B762:E762"/>
    <mergeCell ref="B763:G763"/>
    <mergeCell ref="B764:G764"/>
    <mergeCell ref="B765:C765"/>
    <mergeCell ref="B752:G752"/>
    <mergeCell ref="B754:C754"/>
    <mergeCell ref="B756:C756"/>
    <mergeCell ref="B757:C757"/>
    <mergeCell ref="B758:C758"/>
    <mergeCell ref="B759:C759"/>
    <mergeCell ref="B746:E746"/>
    <mergeCell ref="B747:F747"/>
    <mergeCell ref="C748:E748"/>
    <mergeCell ref="C749:E749"/>
    <mergeCell ref="C750:G750"/>
    <mergeCell ref="B751:G751"/>
    <mergeCell ref="B779:G779"/>
    <mergeCell ref="B780:G780"/>
    <mergeCell ref="B781:C781"/>
    <mergeCell ref="B782:C782"/>
    <mergeCell ref="B784:C784"/>
    <mergeCell ref="B785:C785"/>
    <mergeCell ref="B773:C773"/>
    <mergeCell ref="B774:C774"/>
    <mergeCell ref="B775:C775"/>
    <mergeCell ref="B776:C778"/>
    <mergeCell ref="D776:E776"/>
    <mergeCell ref="D777:E777"/>
    <mergeCell ref="D778:E778"/>
    <mergeCell ref="B767:C767"/>
    <mergeCell ref="B768:C768"/>
    <mergeCell ref="B769:C769"/>
    <mergeCell ref="B770:C770"/>
    <mergeCell ref="B771:C771"/>
    <mergeCell ref="B772:C772"/>
    <mergeCell ref="B799:E799"/>
    <mergeCell ref="B800:F800"/>
    <mergeCell ref="C801:E801"/>
    <mergeCell ref="C802:E802"/>
    <mergeCell ref="C803:G803"/>
    <mergeCell ref="B804:G804"/>
    <mergeCell ref="B792:C792"/>
    <mergeCell ref="B794:C794"/>
    <mergeCell ref="B795:C795"/>
    <mergeCell ref="B796:E796"/>
    <mergeCell ref="B797:G797"/>
    <mergeCell ref="B798:F798"/>
    <mergeCell ref="B786:C786"/>
    <mergeCell ref="B787:C787"/>
    <mergeCell ref="B788:C788"/>
    <mergeCell ref="B789:E789"/>
    <mergeCell ref="B790:G790"/>
    <mergeCell ref="B791:G791"/>
    <mergeCell ref="B820:C820"/>
    <mergeCell ref="B821:C821"/>
    <mergeCell ref="B822:C822"/>
    <mergeCell ref="B823:C823"/>
    <mergeCell ref="B824:C824"/>
    <mergeCell ref="B825:C825"/>
    <mergeCell ref="B813:C813"/>
    <mergeCell ref="B814:C814"/>
    <mergeCell ref="B815:E815"/>
    <mergeCell ref="B816:G816"/>
    <mergeCell ref="B817:G817"/>
    <mergeCell ref="B818:C818"/>
    <mergeCell ref="B805:G805"/>
    <mergeCell ref="B807:C807"/>
    <mergeCell ref="B809:C809"/>
    <mergeCell ref="B810:C810"/>
    <mergeCell ref="B811:C811"/>
    <mergeCell ref="B812:C812"/>
    <mergeCell ref="B839:C839"/>
    <mergeCell ref="B840:C840"/>
    <mergeCell ref="B841:C841"/>
    <mergeCell ref="B842:E842"/>
    <mergeCell ref="B843:G843"/>
    <mergeCell ref="B844:G844"/>
    <mergeCell ref="B832:G832"/>
    <mergeCell ref="B833:G833"/>
    <mergeCell ref="B834:C834"/>
    <mergeCell ref="B835:C835"/>
    <mergeCell ref="B837:C837"/>
    <mergeCell ref="B838:C838"/>
    <mergeCell ref="B826:C826"/>
    <mergeCell ref="B827:C827"/>
    <mergeCell ref="B828:C828"/>
    <mergeCell ref="B829:C831"/>
    <mergeCell ref="D829:E829"/>
    <mergeCell ref="D830:E830"/>
    <mergeCell ref="D831:E831"/>
    <mergeCell ref="B858:G858"/>
    <mergeCell ref="B860:C860"/>
    <mergeCell ref="B862:C862"/>
    <mergeCell ref="B863:C863"/>
    <mergeCell ref="B864:C864"/>
    <mergeCell ref="B865:C865"/>
    <mergeCell ref="B852:E852"/>
    <mergeCell ref="B853:F853"/>
    <mergeCell ref="C854:E854"/>
    <mergeCell ref="C855:E855"/>
    <mergeCell ref="C856:G856"/>
    <mergeCell ref="B857:G857"/>
    <mergeCell ref="B845:C845"/>
    <mergeCell ref="B847:C847"/>
    <mergeCell ref="B848:C848"/>
    <mergeCell ref="B849:E849"/>
    <mergeCell ref="B850:G850"/>
    <mergeCell ref="B851:F851"/>
    <mergeCell ref="B879:C879"/>
    <mergeCell ref="B880:C880"/>
    <mergeCell ref="B881:C881"/>
    <mergeCell ref="B882:C884"/>
    <mergeCell ref="D882:E882"/>
    <mergeCell ref="D883:E883"/>
    <mergeCell ref="D884:E884"/>
    <mergeCell ref="B873:C873"/>
    <mergeCell ref="B874:C874"/>
    <mergeCell ref="B875:C875"/>
    <mergeCell ref="B876:C876"/>
    <mergeCell ref="B877:C877"/>
    <mergeCell ref="B878:C878"/>
    <mergeCell ref="B866:C866"/>
    <mergeCell ref="B867:C867"/>
    <mergeCell ref="B868:E868"/>
    <mergeCell ref="B869:G869"/>
    <mergeCell ref="B870:G870"/>
    <mergeCell ref="B871:C871"/>
    <mergeCell ref="B898:C898"/>
    <mergeCell ref="B900:C900"/>
    <mergeCell ref="B901:C901"/>
    <mergeCell ref="B902:E902"/>
    <mergeCell ref="B903:G903"/>
    <mergeCell ref="B904:F904"/>
    <mergeCell ref="B892:C892"/>
    <mergeCell ref="B893:C893"/>
    <mergeCell ref="B894:C894"/>
    <mergeCell ref="B895:E895"/>
    <mergeCell ref="B896:G896"/>
    <mergeCell ref="B897:G897"/>
    <mergeCell ref="B885:G885"/>
    <mergeCell ref="B886:G886"/>
    <mergeCell ref="B887:C887"/>
    <mergeCell ref="B888:C888"/>
    <mergeCell ref="B890:C890"/>
    <mergeCell ref="B891:C891"/>
    <mergeCell ref="B919:C919"/>
    <mergeCell ref="B920:C920"/>
    <mergeCell ref="B921:E921"/>
    <mergeCell ref="B922:G922"/>
    <mergeCell ref="B923:G923"/>
    <mergeCell ref="B924:C924"/>
    <mergeCell ref="B911:G911"/>
    <mergeCell ref="B913:C913"/>
    <mergeCell ref="B915:C915"/>
    <mergeCell ref="B916:C916"/>
    <mergeCell ref="B917:C917"/>
    <mergeCell ref="B918:C918"/>
    <mergeCell ref="B905:E905"/>
    <mergeCell ref="B906:F906"/>
    <mergeCell ref="C907:E907"/>
    <mergeCell ref="C908:E908"/>
    <mergeCell ref="C909:G909"/>
    <mergeCell ref="B910:G910"/>
    <mergeCell ref="B938:G938"/>
    <mergeCell ref="B939:G939"/>
    <mergeCell ref="B940:C940"/>
    <mergeCell ref="B941:C941"/>
    <mergeCell ref="B943:C943"/>
    <mergeCell ref="B944:C944"/>
    <mergeCell ref="B932:C932"/>
    <mergeCell ref="B933:C933"/>
    <mergeCell ref="B934:C934"/>
    <mergeCell ref="B935:C937"/>
    <mergeCell ref="D935:E935"/>
    <mergeCell ref="D936:E936"/>
    <mergeCell ref="D937:E937"/>
    <mergeCell ref="B926:C926"/>
    <mergeCell ref="B927:C927"/>
    <mergeCell ref="B928:C928"/>
    <mergeCell ref="B929:C929"/>
    <mergeCell ref="B930:C930"/>
    <mergeCell ref="B931:C931"/>
    <mergeCell ref="B958:E958"/>
    <mergeCell ref="B959:F959"/>
    <mergeCell ref="C960:E960"/>
    <mergeCell ref="C961:E961"/>
    <mergeCell ref="C962:G962"/>
    <mergeCell ref="B963:G963"/>
    <mergeCell ref="B951:C951"/>
    <mergeCell ref="B953:C953"/>
    <mergeCell ref="B954:C954"/>
    <mergeCell ref="B955:E955"/>
    <mergeCell ref="B956:G956"/>
    <mergeCell ref="B957:F957"/>
    <mergeCell ref="B945:C945"/>
    <mergeCell ref="B946:C946"/>
    <mergeCell ref="B947:C947"/>
    <mergeCell ref="B948:E948"/>
    <mergeCell ref="B949:G949"/>
    <mergeCell ref="B950:G950"/>
    <mergeCell ref="B979:C979"/>
    <mergeCell ref="B980:C980"/>
    <mergeCell ref="B981:C981"/>
    <mergeCell ref="B982:C982"/>
    <mergeCell ref="B983:C983"/>
    <mergeCell ref="B984:C984"/>
    <mergeCell ref="B972:C972"/>
    <mergeCell ref="B973:C973"/>
    <mergeCell ref="B974:E974"/>
    <mergeCell ref="B975:G975"/>
    <mergeCell ref="B976:G976"/>
    <mergeCell ref="B977:C977"/>
    <mergeCell ref="B964:G964"/>
    <mergeCell ref="B966:C966"/>
    <mergeCell ref="B968:C968"/>
    <mergeCell ref="B969:C969"/>
    <mergeCell ref="B970:C970"/>
    <mergeCell ref="B971:C971"/>
    <mergeCell ref="B998:C998"/>
    <mergeCell ref="B999:C999"/>
    <mergeCell ref="B1000:C1000"/>
    <mergeCell ref="B1001:E1001"/>
    <mergeCell ref="B1002:G1002"/>
    <mergeCell ref="B1003:G1003"/>
    <mergeCell ref="B991:G991"/>
    <mergeCell ref="B992:G992"/>
    <mergeCell ref="B993:C993"/>
    <mergeCell ref="B994:C994"/>
    <mergeCell ref="B996:C996"/>
    <mergeCell ref="B997:C997"/>
    <mergeCell ref="B985:C985"/>
    <mergeCell ref="B986:C986"/>
    <mergeCell ref="B987:C987"/>
    <mergeCell ref="B988:C990"/>
    <mergeCell ref="D988:E988"/>
    <mergeCell ref="D989:E989"/>
    <mergeCell ref="D990:E990"/>
    <mergeCell ref="B1017:G1017"/>
    <mergeCell ref="B1019:C1019"/>
    <mergeCell ref="B1021:C1021"/>
    <mergeCell ref="B1022:C1022"/>
    <mergeCell ref="B1023:C1023"/>
    <mergeCell ref="B1024:C1024"/>
    <mergeCell ref="B1011:E1011"/>
    <mergeCell ref="B1012:F1012"/>
    <mergeCell ref="C1013:E1013"/>
    <mergeCell ref="C1014:E1014"/>
    <mergeCell ref="C1015:G1015"/>
    <mergeCell ref="B1016:G1016"/>
    <mergeCell ref="B1004:C1004"/>
    <mergeCell ref="B1006:C1006"/>
    <mergeCell ref="B1007:C1007"/>
    <mergeCell ref="B1008:E1008"/>
    <mergeCell ref="B1009:G1009"/>
    <mergeCell ref="B1010:F1010"/>
    <mergeCell ref="B1038:C1038"/>
    <mergeCell ref="B1039:C1039"/>
    <mergeCell ref="B1040:C1040"/>
    <mergeCell ref="B1041:C1043"/>
    <mergeCell ref="D1041:E1041"/>
    <mergeCell ref="D1042:E1042"/>
    <mergeCell ref="D1043:E1043"/>
    <mergeCell ref="B1032:C1032"/>
    <mergeCell ref="B1033:C1033"/>
    <mergeCell ref="B1034:C1034"/>
    <mergeCell ref="B1035:C1035"/>
    <mergeCell ref="B1036:C1036"/>
    <mergeCell ref="B1037:C1037"/>
    <mergeCell ref="B1025:C1025"/>
    <mergeCell ref="B1026:C1026"/>
    <mergeCell ref="B1027:E1027"/>
    <mergeCell ref="B1028:G1028"/>
    <mergeCell ref="B1029:G1029"/>
    <mergeCell ref="B1030:C1030"/>
    <mergeCell ref="B1057:C1057"/>
    <mergeCell ref="B1059:C1059"/>
    <mergeCell ref="B1060:C1060"/>
    <mergeCell ref="B1061:E1061"/>
    <mergeCell ref="B1062:G1062"/>
    <mergeCell ref="B1063:F1063"/>
    <mergeCell ref="B1051:C1051"/>
    <mergeCell ref="B1052:C1052"/>
    <mergeCell ref="B1053:C1053"/>
    <mergeCell ref="B1054:E1054"/>
    <mergeCell ref="B1055:G1055"/>
    <mergeCell ref="B1056:G1056"/>
    <mergeCell ref="B1044:G1044"/>
    <mergeCell ref="B1045:G1045"/>
    <mergeCell ref="B1046:C1046"/>
    <mergeCell ref="B1047:C1047"/>
    <mergeCell ref="B1049:C1049"/>
    <mergeCell ref="B1050:C1050"/>
    <mergeCell ref="B1078:C1078"/>
    <mergeCell ref="B1079:C1079"/>
    <mergeCell ref="B1080:E1080"/>
    <mergeCell ref="B1081:G1081"/>
    <mergeCell ref="B1082:G1082"/>
    <mergeCell ref="B1083:C1083"/>
    <mergeCell ref="B1070:G1070"/>
    <mergeCell ref="B1072:C1072"/>
    <mergeCell ref="B1074:C1074"/>
    <mergeCell ref="B1075:C1075"/>
    <mergeCell ref="B1076:C1076"/>
    <mergeCell ref="B1077:C1077"/>
    <mergeCell ref="B1064:E1064"/>
    <mergeCell ref="B1065:F1065"/>
    <mergeCell ref="C1066:E1066"/>
    <mergeCell ref="C1067:E1067"/>
    <mergeCell ref="C1068:G1068"/>
    <mergeCell ref="B1069:G1069"/>
    <mergeCell ref="B1097:G1097"/>
    <mergeCell ref="B1098:G1098"/>
    <mergeCell ref="B1099:C1099"/>
    <mergeCell ref="B1100:C1100"/>
    <mergeCell ref="B1102:C1102"/>
    <mergeCell ref="B1103:C1103"/>
    <mergeCell ref="B1091:C1091"/>
    <mergeCell ref="B1092:C1092"/>
    <mergeCell ref="B1093:C1093"/>
    <mergeCell ref="B1094:C1096"/>
    <mergeCell ref="D1094:E1094"/>
    <mergeCell ref="D1095:E1095"/>
    <mergeCell ref="D1096:E1096"/>
    <mergeCell ref="B1085:C1085"/>
    <mergeCell ref="B1086:C1086"/>
    <mergeCell ref="B1087:C1087"/>
    <mergeCell ref="B1088:C1088"/>
    <mergeCell ref="B1089:C1089"/>
    <mergeCell ref="B1090:C1090"/>
    <mergeCell ref="B1117:E1117"/>
    <mergeCell ref="B1118:F1118"/>
    <mergeCell ref="C1119:E1119"/>
    <mergeCell ref="C1120:E1120"/>
    <mergeCell ref="C1121:G1121"/>
    <mergeCell ref="B1122:G1122"/>
    <mergeCell ref="B1110:C1110"/>
    <mergeCell ref="B1112:C1112"/>
    <mergeCell ref="B1113:C1113"/>
    <mergeCell ref="B1114:E1114"/>
    <mergeCell ref="B1115:G1115"/>
    <mergeCell ref="B1116:F1116"/>
    <mergeCell ref="B1104:C1104"/>
    <mergeCell ref="B1105:C1105"/>
    <mergeCell ref="B1106:C1106"/>
    <mergeCell ref="B1107:E1107"/>
    <mergeCell ref="B1108:G1108"/>
    <mergeCell ref="B1109:G1109"/>
    <mergeCell ref="B1138:C1138"/>
    <mergeCell ref="B1139:C1139"/>
    <mergeCell ref="B1140:C1140"/>
    <mergeCell ref="B1141:C1141"/>
    <mergeCell ref="B1142:C1142"/>
    <mergeCell ref="B1143:C1143"/>
    <mergeCell ref="B1131:C1131"/>
    <mergeCell ref="B1132:C1132"/>
    <mergeCell ref="B1133:E1133"/>
    <mergeCell ref="B1134:G1134"/>
    <mergeCell ref="B1135:G1135"/>
    <mergeCell ref="B1136:C1136"/>
    <mergeCell ref="B1123:G1123"/>
    <mergeCell ref="B1125:C1125"/>
    <mergeCell ref="B1127:C1127"/>
    <mergeCell ref="B1128:C1128"/>
    <mergeCell ref="B1129:C1129"/>
    <mergeCell ref="B1130:C1130"/>
    <mergeCell ref="B1157:C1157"/>
    <mergeCell ref="B1158:C1158"/>
    <mergeCell ref="B1159:C1159"/>
    <mergeCell ref="B1160:E1160"/>
    <mergeCell ref="B1161:G1161"/>
    <mergeCell ref="B1162:G1162"/>
    <mergeCell ref="B1150:G1150"/>
    <mergeCell ref="B1151:G1151"/>
    <mergeCell ref="B1152:C1152"/>
    <mergeCell ref="B1153:C1153"/>
    <mergeCell ref="B1155:C1155"/>
    <mergeCell ref="B1156:C1156"/>
    <mergeCell ref="B1144:C1144"/>
    <mergeCell ref="B1145:C1145"/>
    <mergeCell ref="B1146:C1146"/>
    <mergeCell ref="B1147:C1149"/>
    <mergeCell ref="D1147:E1147"/>
    <mergeCell ref="D1148:E1148"/>
    <mergeCell ref="D1149:E1149"/>
    <mergeCell ref="B1176:G1176"/>
    <mergeCell ref="B1178:C1178"/>
    <mergeCell ref="B1180:C1180"/>
    <mergeCell ref="B1181:C1181"/>
    <mergeCell ref="B1182:C1182"/>
    <mergeCell ref="B1183:C1183"/>
    <mergeCell ref="B1170:E1170"/>
    <mergeCell ref="B1171:F1171"/>
    <mergeCell ref="C1172:E1172"/>
    <mergeCell ref="C1173:E1173"/>
    <mergeCell ref="C1174:G1174"/>
    <mergeCell ref="B1175:G1175"/>
    <mergeCell ref="B1163:C1163"/>
    <mergeCell ref="B1165:C1165"/>
    <mergeCell ref="B1166:C1166"/>
    <mergeCell ref="B1167:E1167"/>
    <mergeCell ref="B1168:G1168"/>
    <mergeCell ref="B1169:F1169"/>
    <mergeCell ref="B1197:C1197"/>
    <mergeCell ref="B1198:C1198"/>
    <mergeCell ref="B1199:C1199"/>
    <mergeCell ref="B1200:C1202"/>
    <mergeCell ref="D1200:E1200"/>
    <mergeCell ref="D1201:E1201"/>
    <mergeCell ref="D1202:E1202"/>
    <mergeCell ref="B1191:C1191"/>
    <mergeCell ref="B1192:C1192"/>
    <mergeCell ref="B1193:C1193"/>
    <mergeCell ref="B1194:C1194"/>
    <mergeCell ref="B1195:C1195"/>
    <mergeCell ref="B1196:C1196"/>
    <mergeCell ref="B1184:C1184"/>
    <mergeCell ref="B1185:C1185"/>
    <mergeCell ref="B1186:E1186"/>
    <mergeCell ref="B1187:G1187"/>
    <mergeCell ref="B1188:G1188"/>
    <mergeCell ref="B1189:C1189"/>
    <mergeCell ref="B1216:C1216"/>
    <mergeCell ref="B1218:C1218"/>
    <mergeCell ref="B1219:C1219"/>
    <mergeCell ref="B1220:E1220"/>
    <mergeCell ref="B1221:G1221"/>
    <mergeCell ref="B1222:F1222"/>
    <mergeCell ref="B1210:C1210"/>
    <mergeCell ref="B1211:C1211"/>
    <mergeCell ref="B1212:C1212"/>
    <mergeCell ref="B1213:E1213"/>
    <mergeCell ref="B1214:G1214"/>
    <mergeCell ref="B1215:G1215"/>
    <mergeCell ref="B1203:G1203"/>
    <mergeCell ref="B1204:G1204"/>
    <mergeCell ref="B1205:C1205"/>
    <mergeCell ref="B1206:C1206"/>
    <mergeCell ref="B1208:C1208"/>
    <mergeCell ref="B1209:C1209"/>
    <mergeCell ref="B1237:C1237"/>
    <mergeCell ref="B1238:C1238"/>
    <mergeCell ref="B1239:E1239"/>
    <mergeCell ref="B1240:G1240"/>
    <mergeCell ref="B1241:G1241"/>
    <mergeCell ref="B1242:C1242"/>
    <mergeCell ref="B1229:G1229"/>
    <mergeCell ref="B1231:C1231"/>
    <mergeCell ref="B1233:C1233"/>
    <mergeCell ref="B1234:C1234"/>
    <mergeCell ref="B1235:C1235"/>
    <mergeCell ref="B1236:C1236"/>
    <mergeCell ref="B1223:E1223"/>
    <mergeCell ref="B1224:F1224"/>
    <mergeCell ref="C1225:E1225"/>
    <mergeCell ref="C1226:E1226"/>
    <mergeCell ref="C1227:G1227"/>
    <mergeCell ref="B1228:G1228"/>
    <mergeCell ref="B1256:G1256"/>
    <mergeCell ref="B1257:G1257"/>
    <mergeCell ref="B1258:C1258"/>
    <mergeCell ref="B1259:C1259"/>
    <mergeCell ref="B1261:C1261"/>
    <mergeCell ref="B1262:C1262"/>
    <mergeCell ref="B1250:C1250"/>
    <mergeCell ref="B1251:C1251"/>
    <mergeCell ref="B1252:C1252"/>
    <mergeCell ref="B1253:C1255"/>
    <mergeCell ref="D1253:E1253"/>
    <mergeCell ref="D1254:E1254"/>
    <mergeCell ref="D1255:E1255"/>
    <mergeCell ref="B1244:C1244"/>
    <mergeCell ref="B1245:C1245"/>
    <mergeCell ref="B1246:C1246"/>
    <mergeCell ref="B1247:C1247"/>
    <mergeCell ref="B1248:C1248"/>
    <mergeCell ref="B1249:C1249"/>
    <mergeCell ref="B1276:E1276"/>
    <mergeCell ref="B1277:F1277"/>
    <mergeCell ref="C1278:E1278"/>
    <mergeCell ref="C1279:E1279"/>
    <mergeCell ref="C1280:G1280"/>
    <mergeCell ref="B1281:G1281"/>
    <mergeCell ref="B1269:C1269"/>
    <mergeCell ref="B1271:C1271"/>
    <mergeCell ref="B1272:C1272"/>
    <mergeCell ref="B1273:E1273"/>
    <mergeCell ref="B1274:G1274"/>
    <mergeCell ref="B1275:F1275"/>
    <mergeCell ref="B1263:C1263"/>
    <mergeCell ref="B1264:C1264"/>
    <mergeCell ref="B1265:C1265"/>
    <mergeCell ref="B1266:E1266"/>
    <mergeCell ref="B1267:G1267"/>
    <mergeCell ref="B1268:G1268"/>
    <mergeCell ref="B1297:C1297"/>
    <mergeCell ref="B1298:C1298"/>
    <mergeCell ref="B1299:C1299"/>
    <mergeCell ref="B1300:C1300"/>
    <mergeCell ref="B1301:C1301"/>
    <mergeCell ref="B1302:C1302"/>
    <mergeCell ref="B1290:C1290"/>
    <mergeCell ref="B1291:C1291"/>
    <mergeCell ref="B1292:E1292"/>
    <mergeCell ref="B1293:G1293"/>
    <mergeCell ref="B1294:G1294"/>
    <mergeCell ref="B1295:C1295"/>
    <mergeCell ref="B1282:G1282"/>
    <mergeCell ref="B1284:C1284"/>
    <mergeCell ref="B1286:C1286"/>
    <mergeCell ref="B1287:C1287"/>
    <mergeCell ref="B1288:C1288"/>
    <mergeCell ref="B1289:C1289"/>
    <mergeCell ref="B1316:C1316"/>
    <mergeCell ref="B1317:C1317"/>
    <mergeCell ref="B1318:C1318"/>
    <mergeCell ref="B1319:E1319"/>
    <mergeCell ref="B1320:G1320"/>
    <mergeCell ref="B1321:G1321"/>
    <mergeCell ref="B1309:G1309"/>
    <mergeCell ref="B1310:G1310"/>
    <mergeCell ref="B1311:C1311"/>
    <mergeCell ref="B1312:C1312"/>
    <mergeCell ref="B1314:C1314"/>
    <mergeCell ref="B1315:C1315"/>
    <mergeCell ref="B1303:C1303"/>
    <mergeCell ref="B1304:C1304"/>
    <mergeCell ref="B1305:C1305"/>
    <mergeCell ref="B1306:C1308"/>
    <mergeCell ref="D1306:E1306"/>
    <mergeCell ref="D1307:E1307"/>
    <mergeCell ref="D1308:E1308"/>
    <mergeCell ref="B1335:G1335"/>
    <mergeCell ref="B1337:C1337"/>
    <mergeCell ref="B1339:C1339"/>
    <mergeCell ref="B1340:C1340"/>
    <mergeCell ref="B1341:C1341"/>
    <mergeCell ref="B1342:C1342"/>
    <mergeCell ref="B1329:E1329"/>
    <mergeCell ref="B1330:F1330"/>
    <mergeCell ref="C1331:E1331"/>
    <mergeCell ref="C1332:E1332"/>
    <mergeCell ref="C1333:G1333"/>
    <mergeCell ref="B1334:G1334"/>
    <mergeCell ref="B1322:C1322"/>
    <mergeCell ref="B1324:C1324"/>
    <mergeCell ref="B1325:C1325"/>
    <mergeCell ref="B1326:E1326"/>
    <mergeCell ref="B1327:G1327"/>
    <mergeCell ref="B1328:F1328"/>
    <mergeCell ref="B1356:C1356"/>
    <mergeCell ref="B1357:C1357"/>
    <mergeCell ref="B1358:C1358"/>
    <mergeCell ref="B1359:C1361"/>
    <mergeCell ref="D1359:E1359"/>
    <mergeCell ref="D1360:E1360"/>
    <mergeCell ref="D1361:E1361"/>
    <mergeCell ref="B1350:C1350"/>
    <mergeCell ref="B1351:C1351"/>
    <mergeCell ref="B1352:C1352"/>
    <mergeCell ref="B1353:C1353"/>
    <mergeCell ref="B1354:C1354"/>
    <mergeCell ref="B1355:C1355"/>
    <mergeCell ref="B1343:C1343"/>
    <mergeCell ref="B1344:C1344"/>
    <mergeCell ref="B1345:E1345"/>
    <mergeCell ref="B1346:G1346"/>
    <mergeCell ref="B1347:G1347"/>
    <mergeCell ref="B1348:C1348"/>
    <mergeCell ref="B1375:C1375"/>
    <mergeCell ref="B1377:C1377"/>
    <mergeCell ref="B1378:C1378"/>
    <mergeCell ref="B1379:E1379"/>
    <mergeCell ref="B1380:G1380"/>
    <mergeCell ref="B1381:F1381"/>
    <mergeCell ref="B1369:C1369"/>
    <mergeCell ref="B1370:C1370"/>
    <mergeCell ref="B1371:C1371"/>
    <mergeCell ref="B1372:E1372"/>
    <mergeCell ref="B1373:G1373"/>
    <mergeCell ref="B1374:G1374"/>
    <mergeCell ref="B1362:G1362"/>
    <mergeCell ref="B1363:G1363"/>
    <mergeCell ref="B1364:C1364"/>
    <mergeCell ref="B1365:C1365"/>
    <mergeCell ref="B1367:C1367"/>
    <mergeCell ref="B1368:C1368"/>
    <mergeCell ref="B1396:C1396"/>
    <mergeCell ref="B1397:C1397"/>
    <mergeCell ref="B1398:E1398"/>
    <mergeCell ref="B1399:G1399"/>
    <mergeCell ref="B1400:G1400"/>
    <mergeCell ref="B1401:C1401"/>
    <mergeCell ref="B1388:G1388"/>
    <mergeCell ref="B1390:C1390"/>
    <mergeCell ref="B1392:C1392"/>
    <mergeCell ref="B1393:C1393"/>
    <mergeCell ref="B1394:C1394"/>
    <mergeCell ref="B1395:C1395"/>
    <mergeCell ref="B1382:E1382"/>
    <mergeCell ref="B1383:F1383"/>
    <mergeCell ref="C1384:E1384"/>
    <mergeCell ref="C1385:E1385"/>
    <mergeCell ref="C1386:G1386"/>
    <mergeCell ref="B1387:G1387"/>
    <mergeCell ref="B1415:G1415"/>
    <mergeCell ref="B1416:G1416"/>
    <mergeCell ref="B1417:C1417"/>
    <mergeCell ref="B1418:C1418"/>
    <mergeCell ref="B1420:C1420"/>
    <mergeCell ref="B1421:C1421"/>
    <mergeCell ref="B1409:C1409"/>
    <mergeCell ref="B1410:C1410"/>
    <mergeCell ref="B1411:C1411"/>
    <mergeCell ref="B1412:C1414"/>
    <mergeCell ref="D1412:E1412"/>
    <mergeCell ref="D1413:E1413"/>
    <mergeCell ref="D1414:E1414"/>
    <mergeCell ref="B1403:C1403"/>
    <mergeCell ref="B1404:C1404"/>
    <mergeCell ref="B1405:C1405"/>
    <mergeCell ref="B1406:C1406"/>
    <mergeCell ref="B1407:C1407"/>
    <mergeCell ref="B1408:C1408"/>
    <mergeCell ref="B1435:E1435"/>
    <mergeCell ref="B1436:F1436"/>
    <mergeCell ref="C1438:E1438"/>
    <mergeCell ref="C1439:E1439"/>
    <mergeCell ref="C1440:G1440"/>
    <mergeCell ref="B1441:G1441"/>
    <mergeCell ref="B1428:C1428"/>
    <mergeCell ref="B1430:C1430"/>
    <mergeCell ref="B1431:C1431"/>
    <mergeCell ref="B1432:E1432"/>
    <mergeCell ref="B1433:G1433"/>
    <mergeCell ref="B1434:F1434"/>
    <mergeCell ref="B1422:C1422"/>
    <mergeCell ref="B1423:C1423"/>
    <mergeCell ref="B1424:C1424"/>
    <mergeCell ref="B1425:E1425"/>
    <mergeCell ref="B1426:G1426"/>
    <mergeCell ref="B1427:G1427"/>
    <mergeCell ref="B1457:C1457"/>
    <mergeCell ref="B1458:C1458"/>
    <mergeCell ref="B1459:C1459"/>
    <mergeCell ref="B1460:C1460"/>
    <mergeCell ref="B1461:C1461"/>
    <mergeCell ref="B1462:C1462"/>
    <mergeCell ref="B1450:C1450"/>
    <mergeCell ref="B1451:C1451"/>
    <mergeCell ref="B1452:E1452"/>
    <mergeCell ref="B1453:G1453"/>
    <mergeCell ref="B1454:G1454"/>
    <mergeCell ref="B1455:C1455"/>
    <mergeCell ref="B1442:G1442"/>
    <mergeCell ref="B1444:C1444"/>
    <mergeCell ref="B1446:C1446"/>
    <mergeCell ref="B1447:C1447"/>
    <mergeCell ref="B1448:C1448"/>
    <mergeCell ref="B1449:C1449"/>
    <mergeCell ref="B1476:C1476"/>
    <mergeCell ref="B1477:C1477"/>
    <mergeCell ref="B1478:C1478"/>
    <mergeCell ref="B1479:E1479"/>
    <mergeCell ref="B1480:G1480"/>
    <mergeCell ref="B1481:G1481"/>
    <mergeCell ref="B1469:G1469"/>
    <mergeCell ref="B1470:G1470"/>
    <mergeCell ref="B1471:C1471"/>
    <mergeCell ref="B1472:C1472"/>
    <mergeCell ref="B1474:C1474"/>
    <mergeCell ref="B1475:C1475"/>
    <mergeCell ref="B1463:C1463"/>
    <mergeCell ref="B1464:C1464"/>
    <mergeCell ref="B1465:C1465"/>
    <mergeCell ref="B1466:C1468"/>
    <mergeCell ref="D1466:E1466"/>
    <mergeCell ref="D1467:E1467"/>
    <mergeCell ref="D1468:E1468"/>
    <mergeCell ref="B1496:G1496"/>
    <mergeCell ref="B1498:C1498"/>
    <mergeCell ref="B1500:C1500"/>
    <mergeCell ref="B1501:C1501"/>
    <mergeCell ref="B1502:C1502"/>
    <mergeCell ref="B1503:C1503"/>
    <mergeCell ref="B1489:E1489"/>
    <mergeCell ref="B1490:F1490"/>
    <mergeCell ref="C1492:E1492"/>
    <mergeCell ref="C1493:E1493"/>
    <mergeCell ref="C1494:G1494"/>
    <mergeCell ref="B1495:G1495"/>
    <mergeCell ref="B1482:C1482"/>
    <mergeCell ref="B1484:C1484"/>
    <mergeCell ref="B1485:C1485"/>
    <mergeCell ref="B1486:E1486"/>
    <mergeCell ref="B1487:G1487"/>
    <mergeCell ref="B1488:F1488"/>
    <mergeCell ref="B1517:C1517"/>
    <mergeCell ref="B1518:C1518"/>
    <mergeCell ref="B1519:C1519"/>
    <mergeCell ref="B1520:C1522"/>
    <mergeCell ref="D1520:E1520"/>
    <mergeCell ref="D1521:E1521"/>
    <mergeCell ref="D1522:E1522"/>
    <mergeCell ref="B1511:C1511"/>
    <mergeCell ref="B1512:C1512"/>
    <mergeCell ref="B1513:C1513"/>
    <mergeCell ref="B1514:C1514"/>
    <mergeCell ref="B1515:C1515"/>
    <mergeCell ref="B1516:C1516"/>
    <mergeCell ref="B1504:C1504"/>
    <mergeCell ref="B1505:C1505"/>
    <mergeCell ref="B1506:E1506"/>
    <mergeCell ref="B1507:G1507"/>
    <mergeCell ref="B1508:G1508"/>
    <mergeCell ref="B1509:C1509"/>
    <mergeCell ref="B1543:E1543"/>
    <mergeCell ref="B1544:F1544"/>
    <mergeCell ref="B1536:C1536"/>
    <mergeCell ref="B1538:C1538"/>
    <mergeCell ref="B1539:C1539"/>
    <mergeCell ref="B1540:E1540"/>
    <mergeCell ref="B1541:G1541"/>
    <mergeCell ref="B1542:F1542"/>
    <mergeCell ref="B1530:C1530"/>
    <mergeCell ref="B1531:C1531"/>
    <mergeCell ref="B1532:C1532"/>
    <mergeCell ref="B1533:E1533"/>
    <mergeCell ref="B1534:G1534"/>
    <mergeCell ref="B1535:G1535"/>
    <mergeCell ref="B1523:G1523"/>
    <mergeCell ref="B1524:G1524"/>
    <mergeCell ref="B1525:C1525"/>
    <mergeCell ref="B1526:C1526"/>
    <mergeCell ref="B1528:C1528"/>
    <mergeCell ref="B1529:C1529"/>
  </mergeCells>
  <phoneticPr fontId="0" type="noConversion"/>
  <hyperlinks>
    <hyperlink ref="H6" location="'ITEMS RESUMEN'!CUBIERTA" display="volver"/>
    <hyperlink ref="H32" location="'ITEMS RESUMEN'!CUBIERTA" display="volver"/>
    <hyperlink ref="H58" location="'ITEMS RESUMEN'!CUBIERTA" display="volver"/>
    <hyperlink ref="H85" location="'ITEMS RESUMEN'!CUBIERTA" display="volver"/>
    <hyperlink ref="H111" location="'ITEMS RESUMEN'!CUBIERTA" display="volver"/>
    <hyperlink ref="H138" location="'ITEMS RESUMEN'!CUBIERTA" display="volver"/>
    <hyperlink ref="H164" location="'ITEMS RESUMEN'!CUBIERTA" display="volver"/>
    <hyperlink ref="H191" location="'ITEMS RESUMEN'!CUBIERTA" display="volver"/>
    <hyperlink ref="H217" location="'ITEMS RESUMEN'!CUBIERTA" display="volver"/>
    <hyperlink ref="H244" location="'ITEMS RESUMEN'!CUBIERTA" display="volver"/>
    <hyperlink ref="H270" location="'ITEMS RESUMEN'!CUBIERTA" display="volver"/>
    <hyperlink ref="H297" location="'ITEMS RESUMEN'!CUBIERTA" display="volver"/>
    <hyperlink ref="H323" location="'ITEMS RESUMEN'!CUBIERTA" display="volver"/>
    <hyperlink ref="H350" location="'ITEMS RESUMEN'!CUBIERTA" display="volver"/>
    <hyperlink ref="H376" location="'ITEMS RESUMEN'!CUBIERTA" display="volver"/>
    <hyperlink ref="H403" location="'ITEMS RESUMEN'!CUBIERTA" display="volver"/>
    <hyperlink ref="H429" location="'ITEMS RESUMEN'!CUBIERTA" display="volver"/>
    <hyperlink ref="H456" location="'ITEMS RESUMEN'!CUBIERTA" display="volver"/>
    <hyperlink ref="H482" location="'ITEMS RESUMEN'!CUBIERTA" display="volver"/>
    <hyperlink ref="H509" location="'ITEMS RESUMEN'!CUBIERTA" display="volver"/>
    <hyperlink ref="H535" location="'ITEMS RESUMEN'!CUBIERTA" display="volver"/>
    <hyperlink ref="H562" location="'ITEMS RESUMEN'!CUBIERTA" display="volver"/>
    <hyperlink ref="H588" location="'ITEMS RESUMEN'!CUBIERTA" display="volver"/>
    <hyperlink ref="H615" location="'ITEMS RESUMEN'!CUBIERTA" display="volver"/>
    <hyperlink ref="H641" location="'ITEMS RESUMEN'!CUBIERTA" display="volver"/>
    <hyperlink ref="H668" location="'ITEMS RESUMEN'!CUBIERTA" display="volver"/>
    <hyperlink ref="H694" location="'ITEMS RESUMEN'!CUBIERTA" display="volver"/>
    <hyperlink ref="H721" location="'ITEMS RESUMEN'!CUBIERTA" display="volver"/>
    <hyperlink ref="H747" location="'ITEMS RESUMEN'!CUBIERTA" display="volver"/>
    <hyperlink ref="H774" location="'ITEMS RESUMEN'!CUBIERTA" display="volver"/>
    <hyperlink ref="H800" location="'ITEMS RESUMEN'!CUBIERTA" display="volver"/>
    <hyperlink ref="H827" location="'ITEMS RESUMEN'!CUBIERTA" display="volver"/>
    <hyperlink ref="H853" location="'ITEMS RESUMEN'!CUBIERTA" display="volver"/>
    <hyperlink ref="H880" location="'ITEMS RESUMEN'!CUBIERTA" display="volver"/>
    <hyperlink ref="H906" location="'ITEMS RESUMEN'!CUBIERTA" display="volver"/>
    <hyperlink ref="H933" location="'ITEMS RESUMEN'!CUBIERTA" display="volver"/>
    <hyperlink ref="H959" location="'ITEMS RESUMEN'!CUBIERTA" display="volver"/>
    <hyperlink ref="H986" location="'ITEMS RESUMEN'!CUBIERTA" display="volver"/>
    <hyperlink ref="H1012" location="'ITEMS RESUMEN'!CUBIERTA" display="volver"/>
    <hyperlink ref="H1039" location="'ITEMS RESUMEN'!CUBIERTA" display="volver"/>
    <hyperlink ref="H1065" location="'ITEMS RESUMEN'!CUBIERTA" display="volver"/>
    <hyperlink ref="H1092" location="'ITEMS RESUMEN'!CUBIERTA" display="volver"/>
    <hyperlink ref="H1118" location="'ITEMS RESUMEN'!CUBIERTA" display="volver"/>
    <hyperlink ref="H1145" location="'ITEMS RESUMEN'!CUBIERTA" display="volver"/>
    <hyperlink ref="H1171" location="'ITEMS RESUMEN'!CUBIERTA" display="volver"/>
    <hyperlink ref="H1198" location="'ITEMS RESUMEN'!CUBIERTA" display="volver"/>
    <hyperlink ref="H1224" location="'ITEMS RESUMEN'!CUBIERTA" display="volver"/>
    <hyperlink ref="H1251" location="'ITEMS RESUMEN'!CUBIERTA" display="volver"/>
    <hyperlink ref="H1277" location="'ITEMS RESUMEN'!CUBIERTA" display="volver"/>
    <hyperlink ref="H1304" location="'ITEMS RESUMEN'!CUBIERTA" display="volver"/>
    <hyperlink ref="H1330" location="'ITEMS RESUMEN'!CUBIERTA" display="volver"/>
    <hyperlink ref="H1357" location="'ITEMS RESUMEN'!CUBIERTA" display="volver"/>
    <hyperlink ref="H1383" location="'ITEMS RESUMEN'!CUBIERTA" display="volver"/>
    <hyperlink ref="H1410" location="'ITEMS RESUMEN'!CUBIERTA" display="volver"/>
    <hyperlink ref="H1436" location="'ITEMS RESUMEN'!CUBIERTA" display="volver"/>
    <hyperlink ref="H1464" location="'ITEMS RESUMEN'!CUBIERTA" display="volver"/>
    <hyperlink ref="H1490" location="'ITEMS RESUMEN'!CUBIERTA" display="volver"/>
    <hyperlink ref="H1518" location="'ITEMS RESUMEN'!CUBIERTA" display="volver"/>
    <hyperlink ref="H1544" location="'ITEMS RESUMEN'!CUBIERTA" display="volver"/>
    <hyperlink ref="H1571" location="'ITEMS RESUMEN'!CUBIERTA" display="volver"/>
    <hyperlink ref="H1597" location="'ITEMS RESUMEN'!CUBIERTA" display="volver"/>
  </hyperlinks>
  <printOptions horizontalCentered="1" verticalCentered="1"/>
  <pageMargins left="0.78740157480314965" right="0.78740157480314965" top="0.98425196850393704" bottom="0.98425196850393704" header="0" footer="0"/>
  <pageSetup scale="76" orientation="portrait" r:id="rId1"/>
  <headerFooter alignWithMargins="0"/>
  <rowBreaks count="28" manualBreakCount="28">
    <brk id="58" min="1" max="6" man="1"/>
    <brk id="111" min="1" max="6" man="1"/>
    <brk id="164" min="1" max="6" man="1"/>
    <brk id="217" min="1" max="6" man="1"/>
    <brk id="270" min="1" max="6" man="1"/>
    <brk id="323" min="1" max="6" man="1"/>
    <brk id="376" min="1" max="6" man="1"/>
    <brk id="429" min="1" max="6" man="1"/>
    <brk id="482" min="1" max="6" man="1"/>
    <brk id="535" min="1" max="6" man="1"/>
    <brk id="588" min="1" max="6" man="1"/>
    <brk id="641" min="1" max="6" man="1"/>
    <brk id="694" min="1" max="6" man="1"/>
    <brk id="747" min="1" max="6" man="1"/>
    <brk id="800" min="1" max="6" man="1"/>
    <brk id="853" min="1" max="6" man="1"/>
    <brk id="906" min="1" max="6" man="1"/>
    <brk id="959" min="1" max="6" man="1"/>
    <brk id="1012" min="1" max="6" man="1"/>
    <brk id="1065" min="1" max="6" man="1"/>
    <brk id="1118" min="1" max="6" man="1"/>
    <brk id="1171" min="1" max="6" man="1"/>
    <brk id="1224" min="1" max="6" man="1"/>
    <brk id="1277" min="1" max="6" man="1"/>
    <brk id="1330" min="1" max="6" man="1"/>
    <brk id="1383" min="1" max="6" man="1"/>
    <brk id="1436" min="1" max="6" man="1"/>
    <brk id="1489" min="1" max="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9" enableFormatConditionsCalculation="0">
    <tabColor indexed="45"/>
  </sheetPr>
  <dimension ref="A1:H323"/>
  <sheetViews>
    <sheetView topLeftCell="A17" zoomScaleNormal="100" zoomScaleSheetLayoutView="100" workbookViewId="0">
      <selection activeCell="H32" sqref="H32"/>
    </sheetView>
  </sheetViews>
  <sheetFormatPr baseColWidth="10" defaultRowHeight="12.75"/>
  <cols>
    <col min="2" max="2" width="12.7109375" customWidth="1"/>
    <col min="3" max="3" width="25.7109375" customWidth="1"/>
    <col min="4" max="4" width="12.7109375" customWidth="1"/>
    <col min="5" max="5" width="13.7109375" customWidth="1"/>
    <col min="6" max="6" width="14.7109375" customWidth="1"/>
    <col min="7" max="7" width="16.7109375" customWidth="1"/>
  </cols>
  <sheetData>
    <row r="1" spans="1:8" ht="19.5" thickTop="1">
      <c r="A1" s="95"/>
      <c r="B1" s="225"/>
      <c r="C1" s="848" t="s">
        <v>1054</v>
      </c>
      <c r="D1" s="848"/>
      <c r="E1" s="848"/>
      <c r="F1" s="848"/>
      <c r="G1" s="849"/>
    </row>
    <row r="2" spans="1:8" ht="18.75">
      <c r="A2" s="95"/>
      <c r="B2" s="226"/>
      <c r="C2" s="780" t="s">
        <v>1381</v>
      </c>
      <c r="D2" s="780"/>
      <c r="E2" s="780"/>
      <c r="F2" s="780"/>
      <c r="G2" s="850"/>
    </row>
    <row r="3" spans="1:8" ht="18.75">
      <c r="A3" s="95"/>
      <c r="B3" s="226"/>
      <c r="C3" s="781"/>
      <c r="D3" s="781"/>
      <c r="E3" s="781"/>
      <c r="F3" s="781"/>
      <c r="G3" s="851"/>
    </row>
    <row r="4" spans="1:8" ht="15.75">
      <c r="A4" s="95"/>
      <c r="B4" s="881" t="s">
        <v>780</v>
      </c>
      <c r="C4" s="852"/>
      <c r="D4" s="852"/>
      <c r="E4" s="852"/>
      <c r="F4" s="852"/>
      <c r="G4" s="853"/>
    </row>
    <row r="5" spans="1:8" ht="15.75" thickBot="1">
      <c r="A5" s="95"/>
      <c r="B5" s="227"/>
      <c r="C5" s="856"/>
      <c r="D5" s="856"/>
      <c r="E5" s="856"/>
      <c r="F5" s="856"/>
      <c r="G5" s="857"/>
    </row>
    <row r="6" spans="1:8" ht="15" thickTop="1">
      <c r="A6" s="95"/>
      <c r="B6" s="225" t="s">
        <v>303</v>
      </c>
      <c r="C6" s="843"/>
      <c r="D6" s="843"/>
      <c r="E6" s="843"/>
      <c r="F6" s="92" t="s">
        <v>781</v>
      </c>
      <c r="G6" s="93" t="s">
        <v>1067</v>
      </c>
      <c r="H6" s="505" t="s">
        <v>1670</v>
      </c>
    </row>
    <row r="7" spans="1:8">
      <c r="A7" s="95"/>
      <c r="B7" s="226" t="s">
        <v>834</v>
      </c>
      <c r="C7" s="844" t="s">
        <v>1468</v>
      </c>
      <c r="D7" s="844"/>
      <c r="E7" s="844"/>
      <c r="F7" s="15" t="s">
        <v>833</v>
      </c>
      <c r="G7" s="165" t="str">
        <f>'MANO DE OBRA'!D61</f>
        <v>Agosto de 2010</v>
      </c>
    </row>
    <row r="8" spans="1:8" ht="13.5" thickBot="1">
      <c r="A8" s="127"/>
      <c r="B8" s="228" t="s">
        <v>835</v>
      </c>
      <c r="C8" s="845" t="s">
        <v>1469</v>
      </c>
      <c r="D8" s="845"/>
      <c r="E8" s="845"/>
      <c r="F8" s="845"/>
      <c r="G8" s="846"/>
    </row>
    <row r="9" spans="1:8" ht="14.25" thickTop="1" thickBot="1">
      <c r="A9" s="95"/>
      <c r="B9" s="986"/>
      <c r="C9" s="986"/>
      <c r="D9" s="986"/>
      <c r="E9" s="986"/>
      <c r="F9" s="986"/>
      <c r="G9" s="986"/>
    </row>
    <row r="10" spans="1:8" ht="13.5" thickTop="1">
      <c r="A10" s="95"/>
      <c r="B10" s="950" t="s">
        <v>304</v>
      </c>
      <c r="C10" s="951"/>
      <c r="D10" s="951"/>
      <c r="E10" s="951"/>
      <c r="F10" s="951"/>
      <c r="G10" s="952"/>
    </row>
    <row r="11" spans="1:8">
      <c r="A11" s="95"/>
      <c r="B11" s="229"/>
      <c r="C11" s="97"/>
      <c r="D11" s="98" t="s">
        <v>301</v>
      </c>
      <c r="E11" s="98" t="s">
        <v>1072</v>
      </c>
      <c r="F11" s="99" t="s">
        <v>839</v>
      </c>
      <c r="G11" s="107" t="s">
        <v>840</v>
      </c>
    </row>
    <row r="12" spans="1:8">
      <c r="A12" s="95"/>
      <c r="B12" s="982" t="s">
        <v>838</v>
      </c>
      <c r="C12" s="983"/>
      <c r="D12" s="100" t="s">
        <v>308</v>
      </c>
      <c r="E12" s="100" t="s">
        <v>305</v>
      </c>
      <c r="F12" s="101" t="s">
        <v>306</v>
      </c>
      <c r="G12" s="108" t="s">
        <v>310</v>
      </c>
    </row>
    <row r="13" spans="1:8">
      <c r="A13" s="95"/>
      <c r="B13" s="230"/>
      <c r="C13" s="102"/>
      <c r="D13" s="103"/>
      <c r="E13" s="103" t="s">
        <v>309</v>
      </c>
      <c r="F13" s="104" t="s">
        <v>307</v>
      </c>
      <c r="G13" s="109"/>
    </row>
    <row r="14" spans="1:8">
      <c r="A14" s="127"/>
      <c r="B14" s="823" t="str">
        <f>'MAQUINARIA Y EQUIPOS'!$C$28</f>
        <v>HERRAMIENTAS MENORES</v>
      </c>
      <c r="C14" s="824"/>
      <c r="D14" s="87">
        <v>1</v>
      </c>
      <c r="E14" s="82">
        <f>ROUND(G47*0.05,0)</f>
        <v>663</v>
      </c>
      <c r="F14" s="81">
        <v>1</v>
      </c>
      <c r="G14" s="110">
        <f>ROUND(D14*E14/F14,0)</f>
        <v>663</v>
      </c>
    </row>
    <row r="15" spans="1:8">
      <c r="A15" s="95"/>
      <c r="B15" s="835" t="str">
        <f>'MAQUINARIA Y EQUIPOS'!$C$9</f>
        <v>ANDAMIO TUBULAR 1.50 m</v>
      </c>
      <c r="C15" s="836"/>
      <c r="D15" s="37">
        <v>4</v>
      </c>
      <c r="E15" s="129">
        <f>'MAQUINARIA Y EQUIPOS'!$D$9</f>
        <v>754</v>
      </c>
      <c r="F15" s="83">
        <f>F42</f>
        <v>8</v>
      </c>
      <c r="G15" s="111">
        <f>ROUND(D15*E15/F15,0)</f>
        <v>377</v>
      </c>
    </row>
    <row r="16" spans="1:8">
      <c r="A16" s="95"/>
      <c r="B16" s="835" t="str">
        <f>'MAQUINARIA Y EQUIPOS'!$C$47</f>
        <v>TABLONES 3m</v>
      </c>
      <c r="C16" s="836"/>
      <c r="D16" s="37">
        <v>4</v>
      </c>
      <c r="E16" s="129">
        <f>'MAQUINARIA Y EQUIPOS'!$D$47</f>
        <v>348</v>
      </c>
      <c r="F16" s="83">
        <f>F43</f>
        <v>8</v>
      </c>
      <c r="G16" s="111">
        <f>ROUND(D16*E16/F16,0)</f>
        <v>174</v>
      </c>
    </row>
    <row r="17" spans="1:8">
      <c r="A17" s="95"/>
      <c r="B17" s="854"/>
      <c r="C17" s="855"/>
      <c r="D17" s="89"/>
      <c r="E17" s="82"/>
      <c r="F17" s="83"/>
      <c r="G17" s="111"/>
    </row>
    <row r="18" spans="1:8">
      <c r="A18" s="95"/>
      <c r="B18" s="854" t="s">
        <v>841</v>
      </c>
      <c r="C18" s="855"/>
      <c r="D18" s="37"/>
      <c r="E18" s="82"/>
      <c r="F18" s="83"/>
      <c r="G18" s="111"/>
    </row>
    <row r="19" spans="1:8" ht="13.5" thickBot="1">
      <c r="A19" s="95"/>
      <c r="B19" s="942" t="s">
        <v>841</v>
      </c>
      <c r="C19" s="943"/>
      <c r="D19" s="77"/>
      <c r="E19" s="106"/>
      <c r="F19" s="86"/>
      <c r="G19" s="112"/>
    </row>
    <row r="20" spans="1:8" ht="14.25" thickTop="1" thickBot="1">
      <c r="A20" s="95"/>
      <c r="B20" s="946"/>
      <c r="C20" s="946"/>
      <c r="D20" s="946"/>
      <c r="E20" s="947"/>
      <c r="F20" s="119" t="s">
        <v>856</v>
      </c>
      <c r="G20" s="118">
        <f>SUM(G14:G19)</f>
        <v>1214</v>
      </c>
    </row>
    <row r="21" spans="1:8" ht="14.25" thickTop="1" thickBot="1">
      <c r="A21" s="95"/>
      <c r="B21" s="970"/>
      <c r="C21" s="970"/>
      <c r="D21" s="970"/>
      <c r="E21" s="970"/>
      <c r="F21" s="970"/>
      <c r="G21" s="970"/>
    </row>
    <row r="22" spans="1:8" ht="13.5" thickTop="1">
      <c r="A22" s="95"/>
      <c r="B22" s="950" t="s">
        <v>311</v>
      </c>
      <c r="C22" s="951"/>
      <c r="D22" s="951"/>
      <c r="E22" s="951"/>
      <c r="F22" s="951"/>
      <c r="G22" s="952"/>
    </row>
    <row r="23" spans="1:8">
      <c r="A23" s="95"/>
      <c r="B23" s="978" t="s">
        <v>838</v>
      </c>
      <c r="C23" s="979"/>
      <c r="D23" s="98" t="s">
        <v>842</v>
      </c>
      <c r="E23" s="98" t="s">
        <v>853</v>
      </c>
      <c r="F23" s="99" t="s">
        <v>1047</v>
      </c>
      <c r="G23" s="107" t="s">
        <v>840</v>
      </c>
    </row>
    <row r="24" spans="1:8">
      <c r="A24" s="95"/>
      <c r="B24" s="230"/>
      <c r="C24" s="102"/>
      <c r="D24" s="100"/>
      <c r="E24" s="100" t="s">
        <v>312</v>
      </c>
      <c r="F24" s="101" t="s">
        <v>313</v>
      </c>
      <c r="G24" s="108" t="s">
        <v>314</v>
      </c>
    </row>
    <row r="25" spans="1:8">
      <c r="A25" s="125"/>
      <c r="B25" s="841" t="str">
        <f>MATERIALES2!$C$392</f>
        <v>TEJA PLANA 120X60X04</v>
      </c>
      <c r="C25" s="842"/>
      <c r="D25" s="87" t="s">
        <v>865</v>
      </c>
      <c r="E25" s="81">
        <v>1.37</v>
      </c>
      <c r="F25" s="80">
        <f>MATERIALES2!$E$392</f>
        <v>7000</v>
      </c>
      <c r="G25" s="110">
        <f t="shared" ref="G25:G31" si="0">ROUND(E25*F25,0)</f>
        <v>9590</v>
      </c>
    </row>
    <row r="26" spans="1:8">
      <c r="A26" s="123"/>
      <c r="B26" s="854" t="str">
        <f>MATERIALES2!$C$171</f>
        <v>GUARDALUZ</v>
      </c>
      <c r="C26" s="855"/>
      <c r="D26" s="37" t="s">
        <v>865</v>
      </c>
      <c r="E26" s="141">
        <v>1.46</v>
      </c>
      <c r="F26" s="82">
        <f>MATERIALES2!$E$171</f>
        <v>1000</v>
      </c>
      <c r="G26" s="111">
        <f t="shared" si="0"/>
        <v>1460</v>
      </c>
    </row>
    <row r="27" spans="1:8">
      <c r="A27" s="123"/>
      <c r="B27" s="854" t="str">
        <f>MATERIALES2!$C$172</f>
        <v>RINCONERAS O ESQUINERAS</v>
      </c>
      <c r="C27" s="855"/>
      <c r="D27" s="37" t="s">
        <v>865</v>
      </c>
      <c r="E27" s="83">
        <v>0.18</v>
      </c>
      <c r="F27" s="82">
        <f>MATERIALES2!$E$172</f>
        <v>1200</v>
      </c>
      <c r="G27" s="111">
        <f t="shared" si="0"/>
        <v>216</v>
      </c>
    </row>
    <row r="28" spans="1:8">
      <c r="A28" s="123"/>
      <c r="B28" s="854" t="str">
        <f>MATERIALES2!$C$918</f>
        <v>PUNTILLAS DE 2"</v>
      </c>
      <c r="C28" s="855"/>
      <c r="D28" s="37" t="s">
        <v>922</v>
      </c>
      <c r="E28" s="83">
        <v>0.27</v>
      </c>
      <c r="F28" s="82">
        <f>MATERIALES2!$E$918</f>
        <v>1500</v>
      </c>
      <c r="G28" s="111">
        <f t="shared" si="0"/>
        <v>405</v>
      </c>
    </row>
    <row r="29" spans="1:8">
      <c r="A29" s="95"/>
      <c r="B29" s="854" t="str">
        <f>MATERIALES2!$C$917</f>
        <v>PUNTILLAS DE 1"</v>
      </c>
      <c r="C29" s="855"/>
      <c r="D29" s="37" t="s">
        <v>922</v>
      </c>
      <c r="E29" s="53">
        <v>0.15</v>
      </c>
      <c r="F29" s="82">
        <f>MATERIALES2!$E$917</f>
        <v>2054</v>
      </c>
      <c r="G29" s="111">
        <f t="shared" si="0"/>
        <v>308</v>
      </c>
    </row>
    <row r="30" spans="1:8">
      <c r="A30" s="95"/>
      <c r="B30" s="854" t="str">
        <f>MATERIALES2!$C$316</f>
        <v>MERULEX I.F. 3 KG</v>
      </c>
      <c r="C30" s="855"/>
      <c r="D30" s="37" t="s">
        <v>865</v>
      </c>
      <c r="E30" s="53">
        <v>0.03</v>
      </c>
      <c r="F30" s="82">
        <f>MATERIALES2!$E$316</f>
        <v>25500</v>
      </c>
      <c r="G30" s="111">
        <f t="shared" si="0"/>
        <v>765</v>
      </c>
    </row>
    <row r="31" spans="1:8">
      <c r="A31" s="95"/>
      <c r="B31" s="953" t="str">
        <f>[2]PAÑETES!$C$8</f>
        <v>ENTRAMADO MADERA CIELO RASO</v>
      </c>
      <c r="C31" s="855"/>
      <c r="D31" s="37" t="str">
        <f>[2]PAÑETES!$G$6</f>
        <v>M2</v>
      </c>
      <c r="E31" s="83">
        <v>1</v>
      </c>
      <c r="F31" s="82">
        <f>[2]PAÑETES!$G$56</f>
        <v>8553</v>
      </c>
      <c r="G31" s="111">
        <f t="shared" si="0"/>
        <v>8553</v>
      </c>
    </row>
    <row r="32" spans="1:8">
      <c r="A32" s="123"/>
      <c r="B32" s="854"/>
      <c r="C32" s="855"/>
      <c r="D32" s="37"/>
      <c r="E32" s="83"/>
      <c r="F32" s="82"/>
      <c r="G32" s="111"/>
      <c r="H32" s="505" t="s">
        <v>1670</v>
      </c>
    </row>
    <row r="33" spans="1:7" ht="13.5" thickBot="1">
      <c r="A33" s="95"/>
      <c r="B33" s="942" t="s">
        <v>841</v>
      </c>
      <c r="C33" s="943"/>
      <c r="D33" s="84" t="s">
        <v>841</v>
      </c>
      <c r="E33" s="84"/>
      <c r="F33" s="85"/>
      <c r="G33" s="112"/>
    </row>
    <row r="34" spans="1:7" ht="13.5" thickTop="1">
      <c r="A34" s="95"/>
      <c r="B34" s="946"/>
      <c r="C34" s="947"/>
      <c r="D34" s="801" t="s">
        <v>856</v>
      </c>
      <c r="E34" s="802"/>
      <c r="F34" s="9"/>
      <c r="G34" s="113">
        <f>SUM(G25:G33)</f>
        <v>21297</v>
      </c>
    </row>
    <row r="35" spans="1:7">
      <c r="A35" s="95"/>
      <c r="B35" s="948"/>
      <c r="C35" s="949"/>
      <c r="D35" s="801" t="s">
        <v>857</v>
      </c>
      <c r="E35" s="802"/>
      <c r="F35" s="79">
        <f>'MANO DE OBRA'!$D$60</f>
        <v>0.05</v>
      </c>
      <c r="G35" s="113">
        <f>ROUND(G34*F35,0)</f>
        <v>1065</v>
      </c>
    </row>
    <row r="36" spans="1:7" ht="13.5" thickBot="1">
      <c r="A36" s="95"/>
      <c r="B36" s="948"/>
      <c r="C36" s="949"/>
      <c r="D36" s="803" t="s">
        <v>320</v>
      </c>
      <c r="E36" s="804"/>
      <c r="F36" s="114"/>
      <c r="G36" s="118">
        <f>+G34+G35</f>
        <v>22362</v>
      </c>
    </row>
    <row r="37" spans="1:7" ht="14.25" thickTop="1" thickBot="1">
      <c r="A37" s="95"/>
      <c r="B37" s="970"/>
      <c r="C37" s="970"/>
      <c r="D37" s="970"/>
      <c r="E37" s="970"/>
      <c r="F37" s="970"/>
      <c r="G37" s="970"/>
    </row>
    <row r="38" spans="1:7" ht="13.5" thickTop="1">
      <c r="A38" s="95"/>
      <c r="B38" s="950" t="s">
        <v>858</v>
      </c>
      <c r="C38" s="951"/>
      <c r="D38" s="951"/>
      <c r="E38" s="951"/>
      <c r="F38" s="951"/>
      <c r="G38" s="952"/>
    </row>
    <row r="39" spans="1:7">
      <c r="A39" s="95"/>
      <c r="B39" s="978"/>
      <c r="C39" s="979"/>
      <c r="D39" s="98" t="s">
        <v>301</v>
      </c>
      <c r="E39" s="98" t="s">
        <v>859</v>
      </c>
      <c r="F39" s="99" t="s">
        <v>839</v>
      </c>
      <c r="G39" s="107" t="s">
        <v>840</v>
      </c>
    </row>
    <row r="40" spans="1:7">
      <c r="A40" s="95"/>
      <c r="B40" s="982" t="s">
        <v>838</v>
      </c>
      <c r="C40" s="983"/>
      <c r="D40" s="100" t="s">
        <v>316</v>
      </c>
      <c r="E40" s="100" t="s">
        <v>315</v>
      </c>
      <c r="F40" s="101" t="s">
        <v>306</v>
      </c>
      <c r="G40" s="108" t="s">
        <v>319</v>
      </c>
    </row>
    <row r="41" spans="1:7">
      <c r="A41" s="95"/>
      <c r="B41" s="230"/>
      <c r="C41" s="102"/>
      <c r="D41" s="103"/>
      <c r="E41" s="103" t="s">
        <v>317</v>
      </c>
      <c r="F41" s="104" t="s">
        <v>318</v>
      </c>
      <c r="G41" s="109"/>
    </row>
    <row r="42" spans="1:7">
      <c r="A42" s="95"/>
      <c r="B42" s="823" t="str">
        <f>'MANO DE OBRA'!$B$10</f>
        <v>AYUDANTE CUAD. TIPO AA</v>
      </c>
      <c r="C42" s="824"/>
      <c r="D42" s="87">
        <v>1</v>
      </c>
      <c r="E42" s="80">
        <f>'MANO DE OBRA'!$E$10</f>
        <v>34680</v>
      </c>
      <c r="F42" s="81">
        <v>8</v>
      </c>
      <c r="G42" s="110">
        <f>ROUND(D42*E42/F42,0)</f>
        <v>4335</v>
      </c>
    </row>
    <row r="43" spans="1:7">
      <c r="A43" s="95"/>
      <c r="B43" s="835" t="str">
        <f>'MANO DE OBRA'!$B$15</f>
        <v xml:space="preserve">OFICIAL CUAD. TIPO AA </v>
      </c>
      <c r="C43" s="836"/>
      <c r="D43" s="37">
        <v>1</v>
      </c>
      <c r="E43" s="82">
        <f>'MANO DE OBRA'!$E$15</f>
        <v>71474</v>
      </c>
      <c r="F43" s="83">
        <v>8</v>
      </c>
      <c r="G43" s="111">
        <f>ROUND(D43*E43/F43,0)</f>
        <v>8934</v>
      </c>
    </row>
    <row r="44" spans="1:7">
      <c r="A44" s="95"/>
      <c r="B44" s="854"/>
      <c r="C44" s="855"/>
      <c r="D44" s="89"/>
      <c r="E44" s="82"/>
      <c r="F44" s="83"/>
      <c r="G44" s="111"/>
    </row>
    <row r="45" spans="1:7">
      <c r="A45" s="95"/>
      <c r="B45" s="854" t="s">
        <v>841</v>
      </c>
      <c r="C45" s="855"/>
      <c r="D45" s="37"/>
      <c r="E45" s="82"/>
      <c r="F45" s="83"/>
      <c r="G45" s="111"/>
    </row>
    <row r="46" spans="1:7" ht="13.5" thickBot="1">
      <c r="A46" s="95"/>
      <c r="B46" s="980" t="s">
        <v>841</v>
      </c>
      <c r="C46" s="981"/>
      <c r="D46" s="77"/>
      <c r="E46" s="82"/>
      <c r="F46" s="86"/>
      <c r="G46" s="112"/>
    </row>
    <row r="47" spans="1:7" ht="14.25" thickTop="1" thickBot="1">
      <c r="A47" s="95"/>
      <c r="B47" s="946"/>
      <c r="C47" s="946"/>
      <c r="D47" s="946"/>
      <c r="E47" s="947"/>
      <c r="F47" s="120" t="s">
        <v>856</v>
      </c>
      <c r="G47" s="118">
        <f>SUM(G42:G46)</f>
        <v>13269</v>
      </c>
    </row>
    <row r="48" spans="1:7" ht="14.25" thickTop="1" thickBot="1">
      <c r="A48" s="95"/>
      <c r="B48" s="970"/>
      <c r="C48" s="970"/>
      <c r="D48" s="970"/>
      <c r="E48" s="970"/>
      <c r="F48" s="970"/>
      <c r="G48" s="970"/>
    </row>
    <row r="49" spans="1:8" ht="13.5" thickTop="1">
      <c r="A49" s="95"/>
      <c r="B49" s="950" t="s">
        <v>321</v>
      </c>
      <c r="C49" s="951"/>
      <c r="D49" s="951"/>
      <c r="E49" s="951"/>
      <c r="F49" s="951"/>
      <c r="G49" s="952"/>
    </row>
    <row r="50" spans="1:8">
      <c r="A50" s="95"/>
      <c r="B50" s="978" t="s">
        <v>838</v>
      </c>
      <c r="C50" s="979"/>
      <c r="D50" s="98" t="s">
        <v>301</v>
      </c>
      <c r="E50" s="98" t="s">
        <v>297</v>
      </c>
      <c r="F50" s="99" t="s">
        <v>839</v>
      </c>
      <c r="G50" s="107" t="s">
        <v>840</v>
      </c>
    </row>
    <row r="51" spans="1:8">
      <c r="A51" s="95"/>
      <c r="B51" s="230"/>
      <c r="C51" s="102"/>
      <c r="D51" s="103" t="s">
        <v>322</v>
      </c>
      <c r="E51" s="103" t="s">
        <v>323</v>
      </c>
      <c r="F51" s="104" t="s">
        <v>324</v>
      </c>
      <c r="G51" s="109" t="s">
        <v>325</v>
      </c>
    </row>
    <row r="52" spans="1:8">
      <c r="A52" s="95"/>
      <c r="B52" s="841"/>
      <c r="C52" s="842"/>
      <c r="D52" s="96"/>
      <c r="E52" s="96"/>
      <c r="F52" s="96"/>
      <c r="G52" s="116"/>
    </row>
    <row r="53" spans="1:8" ht="13.5" thickBot="1">
      <c r="A53" s="95"/>
      <c r="B53" s="980" t="s">
        <v>841</v>
      </c>
      <c r="C53" s="981"/>
      <c r="D53" s="77"/>
      <c r="E53" s="82"/>
      <c r="F53" s="86"/>
      <c r="G53" s="112"/>
    </row>
    <row r="54" spans="1:8" ht="14.25" thickTop="1" thickBot="1">
      <c r="A54" s="95"/>
      <c r="B54" s="946"/>
      <c r="C54" s="946"/>
      <c r="D54" s="946"/>
      <c r="E54" s="947"/>
      <c r="F54" s="120" t="s">
        <v>856</v>
      </c>
      <c r="G54" s="118">
        <f>SUM(G49:G53)</f>
        <v>0</v>
      </c>
    </row>
    <row r="55" spans="1:8" ht="14.25" thickTop="1" thickBot="1">
      <c r="A55" s="95"/>
      <c r="B55" s="970"/>
      <c r="C55" s="970"/>
      <c r="D55" s="970"/>
      <c r="E55" s="970"/>
      <c r="F55" s="970"/>
      <c r="G55" s="943"/>
    </row>
    <row r="56" spans="1:8" ht="13.5" thickTop="1">
      <c r="A56" s="95"/>
      <c r="B56" s="950" t="s">
        <v>326</v>
      </c>
      <c r="C56" s="951"/>
      <c r="D56" s="951"/>
      <c r="E56" s="951"/>
      <c r="F56" s="971"/>
      <c r="G56" s="121">
        <f>+G20+G36+G47</f>
        <v>36845</v>
      </c>
    </row>
    <row r="57" spans="1:8">
      <c r="A57" s="95"/>
      <c r="B57" s="972" t="s">
        <v>861</v>
      </c>
      <c r="C57" s="973"/>
      <c r="D57" s="973"/>
      <c r="E57" s="974"/>
      <c r="F57" s="128">
        <f>'MANO DE OBRA'!$D$59</f>
        <v>0</v>
      </c>
      <c r="G57" s="122">
        <f>ROUND(G56*F57,0)</f>
        <v>0</v>
      </c>
    </row>
    <row r="58" spans="1:8" ht="13.5" thickBot="1">
      <c r="A58" s="95"/>
      <c r="B58" s="975" t="s">
        <v>1049</v>
      </c>
      <c r="C58" s="976"/>
      <c r="D58" s="976"/>
      <c r="E58" s="976"/>
      <c r="F58" s="977"/>
      <c r="G58" s="118">
        <f>ROUND(G56+G57,-2)</f>
        <v>36800</v>
      </c>
      <c r="H58" s="505" t="s">
        <v>1670</v>
      </c>
    </row>
    <row r="59" spans="1:8" ht="15" thickTop="1">
      <c r="A59" s="95"/>
      <c r="B59" s="225" t="s">
        <v>303</v>
      </c>
      <c r="C59" s="843"/>
      <c r="D59" s="843"/>
      <c r="E59" s="843"/>
      <c r="F59" s="92" t="s">
        <v>781</v>
      </c>
      <c r="G59" s="93" t="s">
        <v>1067</v>
      </c>
    </row>
    <row r="60" spans="1:8">
      <c r="A60" s="95"/>
      <c r="B60" s="226" t="s">
        <v>834</v>
      </c>
      <c r="C60" s="844" t="s">
        <v>410</v>
      </c>
      <c r="D60" s="844"/>
      <c r="E60" s="844"/>
      <c r="F60" s="15" t="s">
        <v>833</v>
      </c>
      <c r="G60" s="165" t="str">
        <f>'MANO DE OBRA'!D61</f>
        <v>Agosto de 2010</v>
      </c>
    </row>
    <row r="61" spans="1:8" ht="29.25" customHeight="1" thickBot="1">
      <c r="A61" s="127"/>
      <c r="B61" s="228" t="s">
        <v>835</v>
      </c>
      <c r="C61" s="940" t="s">
        <v>411</v>
      </c>
      <c r="D61" s="940"/>
      <c r="E61" s="940"/>
      <c r="F61" s="940"/>
      <c r="G61" s="941"/>
    </row>
    <row r="62" spans="1:8" ht="14.25" thickTop="1" thickBot="1">
      <c r="A62" s="95"/>
      <c r="B62" s="986"/>
      <c r="C62" s="986"/>
      <c r="D62" s="986"/>
      <c r="E62" s="986"/>
      <c r="F62" s="986"/>
      <c r="G62" s="986"/>
    </row>
    <row r="63" spans="1:8" ht="13.5" thickTop="1">
      <c r="A63" s="95"/>
      <c r="B63" s="950" t="s">
        <v>304</v>
      </c>
      <c r="C63" s="951"/>
      <c r="D63" s="951"/>
      <c r="E63" s="951"/>
      <c r="F63" s="951"/>
      <c r="G63" s="952"/>
    </row>
    <row r="64" spans="1:8">
      <c r="A64" s="95"/>
      <c r="B64" s="229"/>
      <c r="C64" s="97"/>
      <c r="D64" s="98" t="s">
        <v>301</v>
      </c>
      <c r="E64" s="98" t="s">
        <v>1072</v>
      </c>
      <c r="F64" s="99" t="s">
        <v>839</v>
      </c>
      <c r="G64" s="107" t="s">
        <v>840</v>
      </c>
    </row>
    <row r="65" spans="1:7">
      <c r="A65" s="95"/>
      <c r="B65" s="982" t="s">
        <v>838</v>
      </c>
      <c r="C65" s="983"/>
      <c r="D65" s="100" t="s">
        <v>308</v>
      </c>
      <c r="E65" s="100" t="s">
        <v>305</v>
      </c>
      <c r="F65" s="101" t="s">
        <v>306</v>
      </c>
      <c r="G65" s="108" t="s">
        <v>310</v>
      </c>
    </row>
    <row r="66" spans="1:7">
      <c r="A66" s="95"/>
      <c r="B66" s="230"/>
      <c r="C66" s="102"/>
      <c r="D66" s="103"/>
      <c r="E66" s="103" t="s">
        <v>309</v>
      </c>
      <c r="F66" s="104" t="s">
        <v>307</v>
      </c>
      <c r="G66" s="109"/>
    </row>
    <row r="67" spans="1:7">
      <c r="A67" s="127"/>
      <c r="B67" s="823" t="str">
        <f>'MAQUINARIA Y EQUIPOS'!$C$28</f>
        <v>HERRAMIENTAS MENORES</v>
      </c>
      <c r="C67" s="824"/>
      <c r="D67" s="87">
        <v>1</v>
      </c>
      <c r="E67" s="82">
        <f>ROUND(G99*0.05,0)</f>
        <v>146</v>
      </c>
      <c r="F67" s="81">
        <v>1</v>
      </c>
      <c r="G67" s="110">
        <f>ROUND(D67*E67/F67,0)</f>
        <v>146</v>
      </c>
    </row>
    <row r="68" spans="1:7">
      <c r="A68" s="95"/>
      <c r="B68" s="835" t="str">
        <f>'MAQUINARIA Y EQUIPOS'!$C$9</f>
        <v>ANDAMIO TUBULAR 1.50 m</v>
      </c>
      <c r="C68" s="836"/>
      <c r="D68" s="37">
        <v>4</v>
      </c>
      <c r="E68" s="129">
        <f>'MAQUINARIA Y EQUIPOS'!$D$9</f>
        <v>754</v>
      </c>
      <c r="F68" s="83">
        <f>F94</f>
        <v>35</v>
      </c>
      <c r="G68" s="111">
        <f>ROUND(D68*E68/F68,0)</f>
        <v>86</v>
      </c>
    </row>
    <row r="69" spans="1:7">
      <c r="A69" s="95"/>
      <c r="B69" s="835" t="str">
        <f>'MAQUINARIA Y EQUIPOS'!$C$47</f>
        <v>TABLONES 3m</v>
      </c>
      <c r="C69" s="836"/>
      <c r="D69" s="37">
        <v>4</v>
      </c>
      <c r="E69" s="129">
        <f>'MAQUINARIA Y EQUIPOS'!$D$47</f>
        <v>348</v>
      </c>
      <c r="F69" s="83">
        <f>F95</f>
        <v>37</v>
      </c>
      <c r="G69" s="111">
        <f>ROUND(D69*E69/F69,0)</f>
        <v>38</v>
      </c>
    </row>
    <row r="70" spans="1:7">
      <c r="A70" s="95"/>
      <c r="B70" s="854"/>
      <c r="C70" s="855"/>
      <c r="D70" s="89"/>
      <c r="E70" s="82"/>
      <c r="F70" s="83"/>
      <c r="G70" s="111"/>
    </row>
    <row r="71" spans="1:7">
      <c r="A71" s="95"/>
      <c r="B71" s="854" t="s">
        <v>841</v>
      </c>
      <c r="C71" s="855"/>
      <c r="D71" s="37"/>
      <c r="E71" s="82"/>
      <c r="F71" s="83"/>
      <c r="G71" s="111"/>
    </row>
    <row r="72" spans="1:7" ht="13.5" thickBot="1">
      <c r="A72" s="95"/>
      <c r="B72" s="942" t="s">
        <v>841</v>
      </c>
      <c r="C72" s="943"/>
      <c r="D72" s="77"/>
      <c r="E72" s="106"/>
      <c r="F72" s="86"/>
      <c r="G72" s="112"/>
    </row>
    <row r="73" spans="1:7" ht="14.25" thickTop="1" thickBot="1">
      <c r="A73" s="95"/>
      <c r="B73" s="946"/>
      <c r="C73" s="946"/>
      <c r="D73" s="946"/>
      <c r="E73" s="947"/>
      <c r="F73" s="119" t="s">
        <v>856</v>
      </c>
      <c r="G73" s="118">
        <f>SUM(G67:G72)</f>
        <v>270</v>
      </c>
    </row>
    <row r="74" spans="1:7" ht="14.25" thickTop="1" thickBot="1">
      <c r="A74" s="95"/>
      <c r="B74" s="970"/>
      <c r="C74" s="970"/>
      <c r="D74" s="970"/>
      <c r="E74" s="970"/>
      <c r="F74" s="970"/>
      <c r="G74" s="970"/>
    </row>
    <row r="75" spans="1:7" ht="13.5" thickTop="1">
      <c r="A75" s="95"/>
      <c r="B75" s="950" t="s">
        <v>311</v>
      </c>
      <c r="C75" s="951"/>
      <c r="D75" s="951"/>
      <c r="E75" s="951"/>
      <c r="F75" s="951"/>
      <c r="G75" s="952"/>
    </row>
    <row r="76" spans="1:7">
      <c r="A76" s="95"/>
      <c r="B76" s="978" t="s">
        <v>838</v>
      </c>
      <c r="C76" s="979"/>
      <c r="D76" s="98" t="s">
        <v>842</v>
      </c>
      <c r="E76" s="98" t="s">
        <v>853</v>
      </c>
      <c r="F76" s="99" t="s">
        <v>1047</v>
      </c>
      <c r="G76" s="107" t="s">
        <v>840</v>
      </c>
    </row>
    <row r="77" spans="1:7">
      <c r="A77" s="95"/>
      <c r="B77" s="230"/>
      <c r="C77" s="102"/>
      <c r="D77" s="100"/>
      <c r="E77" s="100" t="s">
        <v>312</v>
      </c>
      <c r="F77" s="101" t="s">
        <v>313</v>
      </c>
      <c r="G77" s="108" t="s">
        <v>314</v>
      </c>
    </row>
    <row r="78" spans="1:7">
      <c r="A78" s="125"/>
      <c r="B78" s="841" t="str">
        <f>MATERIALES2!$C$392</f>
        <v>TEJA PLANA 120X60X04</v>
      </c>
      <c r="C78" s="842"/>
      <c r="D78" s="87" t="s">
        <v>865</v>
      </c>
      <c r="E78" s="81">
        <v>1.37</v>
      </c>
      <c r="F78" s="80">
        <f>MATERIALES2!$E$392</f>
        <v>7000</v>
      </c>
      <c r="G78" s="110">
        <f t="shared" ref="G78:G84" si="1">ROUND(E78*F78,0)</f>
        <v>9590</v>
      </c>
    </row>
    <row r="79" spans="1:7">
      <c r="A79" s="123"/>
      <c r="B79" s="854" t="str">
        <f>MATERIALES2!$C$241</f>
        <v>ANGULO ALUMINIO DE ¾"x1/16"x6.0 M</v>
      </c>
      <c r="C79" s="855"/>
      <c r="D79" s="37" t="s">
        <v>865</v>
      </c>
      <c r="E79" s="83">
        <v>0.63</v>
      </c>
      <c r="F79" s="82">
        <f>MATERIALES2!$E$241</f>
        <v>8000</v>
      </c>
      <c r="G79" s="111">
        <f t="shared" si="1"/>
        <v>5040</v>
      </c>
    </row>
    <row r="80" spans="1:7">
      <c r="A80" s="123"/>
      <c r="B80" s="854" t="str">
        <f>MATERIALES2!$C$252</f>
        <v>TEE ALUMINIO 1"x1/16"x6.0 M</v>
      </c>
      <c r="C80" s="855"/>
      <c r="D80" s="37" t="s">
        <v>865</v>
      </c>
      <c r="E80" s="83">
        <v>0.17</v>
      </c>
      <c r="F80" s="82">
        <f>MATERIALES2!$E$252</f>
        <v>8000</v>
      </c>
      <c r="G80" s="111">
        <f t="shared" si="1"/>
        <v>1360</v>
      </c>
    </row>
    <row r="81" spans="1:8">
      <c r="A81" s="123"/>
      <c r="B81" s="854" t="str">
        <f>MATERIALES2!$C$253</f>
        <v>ALAMBRE GALVANIZADO Nº 16</v>
      </c>
      <c r="C81" s="855"/>
      <c r="D81" s="37" t="s">
        <v>925</v>
      </c>
      <c r="E81" s="83">
        <v>0.6</v>
      </c>
      <c r="F81" s="82">
        <f>MATERIALES2!$E$253</f>
        <v>4015</v>
      </c>
      <c r="G81" s="111">
        <f t="shared" si="1"/>
        <v>2409</v>
      </c>
    </row>
    <row r="82" spans="1:8">
      <c r="A82" s="95"/>
      <c r="B82" s="854" t="str">
        <f>MATERIALES2!$C$257</f>
        <v>CHAZOS 5/16"</v>
      </c>
      <c r="C82" s="855"/>
      <c r="D82" s="37" t="s">
        <v>865</v>
      </c>
      <c r="E82" s="83">
        <v>5</v>
      </c>
      <c r="F82" s="82">
        <f>MATERIALES2!$E$257</f>
        <v>1275</v>
      </c>
      <c r="G82" s="111">
        <f t="shared" si="1"/>
        <v>6375</v>
      </c>
    </row>
    <row r="83" spans="1:8">
      <c r="A83" s="95"/>
      <c r="B83" s="854" t="str">
        <f>MATERIALES2!$C$258</f>
        <v>REMACHE</v>
      </c>
      <c r="C83" s="855"/>
      <c r="D83" s="37" t="s">
        <v>865</v>
      </c>
      <c r="E83" s="83">
        <v>5</v>
      </c>
      <c r="F83" s="82">
        <f>MATERIALES2!$E$258</f>
        <v>50</v>
      </c>
      <c r="G83" s="111">
        <f t="shared" si="1"/>
        <v>250</v>
      </c>
    </row>
    <row r="84" spans="1:8">
      <c r="A84" s="123"/>
      <c r="B84" s="854" t="str">
        <f>MATERIALES2!C295</f>
        <v>VINILTEX PINTUCO</v>
      </c>
      <c r="C84" s="855"/>
      <c r="D84" s="37" t="str">
        <f>MATERIALES2!D295</f>
        <v>GL</v>
      </c>
      <c r="E84" s="83">
        <v>0.05</v>
      </c>
      <c r="F84" s="82">
        <f>MATERIALES2!E295</f>
        <v>55000</v>
      </c>
      <c r="G84" s="111">
        <f t="shared" si="1"/>
        <v>2750</v>
      </c>
      <c r="H84" s="505" t="s">
        <v>1670</v>
      </c>
    </row>
    <row r="85" spans="1:8" ht="13.5" thickBot="1">
      <c r="A85" s="95"/>
      <c r="B85" s="942" t="s">
        <v>841</v>
      </c>
      <c r="C85" s="943"/>
      <c r="D85" s="84" t="s">
        <v>841</v>
      </c>
      <c r="E85" s="84"/>
      <c r="F85" s="85"/>
      <c r="G85" s="112"/>
    </row>
    <row r="86" spans="1:8" ht="13.5" thickTop="1">
      <c r="A86" s="95"/>
      <c r="B86" s="946"/>
      <c r="C86" s="947"/>
      <c r="D86" s="801" t="s">
        <v>856</v>
      </c>
      <c r="E86" s="802"/>
      <c r="F86" s="9"/>
      <c r="G86" s="113">
        <f>SUM(G78:G85)</f>
        <v>27774</v>
      </c>
    </row>
    <row r="87" spans="1:8">
      <c r="A87" s="95"/>
      <c r="B87" s="948"/>
      <c r="C87" s="949"/>
      <c r="D87" s="801" t="s">
        <v>857</v>
      </c>
      <c r="E87" s="802"/>
      <c r="F87" s="79">
        <f>'MANO DE OBRA'!$D$60</f>
        <v>0.05</v>
      </c>
      <c r="G87" s="113">
        <f>ROUND(G86*F87,0)</f>
        <v>1389</v>
      </c>
    </row>
    <row r="88" spans="1:8" ht="13.5" thickBot="1">
      <c r="A88" s="95"/>
      <c r="B88" s="948"/>
      <c r="C88" s="949"/>
      <c r="D88" s="803" t="s">
        <v>320</v>
      </c>
      <c r="E88" s="804"/>
      <c r="F88" s="114"/>
      <c r="G88" s="118">
        <f>+G86+G87</f>
        <v>29163</v>
      </c>
    </row>
    <row r="89" spans="1:8" ht="14.25" thickTop="1" thickBot="1">
      <c r="A89" s="95"/>
      <c r="B89" s="970"/>
      <c r="C89" s="970"/>
      <c r="D89" s="970"/>
      <c r="E89" s="970"/>
      <c r="F89" s="970"/>
      <c r="G89" s="970"/>
    </row>
    <row r="90" spans="1:8" ht="13.5" thickTop="1">
      <c r="A90" s="95"/>
      <c r="B90" s="950" t="s">
        <v>858</v>
      </c>
      <c r="C90" s="951"/>
      <c r="D90" s="951"/>
      <c r="E90" s="951"/>
      <c r="F90" s="951"/>
      <c r="G90" s="952"/>
    </row>
    <row r="91" spans="1:8">
      <c r="A91" s="95"/>
      <c r="B91" s="978"/>
      <c r="C91" s="979"/>
      <c r="D91" s="98" t="s">
        <v>301</v>
      </c>
      <c r="E91" s="98" t="s">
        <v>859</v>
      </c>
      <c r="F91" s="99" t="s">
        <v>839</v>
      </c>
      <c r="G91" s="107" t="s">
        <v>840</v>
      </c>
    </row>
    <row r="92" spans="1:8">
      <c r="A92" s="95"/>
      <c r="B92" s="982" t="s">
        <v>838</v>
      </c>
      <c r="C92" s="983"/>
      <c r="D92" s="100" t="s">
        <v>316</v>
      </c>
      <c r="E92" s="100" t="s">
        <v>315</v>
      </c>
      <c r="F92" s="101" t="s">
        <v>306</v>
      </c>
      <c r="G92" s="108" t="s">
        <v>319</v>
      </c>
    </row>
    <row r="93" spans="1:8">
      <c r="A93" s="95"/>
      <c r="B93" s="230"/>
      <c r="C93" s="102"/>
      <c r="D93" s="103"/>
      <c r="E93" s="103" t="s">
        <v>317</v>
      </c>
      <c r="F93" s="104" t="s">
        <v>318</v>
      </c>
      <c r="G93" s="109"/>
    </row>
    <row r="94" spans="1:8">
      <c r="A94" s="95"/>
      <c r="B94" s="823" t="str">
        <f>'MANO DE OBRA'!$B$10</f>
        <v>AYUDANTE CUAD. TIPO AA</v>
      </c>
      <c r="C94" s="824"/>
      <c r="D94" s="87">
        <v>1</v>
      </c>
      <c r="E94" s="80">
        <f>'MANO DE OBRA'!$E$10</f>
        <v>34680</v>
      </c>
      <c r="F94" s="81">
        <v>35</v>
      </c>
      <c r="G94" s="110">
        <f>ROUND(D94*E94/F94,0)</f>
        <v>991</v>
      </c>
    </row>
    <row r="95" spans="1:8">
      <c r="A95" s="95"/>
      <c r="B95" s="835" t="str">
        <f>'MANO DE OBRA'!$B$15</f>
        <v xml:space="preserve">OFICIAL CUAD. TIPO AA </v>
      </c>
      <c r="C95" s="836"/>
      <c r="D95" s="37">
        <v>1</v>
      </c>
      <c r="E95" s="82">
        <f>'MANO DE OBRA'!$E$15</f>
        <v>71474</v>
      </c>
      <c r="F95" s="83">
        <v>37</v>
      </c>
      <c r="G95" s="111">
        <f>ROUND(D95*E95/F95,0)</f>
        <v>1932</v>
      </c>
    </row>
    <row r="96" spans="1:8">
      <c r="A96" s="95"/>
      <c r="B96" s="854"/>
      <c r="C96" s="855"/>
      <c r="D96" s="89"/>
      <c r="E96" s="82"/>
      <c r="F96" s="83">
        <v>37</v>
      </c>
      <c r="G96" s="111"/>
    </row>
    <row r="97" spans="1:8">
      <c r="A97" s="95"/>
      <c r="B97" s="854" t="s">
        <v>841</v>
      </c>
      <c r="C97" s="855"/>
      <c r="D97" s="37"/>
      <c r="E97" s="82"/>
      <c r="F97" s="83"/>
      <c r="G97" s="111"/>
    </row>
    <row r="98" spans="1:8" ht="13.5" thickBot="1">
      <c r="A98" s="95"/>
      <c r="B98" s="980" t="s">
        <v>841</v>
      </c>
      <c r="C98" s="981"/>
      <c r="D98" s="77"/>
      <c r="E98" s="82"/>
      <c r="F98" s="86"/>
      <c r="G98" s="112"/>
    </row>
    <row r="99" spans="1:8" ht="14.25" thickTop="1" thickBot="1">
      <c r="A99" s="95"/>
      <c r="B99" s="946"/>
      <c r="C99" s="946"/>
      <c r="D99" s="946"/>
      <c r="E99" s="947"/>
      <c r="F99" s="120" t="s">
        <v>856</v>
      </c>
      <c r="G99" s="118">
        <f>SUM(G94:G98)</f>
        <v>2923</v>
      </c>
    </row>
    <row r="100" spans="1:8" ht="14.25" thickTop="1" thickBot="1">
      <c r="A100" s="95"/>
      <c r="B100" s="970"/>
      <c r="C100" s="970"/>
      <c r="D100" s="970"/>
      <c r="E100" s="970"/>
      <c r="F100" s="970"/>
      <c r="G100" s="970"/>
    </row>
    <row r="101" spans="1:8" ht="13.5" thickTop="1">
      <c r="A101" s="95"/>
      <c r="B101" s="950" t="s">
        <v>321</v>
      </c>
      <c r="C101" s="951"/>
      <c r="D101" s="951"/>
      <c r="E101" s="951"/>
      <c r="F101" s="951"/>
      <c r="G101" s="952"/>
    </row>
    <row r="102" spans="1:8">
      <c r="A102" s="95"/>
      <c r="B102" s="978" t="s">
        <v>838</v>
      </c>
      <c r="C102" s="979"/>
      <c r="D102" s="98" t="s">
        <v>301</v>
      </c>
      <c r="E102" s="98" t="s">
        <v>297</v>
      </c>
      <c r="F102" s="99" t="s">
        <v>839</v>
      </c>
      <c r="G102" s="107" t="s">
        <v>840</v>
      </c>
    </row>
    <row r="103" spans="1:8">
      <c r="A103" s="95"/>
      <c r="B103" s="230"/>
      <c r="C103" s="102"/>
      <c r="D103" s="103" t="s">
        <v>322</v>
      </c>
      <c r="E103" s="103" t="s">
        <v>323</v>
      </c>
      <c r="F103" s="104" t="s">
        <v>324</v>
      </c>
      <c r="G103" s="109" t="s">
        <v>325</v>
      </c>
    </row>
    <row r="104" spans="1:8">
      <c r="A104" s="95"/>
      <c r="B104" s="841"/>
      <c r="C104" s="842"/>
      <c r="D104" s="96"/>
      <c r="E104" s="96"/>
      <c r="F104" s="96"/>
      <c r="G104" s="116"/>
    </row>
    <row r="105" spans="1:8" ht="13.5" thickBot="1">
      <c r="A105" s="95"/>
      <c r="B105" s="980" t="s">
        <v>841</v>
      </c>
      <c r="C105" s="981"/>
      <c r="D105" s="77"/>
      <c r="E105" s="82"/>
      <c r="F105" s="86"/>
      <c r="G105" s="112"/>
    </row>
    <row r="106" spans="1:8" ht="14.25" thickTop="1" thickBot="1">
      <c r="A106" s="95"/>
      <c r="B106" s="946"/>
      <c r="C106" s="946"/>
      <c r="D106" s="946"/>
      <c r="E106" s="947"/>
      <c r="F106" s="120" t="s">
        <v>856</v>
      </c>
      <c r="G106" s="118">
        <f>SUM(G101:G105)</f>
        <v>0</v>
      </c>
    </row>
    <row r="107" spans="1:8" ht="14.25" thickTop="1" thickBot="1">
      <c r="A107" s="95"/>
      <c r="B107" s="970"/>
      <c r="C107" s="970"/>
      <c r="D107" s="970"/>
      <c r="E107" s="970"/>
      <c r="F107" s="970"/>
      <c r="G107" s="943"/>
    </row>
    <row r="108" spans="1:8" ht="13.5" thickTop="1">
      <c r="A108" s="95"/>
      <c r="B108" s="950" t="s">
        <v>326</v>
      </c>
      <c r="C108" s="951"/>
      <c r="D108" s="951"/>
      <c r="E108" s="951"/>
      <c r="F108" s="971"/>
      <c r="G108" s="121">
        <f>+G73+G88+G99</f>
        <v>32356</v>
      </c>
    </row>
    <row r="109" spans="1:8">
      <c r="A109" s="95"/>
      <c r="B109" s="972" t="s">
        <v>861</v>
      </c>
      <c r="C109" s="973"/>
      <c r="D109" s="973"/>
      <c r="E109" s="974"/>
      <c r="F109" s="128">
        <f>'MANO DE OBRA'!$D$59</f>
        <v>0</v>
      </c>
      <c r="G109" s="122">
        <f>ROUND(G108*F109,0)</f>
        <v>0</v>
      </c>
    </row>
    <row r="110" spans="1:8" ht="13.5" thickBot="1">
      <c r="A110" s="95"/>
      <c r="B110" s="975" t="s">
        <v>1049</v>
      </c>
      <c r="C110" s="976"/>
      <c r="D110" s="976"/>
      <c r="E110" s="976"/>
      <c r="F110" s="977"/>
      <c r="G110" s="118">
        <f>ROUND(G108+G109,-2)</f>
        <v>32400</v>
      </c>
      <c r="H110" s="505" t="s">
        <v>1670</v>
      </c>
    </row>
    <row r="111" spans="1:8" ht="15" thickTop="1">
      <c r="A111" s="95"/>
      <c r="B111" s="225" t="s">
        <v>303</v>
      </c>
      <c r="C111" s="843"/>
      <c r="D111" s="843"/>
      <c r="E111" s="843"/>
      <c r="F111" s="92" t="s">
        <v>781</v>
      </c>
      <c r="G111" s="93" t="s">
        <v>1067</v>
      </c>
    </row>
    <row r="112" spans="1:8">
      <c r="A112" s="95"/>
      <c r="B112" s="91" t="s">
        <v>834</v>
      </c>
      <c r="C112" s="844" t="s">
        <v>1468</v>
      </c>
      <c r="D112" s="844"/>
      <c r="E112" s="844"/>
      <c r="F112" s="15" t="s">
        <v>833</v>
      </c>
      <c r="G112" s="165" t="str">
        <f>'MANO DE OBRA'!D61</f>
        <v>Agosto de 2010</v>
      </c>
    </row>
    <row r="113" spans="1:7" ht="13.5" thickBot="1">
      <c r="A113" s="127"/>
      <c r="B113" s="94" t="s">
        <v>835</v>
      </c>
      <c r="C113" s="845" t="s">
        <v>1470</v>
      </c>
      <c r="D113" s="845"/>
      <c r="E113" s="845"/>
      <c r="F113" s="845"/>
      <c r="G113" s="846"/>
    </row>
    <row r="114" spans="1:7" ht="14.25" thickTop="1" thickBot="1">
      <c r="A114" s="95"/>
      <c r="B114" s="986"/>
      <c r="C114" s="986"/>
      <c r="D114" s="986"/>
      <c r="E114" s="986"/>
      <c r="F114" s="986"/>
      <c r="G114" s="986"/>
    </row>
    <row r="115" spans="1:7" ht="13.5" thickTop="1">
      <c r="A115" s="95"/>
      <c r="B115" s="950" t="s">
        <v>304</v>
      </c>
      <c r="C115" s="951"/>
      <c r="D115" s="951"/>
      <c r="E115" s="951"/>
      <c r="F115" s="951"/>
      <c r="G115" s="952"/>
    </row>
    <row r="116" spans="1:7">
      <c r="A116" s="95"/>
      <c r="B116" s="229"/>
      <c r="C116" s="97"/>
      <c r="D116" s="98" t="s">
        <v>301</v>
      </c>
      <c r="E116" s="98" t="s">
        <v>1072</v>
      </c>
      <c r="F116" s="99" t="s">
        <v>839</v>
      </c>
      <c r="G116" s="107" t="s">
        <v>840</v>
      </c>
    </row>
    <row r="117" spans="1:7">
      <c r="A117" s="95"/>
      <c r="B117" s="982" t="s">
        <v>838</v>
      </c>
      <c r="C117" s="983"/>
      <c r="D117" s="100" t="s">
        <v>308</v>
      </c>
      <c r="E117" s="100" t="s">
        <v>305</v>
      </c>
      <c r="F117" s="101" t="s">
        <v>306</v>
      </c>
      <c r="G117" s="108" t="s">
        <v>310</v>
      </c>
    </row>
    <row r="118" spans="1:7">
      <c r="A118" s="95"/>
      <c r="B118" s="230"/>
      <c r="C118" s="102"/>
      <c r="D118" s="103"/>
      <c r="E118" s="103" t="s">
        <v>309</v>
      </c>
      <c r="F118" s="104" t="s">
        <v>307</v>
      </c>
      <c r="G118" s="109"/>
    </row>
    <row r="119" spans="1:7">
      <c r="A119" s="127"/>
      <c r="B119" s="823" t="str">
        <f>'MAQUINARIA Y EQUIPOS'!$C$28</f>
        <v>HERRAMIENTAS MENORES</v>
      </c>
      <c r="C119" s="824"/>
      <c r="D119" s="87">
        <v>1</v>
      </c>
      <c r="E119" s="82">
        <f>ROUND(G152*0.05,0)</f>
        <v>531</v>
      </c>
      <c r="F119" s="81">
        <v>1</v>
      </c>
      <c r="G119" s="110">
        <f>ROUND(D119*E119/F119,0)</f>
        <v>531</v>
      </c>
    </row>
    <row r="120" spans="1:7">
      <c r="A120" s="95"/>
      <c r="B120" s="835" t="str">
        <f>'MAQUINARIA Y EQUIPOS'!$C$9</f>
        <v>ANDAMIO TUBULAR 1.50 m</v>
      </c>
      <c r="C120" s="836"/>
      <c r="D120" s="37">
        <v>4</v>
      </c>
      <c r="E120" s="129">
        <f>'MAQUINARIA Y EQUIPOS'!$D$9</f>
        <v>754</v>
      </c>
      <c r="F120" s="83">
        <f>F147</f>
        <v>10</v>
      </c>
      <c r="G120" s="111">
        <f>ROUND(D120*E120/F120,0)</f>
        <v>302</v>
      </c>
    </row>
    <row r="121" spans="1:7">
      <c r="A121" s="95"/>
      <c r="B121" s="835" t="str">
        <f>'MAQUINARIA Y EQUIPOS'!$C$47</f>
        <v>TABLONES 3m</v>
      </c>
      <c r="C121" s="836"/>
      <c r="D121" s="37">
        <v>4</v>
      </c>
      <c r="E121" s="129">
        <f>'MAQUINARIA Y EQUIPOS'!$D$47</f>
        <v>348</v>
      </c>
      <c r="F121" s="83">
        <f>F148</f>
        <v>10</v>
      </c>
      <c r="G121" s="111">
        <f>ROUND(D121*E121/F121,0)</f>
        <v>139</v>
      </c>
    </row>
    <row r="122" spans="1:7">
      <c r="A122" s="95"/>
      <c r="B122" s="854"/>
      <c r="C122" s="855"/>
      <c r="D122" s="89"/>
      <c r="E122" s="82"/>
      <c r="F122" s="83"/>
      <c r="G122" s="111"/>
    </row>
    <row r="123" spans="1:7">
      <c r="A123" s="95"/>
      <c r="B123" s="854" t="s">
        <v>841</v>
      </c>
      <c r="C123" s="855"/>
      <c r="D123" s="37"/>
      <c r="E123" s="82"/>
      <c r="F123" s="83"/>
      <c r="G123" s="111"/>
    </row>
    <row r="124" spans="1:7" ht="13.5" thickBot="1">
      <c r="A124" s="95"/>
      <c r="B124" s="942" t="s">
        <v>841</v>
      </c>
      <c r="C124" s="943"/>
      <c r="D124" s="77"/>
      <c r="E124" s="106"/>
      <c r="F124" s="86"/>
      <c r="G124" s="112"/>
    </row>
    <row r="125" spans="1:7" ht="14.25" thickTop="1" thickBot="1">
      <c r="A125" s="95"/>
      <c r="B125" s="946"/>
      <c r="C125" s="946"/>
      <c r="D125" s="946"/>
      <c r="E125" s="947"/>
      <c r="F125" s="119" t="s">
        <v>856</v>
      </c>
      <c r="G125" s="118">
        <f>SUM(G119:G124)</f>
        <v>972</v>
      </c>
    </row>
    <row r="126" spans="1:7" ht="14.25" thickTop="1" thickBot="1">
      <c r="A126" s="95"/>
      <c r="B126" s="970"/>
      <c r="C126" s="970"/>
      <c r="D126" s="970"/>
      <c r="E126" s="970"/>
      <c r="F126" s="970"/>
      <c r="G126" s="970"/>
    </row>
    <row r="127" spans="1:7" ht="13.5" thickTop="1">
      <c r="A127" s="95"/>
      <c r="B127" s="950" t="s">
        <v>311</v>
      </c>
      <c r="C127" s="951"/>
      <c r="D127" s="951"/>
      <c r="E127" s="951"/>
      <c r="F127" s="951"/>
      <c r="G127" s="952"/>
    </row>
    <row r="128" spans="1:7">
      <c r="A128" s="95"/>
      <c r="B128" s="978" t="s">
        <v>838</v>
      </c>
      <c r="C128" s="979"/>
      <c r="D128" s="98" t="s">
        <v>842</v>
      </c>
      <c r="E128" s="98" t="s">
        <v>853</v>
      </c>
      <c r="F128" s="99" t="s">
        <v>1047</v>
      </c>
      <c r="G128" s="107" t="s">
        <v>840</v>
      </c>
    </row>
    <row r="129" spans="1:8">
      <c r="A129" s="95"/>
      <c r="B129" s="230"/>
      <c r="C129" s="102"/>
      <c r="D129" s="100"/>
      <c r="E129" s="100" t="s">
        <v>312</v>
      </c>
      <c r="F129" s="101" t="s">
        <v>313</v>
      </c>
      <c r="G129" s="108" t="s">
        <v>314</v>
      </c>
    </row>
    <row r="130" spans="1:8">
      <c r="A130" s="125"/>
      <c r="B130" s="841" t="str">
        <f>MATERIALES2!$C$175</f>
        <v>MADEFLEX 1.22x2.44</v>
      </c>
      <c r="C130" s="842"/>
      <c r="D130" s="87" t="s">
        <v>865</v>
      </c>
      <c r="E130" s="81">
        <v>0.34</v>
      </c>
      <c r="F130" s="80">
        <f>MATERIALES2!$E$175</f>
        <v>9800</v>
      </c>
      <c r="G130" s="110">
        <f>ROUND(E130*F130,0)</f>
        <v>3332</v>
      </c>
    </row>
    <row r="131" spans="1:8">
      <c r="A131" s="123"/>
      <c r="B131" s="854" t="str">
        <f>MATERIALES2!$C$171</f>
        <v>GUARDALUZ</v>
      </c>
      <c r="C131" s="855"/>
      <c r="D131" s="37" t="s">
        <v>865</v>
      </c>
      <c r="E131" s="141">
        <v>1.46</v>
      </c>
      <c r="F131" s="82">
        <f>MATERIALES2!$E$171</f>
        <v>1000</v>
      </c>
      <c r="G131" s="111">
        <f t="shared" ref="G131:G136" si="2">ROUND(E131*F131,0)</f>
        <v>1460</v>
      </c>
    </row>
    <row r="132" spans="1:8">
      <c r="A132" s="123"/>
      <c r="B132" s="854" t="str">
        <f>MATERIALES2!$C$172</f>
        <v>RINCONERAS O ESQUINERAS</v>
      </c>
      <c r="C132" s="855"/>
      <c r="D132" s="37" t="s">
        <v>865</v>
      </c>
      <c r="E132" s="83">
        <v>0.18</v>
      </c>
      <c r="F132" s="82">
        <f>MATERIALES2!$E$172</f>
        <v>1200</v>
      </c>
      <c r="G132" s="111">
        <f t="shared" si="2"/>
        <v>216</v>
      </c>
    </row>
    <row r="133" spans="1:8">
      <c r="A133" s="123"/>
      <c r="B133" s="854" t="str">
        <f>MATERIALES2!$C$918</f>
        <v>PUNTILLAS DE 2"</v>
      </c>
      <c r="C133" s="855"/>
      <c r="D133" s="37" t="s">
        <v>922</v>
      </c>
      <c r="E133" s="83">
        <v>0.27</v>
      </c>
      <c r="F133" s="82">
        <f>MATERIALES2!$E$918</f>
        <v>1500</v>
      </c>
      <c r="G133" s="111">
        <f t="shared" si="2"/>
        <v>405</v>
      </c>
    </row>
    <row r="134" spans="1:8">
      <c r="A134" s="95"/>
      <c r="B134" s="854" t="str">
        <f>MATERIALES2!$C$917</f>
        <v>PUNTILLAS DE 1"</v>
      </c>
      <c r="C134" s="855"/>
      <c r="D134" s="37" t="s">
        <v>922</v>
      </c>
      <c r="E134" s="53">
        <v>0.15</v>
      </c>
      <c r="F134" s="82">
        <f>MATERIALES2!$E$917</f>
        <v>2054</v>
      </c>
      <c r="G134" s="111">
        <f t="shared" si="2"/>
        <v>308</v>
      </c>
    </row>
    <row r="135" spans="1:8">
      <c r="A135" s="95"/>
      <c r="B135" s="854" t="str">
        <f>MATERIALES2!$C$316</f>
        <v>MERULEX I.F. 3 KG</v>
      </c>
      <c r="C135" s="855"/>
      <c r="D135" s="37" t="s">
        <v>865</v>
      </c>
      <c r="E135" s="53">
        <v>0.03</v>
      </c>
      <c r="F135" s="82">
        <f>MATERIALES2!$E$316</f>
        <v>25500</v>
      </c>
      <c r="G135" s="111">
        <f t="shared" si="2"/>
        <v>765</v>
      </c>
    </row>
    <row r="136" spans="1:8">
      <c r="A136" s="95"/>
      <c r="B136" s="953" t="str">
        <f>[2]PAÑETES!$C$8</f>
        <v>ENTRAMADO MADERA CIELO RASO</v>
      </c>
      <c r="C136" s="855"/>
      <c r="D136" s="37" t="str">
        <f>[2]PAÑETES!$G$6</f>
        <v>M2</v>
      </c>
      <c r="E136" s="83">
        <v>1</v>
      </c>
      <c r="F136" s="82">
        <f>[2]PAÑETES!$G$56</f>
        <v>8553</v>
      </c>
      <c r="G136" s="111">
        <f t="shared" si="2"/>
        <v>8553</v>
      </c>
    </row>
    <row r="137" spans="1:8">
      <c r="A137" s="123"/>
      <c r="B137" s="854"/>
      <c r="C137" s="855"/>
      <c r="D137" s="37"/>
      <c r="E137" s="83"/>
      <c r="F137" s="82"/>
      <c r="G137" s="111"/>
      <c r="H137" s="505" t="s">
        <v>1670</v>
      </c>
    </row>
    <row r="138" spans="1:8" ht="13.5" thickBot="1">
      <c r="A138" s="95"/>
      <c r="B138" s="942" t="s">
        <v>841</v>
      </c>
      <c r="C138" s="943"/>
      <c r="D138" s="84" t="s">
        <v>841</v>
      </c>
      <c r="E138" s="84"/>
      <c r="F138" s="85"/>
      <c r="G138" s="112"/>
    </row>
    <row r="139" spans="1:8" ht="13.5" thickTop="1">
      <c r="A139" s="95"/>
      <c r="B139" s="946"/>
      <c r="C139" s="947"/>
      <c r="D139" s="801" t="s">
        <v>856</v>
      </c>
      <c r="E139" s="802"/>
      <c r="F139" s="9"/>
      <c r="G139" s="113">
        <f>SUM(G130:G138)</f>
        <v>15039</v>
      </c>
    </row>
    <row r="140" spans="1:8">
      <c r="A140" s="95"/>
      <c r="B140" s="948"/>
      <c r="C140" s="949"/>
      <c r="D140" s="801" t="s">
        <v>857</v>
      </c>
      <c r="E140" s="802"/>
      <c r="F140" s="79">
        <f>'MANO DE OBRA'!$D$60</f>
        <v>0.05</v>
      </c>
      <c r="G140" s="113">
        <f>ROUND(G139*F140,0)</f>
        <v>752</v>
      </c>
    </row>
    <row r="141" spans="1:8" ht="13.5" thickBot="1">
      <c r="A141" s="95"/>
      <c r="B141" s="948"/>
      <c r="C141" s="949"/>
      <c r="D141" s="803" t="s">
        <v>320</v>
      </c>
      <c r="E141" s="804"/>
      <c r="F141" s="114"/>
      <c r="G141" s="118">
        <f>+G139+G140</f>
        <v>15791</v>
      </c>
    </row>
    <row r="142" spans="1:8" ht="14.25" thickTop="1" thickBot="1">
      <c r="A142" s="95"/>
      <c r="B142" s="970"/>
      <c r="C142" s="970"/>
      <c r="D142" s="970"/>
      <c r="E142" s="970"/>
      <c r="F142" s="970"/>
      <c r="G142" s="970"/>
    </row>
    <row r="143" spans="1:8" ht="13.5" thickTop="1">
      <c r="A143" s="95"/>
      <c r="B143" s="950" t="s">
        <v>858</v>
      </c>
      <c r="C143" s="951"/>
      <c r="D143" s="951"/>
      <c r="E143" s="951"/>
      <c r="F143" s="951"/>
      <c r="G143" s="952"/>
    </row>
    <row r="144" spans="1:8">
      <c r="A144" s="95"/>
      <c r="B144" s="978"/>
      <c r="C144" s="979"/>
      <c r="D144" s="98" t="s">
        <v>301</v>
      </c>
      <c r="E144" s="98" t="s">
        <v>859</v>
      </c>
      <c r="F144" s="99" t="s">
        <v>839</v>
      </c>
      <c r="G144" s="107" t="s">
        <v>840</v>
      </c>
    </row>
    <row r="145" spans="1:7">
      <c r="A145" s="95"/>
      <c r="B145" s="982" t="s">
        <v>838</v>
      </c>
      <c r="C145" s="983"/>
      <c r="D145" s="100" t="s">
        <v>316</v>
      </c>
      <c r="E145" s="100" t="s">
        <v>315</v>
      </c>
      <c r="F145" s="101" t="s">
        <v>306</v>
      </c>
      <c r="G145" s="108" t="s">
        <v>319</v>
      </c>
    </row>
    <row r="146" spans="1:7">
      <c r="A146" s="95"/>
      <c r="B146" s="230"/>
      <c r="C146" s="102"/>
      <c r="D146" s="103"/>
      <c r="E146" s="103" t="s">
        <v>317</v>
      </c>
      <c r="F146" s="104" t="s">
        <v>318</v>
      </c>
      <c r="G146" s="109"/>
    </row>
    <row r="147" spans="1:7">
      <c r="A147" s="95"/>
      <c r="B147" s="823" t="str">
        <f>'MANO DE OBRA'!$B$10</f>
        <v>AYUDANTE CUAD. TIPO AA</v>
      </c>
      <c r="C147" s="824"/>
      <c r="D147" s="87">
        <v>1</v>
      </c>
      <c r="E147" s="80">
        <f>'MANO DE OBRA'!$E$10</f>
        <v>34680</v>
      </c>
      <c r="F147" s="81">
        <v>10</v>
      </c>
      <c r="G147" s="110">
        <f>ROUND(D147*E147/F147,0)</f>
        <v>3468</v>
      </c>
    </row>
    <row r="148" spans="1:7">
      <c r="A148" s="95"/>
      <c r="B148" s="835" t="str">
        <f>'MANO DE OBRA'!$B$15</f>
        <v xml:space="preserve">OFICIAL CUAD. TIPO AA </v>
      </c>
      <c r="C148" s="836"/>
      <c r="D148" s="37">
        <v>1</v>
      </c>
      <c r="E148" s="82">
        <f>'MANO DE OBRA'!$E$15</f>
        <v>71474</v>
      </c>
      <c r="F148" s="83">
        <v>10</v>
      </c>
      <c r="G148" s="111">
        <f>ROUND(D148*E148/F148,0)</f>
        <v>7147</v>
      </c>
    </row>
    <row r="149" spans="1:7">
      <c r="A149" s="95"/>
      <c r="B149" s="854"/>
      <c r="C149" s="855"/>
      <c r="D149" s="89"/>
      <c r="E149" s="82"/>
      <c r="F149" s="83"/>
      <c r="G149" s="111"/>
    </row>
    <row r="150" spans="1:7">
      <c r="A150" s="95"/>
      <c r="B150" s="854" t="s">
        <v>841</v>
      </c>
      <c r="C150" s="855"/>
      <c r="D150" s="37"/>
      <c r="E150" s="82"/>
      <c r="F150" s="83"/>
      <c r="G150" s="111"/>
    </row>
    <row r="151" spans="1:7" ht="13.5" thickBot="1">
      <c r="A151" s="95"/>
      <c r="B151" s="980" t="s">
        <v>841</v>
      </c>
      <c r="C151" s="981"/>
      <c r="D151" s="77"/>
      <c r="E151" s="82"/>
      <c r="F151" s="86"/>
      <c r="G151" s="112"/>
    </row>
    <row r="152" spans="1:7" ht="14.25" thickTop="1" thickBot="1">
      <c r="A152" s="95"/>
      <c r="B152" s="946"/>
      <c r="C152" s="946"/>
      <c r="D152" s="946"/>
      <c r="E152" s="947"/>
      <c r="F152" s="120" t="s">
        <v>856</v>
      </c>
      <c r="G152" s="118">
        <f>SUM(G147:G151)</f>
        <v>10615</v>
      </c>
    </row>
    <row r="153" spans="1:7" ht="14.25" thickTop="1" thickBot="1">
      <c r="A153" s="95"/>
      <c r="B153" s="970"/>
      <c r="C153" s="970"/>
      <c r="D153" s="970"/>
      <c r="E153" s="970"/>
      <c r="F153" s="970"/>
      <c r="G153" s="970"/>
    </row>
    <row r="154" spans="1:7" ht="13.5" thickTop="1">
      <c r="A154" s="95"/>
      <c r="B154" s="950" t="s">
        <v>321</v>
      </c>
      <c r="C154" s="951"/>
      <c r="D154" s="951"/>
      <c r="E154" s="951"/>
      <c r="F154" s="951"/>
      <c r="G154" s="952"/>
    </row>
    <row r="155" spans="1:7">
      <c r="A155" s="95"/>
      <c r="B155" s="978" t="s">
        <v>838</v>
      </c>
      <c r="C155" s="979"/>
      <c r="D155" s="98" t="s">
        <v>301</v>
      </c>
      <c r="E155" s="98" t="s">
        <v>297</v>
      </c>
      <c r="F155" s="99" t="s">
        <v>839</v>
      </c>
      <c r="G155" s="107" t="s">
        <v>840</v>
      </c>
    </row>
    <row r="156" spans="1:7">
      <c r="A156" s="95"/>
      <c r="B156" s="230"/>
      <c r="C156" s="102"/>
      <c r="D156" s="103" t="s">
        <v>322</v>
      </c>
      <c r="E156" s="103" t="s">
        <v>323</v>
      </c>
      <c r="F156" s="104" t="s">
        <v>324</v>
      </c>
      <c r="G156" s="109" t="s">
        <v>325</v>
      </c>
    </row>
    <row r="157" spans="1:7">
      <c r="A157" s="95"/>
      <c r="B157" s="841"/>
      <c r="C157" s="842"/>
      <c r="D157" s="96"/>
      <c r="E157" s="96"/>
      <c r="F157" s="96"/>
      <c r="G157" s="116"/>
    </row>
    <row r="158" spans="1:7" ht="13.5" thickBot="1">
      <c r="A158" s="95"/>
      <c r="B158" s="980" t="s">
        <v>841</v>
      </c>
      <c r="C158" s="981"/>
      <c r="D158" s="77"/>
      <c r="E158" s="82"/>
      <c r="F158" s="86"/>
      <c r="G158" s="112"/>
    </row>
    <row r="159" spans="1:7" ht="14.25" thickTop="1" thickBot="1">
      <c r="A159" s="95"/>
      <c r="B159" s="946"/>
      <c r="C159" s="946"/>
      <c r="D159" s="946"/>
      <c r="E159" s="947"/>
      <c r="F159" s="120" t="s">
        <v>856</v>
      </c>
      <c r="G159" s="118">
        <f>SUM(G154:G158)</f>
        <v>0</v>
      </c>
    </row>
    <row r="160" spans="1:7" ht="14.25" thickTop="1" thickBot="1">
      <c r="A160" s="95"/>
      <c r="B160" s="970"/>
      <c r="C160" s="970"/>
      <c r="D160" s="970"/>
      <c r="E160" s="970"/>
      <c r="F160" s="970"/>
      <c r="G160" s="943"/>
    </row>
    <row r="161" spans="1:8" ht="13.5" thickTop="1">
      <c r="A161" s="95"/>
      <c r="B161" s="950" t="s">
        <v>326</v>
      </c>
      <c r="C161" s="951"/>
      <c r="D161" s="951"/>
      <c r="E161" s="951"/>
      <c r="F161" s="971"/>
      <c r="G161" s="121">
        <f>+G125+G141+G152</f>
        <v>27378</v>
      </c>
    </row>
    <row r="162" spans="1:8">
      <c r="A162" s="95"/>
      <c r="B162" s="972" t="s">
        <v>861</v>
      </c>
      <c r="C162" s="973"/>
      <c r="D162" s="973"/>
      <c r="E162" s="974"/>
      <c r="F162" s="128">
        <f>'MANO DE OBRA'!$D$59</f>
        <v>0</v>
      </c>
      <c r="G162" s="122">
        <f>ROUND(G161*F162,0)</f>
        <v>0</v>
      </c>
    </row>
    <row r="163" spans="1:8" ht="13.5" thickBot="1">
      <c r="A163" s="95"/>
      <c r="B163" s="975" t="s">
        <v>1049</v>
      </c>
      <c r="C163" s="976"/>
      <c r="D163" s="976"/>
      <c r="E163" s="976"/>
      <c r="F163" s="977"/>
      <c r="G163" s="118">
        <f>ROUND(G161+G162,-2)</f>
        <v>27400</v>
      </c>
      <c r="H163" s="505" t="s">
        <v>1670</v>
      </c>
    </row>
    <row r="164" spans="1:8" ht="15" thickTop="1">
      <c r="A164" s="95"/>
      <c r="B164" s="225" t="s">
        <v>303</v>
      </c>
      <c r="C164" s="843"/>
      <c r="D164" s="843"/>
      <c r="E164" s="843"/>
      <c r="F164" s="92" t="s">
        <v>781</v>
      </c>
      <c r="G164" s="93" t="s">
        <v>1067</v>
      </c>
    </row>
    <row r="165" spans="1:8">
      <c r="A165" s="95"/>
      <c r="B165" s="91" t="s">
        <v>834</v>
      </c>
      <c r="C165" s="844" t="s">
        <v>1468</v>
      </c>
      <c r="D165" s="844"/>
      <c r="E165" s="844"/>
      <c r="F165" s="15" t="s">
        <v>833</v>
      </c>
      <c r="G165" s="165" t="str">
        <f>'MANO DE OBRA'!D61</f>
        <v>Agosto de 2010</v>
      </c>
    </row>
    <row r="166" spans="1:8" ht="13.5" thickBot="1">
      <c r="A166" s="127"/>
      <c r="B166" s="94" t="s">
        <v>835</v>
      </c>
      <c r="C166" s="845" t="s">
        <v>1471</v>
      </c>
      <c r="D166" s="845"/>
      <c r="E166" s="845"/>
      <c r="F166" s="845"/>
      <c r="G166" s="846"/>
    </row>
    <row r="167" spans="1:8" ht="14.25" thickTop="1" thickBot="1">
      <c r="A167" s="95"/>
      <c r="B167" s="986"/>
      <c r="C167" s="986"/>
      <c r="D167" s="986"/>
      <c r="E167" s="986"/>
      <c r="F167" s="986"/>
      <c r="G167" s="986"/>
    </row>
    <row r="168" spans="1:8" ht="13.5" thickTop="1">
      <c r="A168" s="95"/>
      <c r="B168" s="950" t="s">
        <v>304</v>
      </c>
      <c r="C168" s="951"/>
      <c r="D168" s="951"/>
      <c r="E168" s="951"/>
      <c r="F168" s="951"/>
      <c r="G168" s="952"/>
    </row>
    <row r="169" spans="1:8">
      <c r="A169" s="95"/>
      <c r="B169" s="229"/>
      <c r="C169" s="97"/>
      <c r="D169" s="98" t="s">
        <v>301</v>
      </c>
      <c r="E169" s="98" t="s">
        <v>1072</v>
      </c>
      <c r="F169" s="99" t="s">
        <v>839</v>
      </c>
      <c r="G169" s="107" t="s">
        <v>840</v>
      </c>
    </row>
    <row r="170" spans="1:8">
      <c r="A170" s="95"/>
      <c r="B170" s="982" t="s">
        <v>838</v>
      </c>
      <c r="C170" s="983"/>
      <c r="D170" s="100" t="s">
        <v>308</v>
      </c>
      <c r="E170" s="100" t="s">
        <v>305</v>
      </c>
      <c r="F170" s="101" t="s">
        <v>306</v>
      </c>
      <c r="G170" s="108" t="s">
        <v>310</v>
      </c>
    </row>
    <row r="171" spans="1:8">
      <c r="A171" s="95"/>
      <c r="B171" s="230"/>
      <c r="C171" s="102"/>
      <c r="D171" s="103"/>
      <c r="E171" s="103" t="s">
        <v>309</v>
      </c>
      <c r="F171" s="104" t="s">
        <v>307</v>
      </c>
      <c r="G171" s="109"/>
    </row>
    <row r="172" spans="1:8">
      <c r="A172" s="127"/>
      <c r="B172" s="823" t="str">
        <f>'MAQUINARIA Y EQUIPOS'!$C$28</f>
        <v>HERRAMIENTAS MENORES</v>
      </c>
      <c r="C172" s="824"/>
      <c r="D172" s="87">
        <v>1</v>
      </c>
      <c r="E172" s="82">
        <f>ROUND(G205*0.05,0)</f>
        <v>730</v>
      </c>
      <c r="F172" s="81">
        <v>1</v>
      </c>
      <c r="G172" s="110">
        <f>ROUND(D172*E172/F172,0)</f>
        <v>730</v>
      </c>
    </row>
    <row r="173" spans="1:8">
      <c r="A173" s="95"/>
      <c r="B173" s="835" t="str">
        <f>'MAQUINARIA Y EQUIPOS'!$C$9</f>
        <v>ANDAMIO TUBULAR 1.50 m</v>
      </c>
      <c r="C173" s="836"/>
      <c r="D173" s="37">
        <v>4</v>
      </c>
      <c r="E173" s="129">
        <f>'MAQUINARIA Y EQUIPOS'!$D$9</f>
        <v>754</v>
      </c>
      <c r="F173" s="83">
        <f>F200</f>
        <v>7.27</v>
      </c>
      <c r="G173" s="111">
        <f>ROUND(D173*E173/F173,0)</f>
        <v>415</v>
      </c>
    </row>
    <row r="174" spans="1:8">
      <c r="A174" s="95"/>
      <c r="B174" s="835" t="str">
        <f>'MAQUINARIA Y EQUIPOS'!$C$47</f>
        <v>TABLONES 3m</v>
      </c>
      <c r="C174" s="836"/>
      <c r="D174" s="37">
        <v>4</v>
      </c>
      <c r="E174" s="129">
        <f>'MAQUINARIA Y EQUIPOS'!$D$47</f>
        <v>348</v>
      </c>
      <c r="F174" s="83">
        <f>F201</f>
        <v>7.27</v>
      </c>
      <c r="G174" s="111">
        <f>ROUND(D174*E174/F174,0)</f>
        <v>191</v>
      </c>
    </row>
    <row r="175" spans="1:8">
      <c r="A175" s="95"/>
      <c r="B175" s="854"/>
      <c r="C175" s="855"/>
      <c r="D175" s="89"/>
      <c r="E175" s="82"/>
      <c r="F175" s="83"/>
      <c r="G175" s="111"/>
    </row>
    <row r="176" spans="1:8">
      <c r="A176" s="95"/>
      <c r="B176" s="854" t="s">
        <v>841</v>
      </c>
      <c r="C176" s="855"/>
      <c r="D176" s="37"/>
      <c r="E176" s="82"/>
      <c r="F176" s="83"/>
      <c r="G176" s="111"/>
    </row>
    <row r="177" spans="1:8" ht="13.5" thickBot="1">
      <c r="A177" s="95"/>
      <c r="B177" s="942" t="s">
        <v>841</v>
      </c>
      <c r="C177" s="943"/>
      <c r="D177" s="77"/>
      <c r="E177" s="106"/>
      <c r="F177" s="86"/>
      <c r="G177" s="112"/>
    </row>
    <row r="178" spans="1:8" ht="14.25" thickTop="1" thickBot="1">
      <c r="A178" s="95"/>
      <c r="B178" s="946"/>
      <c r="C178" s="946"/>
      <c r="D178" s="946"/>
      <c r="E178" s="947"/>
      <c r="F178" s="119" t="s">
        <v>856</v>
      </c>
      <c r="G178" s="118">
        <f>SUM(G172:G177)</f>
        <v>1336</v>
      </c>
    </row>
    <row r="179" spans="1:8" ht="14.25" thickTop="1" thickBot="1">
      <c r="A179" s="95"/>
      <c r="B179" s="970"/>
      <c r="C179" s="970"/>
      <c r="D179" s="970"/>
      <c r="E179" s="970"/>
      <c r="F179" s="970"/>
      <c r="G179" s="970"/>
    </row>
    <row r="180" spans="1:8" ht="13.5" thickTop="1">
      <c r="A180" s="95"/>
      <c r="B180" s="950" t="s">
        <v>311</v>
      </c>
      <c r="C180" s="951"/>
      <c r="D180" s="951"/>
      <c r="E180" s="951"/>
      <c r="F180" s="951"/>
      <c r="G180" s="952"/>
    </row>
    <row r="181" spans="1:8">
      <c r="A181" s="95"/>
      <c r="B181" s="978" t="s">
        <v>838</v>
      </c>
      <c r="C181" s="979"/>
      <c r="D181" s="98" t="s">
        <v>842</v>
      </c>
      <c r="E181" s="98" t="s">
        <v>853</v>
      </c>
      <c r="F181" s="99" t="s">
        <v>1047</v>
      </c>
      <c r="G181" s="107" t="s">
        <v>840</v>
      </c>
    </row>
    <row r="182" spans="1:8">
      <c r="A182" s="95"/>
      <c r="B182" s="230"/>
      <c r="C182" s="102"/>
      <c r="D182" s="100"/>
      <c r="E182" s="100" t="s">
        <v>312</v>
      </c>
      <c r="F182" s="101" t="s">
        <v>313</v>
      </c>
      <c r="G182" s="108" t="s">
        <v>314</v>
      </c>
    </row>
    <row r="183" spans="1:8">
      <c r="A183" s="125"/>
      <c r="B183" s="841" t="str">
        <f>MATERIALES2!$C$170</f>
        <v>MACHIMBRE VIROLA</v>
      </c>
      <c r="C183" s="842"/>
      <c r="D183" s="87" t="s">
        <v>865</v>
      </c>
      <c r="E183" s="81">
        <v>1</v>
      </c>
      <c r="F183" s="80">
        <f>MATERIALES2!$E$170</f>
        <v>8500</v>
      </c>
      <c r="G183" s="110">
        <f t="shared" ref="G183:G189" si="3">ROUND(E183*F183,0)</f>
        <v>8500</v>
      </c>
    </row>
    <row r="184" spans="1:8">
      <c r="A184" s="123"/>
      <c r="B184" s="854" t="str">
        <f>MATERIALES2!$C$171</f>
        <v>GUARDALUZ</v>
      </c>
      <c r="C184" s="855"/>
      <c r="D184" s="37" t="s">
        <v>865</v>
      </c>
      <c r="E184" s="141">
        <v>1.46</v>
      </c>
      <c r="F184" s="82">
        <f>MATERIALES2!$E$171</f>
        <v>1000</v>
      </c>
      <c r="G184" s="111">
        <f t="shared" si="3"/>
        <v>1460</v>
      </c>
    </row>
    <row r="185" spans="1:8">
      <c r="A185" s="123"/>
      <c r="B185" s="854" t="str">
        <f>MATERIALES2!$C$172</f>
        <v>RINCONERAS O ESQUINERAS</v>
      </c>
      <c r="C185" s="855"/>
      <c r="D185" s="37" t="s">
        <v>865</v>
      </c>
      <c r="E185" s="83">
        <v>0.18</v>
      </c>
      <c r="F185" s="82">
        <f>MATERIALES2!$E$172</f>
        <v>1200</v>
      </c>
      <c r="G185" s="111">
        <f t="shared" si="3"/>
        <v>216</v>
      </c>
    </row>
    <row r="186" spans="1:8">
      <c r="A186" s="123"/>
      <c r="B186" s="854" t="str">
        <f>MATERIALES2!$C$918</f>
        <v>PUNTILLAS DE 2"</v>
      </c>
      <c r="C186" s="855"/>
      <c r="D186" s="37" t="s">
        <v>922</v>
      </c>
      <c r="E186" s="83">
        <v>0.27</v>
      </c>
      <c r="F186" s="82">
        <f>MATERIALES2!$E$918</f>
        <v>1500</v>
      </c>
      <c r="G186" s="111">
        <f t="shared" si="3"/>
        <v>405</v>
      </c>
    </row>
    <row r="187" spans="1:8">
      <c r="A187" s="95"/>
      <c r="B187" s="854" t="str">
        <f>MATERIALES2!$C$917</f>
        <v>PUNTILLAS DE 1"</v>
      </c>
      <c r="C187" s="855"/>
      <c r="D187" s="37" t="s">
        <v>922</v>
      </c>
      <c r="E187" s="53">
        <v>0.15</v>
      </c>
      <c r="F187" s="82">
        <f>MATERIALES2!$E$917</f>
        <v>2054</v>
      </c>
      <c r="G187" s="111">
        <f t="shared" si="3"/>
        <v>308</v>
      </c>
    </row>
    <row r="188" spans="1:8">
      <c r="A188" s="95"/>
      <c r="B188" s="854" t="str">
        <f>MATERIALES2!$C$316</f>
        <v>MERULEX I.F. 3 KG</v>
      </c>
      <c r="C188" s="855"/>
      <c r="D188" s="37" t="s">
        <v>865</v>
      </c>
      <c r="E188" s="53">
        <v>0.03</v>
      </c>
      <c r="F188" s="82">
        <f>MATERIALES2!$E$316</f>
        <v>25500</v>
      </c>
      <c r="G188" s="111">
        <f t="shared" si="3"/>
        <v>765</v>
      </c>
    </row>
    <row r="189" spans="1:8">
      <c r="A189" s="95"/>
      <c r="B189" s="953" t="str">
        <f>[2]PAÑETES!$C$8</f>
        <v>ENTRAMADO MADERA CIELO RASO</v>
      </c>
      <c r="C189" s="855"/>
      <c r="D189" s="37" t="str">
        <f>[2]PAÑETES!$G$6</f>
        <v>M2</v>
      </c>
      <c r="E189" s="83">
        <v>1</v>
      </c>
      <c r="F189" s="82">
        <f>[2]PAÑETES!$G$56</f>
        <v>8553</v>
      </c>
      <c r="G189" s="111">
        <f t="shared" si="3"/>
        <v>8553</v>
      </c>
    </row>
    <row r="190" spans="1:8">
      <c r="A190" s="123"/>
      <c r="B190" s="854"/>
      <c r="C190" s="855"/>
      <c r="D190" s="37"/>
      <c r="E190" s="83"/>
      <c r="F190" s="82"/>
      <c r="G190" s="111"/>
      <c r="H190" s="505" t="s">
        <v>1670</v>
      </c>
    </row>
    <row r="191" spans="1:8" ht="13.5" thickBot="1">
      <c r="A191" s="95"/>
      <c r="B191" s="942" t="s">
        <v>841</v>
      </c>
      <c r="C191" s="943"/>
      <c r="D191" s="84" t="s">
        <v>841</v>
      </c>
      <c r="E191" s="84"/>
      <c r="F191" s="85"/>
      <c r="G191" s="112"/>
    </row>
    <row r="192" spans="1:8" ht="13.5" thickTop="1">
      <c r="A192" s="95"/>
      <c r="B192" s="946"/>
      <c r="C192" s="947"/>
      <c r="D192" s="801" t="s">
        <v>856</v>
      </c>
      <c r="E192" s="802"/>
      <c r="F192" s="9"/>
      <c r="G192" s="113">
        <f>SUM(G183:G191)</f>
        <v>20207</v>
      </c>
    </row>
    <row r="193" spans="1:7">
      <c r="A193" s="95"/>
      <c r="B193" s="948"/>
      <c r="C193" s="949"/>
      <c r="D193" s="801" t="s">
        <v>857</v>
      </c>
      <c r="E193" s="802"/>
      <c r="F193" s="79">
        <f>'MANO DE OBRA'!$D$60</f>
        <v>0.05</v>
      </c>
      <c r="G193" s="113">
        <f>ROUND(G192*F193,0)</f>
        <v>1010</v>
      </c>
    </row>
    <row r="194" spans="1:7" ht="13.5" thickBot="1">
      <c r="A194" s="95"/>
      <c r="B194" s="948"/>
      <c r="C194" s="949"/>
      <c r="D194" s="803" t="s">
        <v>320</v>
      </c>
      <c r="E194" s="804"/>
      <c r="F194" s="114"/>
      <c r="G194" s="118">
        <f>+G192+G193</f>
        <v>21217</v>
      </c>
    </row>
    <row r="195" spans="1:7" ht="14.25" thickTop="1" thickBot="1">
      <c r="A195" s="95"/>
      <c r="B195" s="970"/>
      <c r="C195" s="970"/>
      <c r="D195" s="970"/>
      <c r="E195" s="970"/>
      <c r="F195" s="970"/>
      <c r="G195" s="970"/>
    </row>
    <row r="196" spans="1:7" ht="13.5" thickTop="1">
      <c r="A196" s="95"/>
      <c r="B196" s="950" t="s">
        <v>858</v>
      </c>
      <c r="C196" s="951"/>
      <c r="D196" s="951"/>
      <c r="E196" s="951"/>
      <c r="F196" s="951"/>
      <c r="G196" s="952"/>
    </row>
    <row r="197" spans="1:7">
      <c r="A197" s="95"/>
      <c r="B197" s="978"/>
      <c r="C197" s="979"/>
      <c r="D197" s="98" t="s">
        <v>301</v>
      </c>
      <c r="E197" s="98" t="s">
        <v>859</v>
      </c>
      <c r="F197" s="99" t="s">
        <v>839</v>
      </c>
      <c r="G197" s="107" t="s">
        <v>840</v>
      </c>
    </row>
    <row r="198" spans="1:7">
      <c r="A198" s="95"/>
      <c r="B198" s="982" t="s">
        <v>838</v>
      </c>
      <c r="C198" s="983"/>
      <c r="D198" s="100" t="s">
        <v>316</v>
      </c>
      <c r="E198" s="100" t="s">
        <v>315</v>
      </c>
      <c r="F198" s="101" t="s">
        <v>306</v>
      </c>
      <c r="G198" s="108" t="s">
        <v>319</v>
      </c>
    </row>
    <row r="199" spans="1:7">
      <c r="A199" s="95"/>
      <c r="B199" s="230"/>
      <c r="C199" s="102"/>
      <c r="D199" s="103"/>
      <c r="E199" s="103" t="s">
        <v>317</v>
      </c>
      <c r="F199" s="104" t="s">
        <v>318</v>
      </c>
      <c r="G199" s="109"/>
    </row>
    <row r="200" spans="1:7">
      <c r="A200" s="95"/>
      <c r="B200" s="823" t="str">
        <f>'MANO DE OBRA'!$B$10</f>
        <v>AYUDANTE CUAD. TIPO AA</v>
      </c>
      <c r="C200" s="824"/>
      <c r="D200" s="87">
        <v>1</v>
      </c>
      <c r="E200" s="80">
        <f>'MANO DE OBRA'!$E$10</f>
        <v>34680</v>
      </c>
      <c r="F200" s="81">
        <v>7.27</v>
      </c>
      <c r="G200" s="110">
        <f>ROUND(D200*E200/F200,0)</f>
        <v>4770</v>
      </c>
    </row>
    <row r="201" spans="1:7">
      <c r="A201" s="95"/>
      <c r="B201" s="835" t="str">
        <f>'MANO DE OBRA'!$B$15</f>
        <v xml:space="preserve">OFICIAL CUAD. TIPO AA </v>
      </c>
      <c r="C201" s="836"/>
      <c r="D201" s="37">
        <v>1</v>
      </c>
      <c r="E201" s="82">
        <f>'MANO DE OBRA'!$E$15</f>
        <v>71474</v>
      </c>
      <c r="F201" s="83">
        <v>7.27</v>
      </c>
      <c r="G201" s="111">
        <f>ROUND(D201*E201/F201,0)</f>
        <v>9831</v>
      </c>
    </row>
    <row r="202" spans="1:7">
      <c r="A202" s="95"/>
      <c r="B202" s="854"/>
      <c r="C202" s="855"/>
      <c r="D202" s="89"/>
      <c r="E202" s="82"/>
      <c r="F202" s="83"/>
      <c r="G202" s="111"/>
    </row>
    <row r="203" spans="1:7">
      <c r="A203" s="95"/>
      <c r="B203" s="854" t="s">
        <v>841</v>
      </c>
      <c r="C203" s="855"/>
      <c r="D203" s="37"/>
      <c r="E203" s="82"/>
      <c r="F203" s="83"/>
      <c r="G203" s="111"/>
    </row>
    <row r="204" spans="1:7" ht="13.5" thickBot="1">
      <c r="A204" s="95"/>
      <c r="B204" s="980" t="s">
        <v>841</v>
      </c>
      <c r="C204" s="981"/>
      <c r="D204" s="77"/>
      <c r="E204" s="82"/>
      <c r="F204" s="86"/>
      <c r="G204" s="112"/>
    </row>
    <row r="205" spans="1:7" ht="14.25" thickTop="1" thickBot="1">
      <c r="A205" s="95"/>
      <c r="B205" s="946"/>
      <c r="C205" s="946"/>
      <c r="D205" s="946"/>
      <c r="E205" s="947"/>
      <c r="F205" s="120" t="s">
        <v>856</v>
      </c>
      <c r="G205" s="118">
        <f>SUM(G200:G204)</f>
        <v>14601</v>
      </c>
    </row>
    <row r="206" spans="1:7" ht="14.25" thickTop="1" thickBot="1">
      <c r="A206" s="95"/>
      <c r="B206" s="970"/>
      <c r="C206" s="970"/>
      <c r="D206" s="970"/>
      <c r="E206" s="970"/>
      <c r="F206" s="970"/>
      <c r="G206" s="970"/>
    </row>
    <row r="207" spans="1:7" ht="13.5" thickTop="1">
      <c r="A207" s="95"/>
      <c r="B207" s="950" t="s">
        <v>321</v>
      </c>
      <c r="C207" s="951"/>
      <c r="D207" s="951"/>
      <c r="E207" s="951"/>
      <c r="F207" s="951"/>
      <c r="G207" s="952"/>
    </row>
    <row r="208" spans="1:7">
      <c r="A208" s="95"/>
      <c r="B208" s="978" t="s">
        <v>838</v>
      </c>
      <c r="C208" s="979"/>
      <c r="D208" s="98" t="s">
        <v>301</v>
      </c>
      <c r="E208" s="98" t="s">
        <v>297</v>
      </c>
      <c r="F208" s="99" t="s">
        <v>839</v>
      </c>
      <c r="G208" s="107" t="s">
        <v>840</v>
      </c>
    </row>
    <row r="209" spans="1:8">
      <c r="A209" s="95"/>
      <c r="B209" s="230"/>
      <c r="C209" s="102"/>
      <c r="D209" s="103" t="s">
        <v>322</v>
      </c>
      <c r="E209" s="103" t="s">
        <v>323</v>
      </c>
      <c r="F209" s="104" t="s">
        <v>324</v>
      </c>
      <c r="G209" s="109" t="s">
        <v>325</v>
      </c>
    </row>
    <row r="210" spans="1:8">
      <c r="A210" s="95"/>
      <c r="B210" s="841"/>
      <c r="C210" s="842"/>
      <c r="D210" s="96"/>
      <c r="E210" s="96"/>
      <c r="F210" s="96"/>
      <c r="G210" s="116"/>
    </row>
    <row r="211" spans="1:8" ht="13.5" thickBot="1">
      <c r="A211" s="95"/>
      <c r="B211" s="980" t="s">
        <v>841</v>
      </c>
      <c r="C211" s="981"/>
      <c r="D211" s="77"/>
      <c r="E211" s="82"/>
      <c r="F211" s="86"/>
      <c r="G211" s="112"/>
    </row>
    <row r="212" spans="1:8" ht="14.25" thickTop="1" thickBot="1">
      <c r="A212" s="95"/>
      <c r="B212" s="946"/>
      <c r="C212" s="946"/>
      <c r="D212" s="946"/>
      <c r="E212" s="947"/>
      <c r="F212" s="120" t="s">
        <v>856</v>
      </c>
      <c r="G212" s="118">
        <f>SUM(G207:G211)</f>
        <v>0</v>
      </c>
    </row>
    <row r="213" spans="1:8" ht="14.25" thickTop="1" thickBot="1">
      <c r="A213" s="95"/>
      <c r="B213" s="970"/>
      <c r="C213" s="970"/>
      <c r="D213" s="970"/>
      <c r="E213" s="970"/>
      <c r="F213" s="970"/>
      <c r="G213" s="943"/>
    </row>
    <row r="214" spans="1:8" ht="13.5" thickTop="1">
      <c r="A214" s="95"/>
      <c r="B214" s="950" t="s">
        <v>326</v>
      </c>
      <c r="C214" s="951"/>
      <c r="D214" s="951"/>
      <c r="E214" s="951"/>
      <c r="F214" s="971"/>
      <c r="G214" s="121">
        <f>+G178+G194+G205</f>
        <v>37154</v>
      </c>
    </row>
    <row r="215" spans="1:8">
      <c r="A215" s="95"/>
      <c r="B215" s="972" t="s">
        <v>861</v>
      </c>
      <c r="C215" s="973"/>
      <c r="D215" s="973"/>
      <c r="E215" s="974"/>
      <c r="F215" s="128">
        <f>'MANO DE OBRA'!$D$59</f>
        <v>0</v>
      </c>
      <c r="G215" s="122">
        <f>ROUND(G214*F215,0)</f>
        <v>0</v>
      </c>
    </row>
    <row r="216" spans="1:8" ht="13.5" thickBot="1">
      <c r="A216" s="95"/>
      <c r="B216" s="975" t="s">
        <v>1049</v>
      </c>
      <c r="C216" s="976"/>
      <c r="D216" s="976"/>
      <c r="E216" s="976"/>
      <c r="F216" s="977"/>
      <c r="G216" s="118">
        <f>ROUND(G214+G215,-2)</f>
        <v>37200</v>
      </c>
      <c r="H216" s="505" t="s">
        <v>1670</v>
      </c>
    </row>
    <row r="217" spans="1:8" ht="15" thickTop="1">
      <c r="A217" s="95"/>
      <c r="B217" s="225" t="s">
        <v>303</v>
      </c>
      <c r="C217" s="843"/>
      <c r="D217" s="843"/>
      <c r="E217" s="843"/>
      <c r="F217" s="92" t="s">
        <v>781</v>
      </c>
      <c r="G217" s="93" t="s">
        <v>1067</v>
      </c>
    </row>
    <row r="218" spans="1:8">
      <c r="A218" s="95"/>
      <c r="B218" s="91" t="s">
        <v>834</v>
      </c>
      <c r="C218" s="844" t="s">
        <v>1468</v>
      </c>
      <c r="D218" s="844"/>
      <c r="E218" s="844"/>
      <c r="F218" s="15" t="s">
        <v>833</v>
      </c>
      <c r="G218" s="165" t="str">
        <f>'MANO DE OBRA'!D61</f>
        <v>Agosto de 2010</v>
      </c>
    </row>
    <row r="219" spans="1:8" ht="13.5" thickBot="1">
      <c r="A219" s="127"/>
      <c r="B219" s="94" t="s">
        <v>835</v>
      </c>
      <c r="C219" s="845" t="s">
        <v>1472</v>
      </c>
      <c r="D219" s="845"/>
      <c r="E219" s="845"/>
      <c r="F219" s="845"/>
      <c r="G219" s="846"/>
    </row>
    <row r="220" spans="1:8" ht="14.25" thickTop="1" thickBot="1">
      <c r="A220" s="95"/>
      <c r="B220" s="986"/>
      <c r="C220" s="986"/>
      <c r="D220" s="986"/>
      <c r="E220" s="986"/>
      <c r="F220" s="986"/>
      <c r="G220" s="986"/>
    </row>
    <row r="221" spans="1:8" ht="13.5" thickTop="1">
      <c r="A221" s="95"/>
      <c r="B221" s="950" t="s">
        <v>304</v>
      </c>
      <c r="C221" s="951"/>
      <c r="D221" s="951"/>
      <c r="E221" s="951"/>
      <c r="F221" s="951"/>
      <c r="G221" s="952"/>
    </row>
    <row r="222" spans="1:8">
      <c r="A222" s="95"/>
      <c r="B222" s="229"/>
      <c r="C222" s="97"/>
      <c r="D222" s="98" t="s">
        <v>301</v>
      </c>
      <c r="E222" s="98" t="s">
        <v>1072</v>
      </c>
      <c r="F222" s="99" t="s">
        <v>839</v>
      </c>
      <c r="G222" s="107" t="s">
        <v>840</v>
      </c>
    </row>
    <row r="223" spans="1:8">
      <c r="A223" s="95"/>
      <c r="B223" s="982" t="s">
        <v>838</v>
      </c>
      <c r="C223" s="983"/>
      <c r="D223" s="100" t="s">
        <v>308</v>
      </c>
      <c r="E223" s="100" t="s">
        <v>305</v>
      </c>
      <c r="F223" s="101" t="s">
        <v>306</v>
      </c>
      <c r="G223" s="108" t="s">
        <v>310</v>
      </c>
    </row>
    <row r="224" spans="1:8">
      <c r="A224" s="95"/>
      <c r="B224" s="230"/>
      <c r="C224" s="102"/>
      <c r="D224" s="103"/>
      <c r="E224" s="103" t="s">
        <v>309</v>
      </c>
      <c r="F224" s="104" t="s">
        <v>307</v>
      </c>
      <c r="G224" s="109"/>
    </row>
    <row r="225" spans="1:7">
      <c r="A225" s="127"/>
      <c r="B225" s="823" t="str">
        <f>'MAQUINARIA Y EQUIPOS'!$C$28</f>
        <v>HERRAMIENTAS MENORES</v>
      </c>
      <c r="C225" s="824"/>
      <c r="D225" s="87">
        <v>1</v>
      </c>
      <c r="E225" s="82">
        <f>ROUND(G258*0.05,0)</f>
        <v>531</v>
      </c>
      <c r="F225" s="81">
        <v>1</v>
      </c>
      <c r="G225" s="110">
        <f>ROUND(D225*E225/F225,0)</f>
        <v>531</v>
      </c>
    </row>
    <row r="226" spans="1:7">
      <c r="A226" s="95"/>
      <c r="B226" s="835" t="str">
        <f>'MAQUINARIA Y EQUIPOS'!$C$9</f>
        <v>ANDAMIO TUBULAR 1.50 m</v>
      </c>
      <c r="C226" s="836"/>
      <c r="D226" s="37">
        <v>4</v>
      </c>
      <c r="E226" s="129">
        <f>'MAQUINARIA Y EQUIPOS'!$D$9</f>
        <v>754</v>
      </c>
      <c r="F226" s="83">
        <f>F253</f>
        <v>10</v>
      </c>
      <c r="G226" s="111">
        <f>ROUND(D226*E226/F226,0)</f>
        <v>302</v>
      </c>
    </row>
    <row r="227" spans="1:7">
      <c r="A227" s="95"/>
      <c r="B227" s="835" t="str">
        <f>'MAQUINARIA Y EQUIPOS'!$C$47</f>
        <v>TABLONES 3m</v>
      </c>
      <c r="C227" s="836"/>
      <c r="D227" s="37">
        <v>4</v>
      </c>
      <c r="E227" s="129">
        <f>'MAQUINARIA Y EQUIPOS'!$D$47</f>
        <v>348</v>
      </c>
      <c r="F227" s="83">
        <f>F254</f>
        <v>10</v>
      </c>
      <c r="G227" s="111">
        <f>ROUND(D227*E227/F227,0)</f>
        <v>139</v>
      </c>
    </row>
    <row r="228" spans="1:7">
      <c r="A228" s="95"/>
      <c r="B228" s="854"/>
      <c r="C228" s="855"/>
      <c r="D228" s="89"/>
      <c r="E228" s="82"/>
      <c r="F228" s="83"/>
      <c r="G228" s="111"/>
    </row>
    <row r="229" spans="1:7">
      <c r="A229" s="95"/>
      <c r="B229" s="854" t="s">
        <v>841</v>
      </c>
      <c r="C229" s="855"/>
      <c r="D229" s="37"/>
      <c r="E229" s="82"/>
      <c r="F229" s="83"/>
      <c r="G229" s="111"/>
    </row>
    <row r="230" spans="1:7" ht="13.5" thickBot="1">
      <c r="A230" s="95"/>
      <c r="B230" s="942" t="s">
        <v>841</v>
      </c>
      <c r="C230" s="943"/>
      <c r="D230" s="77"/>
      <c r="E230" s="106"/>
      <c r="F230" s="86"/>
      <c r="G230" s="112"/>
    </row>
    <row r="231" spans="1:7" ht="14.25" thickTop="1" thickBot="1">
      <c r="A231" s="95"/>
      <c r="B231" s="946"/>
      <c r="C231" s="946"/>
      <c r="D231" s="946"/>
      <c r="E231" s="947"/>
      <c r="F231" s="119" t="s">
        <v>856</v>
      </c>
      <c r="G231" s="118">
        <f>SUM(G225:G230)</f>
        <v>972</v>
      </c>
    </row>
    <row r="232" spans="1:7" ht="14.25" thickTop="1" thickBot="1">
      <c r="A232" s="95"/>
      <c r="B232" s="970"/>
      <c r="C232" s="970"/>
      <c r="D232" s="970"/>
      <c r="E232" s="970"/>
      <c r="F232" s="970"/>
      <c r="G232" s="970"/>
    </row>
    <row r="233" spans="1:7" ht="13.5" thickTop="1">
      <c r="A233" s="95"/>
      <c r="B233" s="950" t="s">
        <v>311</v>
      </c>
      <c r="C233" s="951"/>
      <c r="D233" s="951"/>
      <c r="E233" s="951"/>
      <c r="F233" s="951"/>
      <c r="G233" s="952"/>
    </row>
    <row r="234" spans="1:7">
      <c r="A234" s="95"/>
      <c r="B234" s="978" t="s">
        <v>838</v>
      </c>
      <c r="C234" s="979"/>
      <c r="D234" s="98" t="s">
        <v>842</v>
      </c>
      <c r="E234" s="98" t="s">
        <v>853</v>
      </c>
      <c r="F234" s="99" t="s">
        <v>1047</v>
      </c>
      <c r="G234" s="107" t="s">
        <v>840</v>
      </c>
    </row>
    <row r="235" spans="1:7">
      <c r="A235" s="95"/>
      <c r="B235" s="230"/>
      <c r="C235" s="102"/>
      <c r="D235" s="100"/>
      <c r="E235" s="100" t="s">
        <v>312</v>
      </c>
      <c r="F235" s="101" t="s">
        <v>313</v>
      </c>
      <c r="G235" s="108" t="s">
        <v>314</v>
      </c>
    </row>
    <row r="236" spans="1:7">
      <c r="A236" s="125"/>
      <c r="B236" s="841" t="str">
        <f>MATERIALES2!$C$176</f>
        <v>LAMINA ICOPOR TEXTURIZADA 0.6x1.2 M</v>
      </c>
      <c r="C236" s="842"/>
      <c r="D236" s="87" t="s">
        <v>865</v>
      </c>
      <c r="E236" s="81">
        <v>1.39</v>
      </c>
      <c r="F236" s="80">
        <f>MATERIALES2!$E$176</f>
        <v>3300</v>
      </c>
      <c r="G236" s="110">
        <f t="shared" ref="G236:G242" si="4">ROUND(E236*F236,0)</f>
        <v>4587</v>
      </c>
    </row>
    <row r="237" spans="1:7">
      <c r="A237" s="123"/>
      <c r="B237" s="854" t="str">
        <f>MATERIALES2!$C$241</f>
        <v>ANGULO ALUMINIO DE ¾"x1/16"x6.0 M</v>
      </c>
      <c r="C237" s="855"/>
      <c r="D237" s="37" t="s">
        <v>865</v>
      </c>
      <c r="E237" s="83">
        <v>0.17</v>
      </c>
      <c r="F237" s="82">
        <f>MATERIALES2!$E$241</f>
        <v>8000</v>
      </c>
      <c r="G237" s="111">
        <f t="shared" si="4"/>
        <v>1360</v>
      </c>
    </row>
    <row r="238" spans="1:7">
      <c r="A238" s="123"/>
      <c r="B238" s="854" t="str">
        <f>MATERIALES2!$C$252</f>
        <v>TEE ALUMINIO 1"x1/16"x6.0 M</v>
      </c>
      <c r="C238" s="855"/>
      <c r="D238" s="37" t="s">
        <v>865</v>
      </c>
      <c r="E238" s="83">
        <v>0.63</v>
      </c>
      <c r="F238" s="82">
        <f>MATERIALES2!$E$252</f>
        <v>8000</v>
      </c>
      <c r="G238" s="111">
        <f t="shared" si="4"/>
        <v>5040</v>
      </c>
    </row>
    <row r="239" spans="1:7">
      <c r="A239" s="123"/>
      <c r="B239" s="854" t="str">
        <f>MATERIALES2!$C$253</f>
        <v>ALAMBRE GALVANIZADO Nº 16</v>
      </c>
      <c r="C239" s="855"/>
      <c r="D239" s="37" t="s">
        <v>925</v>
      </c>
      <c r="E239" s="83">
        <v>0.2</v>
      </c>
      <c r="F239" s="82">
        <f>MATERIALES2!$E$253</f>
        <v>4015</v>
      </c>
      <c r="G239" s="111">
        <f t="shared" si="4"/>
        <v>803</v>
      </c>
    </row>
    <row r="240" spans="1:7">
      <c r="A240" s="95"/>
      <c r="B240" s="854" t="str">
        <f>MATERIALES2!$C$255</f>
        <v>TORNILLO MADERA 5/16"</v>
      </c>
      <c r="C240" s="855"/>
      <c r="D240" s="37" t="s">
        <v>865</v>
      </c>
      <c r="E240" s="83">
        <v>3</v>
      </c>
      <c r="F240" s="82">
        <f>MATERIALES2!$E$255</f>
        <v>100</v>
      </c>
      <c r="G240" s="111">
        <f t="shared" si="4"/>
        <v>300</v>
      </c>
    </row>
    <row r="241" spans="1:8">
      <c r="A241" s="95"/>
      <c r="B241" s="854" t="str">
        <f>MATERIALES2!$C$257</f>
        <v>CHAZOS 5/16"</v>
      </c>
      <c r="C241" s="855"/>
      <c r="D241" s="37" t="s">
        <v>865</v>
      </c>
      <c r="E241" s="83">
        <v>3</v>
      </c>
      <c r="F241" s="82">
        <f>MATERIALES2!$E$257</f>
        <v>1275</v>
      </c>
      <c r="G241" s="111">
        <f t="shared" si="4"/>
        <v>3825</v>
      </c>
    </row>
    <row r="242" spans="1:8">
      <c r="A242" s="95"/>
      <c r="B242" s="854" t="str">
        <f>MATERIALES2!$C$258</f>
        <v>REMACHE</v>
      </c>
      <c r="C242" s="855"/>
      <c r="D242" s="37" t="s">
        <v>865</v>
      </c>
      <c r="E242" s="83">
        <v>4</v>
      </c>
      <c r="F242" s="82">
        <f>MATERIALES2!$E$258</f>
        <v>50</v>
      </c>
      <c r="G242" s="111">
        <f t="shared" si="4"/>
        <v>200</v>
      </c>
    </row>
    <row r="243" spans="1:8">
      <c r="A243" s="123"/>
      <c r="B243" s="854"/>
      <c r="C243" s="855"/>
      <c r="D243" s="37"/>
      <c r="E243" s="83"/>
      <c r="F243" s="82"/>
      <c r="G243" s="111"/>
      <c r="H243" s="505" t="s">
        <v>1670</v>
      </c>
    </row>
    <row r="244" spans="1:8" ht="13.5" thickBot="1">
      <c r="A244" s="95"/>
      <c r="B244" s="942" t="s">
        <v>841</v>
      </c>
      <c r="C244" s="943"/>
      <c r="D244" s="84" t="s">
        <v>841</v>
      </c>
      <c r="E244" s="84"/>
      <c r="F244" s="85"/>
      <c r="G244" s="112"/>
    </row>
    <row r="245" spans="1:8" ht="13.5" thickTop="1">
      <c r="A245" s="95"/>
      <c r="B245" s="946"/>
      <c r="C245" s="947"/>
      <c r="D245" s="801" t="s">
        <v>856</v>
      </c>
      <c r="E245" s="802"/>
      <c r="F245" s="9"/>
      <c r="G245" s="113">
        <f>SUM(G236:G244)</f>
        <v>16115</v>
      </c>
    </row>
    <row r="246" spans="1:8">
      <c r="A246" s="95"/>
      <c r="B246" s="948"/>
      <c r="C246" s="949"/>
      <c r="D246" s="801" t="s">
        <v>857</v>
      </c>
      <c r="E246" s="802"/>
      <c r="F246" s="79">
        <f>'MANO DE OBRA'!$D$60</f>
        <v>0.05</v>
      </c>
      <c r="G246" s="113">
        <f>ROUND(G245*F246,0)</f>
        <v>806</v>
      </c>
    </row>
    <row r="247" spans="1:8" ht="13.5" thickBot="1">
      <c r="A247" s="95"/>
      <c r="B247" s="948"/>
      <c r="C247" s="949"/>
      <c r="D247" s="803" t="s">
        <v>320</v>
      </c>
      <c r="E247" s="804"/>
      <c r="F247" s="114"/>
      <c r="G247" s="118">
        <f>+G245+G246</f>
        <v>16921</v>
      </c>
    </row>
    <row r="248" spans="1:8" ht="14.25" thickTop="1" thickBot="1">
      <c r="A248" s="95"/>
      <c r="B248" s="970"/>
      <c r="C248" s="970"/>
      <c r="D248" s="970"/>
      <c r="E248" s="970"/>
      <c r="F248" s="970"/>
      <c r="G248" s="970"/>
    </row>
    <row r="249" spans="1:8" ht="13.5" thickTop="1">
      <c r="A249" s="95"/>
      <c r="B249" s="950" t="s">
        <v>858</v>
      </c>
      <c r="C249" s="951"/>
      <c r="D249" s="951"/>
      <c r="E249" s="951"/>
      <c r="F249" s="951"/>
      <c r="G249" s="952"/>
    </row>
    <row r="250" spans="1:8">
      <c r="A250" s="95"/>
      <c r="B250" s="978"/>
      <c r="C250" s="979"/>
      <c r="D250" s="98" t="s">
        <v>301</v>
      </c>
      <c r="E250" s="98" t="s">
        <v>859</v>
      </c>
      <c r="F250" s="99" t="s">
        <v>839</v>
      </c>
      <c r="G250" s="107" t="s">
        <v>840</v>
      </c>
    </row>
    <row r="251" spans="1:8">
      <c r="A251" s="95"/>
      <c r="B251" s="982" t="s">
        <v>838</v>
      </c>
      <c r="C251" s="983"/>
      <c r="D251" s="100" t="s">
        <v>316</v>
      </c>
      <c r="E251" s="100" t="s">
        <v>315</v>
      </c>
      <c r="F251" s="101" t="s">
        <v>306</v>
      </c>
      <c r="G251" s="108" t="s">
        <v>319</v>
      </c>
    </row>
    <row r="252" spans="1:8">
      <c r="A252" s="95"/>
      <c r="B252" s="230"/>
      <c r="C252" s="102"/>
      <c r="D252" s="103"/>
      <c r="E252" s="103" t="s">
        <v>317</v>
      </c>
      <c r="F252" s="104" t="s">
        <v>318</v>
      </c>
      <c r="G252" s="109"/>
    </row>
    <row r="253" spans="1:8">
      <c r="A253" s="95"/>
      <c r="B253" s="823" t="str">
        <f>'MANO DE OBRA'!$B$10</f>
        <v>AYUDANTE CUAD. TIPO AA</v>
      </c>
      <c r="C253" s="824"/>
      <c r="D253" s="87">
        <v>1</v>
      </c>
      <c r="E253" s="80">
        <f>'MANO DE OBRA'!$E$10</f>
        <v>34680</v>
      </c>
      <c r="F253" s="81">
        <v>10</v>
      </c>
      <c r="G253" s="110">
        <f>ROUND(D253*E253/F253,0)</f>
        <v>3468</v>
      </c>
    </row>
    <row r="254" spans="1:8">
      <c r="A254" s="95"/>
      <c r="B254" s="835" t="str">
        <f>'MANO DE OBRA'!$B$15</f>
        <v xml:space="preserve">OFICIAL CUAD. TIPO AA </v>
      </c>
      <c r="C254" s="836"/>
      <c r="D254" s="37">
        <v>1</v>
      </c>
      <c r="E254" s="82">
        <f>'MANO DE OBRA'!$E$15</f>
        <v>71474</v>
      </c>
      <c r="F254" s="83">
        <v>10</v>
      </c>
      <c r="G254" s="111">
        <f>ROUND(D254*E254/F254,0)</f>
        <v>7147</v>
      </c>
    </row>
    <row r="255" spans="1:8">
      <c r="A255" s="95"/>
      <c r="B255" s="854"/>
      <c r="C255" s="855"/>
      <c r="D255" s="89"/>
      <c r="E255" s="82"/>
      <c r="F255" s="83"/>
      <c r="G255" s="111"/>
    </row>
    <row r="256" spans="1:8">
      <c r="A256" s="95"/>
      <c r="B256" s="854" t="s">
        <v>841</v>
      </c>
      <c r="C256" s="855"/>
      <c r="D256" s="37"/>
      <c r="E256" s="82"/>
      <c r="F256" s="83"/>
      <c r="G256" s="111"/>
    </row>
    <row r="257" spans="1:8" ht="13.5" thickBot="1">
      <c r="A257" s="95"/>
      <c r="B257" s="980" t="s">
        <v>841</v>
      </c>
      <c r="C257" s="981"/>
      <c r="D257" s="77"/>
      <c r="E257" s="82"/>
      <c r="F257" s="86"/>
      <c r="G257" s="112"/>
    </row>
    <row r="258" spans="1:8" ht="14.25" thickTop="1" thickBot="1">
      <c r="A258" s="95"/>
      <c r="B258" s="946"/>
      <c r="C258" s="946"/>
      <c r="D258" s="946"/>
      <c r="E258" s="947"/>
      <c r="F258" s="120" t="s">
        <v>856</v>
      </c>
      <c r="G258" s="118">
        <f>SUM(G253:G257)</f>
        <v>10615</v>
      </c>
    </row>
    <row r="259" spans="1:8" ht="14.25" thickTop="1" thickBot="1">
      <c r="A259" s="95"/>
      <c r="B259" s="970"/>
      <c r="C259" s="970"/>
      <c r="D259" s="970"/>
      <c r="E259" s="970"/>
      <c r="F259" s="970"/>
      <c r="G259" s="970"/>
    </row>
    <row r="260" spans="1:8" ht="13.5" thickTop="1">
      <c r="A260" s="95"/>
      <c r="B260" s="950" t="s">
        <v>321</v>
      </c>
      <c r="C260" s="951"/>
      <c r="D260" s="951"/>
      <c r="E260" s="951"/>
      <c r="F260" s="951"/>
      <c r="G260" s="952"/>
    </row>
    <row r="261" spans="1:8">
      <c r="A261" s="95"/>
      <c r="B261" s="978" t="s">
        <v>838</v>
      </c>
      <c r="C261" s="979"/>
      <c r="D261" s="98" t="s">
        <v>301</v>
      </c>
      <c r="E261" s="98" t="s">
        <v>297</v>
      </c>
      <c r="F261" s="99" t="s">
        <v>839</v>
      </c>
      <c r="G261" s="107" t="s">
        <v>840</v>
      </c>
    </row>
    <row r="262" spans="1:8">
      <c r="A262" s="95"/>
      <c r="B262" s="230"/>
      <c r="C262" s="102"/>
      <c r="D262" s="103" t="s">
        <v>322</v>
      </c>
      <c r="E262" s="103" t="s">
        <v>323</v>
      </c>
      <c r="F262" s="104" t="s">
        <v>324</v>
      </c>
      <c r="G262" s="109" t="s">
        <v>325</v>
      </c>
    </row>
    <row r="263" spans="1:8">
      <c r="A263" s="95"/>
      <c r="B263" s="841"/>
      <c r="C263" s="842"/>
      <c r="D263" s="96"/>
      <c r="E263" s="96"/>
      <c r="F263" s="96"/>
      <c r="G263" s="116"/>
    </row>
    <row r="264" spans="1:8" ht="13.5" thickBot="1">
      <c r="A264" s="95"/>
      <c r="B264" s="980" t="s">
        <v>841</v>
      </c>
      <c r="C264" s="981"/>
      <c r="D264" s="77"/>
      <c r="E264" s="82"/>
      <c r="F264" s="86"/>
      <c r="G264" s="112"/>
    </row>
    <row r="265" spans="1:8" ht="14.25" thickTop="1" thickBot="1">
      <c r="A265" s="95"/>
      <c r="B265" s="946"/>
      <c r="C265" s="946"/>
      <c r="D265" s="946"/>
      <c r="E265" s="947"/>
      <c r="F265" s="120" t="s">
        <v>856</v>
      </c>
      <c r="G265" s="118">
        <f>SUM(G260:G264)</f>
        <v>0</v>
      </c>
    </row>
    <row r="266" spans="1:8" ht="14.25" thickTop="1" thickBot="1">
      <c r="A266" s="95"/>
      <c r="B266" s="970"/>
      <c r="C266" s="970"/>
      <c r="D266" s="970"/>
      <c r="E266" s="970"/>
      <c r="F266" s="970"/>
      <c r="G266" s="943"/>
    </row>
    <row r="267" spans="1:8" ht="13.5" thickTop="1">
      <c r="A267" s="95"/>
      <c r="B267" s="950" t="s">
        <v>326</v>
      </c>
      <c r="C267" s="951"/>
      <c r="D267" s="951"/>
      <c r="E267" s="951"/>
      <c r="F267" s="971"/>
      <c r="G267" s="121">
        <f>+G231+G247+G258</f>
        <v>28508</v>
      </c>
    </row>
    <row r="268" spans="1:8">
      <c r="A268" s="95"/>
      <c r="B268" s="972" t="s">
        <v>861</v>
      </c>
      <c r="C268" s="973"/>
      <c r="D268" s="973"/>
      <c r="E268" s="974"/>
      <c r="F268" s="128">
        <f>'MANO DE OBRA'!$D$59</f>
        <v>0</v>
      </c>
      <c r="G268" s="122">
        <f>ROUND(G267*F268,0)</f>
        <v>0</v>
      </c>
    </row>
    <row r="269" spans="1:8" ht="13.5" thickBot="1">
      <c r="A269" s="95"/>
      <c r="B269" s="975" t="s">
        <v>1049</v>
      </c>
      <c r="C269" s="976"/>
      <c r="D269" s="976"/>
      <c r="E269" s="976"/>
      <c r="F269" s="977"/>
      <c r="G269" s="118">
        <f>ROUND(G267+G268,-2)</f>
        <v>28500</v>
      </c>
      <c r="H269" s="505" t="s">
        <v>1670</v>
      </c>
    </row>
    <row r="270" spans="1:8" ht="15" thickTop="1">
      <c r="A270" s="95"/>
      <c r="B270" s="225" t="s">
        <v>303</v>
      </c>
      <c r="C270" s="843"/>
      <c r="D270" s="843"/>
      <c r="E270" s="843"/>
      <c r="F270" s="92" t="s">
        <v>781</v>
      </c>
      <c r="G270" s="93" t="s">
        <v>1067</v>
      </c>
    </row>
    <row r="271" spans="1:8">
      <c r="A271" s="95"/>
      <c r="B271" s="91" t="s">
        <v>834</v>
      </c>
      <c r="C271" s="844" t="s">
        <v>1468</v>
      </c>
      <c r="D271" s="844"/>
      <c r="E271" s="844"/>
      <c r="F271" s="15" t="s">
        <v>833</v>
      </c>
      <c r="G271" s="165" t="str">
        <f>'MANO DE OBRA'!D61</f>
        <v>Agosto de 2010</v>
      </c>
    </row>
    <row r="272" spans="1:8" ht="13.5" thickBot="1">
      <c r="A272" s="127"/>
      <c r="B272" s="94" t="s">
        <v>835</v>
      </c>
      <c r="C272" s="845" t="s">
        <v>1473</v>
      </c>
      <c r="D272" s="845"/>
      <c r="E272" s="845"/>
      <c r="F272" s="845"/>
      <c r="G272" s="846"/>
    </row>
    <row r="273" spans="1:7" ht="14.25" thickTop="1" thickBot="1">
      <c r="A273" s="95"/>
      <c r="B273" s="986"/>
      <c r="C273" s="986"/>
      <c r="D273" s="986"/>
      <c r="E273" s="986"/>
      <c r="F273" s="986"/>
      <c r="G273" s="986"/>
    </row>
    <row r="274" spans="1:7" ht="13.5" thickTop="1">
      <c r="A274" s="95"/>
      <c r="B274" s="950" t="s">
        <v>304</v>
      </c>
      <c r="C274" s="951"/>
      <c r="D274" s="951"/>
      <c r="E274" s="951"/>
      <c r="F274" s="951"/>
      <c r="G274" s="952"/>
    </row>
    <row r="275" spans="1:7">
      <c r="A275" s="95"/>
      <c r="B275" s="229"/>
      <c r="C275" s="97"/>
      <c r="D275" s="98" t="s">
        <v>301</v>
      </c>
      <c r="E275" s="98" t="s">
        <v>1072</v>
      </c>
      <c r="F275" s="99" t="s">
        <v>839</v>
      </c>
      <c r="G275" s="107" t="s">
        <v>840</v>
      </c>
    </row>
    <row r="276" spans="1:7">
      <c r="A276" s="95"/>
      <c r="B276" s="982" t="s">
        <v>838</v>
      </c>
      <c r="C276" s="983"/>
      <c r="D276" s="100" t="s">
        <v>308</v>
      </c>
      <c r="E276" s="100" t="s">
        <v>305</v>
      </c>
      <c r="F276" s="101" t="s">
        <v>306</v>
      </c>
      <c r="G276" s="108" t="s">
        <v>310</v>
      </c>
    </row>
    <row r="277" spans="1:7">
      <c r="A277" s="95"/>
      <c r="B277" s="230"/>
      <c r="C277" s="102"/>
      <c r="D277" s="103"/>
      <c r="E277" s="103" t="s">
        <v>309</v>
      </c>
      <c r="F277" s="104" t="s">
        <v>307</v>
      </c>
      <c r="G277" s="109"/>
    </row>
    <row r="278" spans="1:7">
      <c r="A278" s="127"/>
      <c r="B278" s="823" t="str">
        <f>'MAQUINARIA Y EQUIPOS'!$C$28</f>
        <v>HERRAMIENTAS MENORES</v>
      </c>
      <c r="C278" s="824"/>
      <c r="D278" s="87">
        <v>1</v>
      </c>
      <c r="E278" s="82">
        <f>ROUND(G311*0.05,0)</f>
        <v>354</v>
      </c>
      <c r="F278" s="81">
        <v>1</v>
      </c>
      <c r="G278" s="110">
        <f>ROUND(D278*E278/F278,0)</f>
        <v>354</v>
      </c>
    </row>
    <row r="279" spans="1:7">
      <c r="A279" s="95"/>
      <c r="B279" s="835" t="str">
        <f>'MAQUINARIA Y EQUIPOS'!$C$9</f>
        <v>ANDAMIO TUBULAR 1.50 m</v>
      </c>
      <c r="C279" s="836"/>
      <c r="D279" s="37">
        <v>4</v>
      </c>
      <c r="E279" s="129">
        <f>'MAQUINARIA Y EQUIPOS'!$D$9</f>
        <v>754</v>
      </c>
      <c r="F279" s="83">
        <f>F306</f>
        <v>15</v>
      </c>
      <c r="G279" s="111">
        <f>ROUND(D279*E279/F279,0)</f>
        <v>201</v>
      </c>
    </row>
    <row r="280" spans="1:7">
      <c r="A280" s="95"/>
      <c r="B280" s="835" t="str">
        <f>'MAQUINARIA Y EQUIPOS'!$C$47</f>
        <v>TABLONES 3m</v>
      </c>
      <c r="C280" s="836"/>
      <c r="D280" s="37">
        <v>4</v>
      </c>
      <c r="E280" s="129">
        <f>'MAQUINARIA Y EQUIPOS'!$D$47</f>
        <v>348</v>
      </c>
      <c r="F280" s="83">
        <f>F307</f>
        <v>15</v>
      </c>
      <c r="G280" s="111">
        <f>ROUND(D280*E280/F280,0)</f>
        <v>93</v>
      </c>
    </row>
    <row r="281" spans="1:7">
      <c r="A281" s="95"/>
      <c r="B281" s="854"/>
      <c r="C281" s="855"/>
      <c r="D281" s="89"/>
      <c r="E281" s="82"/>
      <c r="F281" s="83"/>
      <c r="G281" s="111"/>
    </row>
    <row r="282" spans="1:7">
      <c r="A282" s="95"/>
      <c r="B282" s="854" t="s">
        <v>841</v>
      </c>
      <c r="C282" s="855"/>
      <c r="D282" s="37"/>
      <c r="E282" s="82"/>
      <c r="F282" s="83"/>
      <c r="G282" s="111"/>
    </row>
    <row r="283" spans="1:7" ht="13.5" thickBot="1">
      <c r="A283" s="95"/>
      <c r="B283" s="942" t="s">
        <v>841</v>
      </c>
      <c r="C283" s="943"/>
      <c r="D283" s="77"/>
      <c r="E283" s="106"/>
      <c r="F283" s="86"/>
      <c r="G283" s="112"/>
    </row>
    <row r="284" spans="1:7" ht="14.25" thickTop="1" thickBot="1">
      <c r="A284" s="95"/>
      <c r="B284" s="946"/>
      <c r="C284" s="946"/>
      <c r="D284" s="946"/>
      <c r="E284" s="947"/>
      <c r="F284" s="119" t="s">
        <v>856</v>
      </c>
      <c r="G284" s="118">
        <f>SUM(G278:G283)</f>
        <v>648</v>
      </c>
    </row>
    <row r="285" spans="1:7" ht="14.25" thickTop="1" thickBot="1">
      <c r="A285" s="95"/>
      <c r="B285" s="970"/>
      <c r="C285" s="970"/>
      <c r="D285" s="970"/>
      <c r="E285" s="970"/>
      <c r="F285" s="970"/>
      <c r="G285" s="970"/>
    </row>
    <row r="286" spans="1:7" ht="13.5" thickTop="1">
      <c r="A286" s="95"/>
      <c r="B286" s="950" t="s">
        <v>311</v>
      </c>
      <c r="C286" s="951"/>
      <c r="D286" s="951"/>
      <c r="E286" s="951"/>
      <c r="F286" s="951"/>
      <c r="G286" s="952"/>
    </row>
    <row r="287" spans="1:7">
      <c r="A287" s="95"/>
      <c r="B287" s="978" t="s">
        <v>838</v>
      </c>
      <c r="C287" s="979"/>
      <c r="D287" s="98" t="s">
        <v>842</v>
      </c>
      <c r="E287" s="98" t="s">
        <v>853</v>
      </c>
      <c r="F287" s="99" t="s">
        <v>1047</v>
      </c>
      <c r="G287" s="107" t="s">
        <v>840</v>
      </c>
    </row>
    <row r="288" spans="1:7">
      <c r="A288" s="95"/>
      <c r="B288" s="230"/>
      <c r="C288" s="102"/>
      <c r="D288" s="100"/>
      <c r="E288" s="100" t="s">
        <v>312</v>
      </c>
      <c r="F288" s="101" t="s">
        <v>313</v>
      </c>
      <c r="G288" s="108" t="s">
        <v>314</v>
      </c>
    </row>
    <row r="289" spans="1:8">
      <c r="A289" s="125"/>
      <c r="B289" s="841" t="str">
        <f>MATERIALES2!$C$177</f>
        <v>LAMINA ICV TEXTURIZADA 0.6x1.2 M</v>
      </c>
      <c r="C289" s="842"/>
      <c r="D289" s="87" t="s">
        <v>865</v>
      </c>
      <c r="E289" s="81">
        <v>1</v>
      </c>
      <c r="F289" s="80">
        <f>MATERIALES2!$E$177</f>
        <v>9300</v>
      </c>
      <c r="G289" s="110">
        <f t="shared" ref="G289:G295" si="5">ROUND(E289*F289,0)</f>
        <v>9300</v>
      </c>
    </row>
    <row r="290" spans="1:8">
      <c r="A290" s="123"/>
      <c r="B290" s="854" t="str">
        <f>MATERIALES2!$C$241</f>
        <v>ANGULO ALUMINIO DE ¾"x1/16"x6.0 M</v>
      </c>
      <c r="C290" s="855"/>
      <c r="D290" s="37" t="s">
        <v>865</v>
      </c>
      <c r="E290" s="83">
        <v>0.17</v>
      </c>
      <c r="F290" s="82">
        <f>MATERIALES2!$E$241</f>
        <v>8000</v>
      </c>
      <c r="G290" s="111">
        <f t="shared" si="5"/>
        <v>1360</v>
      </c>
    </row>
    <row r="291" spans="1:8">
      <c r="A291" s="123"/>
      <c r="B291" s="854" t="str">
        <f>MATERIALES2!$C$252</f>
        <v>TEE ALUMINIO 1"x1/16"x6.0 M</v>
      </c>
      <c r="C291" s="855"/>
      <c r="D291" s="37" t="s">
        <v>865</v>
      </c>
      <c r="E291" s="83">
        <v>0.63</v>
      </c>
      <c r="F291" s="82">
        <f>MATERIALES2!$E$252</f>
        <v>8000</v>
      </c>
      <c r="G291" s="111">
        <f t="shared" si="5"/>
        <v>5040</v>
      </c>
    </row>
    <row r="292" spans="1:8">
      <c r="A292" s="123"/>
      <c r="B292" s="854" t="str">
        <f>MATERIALES2!$C$253</f>
        <v>ALAMBRE GALVANIZADO Nº 16</v>
      </c>
      <c r="C292" s="855"/>
      <c r="D292" s="37" t="s">
        <v>925</v>
      </c>
      <c r="E292" s="83">
        <v>0.2</v>
      </c>
      <c r="F292" s="82">
        <f>MATERIALES2!$E$253</f>
        <v>4015</v>
      </c>
      <c r="G292" s="111">
        <f t="shared" si="5"/>
        <v>803</v>
      </c>
    </row>
    <row r="293" spans="1:8">
      <c r="A293" s="95"/>
      <c r="B293" s="854" t="str">
        <f>MATERIALES2!$C$255</f>
        <v>TORNILLO MADERA 5/16"</v>
      </c>
      <c r="C293" s="855"/>
      <c r="D293" s="37" t="s">
        <v>865</v>
      </c>
      <c r="E293" s="83">
        <v>3</v>
      </c>
      <c r="F293" s="82">
        <f>MATERIALES2!$E$255</f>
        <v>100</v>
      </c>
      <c r="G293" s="111">
        <f t="shared" si="5"/>
        <v>300</v>
      </c>
    </row>
    <row r="294" spans="1:8">
      <c r="A294" s="95"/>
      <c r="B294" s="854" t="str">
        <f>MATERIALES2!$C$257</f>
        <v>CHAZOS 5/16"</v>
      </c>
      <c r="C294" s="855"/>
      <c r="D294" s="37" t="s">
        <v>865</v>
      </c>
      <c r="E294" s="83">
        <v>3</v>
      </c>
      <c r="F294" s="82">
        <f>MATERIALES2!$E$257</f>
        <v>1275</v>
      </c>
      <c r="G294" s="111">
        <f t="shared" si="5"/>
        <v>3825</v>
      </c>
    </row>
    <row r="295" spans="1:8">
      <c r="A295" s="95"/>
      <c r="B295" s="854" t="str">
        <f>MATERIALES2!$C$258</f>
        <v>REMACHE</v>
      </c>
      <c r="C295" s="855"/>
      <c r="D295" s="37" t="s">
        <v>865</v>
      </c>
      <c r="E295" s="83">
        <v>4</v>
      </c>
      <c r="F295" s="82">
        <f>MATERIALES2!$E$258</f>
        <v>50</v>
      </c>
      <c r="G295" s="111">
        <f t="shared" si="5"/>
        <v>200</v>
      </c>
    </row>
    <row r="296" spans="1:8">
      <c r="A296" s="123"/>
      <c r="B296" s="854"/>
      <c r="C296" s="855"/>
      <c r="D296" s="37"/>
      <c r="E296" s="83"/>
      <c r="F296" s="82"/>
      <c r="G296" s="111"/>
      <c r="H296" s="505" t="s">
        <v>1670</v>
      </c>
    </row>
    <row r="297" spans="1:8" ht="13.5" thickBot="1">
      <c r="A297" s="95"/>
      <c r="B297" s="942" t="s">
        <v>841</v>
      </c>
      <c r="C297" s="943"/>
      <c r="D297" s="84" t="s">
        <v>841</v>
      </c>
      <c r="E297" s="84"/>
      <c r="F297" s="85"/>
      <c r="G297" s="112"/>
    </row>
    <row r="298" spans="1:8" ht="13.5" thickTop="1">
      <c r="A298" s="95"/>
      <c r="B298" s="946"/>
      <c r="C298" s="947"/>
      <c r="D298" s="801" t="s">
        <v>856</v>
      </c>
      <c r="E298" s="802"/>
      <c r="F298" s="9"/>
      <c r="G298" s="113">
        <f>SUM(G289:G297)</f>
        <v>20828</v>
      </c>
    </row>
    <row r="299" spans="1:8">
      <c r="A299" s="95"/>
      <c r="B299" s="948"/>
      <c r="C299" s="949"/>
      <c r="D299" s="801" t="s">
        <v>857</v>
      </c>
      <c r="E299" s="802"/>
      <c r="F299" s="79">
        <f>'MANO DE OBRA'!$D$60</f>
        <v>0.05</v>
      </c>
      <c r="G299" s="113">
        <f>ROUND(G298*F299,0)</f>
        <v>1041</v>
      </c>
    </row>
    <row r="300" spans="1:8" ht="13.5" thickBot="1">
      <c r="A300" s="95"/>
      <c r="B300" s="948"/>
      <c r="C300" s="949"/>
      <c r="D300" s="803" t="s">
        <v>320</v>
      </c>
      <c r="E300" s="804"/>
      <c r="F300" s="114"/>
      <c r="G300" s="118">
        <f>+G298+G299</f>
        <v>21869</v>
      </c>
    </row>
    <row r="301" spans="1:8" ht="14.25" thickTop="1" thickBot="1">
      <c r="A301" s="95"/>
      <c r="B301" s="970"/>
      <c r="C301" s="970"/>
      <c r="D301" s="970"/>
      <c r="E301" s="970"/>
      <c r="F301" s="970"/>
      <c r="G301" s="970"/>
    </row>
    <row r="302" spans="1:8" ht="13.5" thickTop="1">
      <c r="A302" s="95"/>
      <c r="B302" s="950" t="s">
        <v>858</v>
      </c>
      <c r="C302" s="951"/>
      <c r="D302" s="951"/>
      <c r="E302" s="951"/>
      <c r="F302" s="951"/>
      <c r="G302" s="952"/>
    </row>
    <row r="303" spans="1:8">
      <c r="A303" s="95"/>
      <c r="B303" s="978"/>
      <c r="C303" s="979"/>
      <c r="D303" s="98" t="s">
        <v>301</v>
      </c>
      <c r="E303" s="98" t="s">
        <v>859</v>
      </c>
      <c r="F303" s="99" t="s">
        <v>839</v>
      </c>
      <c r="G303" s="107" t="s">
        <v>840</v>
      </c>
    </row>
    <row r="304" spans="1:8">
      <c r="A304" s="95"/>
      <c r="B304" s="982" t="s">
        <v>838</v>
      </c>
      <c r="C304" s="983"/>
      <c r="D304" s="100" t="s">
        <v>316</v>
      </c>
      <c r="E304" s="100" t="s">
        <v>315</v>
      </c>
      <c r="F304" s="101" t="s">
        <v>306</v>
      </c>
      <c r="G304" s="108" t="s">
        <v>319</v>
      </c>
    </row>
    <row r="305" spans="1:7">
      <c r="A305" s="95"/>
      <c r="B305" s="230"/>
      <c r="C305" s="102"/>
      <c r="D305" s="103"/>
      <c r="E305" s="103" t="s">
        <v>317</v>
      </c>
      <c r="F305" s="104" t="s">
        <v>318</v>
      </c>
      <c r="G305" s="109"/>
    </row>
    <row r="306" spans="1:7">
      <c r="A306" s="95"/>
      <c r="B306" s="823" t="str">
        <f>'MANO DE OBRA'!$B$10</f>
        <v>AYUDANTE CUAD. TIPO AA</v>
      </c>
      <c r="C306" s="824"/>
      <c r="D306" s="87">
        <v>1</v>
      </c>
      <c r="E306" s="80">
        <f>'MANO DE OBRA'!$E$10</f>
        <v>34680</v>
      </c>
      <c r="F306" s="81">
        <v>15</v>
      </c>
      <c r="G306" s="110">
        <f>ROUND(D306*E306/F306,0)</f>
        <v>2312</v>
      </c>
    </row>
    <row r="307" spans="1:7">
      <c r="A307" s="95"/>
      <c r="B307" s="835" t="str">
        <f>'MANO DE OBRA'!$B$15</f>
        <v xml:space="preserve">OFICIAL CUAD. TIPO AA </v>
      </c>
      <c r="C307" s="836"/>
      <c r="D307" s="37">
        <v>1</v>
      </c>
      <c r="E307" s="82">
        <f>'MANO DE OBRA'!$E$15</f>
        <v>71474</v>
      </c>
      <c r="F307" s="83">
        <v>15</v>
      </c>
      <c r="G307" s="111">
        <f>ROUND(D307*E307/F307,0)</f>
        <v>4765</v>
      </c>
    </row>
    <row r="308" spans="1:7">
      <c r="A308" s="95"/>
      <c r="B308" s="854"/>
      <c r="C308" s="855"/>
      <c r="D308" s="89"/>
      <c r="E308" s="82"/>
      <c r="F308" s="83"/>
      <c r="G308" s="111"/>
    </row>
    <row r="309" spans="1:7">
      <c r="A309" s="95"/>
      <c r="B309" s="854" t="s">
        <v>841</v>
      </c>
      <c r="C309" s="855"/>
      <c r="D309" s="37"/>
      <c r="E309" s="82"/>
      <c r="F309" s="83"/>
      <c r="G309" s="111"/>
    </row>
    <row r="310" spans="1:7" ht="13.5" thickBot="1">
      <c r="A310" s="95"/>
      <c r="B310" s="980" t="s">
        <v>841</v>
      </c>
      <c r="C310" s="981"/>
      <c r="D310" s="77"/>
      <c r="E310" s="82"/>
      <c r="F310" s="86"/>
      <c r="G310" s="112"/>
    </row>
    <row r="311" spans="1:7" ht="14.25" thickTop="1" thickBot="1">
      <c r="A311" s="95"/>
      <c r="B311" s="946"/>
      <c r="C311" s="946"/>
      <c r="D311" s="946"/>
      <c r="E311" s="947"/>
      <c r="F311" s="120" t="s">
        <v>856</v>
      </c>
      <c r="G311" s="118">
        <f>SUM(G306:G310)</f>
        <v>7077</v>
      </c>
    </row>
    <row r="312" spans="1:7" ht="14.25" thickTop="1" thickBot="1">
      <c r="A312" s="95"/>
      <c r="B312" s="970"/>
      <c r="C312" s="970"/>
      <c r="D312" s="970"/>
      <c r="E312" s="970"/>
      <c r="F312" s="970"/>
      <c r="G312" s="970"/>
    </row>
    <row r="313" spans="1:7" ht="13.5" thickTop="1">
      <c r="A313" s="95"/>
      <c r="B313" s="950" t="s">
        <v>321</v>
      </c>
      <c r="C313" s="951"/>
      <c r="D313" s="951"/>
      <c r="E313" s="951"/>
      <c r="F313" s="951"/>
      <c r="G313" s="952"/>
    </row>
    <row r="314" spans="1:7">
      <c r="A314" s="95"/>
      <c r="B314" s="978" t="s">
        <v>838</v>
      </c>
      <c r="C314" s="979"/>
      <c r="D314" s="98" t="s">
        <v>301</v>
      </c>
      <c r="E314" s="98" t="s">
        <v>297</v>
      </c>
      <c r="F314" s="99" t="s">
        <v>839</v>
      </c>
      <c r="G314" s="107" t="s">
        <v>840</v>
      </c>
    </row>
    <row r="315" spans="1:7">
      <c r="A315" s="95"/>
      <c r="B315" s="230"/>
      <c r="C315" s="102"/>
      <c r="D315" s="103" t="s">
        <v>322</v>
      </c>
      <c r="E315" s="103" t="s">
        <v>323</v>
      </c>
      <c r="F315" s="104" t="s">
        <v>324</v>
      </c>
      <c r="G315" s="109" t="s">
        <v>325</v>
      </c>
    </row>
    <row r="316" spans="1:7">
      <c r="A316" s="95"/>
      <c r="B316" s="841"/>
      <c r="C316" s="842"/>
      <c r="D316" s="96"/>
      <c r="E316" s="96"/>
      <c r="F316" s="96"/>
      <c r="G316" s="116"/>
    </row>
    <row r="317" spans="1:7" ht="13.5" thickBot="1">
      <c r="A317" s="95"/>
      <c r="B317" s="980" t="s">
        <v>841</v>
      </c>
      <c r="C317" s="981"/>
      <c r="D317" s="77"/>
      <c r="E317" s="82"/>
      <c r="F317" s="86"/>
      <c r="G317" s="112"/>
    </row>
    <row r="318" spans="1:7" ht="14.25" thickTop="1" thickBot="1">
      <c r="A318" s="95"/>
      <c r="B318" s="946"/>
      <c r="C318" s="946"/>
      <c r="D318" s="946"/>
      <c r="E318" s="947"/>
      <c r="F318" s="120" t="s">
        <v>856</v>
      </c>
      <c r="G318" s="118">
        <f>SUM(G313:G317)</f>
        <v>0</v>
      </c>
    </row>
    <row r="319" spans="1:7" ht="14.25" thickTop="1" thickBot="1">
      <c r="A319" s="95"/>
      <c r="B319" s="970"/>
      <c r="C319" s="970"/>
      <c r="D319" s="970"/>
      <c r="E319" s="970"/>
      <c r="F319" s="970"/>
      <c r="G319" s="943"/>
    </row>
    <row r="320" spans="1:7" ht="13.5" thickTop="1">
      <c r="A320" s="95"/>
      <c r="B320" s="950" t="s">
        <v>326</v>
      </c>
      <c r="C320" s="951"/>
      <c r="D320" s="951"/>
      <c r="E320" s="951"/>
      <c r="F320" s="971"/>
      <c r="G320" s="121">
        <f>+G284+G300+G311</f>
        <v>29594</v>
      </c>
    </row>
    <row r="321" spans="1:8">
      <c r="A321" s="95"/>
      <c r="B321" s="972" t="s">
        <v>861</v>
      </c>
      <c r="C321" s="973"/>
      <c r="D321" s="973"/>
      <c r="E321" s="974"/>
      <c r="F321" s="128">
        <f>'MANO DE OBRA'!$D$59</f>
        <v>0</v>
      </c>
      <c r="G321" s="122">
        <f>ROUND(G320*F321,0)</f>
        <v>0</v>
      </c>
    </row>
    <row r="322" spans="1:8" ht="13.5" thickBot="1">
      <c r="A322" s="95"/>
      <c r="B322" s="975" t="s">
        <v>1049</v>
      </c>
      <c r="C322" s="976"/>
      <c r="D322" s="976"/>
      <c r="E322" s="976"/>
      <c r="F322" s="977"/>
      <c r="G322" s="118">
        <f>ROUND(G320+G321,-2)</f>
        <v>29600</v>
      </c>
      <c r="H322" s="505" t="s">
        <v>1670</v>
      </c>
    </row>
    <row r="323" spans="1:8" ht="13.5" thickTop="1"/>
  </sheetData>
  <mergeCells count="298">
    <mergeCell ref="B9:G9"/>
    <mergeCell ref="B10:G10"/>
    <mergeCell ref="B15:C15"/>
    <mergeCell ref="B16:C16"/>
    <mergeCell ref="B17:C17"/>
    <mergeCell ref="B18:C18"/>
    <mergeCell ref="C3:G3"/>
    <mergeCell ref="B4:G4"/>
    <mergeCell ref="C1:G1"/>
    <mergeCell ref="C2:G2"/>
    <mergeCell ref="B12:C12"/>
    <mergeCell ref="B14:C14"/>
    <mergeCell ref="C5:G5"/>
    <mergeCell ref="C6:E6"/>
    <mergeCell ref="C7:E7"/>
    <mergeCell ref="C8:G8"/>
    <mergeCell ref="B26:C26"/>
    <mergeCell ref="B27:C27"/>
    <mergeCell ref="B28:C28"/>
    <mergeCell ref="B29:C29"/>
    <mergeCell ref="B30:C30"/>
    <mergeCell ref="B31:C31"/>
    <mergeCell ref="B19:C19"/>
    <mergeCell ref="B20:E20"/>
    <mergeCell ref="B21:G21"/>
    <mergeCell ref="B22:G22"/>
    <mergeCell ref="B23:C23"/>
    <mergeCell ref="B25:C25"/>
    <mergeCell ref="B37:G37"/>
    <mergeCell ref="B38:G38"/>
    <mergeCell ref="B39:C39"/>
    <mergeCell ref="B40:C40"/>
    <mergeCell ref="B42:C42"/>
    <mergeCell ref="B43:C43"/>
    <mergeCell ref="B32:C32"/>
    <mergeCell ref="B33:C33"/>
    <mergeCell ref="B34:C36"/>
    <mergeCell ref="D34:E34"/>
    <mergeCell ref="D35:E35"/>
    <mergeCell ref="D36:E36"/>
    <mergeCell ref="B50:C50"/>
    <mergeCell ref="B52:C52"/>
    <mergeCell ref="B53:C53"/>
    <mergeCell ref="B54:E54"/>
    <mergeCell ref="B55:G55"/>
    <mergeCell ref="B56:F56"/>
    <mergeCell ref="B44:C44"/>
    <mergeCell ref="B45:C45"/>
    <mergeCell ref="B46:C46"/>
    <mergeCell ref="B47:E47"/>
    <mergeCell ref="B48:G48"/>
    <mergeCell ref="B49:G49"/>
    <mergeCell ref="B63:G63"/>
    <mergeCell ref="B65:C65"/>
    <mergeCell ref="B67:C67"/>
    <mergeCell ref="B68:C68"/>
    <mergeCell ref="B69:C69"/>
    <mergeCell ref="B70:C70"/>
    <mergeCell ref="B57:E57"/>
    <mergeCell ref="B58:F58"/>
    <mergeCell ref="C59:E59"/>
    <mergeCell ref="C60:E60"/>
    <mergeCell ref="C61:G61"/>
    <mergeCell ref="B62:G62"/>
    <mergeCell ref="B82:C82"/>
    <mergeCell ref="B83:C83"/>
    <mergeCell ref="B84:C84"/>
    <mergeCell ref="B78:C78"/>
    <mergeCell ref="B79:C79"/>
    <mergeCell ref="B80:C80"/>
    <mergeCell ref="B81:C81"/>
    <mergeCell ref="B71:C71"/>
    <mergeCell ref="B72:C72"/>
    <mergeCell ref="B73:E73"/>
    <mergeCell ref="B74:G74"/>
    <mergeCell ref="B75:G75"/>
    <mergeCell ref="B76:C76"/>
    <mergeCell ref="B90:G90"/>
    <mergeCell ref="B91:C91"/>
    <mergeCell ref="B92:C92"/>
    <mergeCell ref="B94:C94"/>
    <mergeCell ref="B95:C95"/>
    <mergeCell ref="B96:C96"/>
    <mergeCell ref="B85:C85"/>
    <mergeCell ref="B86:C88"/>
    <mergeCell ref="D86:E86"/>
    <mergeCell ref="D87:E87"/>
    <mergeCell ref="D88:E88"/>
    <mergeCell ref="B89:G89"/>
    <mergeCell ref="B104:C104"/>
    <mergeCell ref="B105:C105"/>
    <mergeCell ref="B106:E106"/>
    <mergeCell ref="B107:G107"/>
    <mergeCell ref="B108:F108"/>
    <mergeCell ref="B109:E109"/>
    <mergeCell ref="B97:C97"/>
    <mergeCell ref="B98:C98"/>
    <mergeCell ref="B99:E99"/>
    <mergeCell ref="B100:G100"/>
    <mergeCell ref="B101:G101"/>
    <mergeCell ref="B102:C102"/>
    <mergeCell ref="B117:C117"/>
    <mergeCell ref="B119:C119"/>
    <mergeCell ref="B120:C120"/>
    <mergeCell ref="B121:C121"/>
    <mergeCell ref="B122:C122"/>
    <mergeCell ref="B123:C123"/>
    <mergeCell ref="B110:F110"/>
    <mergeCell ref="C111:E111"/>
    <mergeCell ref="C112:E112"/>
    <mergeCell ref="C113:G113"/>
    <mergeCell ref="B114:G114"/>
    <mergeCell ref="B115:G115"/>
    <mergeCell ref="B131:C131"/>
    <mergeCell ref="B132:C132"/>
    <mergeCell ref="B133:C133"/>
    <mergeCell ref="B134:C134"/>
    <mergeCell ref="B135:C135"/>
    <mergeCell ref="B136:C136"/>
    <mergeCell ref="B124:C124"/>
    <mergeCell ref="B125:E125"/>
    <mergeCell ref="B126:G126"/>
    <mergeCell ref="B127:G127"/>
    <mergeCell ref="B128:C128"/>
    <mergeCell ref="B130:C130"/>
    <mergeCell ref="B142:G142"/>
    <mergeCell ref="B143:G143"/>
    <mergeCell ref="B144:C144"/>
    <mergeCell ref="B145:C145"/>
    <mergeCell ref="B147:C147"/>
    <mergeCell ref="B148:C148"/>
    <mergeCell ref="B137:C137"/>
    <mergeCell ref="B138:C138"/>
    <mergeCell ref="B139:C141"/>
    <mergeCell ref="D139:E139"/>
    <mergeCell ref="D140:E140"/>
    <mergeCell ref="D141:E141"/>
    <mergeCell ref="B155:C155"/>
    <mergeCell ref="B157:C157"/>
    <mergeCell ref="B158:C158"/>
    <mergeCell ref="B159:E159"/>
    <mergeCell ref="B160:G160"/>
    <mergeCell ref="B161:F161"/>
    <mergeCell ref="B149:C149"/>
    <mergeCell ref="B150:C150"/>
    <mergeCell ref="B151:C151"/>
    <mergeCell ref="B152:E152"/>
    <mergeCell ref="B153:G153"/>
    <mergeCell ref="B154:G154"/>
    <mergeCell ref="B168:G168"/>
    <mergeCell ref="B170:C170"/>
    <mergeCell ref="B172:C172"/>
    <mergeCell ref="B173:C173"/>
    <mergeCell ref="B174:C174"/>
    <mergeCell ref="B175:C175"/>
    <mergeCell ref="B162:E162"/>
    <mergeCell ref="B163:F163"/>
    <mergeCell ref="C164:E164"/>
    <mergeCell ref="C165:E165"/>
    <mergeCell ref="C166:G166"/>
    <mergeCell ref="B167:G167"/>
    <mergeCell ref="B183:C183"/>
    <mergeCell ref="B184:C184"/>
    <mergeCell ref="B185:C185"/>
    <mergeCell ref="B186:C186"/>
    <mergeCell ref="B187:C187"/>
    <mergeCell ref="B188:C188"/>
    <mergeCell ref="B176:C176"/>
    <mergeCell ref="B177:C177"/>
    <mergeCell ref="B178:E178"/>
    <mergeCell ref="B179:G179"/>
    <mergeCell ref="B180:G180"/>
    <mergeCell ref="B181:C181"/>
    <mergeCell ref="B195:G195"/>
    <mergeCell ref="B196:G196"/>
    <mergeCell ref="B197:C197"/>
    <mergeCell ref="B198:C198"/>
    <mergeCell ref="B200:C200"/>
    <mergeCell ref="B201:C201"/>
    <mergeCell ref="B189:C189"/>
    <mergeCell ref="B190:C190"/>
    <mergeCell ref="B191:C191"/>
    <mergeCell ref="B192:C194"/>
    <mergeCell ref="D192:E192"/>
    <mergeCell ref="D193:E193"/>
    <mergeCell ref="D194:E194"/>
    <mergeCell ref="B208:C208"/>
    <mergeCell ref="B210:C210"/>
    <mergeCell ref="B211:C211"/>
    <mergeCell ref="B212:E212"/>
    <mergeCell ref="B213:G213"/>
    <mergeCell ref="B214:F214"/>
    <mergeCell ref="B202:C202"/>
    <mergeCell ref="B203:C203"/>
    <mergeCell ref="B204:C204"/>
    <mergeCell ref="B205:E205"/>
    <mergeCell ref="B206:G206"/>
    <mergeCell ref="B207:G207"/>
    <mergeCell ref="B221:G221"/>
    <mergeCell ref="B223:C223"/>
    <mergeCell ref="B225:C225"/>
    <mergeCell ref="B226:C226"/>
    <mergeCell ref="B227:C227"/>
    <mergeCell ref="B228:C228"/>
    <mergeCell ref="B215:E215"/>
    <mergeCell ref="B216:F216"/>
    <mergeCell ref="C217:E217"/>
    <mergeCell ref="C218:E218"/>
    <mergeCell ref="C219:G219"/>
    <mergeCell ref="B220:G220"/>
    <mergeCell ref="B236:C236"/>
    <mergeCell ref="B237:C237"/>
    <mergeCell ref="B238:C238"/>
    <mergeCell ref="B239:C239"/>
    <mergeCell ref="B240:C240"/>
    <mergeCell ref="B241:C241"/>
    <mergeCell ref="B229:C229"/>
    <mergeCell ref="B230:C230"/>
    <mergeCell ref="B231:E231"/>
    <mergeCell ref="B232:G232"/>
    <mergeCell ref="B233:G233"/>
    <mergeCell ref="B234:C234"/>
    <mergeCell ref="B248:G248"/>
    <mergeCell ref="B249:G249"/>
    <mergeCell ref="B250:C250"/>
    <mergeCell ref="B251:C251"/>
    <mergeCell ref="B253:C253"/>
    <mergeCell ref="B254:C254"/>
    <mergeCell ref="B242:C242"/>
    <mergeCell ref="B243:C243"/>
    <mergeCell ref="B244:C244"/>
    <mergeCell ref="B245:C247"/>
    <mergeCell ref="D245:E245"/>
    <mergeCell ref="D246:E246"/>
    <mergeCell ref="D247:E247"/>
    <mergeCell ref="B261:C261"/>
    <mergeCell ref="B263:C263"/>
    <mergeCell ref="B264:C264"/>
    <mergeCell ref="B265:E265"/>
    <mergeCell ref="B266:G266"/>
    <mergeCell ref="B267:F267"/>
    <mergeCell ref="B255:C255"/>
    <mergeCell ref="B256:C256"/>
    <mergeCell ref="B257:C257"/>
    <mergeCell ref="B258:E258"/>
    <mergeCell ref="B259:G259"/>
    <mergeCell ref="B260:G260"/>
    <mergeCell ref="B274:G274"/>
    <mergeCell ref="B276:C276"/>
    <mergeCell ref="B278:C278"/>
    <mergeCell ref="B279:C279"/>
    <mergeCell ref="B280:C280"/>
    <mergeCell ref="B281:C281"/>
    <mergeCell ref="B268:E268"/>
    <mergeCell ref="B269:F269"/>
    <mergeCell ref="C270:E270"/>
    <mergeCell ref="C271:E271"/>
    <mergeCell ref="C272:G272"/>
    <mergeCell ref="B273:G273"/>
    <mergeCell ref="B289:C289"/>
    <mergeCell ref="B290:C290"/>
    <mergeCell ref="B291:C291"/>
    <mergeCell ref="B292:C292"/>
    <mergeCell ref="B293:C293"/>
    <mergeCell ref="B294:C294"/>
    <mergeCell ref="B282:C282"/>
    <mergeCell ref="B283:C283"/>
    <mergeCell ref="B284:E284"/>
    <mergeCell ref="B285:G285"/>
    <mergeCell ref="B286:G286"/>
    <mergeCell ref="B287:C287"/>
    <mergeCell ref="B301:G301"/>
    <mergeCell ref="B302:G302"/>
    <mergeCell ref="B303:C303"/>
    <mergeCell ref="B304:C304"/>
    <mergeCell ref="B306:C306"/>
    <mergeCell ref="B307:C307"/>
    <mergeCell ref="B295:C295"/>
    <mergeCell ref="B296:C296"/>
    <mergeCell ref="B297:C297"/>
    <mergeCell ref="B298:C300"/>
    <mergeCell ref="D298:E298"/>
    <mergeCell ref="D299:E299"/>
    <mergeCell ref="D300:E300"/>
    <mergeCell ref="B321:E321"/>
    <mergeCell ref="B322:F322"/>
    <mergeCell ref="B314:C314"/>
    <mergeCell ref="B316:C316"/>
    <mergeCell ref="B317:C317"/>
    <mergeCell ref="B318:E318"/>
    <mergeCell ref="B319:G319"/>
    <mergeCell ref="B320:F320"/>
    <mergeCell ref="B308:C308"/>
    <mergeCell ref="B309:C309"/>
    <mergeCell ref="B310:C310"/>
    <mergeCell ref="B311:E311"/>
    <mergeCell ref="B312:G312"/>
    <mergeCell ref="B313:G313"/>
  </mergeCells>
  <phoneticPr fontId="0" type="noConversion"/>
  <hyperlinks>
    <hyperlink ref="H6" location="'ITEMS RESUMEN'!CIELO_RASOS" display="volver"/>
    <hyperlink ref="H32" location="'ITEMS RESUMEN'!CIELO_RASOS" display="volver"/>
    <hyperlink ref="H58" location="'ITEMS RESUMEN'!CIELO_RASOS" display="volver"/>
    <hyperlink ref="H84" location="'ITEMS RESUMEN'!CIELO_RASOS" display="volver"/>
    <hyperlink ref="H110" location="'ITEMS RESUMEN'!CIELO_RASOS" display="volver"/>
    <hyperlink ref="H137" location="'ITEMS RESUMEN'!CIELO_RASOS" display="volver"/>
    <hyperlink ref="H163" location="'ITEMS RESUMEN'!CIELO_RASOS" display="volver"/>
    <hyperlink ref="H190" location="'ITEMS RESUMEN'!CIELO_RASOS" display="volver"/>
    <hyperlink ref="H216" location="'ITEMS RESUMEN'!CIELO_RASOS" display="volver"/>
    <hyperlink ref="H243" location="'ITEMS RESUMEN'!CIELO_RASOS" display="volver"/>
    <hyperlink ref="H269" location="'ITEMS RESUMEN'!CIELO_RASOS" display="volver"/>
    <hyperlink ref="H296" location="'ITEMS RESUMEN'!CIELO_RASOS" display="volver"/>
    <hyperlink ref="H322" location="'ITEMS RESUMEN'!CIELO_RASOS" display="volver"/>
  </hyperlinks>
  <printOptions horizontalCentered="1" verticalCentered="1"/>
  <pageMargins left="0.78740157480314965" right="0.78740157480314965" top="0.98425196850393704" bottom="0.98425196850393704" header="0" footer="0"/>
  <pageSetup scale="84" orientation="portrait" r:id="rId1"/>
  <headerFooter alignWithMargins="0"/>
  <rowBreaks count="5" manualBreakCount="5">
    <brk id="58" min="1" max="6" man="1"/>
    <brk id="110" min="1" max="6" man="1"/>
    <brk id="163" min="1" max="6" man="1"/>
    <brk id="216" min="1" max="6" man="1"/>
    <brk id="269" min="1" max="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20" enableFormatConditionsCalculation="0">
    <tabColor indexed="44"/>
  </sheetPr>
  <dimension ref="A1:H1076"/>
  <sheetViews>
    <sheetView topLeftCell="A253" zoomScaleNormal="85" zoomScaleSheetLayoutView="100" workbookViewId="0">
      <selection activeCell="H270" sqref="H270"/>
    </sheetView>
  </sheetViews>
  <sheetFormatPr baseColWidth="10" defaultRowHeight="12.75"/>
  <cols>
    <col min="2" max="2" width="12.7109375" style="231" customWidth="1"/>
    <col min="3" max="3" width="28.42578125" customWidth="1"/>
    <col min="4" max="4" width="12.7109375" customWidth="1"/>
    <col min="5" max="5" width="13.7109375" customWidth="1"/>
    <col min="6" max="6" width="14.7109375" customWidth="1"/>
    <col min="7" max="7" width="16.7109375" customWidth="1"/>
  </cols>
  <sheetData>
    <row r="1" spans="1:8" ht="19.5" thickTop="1">
      <c r="A1" s="95"/>
      <c r="B1" s="225"/>
      <c r="C1" s="848" t="s">
        <v>1054</v>
      </c>
      <c r="D1" s="848"/>
      <c r="E1" s="848"/>
      <c r="F1" s="848"/>
      <c r="G1" s="849"/>
    </row>
    <row r="2" spans="1:8" ht="18.75">
      <c r="A2" s="95"/>
      <c r="B2" s="226"/>
      <c r="C2" s="780" t="s">
        <v>1381</v>
      </c>
      <c r="D2" s="780"/>
      <c r="E2" s="780"/>
      <c r="F2" s="780"/>
      <c r="G2" s="850"/>
    </row>
    <row r="3" spans="1:8" ht="18.75">
      <c r="A3" s="95"/>
      <c r="B3" s="226"/>
      <c r="C3" s="781"/>
      <c r="D3" s="781"/>
      <c r="E3" s="781"/>
      <c r="F3" s="781"/>
      <c r="G3" s="851"/>
    </row>
    <row r="4" spans="1:8" ht="15.75">
      <c r="A4" s="95"/>
      <c r="B4" s="881" t="s">
        <v>780</v>
      </c>
      <c r="C4" s="852"/>
      <c r="D4" s="852"/>
      <c r="E4" s="852"/>
      <c r="F4" s="852"/>
      <c r="G4" s="853"/>
    </row>
    <row r="5" spans="1:8" ht="15.75" thickBot="1">
      <c r="A5" s="95"/>
      <c r="B5" s="227"/>
      <c r="C5" s="856"/>
      <c r="D5" s="856"/>
      <c r="E5" s="856"/>
      <c r="F5" s="856"/>
      <c r="G5" s="857"/>
    </row>
    <row r="6" spans="1:8" ht="13.5" thickTop="1">
      <c r="A6" s="95"/>
      <c r="B6" s="225" t="s">
        <v>303</v>
      </c>
      <c r="C6" s="843"/>
      <c r="D6" s="843"/>
      <c r="E6" s="843"/>
      <c r="F6" s="92" t="s">
        <v>781</v>
      </c>
      <c r="G6" s="93" t="s">
        <v>865</v>
      </c>
      <c r="H6" s="505" t="s">
        <v>1670</v>
      </c>
    </row>
    <row r="7" spans="1:8">
      <c r="A7" s="95"/>
      <c r="B7" s="226" t="s">
        <v>834</v>
      </c>
      <c r="C7" s="844" t="s">
        <v>1474</v>
      </c>
      <c r="D7" s="844"/>
      <c r="E7" s="844"/>
      <c r="F7" s="15" t="s">
        <v>833</v>
      </c>
      <c r="G7" s="165" t="str">
        <f>'MANO DE OBRA'!D61</f>
        <v>Agosto de 2010</v>
      </c>
    </row>
    <row r="8" spans="1:8" ht="13.5" thickBot="1">
      <c r="A8" s="127"/>
      <c r="B8" s="228" t="s">
        <v>835</v>
      </c>
      <c r="C8" s="845" t="s">
        <v>1475</v>
      </c>
      <c r="D8" s="845"/>
      <c r="E8" s="845"/>
      <c r="F8" s="845"/>
      <c r="G8" s="846"/>
    </row>
    <row r="9" spans="1:8" ht="14.25" thickTop="1" thickBot="1">
      <c r="A9" s="95"/>
      <c r="B9" s="986"/>
      <c r="C9" s="986"/>
      <c r="D9" s="986"/>
      <c r="E9" s="986"/>
      <c r="F9" s="986"/>
      <c r="G9" s="986"/>
    </row>
    <row r="10" spans="1:8" ht="13.5" thickTop="1">
      <c r="A10" s="95"/>
      <c r="B10" s="950" t="s">
        <v>304</v>
      </c>
      <c r="C10" s="951"/>
      <c r="D10" s="951"/>
      <c r="E10" s="951"/>
      <c r="F10" s="951"/>
      <c r="G10" s="952"/>
    </row>
    <row r="11" spans="1:8">
      <c r="A11" s="95"/>
      <c r="B11" s="229"/>
      <c r="C11" s="97"/>
      <c r="D11" s="98" t="s">
        <v>301</v>
      </c>
      <c r="E11" s="98" t="s">
        <v>1072</v>
      </c>
      <c r="F11" s="99" t="s">
        <v>839</v>
      </c>
      <c r="G11" s="107" t="s">
        <v>840</v>
      </c>
    </row>
    <row r="12" spans="1:8">
      <c r="A12" s="95"/>
      <c r="B12" s="982" t="s">
        <v>838</v>
      </c>
      <c r="C12" s="983"/>
      <c r="D12" s="100" t="s">
        <v>308</v>
      </c>
      <c r="E12" s="100" t="s">
        <v>305</v>
      </c>
      <c r="F12" s="101" t="s">
        <v>306</v>
      </c>
      <c r="G12" s="108" t="s">
        <v>310</v>
      </c>
    </row>
    <row r="13" spans="1:8">
      <c r="A13" s="95"/>
      <c r="B13" s="230"/>
      <c r="C13" s="102"/>
      <c r="D13" s="103"/>
      <c r="E13" s="103" t="s">
        <v>309</v>
      </c>
      <c r="F13" s="104" t="s">
        <v>307</v>
      </c>
      <c r="G13" s="109"/>
    </row>
    <row r="14" spans="1:8">
      <c r="A14" s="127"/>
      <c r="B14" s="841" t="str">
        <f>'MAQUINARIA Y EQUIPOS'!$C$28</f>
        <v>HERRAMIENTAS MENORES</v>
      </c>
      <c r="C14" s="842"/>
      <c r="D14" s="87">
        <v>1</v>
      </c>
      <c r="E14" s="82">
        <f>ROUND(G47*0.05,0)</f>
        <v>1521</v>
      </c>
      <c r="F14" s="81">
        <v>1</v>
      </c>
      <c r="G14" s="110">
        <f>ROUND(D14*E14/F14,0)</f>
        <v>1521</v>
      </c>
    </row>
    <row r="15" spans="1:8">
      <c r="A15" s="95"/>
      <c r="B15" s="854"/>
      <c r="C15" s="855"/>
      <c r="D15" s="37"/>
      <c r="E15" s="129"/>
      <c r="F15" s="83"/>
      <c r="G15" s="111"/>
    </row>
    <row r="16" spans="1:8">
      <c r="A16" s="95"/>
      <c r="B16" s="854"/>
      <c r="C16" s="855"/>
      <c r="D16" s="37"/>
      <c r="E16" s="129"/>
      <c r="F16" s="83"/>
      <c r="G16" s="111"/>
    </row>
    <row r="17" spans="1:8">
      <c r="A17" s="95"/>
      <c r="B17" s="854"/>
      <c r="C17" s="855"/>
      <c r="D17" s="89"/>
      <c r="E17" s="82"/>
      <c r="F17" s="83"/>
      <c r="G17" s="111"/>
    </row>
    <row r="18" spans="1:8">
      <c r="A18" s="95"/>
      <c r="B18" s="854" t="s">
        <v>841</v>
      </c>
      <c r="C18" s="855"/>
      <c r="D18" s="37"/>
      <c r="E18" s="82"/>
      <c r="F18" s="83"/>
      <c r="G18" s="111"/>
    </row>
    <row r="19" spans="1:8" ht="13.5" thickBot="1">
      <c r="A19" s="95"/>
      <c r="B19" s="942" t="s">
        <v>841</v>
      </c>
      <c r="C19" s="943"/>
      <c r="D19" s="77"/>
      <c r="E19" s="106"/>
      <c r="F19" s="86"/>
      <c r="G19" s="112"/>
    </row>
    <row r="20" spans="1:8" ht="14.25" thickTop="1" thickBot="1">
      <c r="A20" s="95"/>
      <c r="B20" s="946"/>
      <c r="C20" s="946"/>
      <c r="D20" s="946"/>
      <c r="E20" s="947"/>
      <c r="F20" s="119" t="s">
        <v>856</v>
      </c>
      <c r="G20" s="118">
        <f>SUM(G14:G19)</f>
        <v>1521</v>
      </c>
    </row>
    <row r="21" spans="1:8" ht="14.25" thickTop="1" thickBot="1">
      <c r="A21" s="95"/>
      <c r="B21" s="970"/>
      <c r="C21" s="970"/>
      <c r="D21" s="970"/>
      <c r="E21" s="970"/>
      <c r="F21" s="970"/>
      <c r="G21" s="970"/>
    </row>
    <row r="22" spans="1:8" ht="13.5" thickTop="1">
      <c r="A22" s="95"/>
      <c r="B22" s="950" t="s">
        <v>311</v>
      </c>
      <c r="C22" s="951"/>
      <c r="D22" s="951"/>
      <c r="E22" s="951"/>
      <c r="F22" s="951"/>
      <c r="G22" s="952"/>
    </row>
    <row r="23" spans="1:8">
      <c r="A23" s="95"/>
      <c r="B23" s="978" t="s">
        <v>838</v>
      </c>
      <c r="C23" s="979"/>
      <c r="D23" s="98" t="s">
        <v>842</v>
      </c>
      <c r="E23" s="98" t="s">
        <v>853</v>
      </c>
      <c r="F23" s="99" t="s">
        <v>1047</v>
      </c>
      <c r="G23" s="107" t="s">
        <v>840</v>
      </c>
    </row>
    <row r="24" spans="1:8">
      <c r="A24" s="95"/>
      <c r="B24" s="230"/>
      <c r="C24" s="102"/>
      <c r="D24" s="100"/>
      <c r="E24" s="100" t="s">
        <v>312</v>
      </c>
      <c r="F24" s="101" t="s">
        <v>313</v>
      </c>
      <c r="G24" s="108" t="s">
        <v>314</v>
      </c>
    </row>
    <row r="25" spans="1:8">
      <c r="A25" s="123"/>
      <c r="B25" s="841" t="str">
        <f>MATERIALES2!$C$331</f>
        <v>SANITARIO TREVI BLANCO CORONA</v>
      </c>
      <c r="C25" s="842"/>
      <c r="D25" s="87" t="s">
        <v>865</v>
      </c>
      <c r="E25" s="81">
        <v>1</v>
      </c>
      <c r="F25" s="80">
        <f>MATERIALES2!$E$331</f>
        <v>151000</v>
      </c>
      <c r="G25" s="110">
        <f t="shared" ref="G25:G31" si="0">ROUND(E25*F25,0)</f>
        <v>151000</v>
      </c>
    </row>
    <row r="26" spans="1:8">
      <c r="A26" s="123"/>
      <c r="B26" s="854" t="str">
        <f>MATERIALES2!$C$12</f>
        <v>CEMENTO BLANCO</v>
      </c>
      <c r="C26" s="855"/>
      <c r="D26" s="37" t="s">
        <v>925</v>
      </c>
      <c r="E26" s="83">
        <v>2.5</v>
      </c>
      <c r="F26" s="82">
        <f>MATERIALES2!$E$12</f>
        <v>750</v>
      </c>
      <c r="G26" s="111">
        <f t="shared" si="0"/>
        <v>1875</v>
      </c>
    </row>
    <row r="27" spans="1:8">
      <c r="A27" s="123"/>
      <c r="B27" s="854" t="str">
        <f>MATERIALES2!$C$700</f>
        <v>MANGUERA SANITARIOS</v>
      </c>
      <c r="C27" s="855"/>
      <c r="D27" s="37" t="s">
        <v>865</v>
      </c>
      <c r="E27" s="83">
        <v>1</v>
      </c>
      <c r="F27" s="82">
        <f>MATERIALES2!$E$700</f>
        <v>4500</v>
      </c>
      <c r="G27" s="111">
        <f t="shared" si="0"/>
        <v>4500</v>
      </c>
    </row>
    <row r="28" spans="1:8">
      <c r="A28" s="123"/>
      <c r="B28" s="854" t="str">
        <f>MATERIALES2!$C$674</f>
        <v>CODO PRESION ½"</v>
      </c>
      <c r="C28" s="855"/>
      <c r="D28" s="37" t="s">
        <v>865</v>
      </c>
      <c r="E28" s="83">
        <v>3</v>
      </c>
      <c r="F28" s="82">
        <f>MATERIALES2!$E$674</f>
        <v>200</v>
      </c>
      <c r="G28" s="111">
        <f t="shared" si="0"/>
        <v>600</v>
      </c>
    </row>
    <row r="29" spans="1:8">
      <c r="A29" s="123"/>
      <c r="B29" s="854" t="str">
        <f>MATERIALES2!$C$626</f>
        <v>ADAPTADOR MACHO PRESION ½"</v>
      </c>
      <c r="C29" s="855"/>
      <c r="D29" s="37" t="s">
        <v>865</v>
      </c>
      <c r="E29" s="83">
        <v>3</v>
      </c>
      <c r="F29" s="82">
        <f>MATERIALES2!$E$626</f>
        <v>200</v>
      </c>
      <c r="G29" s="111">
        <f t="shared" si="0"/>
        <v>600</v>
      </c>
    </row>
    <row r="30" spans="1:8">
      <c r="A30" s="123"/>
      <c r="B30" s="854" t="str">
        <f>MATERIALES2!$C$585</f>
        <v>TUBO PVC PRESION 1/2" x 6.0 M</v>
      </c>
      <c r="C30" s="855"/>
      <c r="D30" s="37" t="s">
        <v>865</v>
      </c>
      <c r="E30" s="83">
        <v>0.17</v>
      </c>
      <c r="F30" s="82">
        <f>MATERIALES2!$E$585</f>
        <v>6000</v>
      </c>
      <c r="G30" s="111">
        <f t="shared" si="0"/>
        <v>1020</v>
      </c>
    </row>
    <row r="31" spans="1:8">
      <c r="A31" s="123"/>
      <c r="B31" s="854" t="str">
        <f>MATERIALES2!$C$704</f>
        <v>SOLDADURA PVC ¼</v>
      </c>
      <c r="C31" s="855"/>
      <c r="D31" s="37" t="s">
        <v>865</v>
      </c>
      <c r="E31" s="83">
        <v>0.01</v>
      </c>
      <c r="F31" s="82">
        <f>MATERIALES2!$E$704</f>
        <v>56298</v>
      </c>
      <c r="G31" s="111">
        <f t="shared" si="0"/>
        <v>563</v>
      </c>
    </row>
    <row r="32" spans="1:8">
      <c r="A32" s="123"/>
      <c r="B32" s="854" t="str">
        <f>MATERIALES2!$C$873</f>
        <v xml:space="preserve">TEFLON </v>
      </c>
      <c r="C32" s="855"/>
      <c r="D32" s="37" t="s">
        <v>865</v>
      </c>
      <c r="E32" s="83">
        <v>0.2</v>
      </c>
      <c r="F32" s="82">
        <f>MATERIALES2!$E$873</f>
        <v>500</v>
      </c>
      <c r="G32" s="111">
        <f>ROUND(E32*F32,0)</f>
        <v>100</v>
      </c>
      <c r="H32" s="505" t="s">
        <v>1670</v>
      </c>
    </row>
    <row r="33" spans="1:7" ht="13.5" thickBot="1">
      <c r="A33" s="123"/>
      <c r="B33" s="854" t="str">
        <f>MATERIALES2!$C$903</f>
        <v>LLAVE DE PASO 1/2"</v>
      </c>
      <c r="C33" s="855"/>
      <c r="D33" s="37" t="s">
        <v>865</v>
      </c>
      <c r="E33" s="83">
        <v>1</v>
      </c>
      <c r="F33" s="82">
        <f>MATERIALES2!$E$903</f>
        <v>10000</v>
      </c>
      <c r="G33" s="111">
        <f>ROUND(E33*F33,0)</f>
        <v>10000</v>
      </c>
    </row>
    <row r="34" spans="1:7" ht="13.5" thickTop="1">
      <c r="A34" s="95"/>
      <c r="B34" s="946"/>
      <c r="C34" s="947"/>
      <c r="D34" s="801" t="s">
        <v>856</v>
      </c>
      <c r="E34" s="802"/>
      <c r="F34" s="9"/>
      <c r="G34" s="113">
        <f>SUM(G25:G33)</f>
        <v>170258</v>
      </c>
    </row>
    <row r="35" spans="1:7">
      <c r="A35" s="95"/>
      <c r="B35" s="948"/>
      <c r="C35" s="949"/>
      <c r="D35" s="801" t="s">
        <v>857</v>
      </c>
      <c r="E35" s="802"/>
      <c r="F35" s="79">
        <f>'MANO DE OBRA'!$D$60</f>
        <v>0.05</v>
      </c>
      <c r="G35" s="113">
        <f>ROUND(G34*F35,0)</f>
        <v>8513</v>
      </c>
    </row>
    <row r="36" spans="1:7" ht="13.5" thickBot="1">
      <c r="A36" s="95"/>
      <c r="B36" s="948"/>
      <c r="C36" s="949"/>
      <c r="D36" s="803" t="s">
        <v>320</v>
      </c>
      <c r="E36" s="804"/>
      <c r="F36" s="114"/>
      <c r="G36" s="118">
        <f>+G34+G35</f>
        <v>178771</v>
      </c>
    </row>
    <row r="37" spans="1:7" ht="14.25" thickTop="1" thickBot="1">
      <c r="A37" s="95"/>
      <c r="B37" s="970"/>
      <c r="C37" s="970"/>
      <c r="D37" s="970"/>
      <c r="E37" s="970"/>
      <c r="F37" s="970"/>
      <c r="G37" s="970"/>
    </row>
    <row r="38" spans="1:7" ht="13.5" thickTop="1">
      <c r="A38" s="95"/>
      <c r="B38" s="950" t="s">
        <v>858</v>
      </c>
      <c r="C38" s="951"/>
      <c r="D38" s="951"/>
      <c r="E38" s="951"/>
      <c r="F38" s="951"/>
      <c r="G38" s="952"/>
    </row>
    <row r="39" spans="1:7">
      <c r="A39" s="95"/>
      <c r="B39" s="978"/>
      <c r="C39" s="979"/>
      <c r="D39" s="98" t="s">
        <v>301</v>
      </c>
      <c r="E39" s="98" t="s">
        <v>859</v>
      </c>
      <c r="F39" s="99" t="s">
        <v>839</v>
      </c>
      <c r="G39" s="107" t="s">
        <v>840</v>
      </c>
    </row>
    <row r="40" spans="1:7">
      <c r="A40" s="95"/>
      <c r="B40" s="982" t="s">
        <v>838</v>
      </c>
      <c r="C40" s="983"/>
      <c r="D40" s="100" t="s">
        <v>316</v>
      </c>
      <c r="E40" s="100" t="s">
        <v>315</v>
      </c>
      <c r="F40" s="101" t="s">
        <v>306</v>
      </c>
      <c r="G40" s="108" t="s">
        <v>319</v>
      </c>
    </row>
    <row r="41" spans="1:7">
      <c r="A41" s="95"/>
      <c r="B41" s="230"/>
      <c r="C41" s="102"/>
      <c r="D41" s="103"/>
      <c r="E41" s="103" t="s">
        <v>317</v>
      </c>
      <c r="F41" s="104" t="s">
        <v>318</v>
      </c>
      <c r="G41" s="109"/>
    </row>
    <row r="42" spans="1:7">
      <c r="A42" s="95"/>
      <c r="B42" s="841" t="str">
        <f>'MANO DE OBRA'!$B$11</f>
        <v>AYUDANTE CUAD. TIPO BB</v>
      </c>
      <c r="C42" s="842"/>
      <c r="D42" s="87">
        <v>1</v>
      </c>
      <c r="E42" s="80">
        <f>'MANO DE OBRA'!$E$11</f>
        <v>43077</v>
      </c>
      <c r="F42" s="81">
        <v>4</v>
      </c>
      <c r="G42" s="110">
        <f>ROUND(D42*E42/F42,0)</f>
        <v>10769</v>
      </c>
    </row>
    <row r="43" spans="1:7">
      <c r="A43" s="95"/>
      <c r="B43" s="854" t="str">
        <f>'MANO DE OBRA'!$B$16</f>
        <v>OFICIAL CUAD. TIPO BB</v>
      </c>
      <c r="C43" s="855"/>
      <c r="D43" s="37">
        <v>1</v>
      </c>
      <c r="E43" s="82">
        <f>'MANO DE OBRA'!$E$16</f>
        <v>78577</v>
      </c>
      <c r="F43" s="83">
        <v>4</v>
      </c>
      <c r="G43" s="111">
        <f>ROUND(D43*E43/F43,0)</f>
        <v>19644</v>
      </c>
    </row>
    <row r="44" spans="1:7">
      <c r="A44" s="95"/>
      <c r="B44" s="854"/>
      <c r="C44" s="855"/>
      <c r="D44" s="89"/>
      <c r="E44" s="82"/>
      <c r="F44" s="83"/>
      <c r="G44" s="111"/>
    </row>
    <row r="45" spans="1:7">
      <c r="A45" s="95"/>
      <c r="B45" s="854" t="s">
        <v>841</v>
      </c>
      <c r="C45" s="855"/>
      <c r="D45" s="37"/>
      <c r="E45" s="82"/>
      <c r="F45" s="83"/>
      <c r="G45" s="111"/>
    </row>
    <row r="46" spans="1:7" ht="13.5" thickBot="1">
      <c r="A46" s="95"/>
      <c r="B46" s="980" t="s">
        <v>841</v>
      </c>
      <c r="C46" s="981"/>
      <c r="D46" s="77"/>
      <c r="E46" s="82"/>
      <c r="F46" s="86"/>
      <c r="G46" s="112"/>
    </row>
    <row r="47" spans="1:7" ht="14.25" thickTop="1" thickBot="1">
      <c r="A47" s="95"/>
      <c r="B47" s="946"/>
      <c r="C47" s="946"/>
      <c r="D47" s="946"/>
      <c r="E47" s="947"/>
      <c r="F47" s="120" t="s">
        <v>856</v>
      </c>
      <c r="G47" s="118">
        <f>SUM(G42:G46)</f>
        <v>30413</v>
      </c>
    </row>
    <row r="48" spans="1:7" ht="14.25" thickTop="1" thickBot="1">
      <c r="A48" s="95"/>
      <c r="B48" s="970"/>
      <c r="C48" s="970"/>
      <c r="D48" s="970"/>
      <c r="E48" s="970"/>
      <c r="F48" s="970"/>
      <c r="G48" s="970"/>
    </row>
    <row r="49" spans="1:8" ht="13.5" thickTop="1">
      <c r="A49" s="95"/>
      <c r="B49" s="950" t="s">
        <v>321</v>
      </c>
      <c r="C49" s="951"/>
      <c r="D49" s="951"/>
      <c r="E49" s="951"/>
      <c r="F49" s="951"/>
      <c r="G49" s="952"/>
    </row>
    <row r="50" spans="1:8">
      <c r="A50" s="95"/>
      <c r="B50" s="978" t="s">
        <v>838</v>
      </c>
      <c r="C50" s="979"/>
      <c r="D50" s="98" t="s">
        <v>301</v>
      </c>
      <c r="E50" s="98" t="s">
        <v>297</v>
      </c>
      <c r="F50" s="99" t="s">
        <v>839</v>
      </c>
      <c r="G50" s="107" t="s">
        <v>840</v>
      </c>
    </row>
    <row r="51" spans="1:8">
      <c r="A51" s="95"/>
      <c r="B51" s="230"/>
      <c r="C51" s="102"/>
      <c r="D51" s="103" t="s">
        <v>322</v>
      </c>
      <c r="E51" s="103" t="s">
        <v>323</v>
      </c>
      <c r="F51" s="104" t="s">
        <v>324</v>
      </c>
      <c r="G51" s="109" t="s">
        <v>325</v>
      </c>
    </row>
    <row r="52" spans="1:8">
      <c r="A52" s="95"/>
      <c r="B52" s="841"/>
      <c r="C52" s="842"/>
      <c r="D52" s="96"/>
      <c r="E52" s="96"/>
      <c r="F52" s="96"/>
      <c r="G52" s="116"/>
    </row>
    <row r="53" spans="1:8" ht="13.5" thickBot="1">
      <c r="A53" s="95"/>
      <c r="B53" s="980" t="s">
        <v>841</v>
      </c>
      <c r="C53" s="981"/>
      <c r="D53" s="77"/>
      <c r="E53" s="82"/>
      <c r="F53" s="86"/>
      <c r="G53" s="112"/>
    </row>
    <row r="54" spans="1:8" ht="14.25" thickTop="1" thickBot="1">
      <c r="A54" s="95"/>
      <c r="B54" s="946"/>
      <c r="C54" s="946"/>
      <c r="D54" s="946"/>
      <c r="E54" s="947"/>
      <c r="F54" s="120" t="s">
        <v>856</v>
      </c>
      <c r="G54" s="118">
        <f>SUM(G49:G53)</f>
        <v>0</v>
      </c>
    </row>
    <row r="55" spans="1:8" ht="14.25" thickTop="1" thickBot="1">
      <c r="A55" s="95"/>
      <c r="B55" s="970"/>
      <c r="C55" s="970"/>
      <c r="D55" s="970"/>
      <c r="E55" s="970"/>
      <c r="F55" s="970"/>
      <c r="G55" s="943"/>
    </row>
    <row r="56" spans="1:8" ht="13.5" thickTop="1">
      <c r="A56" s="95"/>
      <c r="B56" s="950" t="s">
        <v>326</v>
      </c>
      <c r="C56" s="951"/>
      <c r="D56" s="951"/>
      <c r="E56" s="951"/>
      <c r="F56" s="971"/>
      <c r="G56" s="121">
        <f>+G20+G36+G47</f>
        <v>210705</v>
      </c>
    </row>
    <row r="57" spans="1:8">
      <c r="A57" s="95"/>
      <c r="B57" s="972" t="s">
        <v>861</v>
      </c>
      <c r="C57" s="973"/>
      <c r="D57" s="973"/>
      <c r="E57" s="974"/>
      <c r="F57" s="128">
        <f>'MANO DE OBRA'!$D$59</f>
        <v>0</v>
      </c>
      <c r="G57" s="122">
        <f>ROUND(G56*F57,0)</f>
        <v>0</v>
      </c>
    </row>
    <row r="58" spans="1:8" ht="13.5" thickBot="1">
      <c r="A58" s="95"/>
      <c r="B58" s="975" t="s">
        <v>1049</v>
      </c>
      <c r="C58" s="976"/>
      <c r="D58" s="976"/>
      <c r="E58" s="976"/>
      <c r="F58" s="977"/>
      <c r="G58" s="118">
        <f>ROUND(G56+G57,-2)</f>
        <v>210700</v>
      </c>
      <c r="H58" s="505" t="s">
        <v>1670</v>
      </c>
    </row>
    <row r="59" spans="1:8" ht="13.5" thickTop="1">
      <c r="A59" s="95"/>
      <c r="B59" s="225" t="s">
        <v>303</v>
      </c>
      <c r="C59" s="843"/>
      <c r="D59" s="843"/>
      <c r="E59" s="843"/>
      <c r="F59" s="92" t="s">
        <v>781</v>
      </c>
      <c r="G59" s="93" t="s">
        <v>865</v>
      </c>
    </row>
    <row r="60" spans="1:8">
      <c r="A60" s="95"/>
      <c r="B60" s="226" t="s">
        <v>834</v>
      </c>
      <c r="C60" s="844" t="s">
        <v>1474</v>
      </c>
      <c r="D60" s="844"/>
      <c r="E60" s="844"/>
      <c r="F60" s="15" t="s">
        <v>833</v>
      </c>
      <c r="G60" s="165" t="str">
        <f>'MANO DE OBRA'!D61</f>
        <v>Agosto de 2010</v>
      </c>
    </row>
    <row r="61" spans="1:8" ht="13.5" thickBot="1">
      <c r="A61" s="127"/>
      <c r="B61" s="228" t="s">
        <v>835</v>
      </c>
      <c r="C61" s="845" t="s">
        <v>1476</v>
      </c>
      <c r="D61" s="845"/>
      <c r="E61" s="845"/>
      <c r="F61" s="845"/>
      <c r="G61" s="846"/>
    </row>
    <row r="62" spans="1:8" ht="14.25" thickTop="1" thickBot="1">
      <c r="A62" s="95"/>
      <c r="B62" s="986"/>
      <c r="C62" s="986"/>
      <c r="D62" s="986"/>
      <c r="E62" s="986"/>
      <c r="F62" s="986"/>
      <c r="G62" s="986"/>
    </row>
    <row r="63" spans="1:8" ht="13.5" thickTop="1">
      <c r="A63" s="95"/>
      <c r="B63" s="950" t="s">
        <v>304</v>
      </c>
      <c r="C63" s="951"/>
      <c r="D63" s="951"/>
      <c r="E63" s="951"/>
      <c r="F63" s="951"/>
      <c r="G63" s="952"/>
    </row>
    <row r="64" spans="1:8">
      <c r="A64" s="95"/>
      <c r="B64" s="229"/>
      <c r="C64" s="97"/>
      <c r="D64" s="98" t="s">
        <v>301</v>
      </c>
      <c r="E64" s="98" t="s">
        <v>1072</v>
      </c>
      <c r="F64" s="99" t="s">
        <v>839</v>
      </c>
      <c r="G64" s="107" t="s">
        <v>840</v>
      </c>
    </row>
    <row r="65" spans="1:7">
      <c r="A65" s="95"/>
      <c r="B65" s="982" t="s">
        <v>838</v>
      </c>
      <c r="C65" s="983"/>
      <c r="D65" s="100" t="s">
        <v>308</v>
      </c>
      <c r="E65" s="100" t="s">
        <v>305</v>
      </c>
      <c r="F65" s="101" t="s">
        <v>306</v>
      </c>
      <c r="G65" s="108" t="s">
        <v>310</v>
      </c>
    </row>
    <row r="66" spans="1:7">
      <c r="A66" s="95"/>
      <c r="B66" s="230"/>
      <c r="C66" s="102"/>
      <c r="D66" s="103"/>
      <c r="E66" s="103" t="s">
        <v>309</v>
      </c>
      <c r="F66" s="104" t="s">
        <v>307</v>
      </c>
      <c r="G66" s="109"/>
    </row>
    <row r="67" spans="1:7">
      <c r="A67" s="127"/>
      <c r="B67" s="841" t="str">
        <f>'MAQUINARIA Y EQUIPOS'!$C$28</f>
        <v>HERRAMIENTAS MENORES</v>
      </c>
      <c r="C67" s="842"/>
      <c r="D67" s="87">
        <v>1</v>
      </c>
      <c r="E67" s="82">
        <f>ROUND(G100*0.05,0)</f>
        <v>1521</v>
      </c>
      <c r="F67" s="81">
        <v>1</v>
      </c>
      <c r="G67" s="110">
        <f>ROUND(D67*E67/F67,0)</f>
        <v>1521</v>
      </c>
    </row>
    <row r="68" spans="1:7">
      <c r="A68" s="95"/>
      <c r="B68" s="854"/>
      <c r="C68" s="855"/>
      <c r="D68" s="37"/>
      <c r="E68" s="129"/>
      <c r="F68" s="83"/>
      <c r="G68" s="111"/>
    </row>
    <row r="69" spans="1:7">
      <c r="A69" s="95"/>
      <c r="B69" s="854"/>
      <c r="C69" s="855"/>
      <c r="D69" s="37"/>
      <c r="E69" s="129"/>
      <c r="F69" s="83"/>
      <c r="G69" s="111"/>
    </row>
    <row r="70" spans="1:7">
      <c r="A70" s="95"/>
      <c r="B70" s="854"/>
      <c r="C70" s="855"/>
      <c r="D70" s="89"/>
      <c r="E70" s="82"/>
      <c r="F70" s="83"/>
      <c r="G70" s="111"/>
    </row>
    <row r="71" spans="1:7">
      <c r="A71" s="95"/>
      <c r="B71" s="854" t="s">
        <v>841</v>
      </c>
      <c r="C71" s="855"/>
      <c r="D71" s="37"/>
      <c r="E71" s="82"/>
      <c r="F71" s="83"/>
      <c r="G71" s="111"/>
    </row>
    <row r="72" spans="1:7" ht="13.5" thickBot="1">
      <c r="A72" s="95"/>
      <c r="B72" s="942" t="s">
        <v>841</v>
      </c>
      <c r="C72" s="943"/>
      <c r="D72" s="77"/>
      <c r="E72" s="106"/>
      <c r="F72" s="86"/>
      <c r="G72" s="112"/>
    </row>
    <row r="73" spans="1:7" ht="14.25" thickTop="1" thickBot="1">
      <c r="A73" s="95"/>
      <c r="B73" s="946"/>
      <c r="C73" s="946"/>
      <c r="D73" s="946"/>
      <c r="E73" s="947"/>
      <c r="F73" s="119" t="s">
        <v>856</v>
      </c>
      <c r="G73" s="118">
        <f>SUM(G67:G72)</f>
        <v>1521</v>
      </c>
    </row>
    <row r="74" spans="1:7" ht="14.25" thickTop="1" thickBot="1">
      <c r="A74" s="95"/>
      <c r="B74" s="970"/>
      <c r="C74" s="970"/>
      <c r="D74" s="970"/>
      <c r="E74" s="970"/>
      <c r="F74" s="970"/>
      <c r="G74" s="970"/>
    </row>
    <row r="75" spans="1:7" ht="13.5" thickTop="1">
      <c r="A75" s="95"/>
      <c r="B75" s="950" t="s">
        <v>311</v>
      </c>
      <c r="C75" s="951"/>
      <c r="D75" s="951"/>
      <c r="E75" s="951"/>
      <c r="F75" s="951"/>
      <c r="G75" s="952"/>
    </row>
    <row r="76" spans="1:7">
      <c r="A76" s="95"/>
      <c r="B76" s="978" t="s">
        <v>838</v>
      </c>
      <c r="C76" s="979"/>
      <c r="D76" s="98" t="s">
        <v>842</v>
      </c>
      <c r="E76" s="98" t="s">
        <v>853</v>
      </c>
      <c r="F76" s="99" t="s">
        <v>1047</v>
      </c>
      <c r="G76" s="107" t="s">
        <v>840</v>
      </c>
    </row>
    <row r="77" spans="1:7">
      <c r="A77" s="95"/>
      <c r="B77" s="230"/>
      <c r="C77" s="102"/>
      <c r="D77" s="100"/>
      <c r="E77" s="100" t="s">
        <v>312</v>
      </c>
      <c r="F77" s="101" t="s">
        <v>313</v>
      </c>
      <c r="G77" s="108" t="s">
        <v>314</v>
      </c>
    </row>
    <row r="78" spans="1:7">
      <c r="A78" s="125"/>
      <c r="B78" s="841" t="str">
        <f>MATERIALES2!$C$330</f>
        <v>SANITARIO NOVA</v>
      </c>
      <c r="C78" s="842"/>
      <c r="D78" s="87" t="s">
        <v>865</v>
      </c>
      <c r="E78" s="81">
        <v>1</v>
      </c>
      <c r="F78" s="80">
        <f>MATERIALES2!$E$330</f>
        <v>180000</v>
      </c>
      <c r="G78" s="110">
        <f t="shared" ref="G78:G85" si="1">ROUND(E78*F78,0)</f>
        <v>180000</v>
      </c>
    </row>
    <row r="79" spans="1:7">
      <c r="A79" s="123"/>
      <c r="B79" s="854" t="str">
        <f>MATERIALES2!$C$12</f>
        <v>CEMENTO BLANCO</v>
      </c>
      <c r="C79" s="855"/>
      <c r="D79" s="37" t="s">
        <v>925</v>
      </c>
      <c r="E79" s="83">
        <v>2.5</v>
      </c>
      <c r="F79" s="82">
        <f>MATERIALES2!$E$12</f>
        <v>750</v>
      </c>
      <c r="G79" s="111">
        <f t="shared" si="1"/>
        <v>1875</v>
      </c>
    </row>
    <row r="80" spans="1:7">
      <c r="A80" s="123"/>
      <c r="B80" s="854" t="str">
        <f>MATERIALES2!$C$700</f>
        <v>MANGUERA SANITARIOS</v>
      </c>
      <c r="C80" s="855"/>
      <c r="D80" s="37" t="s">
        <v>865</v>
      </c>
      <c r="E80" s="83">
        <v>1</v>
      </c>
      <c r="F80" s="82">
        <f>MATERIALES2!$E$700</f>
        <v>4500</v>
      </c>
      <c r="G80" s="111">
        <f t="shared" si="1"/>
        <v>4500</v>
      </c>
    </row>
    <row r="81" spans="1:8">
      <c r="A81" s="123"/>
      <c r="B81" s="854" t="str">
        <f>MATERIALES2!$C$674</f>
        <v>CODO PRESION ½"</v>
      </c>
      <c r="C81" s="855"/>
      <c r="D81" s="37" t="s">
        <v>865</v>
      </c>
      <c r="E81" s="83">
        <v>3</v>
      </c>
      <c r="F81" s="82">
        <f>MATERIALES2!$E$674</f>
        <v>200</v>
      </c>
      <c r="G81" s="111">
        <f t="shared" si="1"/>
        <v>600</v>
      </c>
    </row>
    <row r="82" spans="1:8">
      <c r="A82" s="123"/>
      <c r="B82" s="854" t="str">
        <f>MATERIALES2!$C$626</f>
        <v>ADAPTADOR MACHO PRESION ½"</v>
      </c>
      <c r="C82" s="855"/>
      <c r="D82" s="37" t="s">
        <v>865</v>
      </c>
      <c r="E82" s="83">
        <v>1</v>
      </c>
      <c r="F82" s="82">
        <f>MATERIALES2!$E$626</f>
        <v>200</v>
      </c>
      <c r="G82" s="111">
        <f t="shared" si="1"/>
        <v>200</v>
      </c>
    </row>
    <row r="83" spans="1:8">
      <c r="A83" s="123"/>
      <c r="B83" s="854" t="str">
        <f>MATERIALES2!$C$585</f>
        <v>TUBO PVC PRESION 1/2" x 6.0 M</v>
      </c>
      <c r="C83" s="855"/>
      <c r="D83" s="37" t="s">
        <v>865</v>
      </c>
      <c r="E83" s="83">
        <v>0.17</v>
      </c>
      <c r="F83" s="82">
        <f>MATERIALES2!$E$585</f>
        <v>6000</v>
      </c>
      <c r="G83" s="111">
        <f t="shared" si="1"/>
        <v>1020</v>
      </c>
    </row>
    <row r="84" spans="1:8">
      <c r="A84" s="123"/>
      <c r="B84" s="854" t="str">
        <f>MATERIALES2!$C$704</f>
        <v>SOLDADURA PVC ¼</v>
      </c>
      <c r="C84" s="855"/>
      <c r="D84" s="37" t="s">
        <v>865</v>
      </c>
      <c r="E84" s="83">
        <v>0.01</v>
      </c>
      <c r="F84" s="82">
        <f>MATERIALES2!$E$704</f>
        <v>56298</v>
      </c>
      <c r="G84" s="111">
        <f t="shared" si="1"/>
        <v>563</v>
      </c>
    </row>
    <row r="85" spans="1:8">
      <c r="A85" s="123"/>
      <c r="B85" s="854" t="str">
        <f>MATERIALES2!$C$873</f>
        <v xml:space="preserve">TEFLON </v>
      </c>
      <c r="C85" s="855"/>
      <c r="D85" s="37" t="s">
        <v>865</v>
      </c>
      <c r="E85" s="83">
        <v>0.2</v>
      </c>
      <c r="F85" s="82">
        <f>MATERIALES2!$E$873</f>
        <v>500</v>
      </c>
      <c r="G85" s="111">
        <f t="shared" si="1"/>
        <v>100</v>
      </c>
      <c r="H85" s="505" t="s">
        <v>1670</v>
      </c>
    </row>
    <row r="86" spans="1:8" ht="13.5" thickBot="1">
      <c r="A86" s="123"/>
      <c r="B86" s="854" t="str">
        <f>MATERIALES2!$C$903</f>
        <v>LLAVE DE PASO 1/2"</v>
      </c>
      <c r="C86" s="855"/>
      <c r="D86" s="37" t="s">
        <v>865</v>
      </c>
      <c r="E86" s="83">
        <v>1</v>
      </c>
      <c r="F86" s="82">
        <f>MATERIALES2!$E$903</f>
        <v>10000</v>
      </c>
      <c r="G86" s="111">
        <f>ROUND(E86*F86,0)</f>
        <v>10000</v>
      </c>
    </row>
    <row r="87" spans="1:8" ht="13.5" thickTop="1">
      <c r="A87" s="95"/>
      <c r="B87" s="946"/>
      <c r="C87" s="947"/>
      <c r="D87" s="801" t="s">
        <v>856</v>
      </c>
      <c r="E87" s="802"/>
      <c r="F87" s="9"/>
      <c r="G87" s="113">
        <f>SUM(G78:G86)</f>
        <v>198858</v>
      </c>
    </row>
    <row r="88" spans="1:8">
      <c r="A88" s="95"/>
      <c r="B88" s="948"/>
      <c r="C88" s="949"/>
      <c r="D88" s="801" t="s">
        <v>857</v>
      </c>
      <c r="E88" s="802"/>
      <c r="F88" s="79">
        <f>'MANO DE OBRA'!$D$60</f>
        <v>0.05</v>
      </c>
      <c r="G88" s="113">
        <f>ROUND(G87*F88,0)</f>
        <v>9943</v>
      </c>
    </row>
    <row r="89" spans="1:8" ht="13.5" thickBot="1">
      <c r="A89" s="95"/>
      <c r="B89" s="948"/>
      <c r="C89" s="949"/>
      <c r="D89" s="803" t="s">
        <v>320</v>
      </c>
      <c r="E89" s="804"/>
      <c r="F89" s="114"/>
      <c r="G89" s="118">
        <f>+G87+G88</f>
        <v>208801</v>
      </c>
    </row>
    <row r="90" spans="1:8" ht="14.25" thickTop="1" thickBot="1">
      <c r="A90" s="95"/>
      <c r="B90" s="970"/>
      <c r="C90" s="970"/>
      <c r="D90" s="970"/>
      <c r="E90" s="970"/>
      <c r="F90" s="970"/>
      <c r="G90" s="970"/>
    </row>
    <row r="91" spans="1:8" ht="13.5" thickTop="1">
      <c r="A91" s="95"/>
      <c r="B91" s="950" t="s">
        <v>858</v>
      </c>
      <c r="C91" s="951"/>
      <c r="D91" s="951"/>
      <c r="E91" s="951"/>
      <c r="F91" s="951"/>
      <c r="G91" s="952"/>
    </row>
    <row r="92" spans="1:8">
      <c r="A92" s="95"/>
      <c r="B92" s="978"/>
      <c r="C92" s="979"/>
      <c r="D92" s="98" t="s">
        <v>301</v>
      </c>
      <c r="E92" s="98" t="s">
        <v>859</v>
      </c>
      <c r="F92" s="99" t="s">
        <v>839</v>
      </c>
      <c r="G92" s="107" t="s">
        <v>840</v>
      </c>
    </row>
    <row r="93" spans="1:8">
      <c r="A93" s="95"/>
      <c r="B93" s="982" t="s">
        <v>838</v>
      </c>
      <c r="C93" s="983"/>
      <c r="D93" s="100" t="s">
        <v>316</v>
      </c>
      <c r="E93" s="100" t="s">
        <v>315</v>
      </c>
      <c r="F93" s="101" t="s">
        <v>306</v>
      </c>
      <c r="G93" s="108" t="s">
        <v>319</v>
      </c>
    </row>
    <row r="94" spans="1:8">
      <c r="A94" s="95"/>
      <c r="B94" s="230"/>
      <c r="C94" s="102"/>
      <c r="D94" s="103"/>
      <c r="E94" s="103" t="s">
        <v>317</v>
      </c>
      <c r="F94" s="104" t="s">
        <v>318</v>
      </c>
      <c r="G94" s="109"/>
    </row>
    <row r="95" spans="1:8">
      <c r="A95" s="95"/>
      <c r="B95" s="841" t="str">
        <f>'MANO DE OBRA'!$B$11</f>
        <v>AYUDANTE CUAD. TIPO BB</v>
      </c>
      <c r="C95" s="842"/>
      <c r="D95" s="87">
        <v>1</v>
      </c>
      <c r="E95" s="80">
        <f>'MANO DE OBRA'!$E$11</f>
        <v>43077</v>
      </c>
      <c r="F95" s="81">
        <v>4</v>
      </c>
      <c r="G95" s="110">
        <f>ROUND(D95*E95/F95,0)</f>
        <v>10769</v>
      </c>
    </row>
    <row r="96" spans="1:8">
      <c r="A96" s="95"/>
      <c r="B96" s="854" t="str">
        <f>'MANO DE OBRA'!$B$16</f>
        <v>OFICIAL CUAD. TIPO BB</v>
      </c>
      <c r="C96" s="855"/>
      <c r="D96" s="37">
        <v>1</v>
      </c>
      <c r="E96" s="82">
        <f>'MANO DE OBRA'!$E$16</f>
        <v>78577</v>
      </c>
      <c r="F96" s="83">
        <v>4</v>
      </c>
      <c r="G96" s="111">
        <f>ROUND(D96*E96/F96,0)</f>
        <v>19644</v>
      </c>
    </row>
    <row r="97" spans="1:8">
      <c r="A97" s="95"/>
      <c r="B97" s="854"/>
      <c r="C97" s="855"/>
      <c r="D97" s="89"/>
      <c r="E97" s="82"/>
      <c r="F97" s="83"/>
      <c r="G97" s="111"/>
    </row>
    <row r="98" spans="1:8">
      <c r="A98" s="95"/>
      <c r="B98" s="854" t="s">
        <v>841</v>
      </c>
      <c r="C98" s="855"/>
      <c r="D98" s="37"/>
      <c r="E98" s="82"/>
      <c r="F98" s="83"/>
      <c r="G98" s="111"/>
    </row>
    <row r="99" spans="1:8" ht="13.5" thickBot="1">
      <c r="A99" s="95"/>
      <c r="B99" s="980" t="s">
        <v>841</v>
      </c>
      <c r="C99" s="981"/>
      <c r="D99" s="77"/>
      <c r="E99" s="82"/>
      <c r="F99" s="86"/>
      <c r="G99" s="112"/>
    </row>
    <row r="100" spans="1:8" ht="14.25" thickTop="1" thickBot="1">
      <c r="A100" s="95"/>
      <c r="B100" s="946"/>
      <c r="C100" s="946"/>
      <c r="D100" s="946"/>
      <c r="E100" s="947"/>
      <c r="F100" s="120" t="s">
        <v>856</v>
      </c>
      <c r="G100" s="118">
        <f>SUM(G95:G99)</f>
        <v>30413</v>
      </c>
    </row>
    <row r="101" spans="1:8" ht="14.25" thickTop="1" thickBot="1">
      <c r="A101" s="95"/>
      <c r="B101" s="970"/>
      <c r="C101" s="970"/>
      <c r="D101" s="970"/>
      <c r="E101" s="970"/>
      <c r="F101" s="970"/>
      <c r="G101" s="970"/>
    </row>
    <row r="102" spans="1:8" ht="13.5" thickTop="1">
      <c r="A102" s="95"/>
      <c r="B102" s="950" t="s">
        <v>321</v>
      </c>
      <c r="C102" s="951"/>
      <c r="D102" s="951"/>
      <c r="E102" s="951"/>
      <c r="F102" s="951"/>
      <c r="G102" s="952"/>
    </row>
    <row r="103" spans="1:8">
      <c r="A103" s="95"/>
      <c r="B103" s="978" t="s">
        <v>838</v>
      </c>
      <c r="C103" s="979"/>
      <c r="D103" s="98" t="s">
        <v>301</v>
      </c>
      <c r="E103" s="98" t="s">
        <v>297</v>
      </c>
      <c r="F103" s="99" t="s">
        <v>839</v>
      </c>
      <c r="G103" s="107" t="s">
        <v>840</v>
      </c>
    </row>
    <row r="104" spans="1:8">
      <c r="A104" s="95"/>
      <c r="B104" s="230"/>
      <c r="C104" s="102"/>
      <c r="D104" s="103" t="s">
        <v>322</v>
      </c>
      <c r="E104" s="103" t="s">
        <v>323</v>
      </c>
      <c r="F104" s="104" t="s">
        <v>324</v>
      </c>
      <c r="G104" s="109" t="s">
        <v>325</v>
      </c>
    </row>
    <row r="105" spans="1:8">
      <c r="A105" s="95"/>
      <c r="B105" s="841"/>
      <c r="C105" s="842"/>
      <c r="D105" s="96"/>
      <c r="E105" s="96"/>
      <c r="F105" s="96"/>
      <c r="G105" s="116"/>
    </row>
    <row r="106" spans="1:8" ht="13.5" thickBot="1">
      <c r="A106" s="95"/>
      <c r="B106" s="980" t="s">
        <v>841</v>
      </c>
      <c r="C106" s="981"/>
      <c r="D106" s="77"/>
      <c r="E106" s="82"/>
      <c r="F106" s="86"/>
      <c r="G106" s="112"/>
    </row>
    <row r="107" spans="1:8" ht="14.25" thickTop="1" thickBot="1">
      <c r="A107" s="95"/>
      <c r="B107" s="946"/>
      <c r="C107" s="946"/>
      <c r="D107" s="946"/>
      <c r="E107" s="947"/>
      <c r="F107" s="120" t="s">
        <v>856</v>
      </c>
      <c r="G107" s="118">
        <f>SUM(G102:G106)</f>
        <v>0</v>
      </c>
    </row>
    <row r="108" spans="1:8" ht="14.25" thickTop="1" thickBot="1">
      <c r="A108" s="95"/>
      <c r="B108" s="970"/>
      <c r="C108" s="970"/>
      <c r="D108" s="970"/>
      <c r="E108" s="970"/>
      <c r="F108" s="970"/>
      <c r="G108" s="943"/>
    </row>
    <row r="109" spans="1:8" ht="13.5" thickTop="1">
      <c r="A109" s="95"/>
      <c r="B109" s="950" t="s">
        <v>326</v>
      </c>
      <c r="C109" s="951"/>
      <c r="D109" s="951"/>
      <c r="E109" s="951"/>
      <c r="F109" s="971"/>
      <c r="G109" s="121">
        <f>+G73+G89+G100</f>
        <v>240735</v>
      </c>
    </row>
    <row r="110" spans="1:8">
      <c r="A110" s="95"/>
      <c r="B110" s="972" t="s">
        <v>861</v>
      </c>
      <c r="C110" s="973"/>
      <c r="D110" s="973"/>
      <c r="E110" s="974"/>
      <c r="F110" s="128">
        <f>'MANO DE OBRA'!$D$59</f>
        <v>0</v>
      </c>
      <c r="G110" s="122">
        <f>ROUND(G109*F110,0)</f>
        <v>0</v>
      </c>
    </row>
    <row r="111" spans="1:8" ht="13.5" thickBot="1">
      <c r="A111" s="95"/>
      <c r="B111" s="975" t="s">
        <v>1049</v>
      </c>
      <c r="C111" s="976"/>
      <c r="D111" s="976"/>
      <c r="E111" s="976"/>
      <c r="F111" s="977"/>
      <c r="G111" s="118">
        <f>ROUND(G109+G110,-2)</f>
        <v>240700</v>
      </c>
      <c r="H111" s="505" t="s">
        <v>1670</v>
      </c>
    </row>
    <row r="112" spans="1:8" ht="13.5" thickTop="1">
      <c r="A112" s="95"/>
      <c r="B112" s="225" t="s">
        <v>303</v>
      </c>
      <c r="C112" s="843"/>
      <c r="D112" s="843"/>
      <c r="E112" s="843"/>
      <c r="F112" s="92" t="s">
        <v>781</v>
      </c>
      <c r="G112" s="93" t="s">
        <v>865</v>
      </c>
    </row>
    <row r="113" spans="1:7">
      <c r="A113" s="95"/>
      <c r="B113" s="226" t="s">
        <v>834</v>
      </c>
      <c r="C113" s="844" t="s">
        <v>1474</v>
      </c>
      <c r="D113" s="844"/>
      <c r="E113" s="844"/>
      <c r="F113" s="15" t="s">
        <v>833</v>
      </c>
      <c r="G113" s="165" t="str">
        <f>'MANO DE OBRA'!D61</f>
        <v>Agosto de 2010</v>
      </c>
    </row>
    <row r="114" spans="1:7" ht="13.5" thickBot="1">
      <c r="A114" s="127"/>
      <c r="B114" s="228" t="s">
        <v>835</v>
      </c>
      <c r="C114" s="845" t="s">
        <v>1477</v>
      </c>
      <c r="D114" s="845"/>
      <c r="E114" s="845"/>
      <c r="F114" s="845"/>
      <c r="G114" s="846"/>
    </row>
    <row r="115" spans="1:7" ht="14.25" thickTop="1" thickBot="1">
      <c r="A115" s="95"/>
      <c r="B115" s="986"/>
      <c r="C115" s="986"/>
      <c r="D115" s="986"/>
      <c r="E115" s="986"/>
      <c r="F115" s="986"/>
      <c r="G115" s="986"/>
    </row>
    <row r="116" spans="1:7" ht="13.5" thickTop="1">
      <c r="A116" s="95"/>
      <c r="B116" s="950" t="s">
        <v>304</v>
      </c>
      <c r="C116" s="951"/>
      <c r="D116" s="951"/>
      <c r="E116" s="951"/>
      <c r="F116" s="951"/>
      <c r="G116" s="952"/>
    </row>
    <row r="117" spans="1:7">
      <c r="A117" s="95"/>
      <c r="B117" s="229"/>
      <c r="C117" s="97"/>
      <c r="D117" s="98" t="s">
        <v>301</v>
      </c>
      <c r="E117" s="98" t="s">
        <v>1072</v>
      </c>
      <c r="F117" s="99" t="s">
        <v>839</v>
      </c>
      <c r="G117" s="107" t="s">
        <v>840</v>
      </c>
    </row>
    <row r="118" spans="1:7">
      <c r="A118" s="95"/>
      <c r="B118" s="982" t="s">
        <v>838</v>
      </c>
      <c r="C118" s="983"/>
      <c r="D118" s="100" t="s">
        <v>308</v>
      </c>
      <c r="E118" s="100" t="s">
        <v>305</v>
      </c>
      <c r="F118" s="101" t="s">
        <v>306</v>
      </c>
      <c r="G118" s="108" t="s">
        <v>310</v>
      </c>
    </row>
    <row r="119" spans="1:7">
      <c r="A119" s="95"/>
      <c r="B119" s="230"/>
      <c r="C119" s="102"/>
      <c r="D119" s="103"/>
      <c r="E119" s="103" t="s">
        <v>309</v>
      </c>
      <c r="F119" s="104" t="s">
        <v>307</v>
      </c>
      <c r="G119" s="109"/>
    </row>
    <row r="120" spans="1:7">
      <c r="A120" s="127"/>
      <c r="B120" s="841" t="str">
        <f>'MAQUINARIA Y EQUIPOS'!$C$28</f>
        <v>HERRAMIENTAS MENORES</v>
      </c>
      <c r="C120" s="842"/>
      <c r="D120" s="87">
        <v>1</v>
      </c>
      <c r="E120" s="82">
        <f>ROUND(G153*0.05,0)</f>
        <v>1217</v>
      </c>
      <c r="F120" s="81">
        <v>1</v>
      </c>
      <c r="G120" s="110">
        <f>ROUND(D120*E120/F120,0)</f>
        <v>1217</v>
      </c>
    </row>
    <row r="121" spans="1:7">
      <c r="A121" s="95"/>
      <c r="B121" s="854"/>
      <c r="C121" s="855"/>
      <c r="D121" s="37"/>
      <c r="E121" s="129"/>
      <c r="F121" s="83"/>
      <c r="G121" s="111"/>
    </row>
    <row r="122" spans="1:7">
      <c r="A122" s="95"/>
      <c r="B122" s="854"/>
      <c r="C122" s="855"/>
      <c r="D122" s="37"/>
      <c r="E122" s="129"/>
      <c r="F122" s="83"/>
      <c r="G122" s="111"/>
    </row>
    <row r="123" spans="1:7">
      <c r="A123" s="95"/>
      <c r="B123" s="854"/>
      <c r="C123" s="855"/>
      <c r="D123" s="89"/>
      <c r="E123" s="82"/>
      <c r="F123" s="83"/>
      <c r="G123" s="111"/>
    </row>
    <row r="124" spans="1:7">
      <c r="A124" s="95"/>
      <c r="B124" s="854" t="s">
        <v>841</v>
      </c>
      <c r="C124" s="855"/>
      <c r="D124" s="37"/>
      <c r="E124" s="82"/>
      <c r="F124" s="83"/>
      <c r="G124" s="111"/>
    </row>
    <row r="125" spans="1:7" ht="13.5" thickBot="1">
      <c r="A125" s="95"/>
      <c r="B125" s="942" t="s">
        <v>841</v>
      </c>
      <c r="C125" s="943"/>
      <c r="D125" s="77"/>
      <c r="E125" s="106"/>
      <c r="F125" s="86"/>
      <c r="G125" s="112"/>
    </row>
    <row r="126" spans="1:7" ht="14.25" thickTop="1" thickBot="1">
      <c r="A126" s="95"/>
      <c r="B126" s="946"/>
      <c r="C126" s="946"/>
      <c r="D126" s="946"/>
      <c r="E126" s="947"/>
      <c r="F126" s="119" t="s">
        <v>856</v>
      </c>
      <c r="G126" s="118">
        <f>SUM(G120:G125)</f>
        <v>1217</v>
      </c>
    </row>
    <row r="127" spans="1:7" ht="14.25" thickTop="1" thickBot="1">
      <c r="A127" s="95"/>
      <c r="B127" s="970"/>
      <c r="C127" s="970"/>
      <c r="D127" s="970"/>
      <c r="E127" s="970"/>
      <c r="F127" s="970"/>
      <c r="G127" s="970"/>
    </row>
    <row r="128" spans="1:7" ht="13.5" thickTop="1">
      <c r="A128" s="95"/>
      <c r="B128" s="950" t="s">
        <v>311</v>
      </c>
      <c r="C128" s="951"/>
      <c r="D128" s="951"/>
      <c r="E128" s="951"/>
      <c r="F128" s="951"/>
      <c r="G128" s="952"/>
    </row>
    <row r="129" spans="1:8">
      <c r="A129" s="95"/>
      <c r="B129" s="978" t="s">
        <v>838</v>
      </c>
      <c r="C129" s="979"/>
      <c r="D129" s="98" t="s">
        <v>842</v>
      </c>
      <c r="E129" s="98" t="s">
        <v>853</v>
      </c>
      <c r="F129" s="99" t="s">
        <v>1047</v>
      </c>
      <c r="G129" s="107" t="s">
        <v>840</v>
      </c>
    </row>
    <row r="130" spans="1:8">
      <c r="A130" s="95"/>
      <c r="B130" s="230"/>
      <c r="C130" s="102"/>
      <c r="D130" s="100"/>
      <c r="E130" s="100" t="s">
        <v>312</v>
      </c>
      <c r="F130" s="101" t="s">
        <v>313</v>
      </c>
      <c r="G130" s="108" t="s">
        <v>314</v>
      </c>
    </row>
    <row r="131" spans="1:8">
      <c r="A131" s="125"/>
      <c r="B131" s="841" t="str">
        <f>MATERIALES2!$C$328</f>
        <v>SANITARIO TIFFANY</v>
      </c>
      <c r="C131" s="842"/>
      <c r="D131" s="87" t="s">
        <v>865</v>
      </c>
      <c r="E131" s="81">
        <v>1</v>
      </c>
      <c r="F131" s="80">
        <f>MATERIALES2!$E$328</f>
        <v>263500</v>
      </c>
      <c r="G131" s="110">
        <f t="shared" ref="G131:G138" si="2">ROUND(E131*F131,0)</f>
        <v>263500</v>
      </c>
    </row>
    <row r="132" spans="1:8">
      <c r="A132" s="123"/>
      <c r="B132" s="854" t="str">
        <f>MATERIALES2!$C$12</f>
        <v>CEMENTO BLANCO</v>
      </c>
      <c r="C132" s="855"/>
      <c r="D132" s="37" t="s">
        <v>925</v>
      </c>
      <c r="E132" s="83">
        <v>2.5</v>
      </c>
      <c r="F132" s="82">
        <f>MATERIALES2!$E$12</f>
        <v>750</v>
      </c>
      <c r="G132" s="111">
        <f t="shared" si="2"/>
        <v>1875</v>
      </c>
    </row>
    <row r="133" spans="1:8">
      <c r="A133" s="123"/>
      <c r="B133" s="854" t="str">
        <f>MATERIALES2!$C$700</f>
        <v>MANGUERA SANITARIOS</v>
      </c>
      <c r="C133" s="855"/>
      <c r="D133" s="37" t="s">
        <v>865</v>
      </c>
      <c r="E133" s="83">
        <v>1</v>
      </c>
      <c r="F133" s="82">
        <f>MATERIALES2!$E$700</f>
        <v>4500</v>
      </c>
      <c r="G133" s="111">
        <f t="shared" si="2"/>
        <v>4500</v>
      </c>
    </row>
    <row r="134" spans="1:8">
      <c r="A134" s="123"/>
      <c r="B134" s="854" t="str">
        <f>MATERIALES2!$C$674</f>
        <v>CODO PRESION ½"</v>
      </c>
      <c r="C134" s="855"/>
      <c r="D134" s="37" t="s">
        <v>865</v>
      </c>
      <c r="E134" s="83">
        <v>3</v>
      </c>
      <c r="F134" s="82">
        <f>MATERIALES2!$E$674</f>
        <v>200</v>
      </c>
      <c r="G134" s="111">
        <f t="shared" si="2"/>
        <v>600</v>
      </c>
    </row>
    <row r="135" spans="1:8">
      <c r="A135" s="123"/>
      <c r="B135" s="854" t="str">
        <f>MATERIALES2!$C$626</f>
        <v>ADAPTADOR MACHO PRESION ½"</v>
      </c>
      <c r="C135" s="855"/>
      <c r="D135" s="37" t="s">
        <v>865</v>
      </c>
      <c r="E135" s="83">
        <v>1</v>
      </c>
      <c r="F135" s="82">
        <f>MATERIALES2!$E$626</f>
        <v>200</v>
      </c>
      <c r="G135" s="111">
        <f t="shared" si="2"/>
        <v>200</v>
      </c>
    </row>
    <row r="136" spans="1:8">
      <c r="A136" s="123"/>
      <c r="B136" s="854" t="str">
        <f>MATERIALES2!$C$585</f>
        <v>TUBO PVC PRESION 1/2" x 6.0 M</v>
      </c>
      <c r="C136" s="855"/>
      <c r="D136" s="37" t="s">
        <v>865</v>
      </c>
      <c r="E136" s="83">
        <v>0.17</v>
      </c>
      <c r="F136" s="82">
        <f>MATERIALES2!$E$585</f>
        <v>6000</v>
      </c>
      <c r="G136" s="111">
        <f t="shared" si="2"/>
        <v>1020</v>
      </c>
    </row>
    <row r="137" spans="1:8">
      <c r="A137" s="123"/>
      <c r="B137" s="854" t="str">
        <f>MATERIALES2!$C$704</f>
        <v>SOLDADURA PVC ¼</v>
      </c>
      <c r="C137" s="855"/>
      <c r="D137" s="37" t="s">
        <v>865</v>
      </c>
      <c r="E137" s="83">
        <v>0.01</v>
      </c>
      <c r="F137" s="82">
        <f>MATERIALES2!$E$704</f>
        <v>56298</v>
      </c>
      <c r="G137" s="111">
        <f t="shared" si="2"/>
        <v>563</v>
      </c>
    </row>
    <row r="138" spans="1:8">
      <c r="A138" s="123"/>
      <c r="B138" s="854" t="str">
        <f>MATERIALES2!$C$873</f>
        <v xml:space="preserve">TEFLON </v>
      </c>
      <c r="C138" s="855"/>
      <c r="D138" s="37" t="s">
        <v>865</v>
      </c>
      <c r="E138" s="83">
        <v>0.2</v>
      </c>
      <c r="F138" s="82">
        <f>MATERIALES2!$E$873</f>
        <v>500</v>
      </c>
      <c r="G138" s="111">
        <f t="shared" si="2"/>
        <v>100</v>
      </c>
      <c r="H138" s="505" t="s">
        <v>1670</v>
      </c>
    </row>
    <row r="139" spans="1:8" ht="13.5" thickBot="1">
      <c r="A139" s="123"/>
      <c r="B139" s="854" t="str">
        <f>MATERIALES2!$C$903</f>
        <v>LLAVE DE PASO 1/2"</v>
      </c>
      <c r="C139" s="855"/>
      <c r="D139" s="37" t="s">
        <v>865</v>
      </c>
      <c r="E139" s="83">
        <v>1</v>
      </c>
      <c r="F139" s="82">
        <f>MATERIALES2!$E$903</f>
        <v>10000</v>
      </c>
      <c r="G139" s="111">
        <f>ROUND(E139*F139,0)</f>
        <v>10000</v>
      </c>
    </row>
    <row r="140" spans="1:8" ht="13.5" thickTop="1">
      <c r="A140" s="95"/>
      <c r="B140" s="946"/>
      <c r="C140" s="947"/>
      <c r="D140" s="801" t="s">
        <v>856</v>
      </c>
      <c r="E140" s="802"/>
      <c r="F140" s="9"/>
      <c r="G140" s="113">
        <f>SUM(G131:G139)</f>
        <v>282358</v>
      </c>
    </row>
    <row r="141" spans="1:8">
      <c r="A141" s="95"/>
      <c r="B141" s="948"/>
      <c r="C141" s="949"/>
      <c r="D141" s="801" t="s">
        <v>857</v>
      </c>
      <c r="E141" s="802"/>
      <c r="F141" s="79">
        <f>'MANO DE OBRA'!$D$60</f>
        <v>0.05</v>
      </c>
      <c r="G141" s="113">
        <f>ROUND(G140*F141,0)</f>
        <v>14118</v>
      </c>
    </row>
    <row r="142" spans="1:8" ht="13.5" thickBot="1">
      <c r="A142" s="95"/>
      <c r="B142" s="948"/>
      <c r="C142" s="949"/>
      <c r="D142" s="803" t="s">
        <v>320</v>
      </c>
      <c r="E142" s="804"/>
      <c r="F142" s="114"/>
      <c r="G142" s="118">
        <f>+G140+G141</f>
        <v>296476</v>
      </c>
    </row>
    <row r="143" spans="1:8" ht="14.25" thickTop="1" thickBot="1">
      <c r="A143" s="95"/>
      <c r="B143" s="970"/>
      <c r="C143" s="970"/>
      <c r="D143" s="970"/>
      <c r="E143" s="970"/>
      <c r="F143" s="970"/>
      <c r="G143" s="970"/>
    </row>
    <row r="144" spans="1:8" ht="13.5" thickTop="1">
      <c r="A144" s="95"/>
      <c r="B144" s="950" t="s">
        <v>858</v>
      </c>
      <c r="C144" s="951"/>
      <c r="D144" s="951"/>
      <c r="E144" s="951"/>
      <c r="F144" s="951"/>
      <c r="G144" s="952"/>
    </row>
    <row r="145" spans="1:7">
      <c r="A145" s="95"/>
      <c r="B145" s="978"/>
      <c r="C145" s="979"/>
      <c r="D145" s="98" t="s">
        <v>301</v>
      </c>
      <c r="E145" s="98" t="s">
        <v>859</v>
      </c>
      <c r="F145" s="99" t="s">
        <v>839</v>
      </c>
      <c r="G145" s="107" t="s">
        <v>840</v>
      </c>
    </row>
    <row r="146" spans="1:7">
      <c r="A146" s="95"/>
      <c r="B146" s="982" t="s">
        <v>838</v>
      </c>
      <c r="C146" s="983"/>
      <c r="D146" s="100" t="s">
        <v>316</v>
      </c>
      <c r="E146" s="100" t="s">
        <v>315</v>
      </c>
      <c r="F146" s="101" t="s">
        <v>306</v>
      </c>
      <c r="G146" s="108" t="s">
        <v>319</v>
      </c>
    </row>
    <row r="147" spans="1:7">
      <c r="A147" s="95"/>
      <c r="B147" s="230"/>
      <c r="C147" s="102"/>
      <c r="D147" s="103"/>
      <c r="E147" s="103" t="s">
        <v>317</v>
      </c>
      <c r="F147" s="104" t="s">
        <v>318</v>
      </c>
      <c r="G147" s="109"/>
    </row>
    <row r="148" spans="1:7">
      <c r="A148" s="95"/>
      <c r="B148" s="841" t="str">
        <f>'MANO DE OBRA'!$B$11</f>
        <v>AYUDANTE CUAD. TIPO BB</v>
      </c>
      <c r="C148" s="842"/>
      <c r="D148" s="87">
        <v>1</v>
      </c>
      <c r="E148" s="80">
        <f>'MANO DE OBRA'!$E$11</f>
        <v>43077</v>
      </c>
      <c r="F148" s="81">
        <v>5</v>
      </c>
      <c r="G148" s="110">
        <f>ROUND(D148*E148/F148,0)</f>
        <v>8615</v>
      </c>
    </row>
    <row r="149" spans="1:7">
      <c r="A149" s="95"/>
      <c r="B149" s="854" t="str">
        <f>'MANO DE OBRA'!$B$16</f>
        <v>OFICIAL CUAD. TIPO BB</v>
      </c>
      <c r="C149" s="855"/>
      <c r="D149" s="37">
        <v>1</v>
      </c>
      <c r="E149" s="82">
        <f>'MANO DE OBRA'!$E$16</f>
        <v>78577</v>
      </c>
      <c r="F149" s="83">
        <v>5</v>
      </c>
      <c r="G149" s="111">
        <f>ROUND(D149*E149/F149,0)</f>
        <v>15715</v>
      </c>
    </row>
    <row r="150" spans="1:7">
      <c r="A150" s="95"/>
      <c r="B150" s="854"/>
      <c r="C150" s="855"/>
      <c r="D150" s="89"/>
      <c r="E150" s="82"/>
      <c r="F150" s="83"/>
      <c r="G150" s="111"/>
    </row>
    <row r="151" spans="1:7">
      <c r="A151" s="95"/>
      <c r="B151" s="854" t="s">
        <v>841</v>
      </c>
      <c r="C151" s="855"/>
      <c r="D151" s="37"/>
      <c r="E151" s="82"/>
      <c r="F151" s="83"/>
      <c r="G151" s="111"/>
    </row>
    <row r="152" spans="1:7" ht="13.5" thickBot="1">
      <c r="A152" s="95"/>
      <c r="B152" s="980" t="s">
        <v>841</v>
      </c>
      <c r="C152" s="981"/>
      <c r="D152" s="77"/>
      <c r="E152" s="82"/>
      <c r="F152" s="86"/>
      <c r="G152" s="112"/>
    </row>
    <row r="153" spans="1:7" ht="14.25" thickTop="1" thickBot="1">
      <c r="A153" s="95"/>
      <c r="B153" s="946"/>
      <c r="C153" s="946"/>
      <c r="D153" s="946"/>
      <c r="E153" s="947"/>
      <c r="F153" s="120" t="s">
        <v>856</v>
      </c>
      <c r="G153" s="118">
        <f>SUM(G148:G152)</f>
        <v>24330</v>
      </c>
    </row>
    <row r="154" spans="1:7" ht="14.25" thickTop="1" thickBot="1">
      <c r="A154" s="95"/>
      <c r="B154" s="970"/>
      <c r="C154" s="970"/>
      <c r="D154" s="970"/>
      <c r="E154" s="970"/>
      <c r="F154" s="970"/>
      <c r="G154" s="970"/>
    </row>
    <row r="155" spans="1:7" ht="13.5" thickTop="1">
      <c r="A155" s="95"/>
      <c r="B155" s="950" t="s">
        <v>321</v>
      </c>
      <c r="C155" s="951"/>
      <c r="D155" s="951"/>
      <c r="E155" s="951"/>
      <c r="F155" s="951"/>
      <c r="G155" s="952"/>
    </row>
    <row r="156" spans="1:7">
      <c r="A156" s="95"/>
      <c r="B156" s="978" t="s">
        <v>838</v>
      </c>
      <c r="C156" s="979"/>
      <c r="D156" s="98" t="s">
        <v>301</v>
      </c>
      <c r="E156" s="98" t="s">
        <v>297</v>
      </c>
      <c r="F156" s="99" t="s">
        <v>839</v>
      </c>
      <c r="G156" s="107" t="s">
        <v>840</v>
      </c>
    </row>
    <row r="157" spans="1:7">
      <c r="A157" s="95"/>
      <c r="B157" s="230"/>
      <c r="C157" s="102"/>
      <c r="D157" s="103" t="s">
        <v>322</v>
      </c>
      <c r="E157" s="103" t="s">
        <v>323</v>
      </c>
      <c r="F157" s="104" t="s">
        <v>324</v>
      </c>
      <c r="G157" s="109" t="s">
        <v>325</v>
      </c>
    </row>
    <row r="158" spans="1:7">
      <c r="A158" s="95"/>
      <c r="B158" s="841"/>
      <c r="C158" s="842"/>
      <c r="D158" s="96"/>
      <c r="E158" s="96"/>
      <c r="F158" s="96"/>
      <c r="G158" s="116"/>
    </row>
    <row r="159" spans="1:7" ht="13.5" thickBot="1">
      <c r="A159" s="95"/>
      <c r="B159" s="980" t="s">
        <v>841</v>
      </c>
      <c r="C159" s="981"/>
      <c r="D159" s="77"/>
      <c r="E159" s="82"/>
      <c r="F159" s="86"/>
      <c r="G159" s="112"/>
    </row>
    <row r="160" spans="1:7" ht="14.25" thickTop="1" thickBot="1">
      <c r="A160" s="95"/>
      <c r="B160" s="946"/>
      <c r="C160" s="946"/>
      <c r="D160" s="946"/>
      <c r="E160" s="947"/>
      <c r="F160" s="120" t="s">
        <v>856</v>
      </c>
      <c r="G160" s="118">
        <f>SUM(G155:G159)</f>
        <v>0</v>
      </c>
    </row>
    <row r="161" spans="1:8" ht="14.25" thickTop="1" thickBot="1">
      <c r="A161" s="95"/>
      <c r="B161" s="970"/>
      <c r="C161" s="970"/>
      <c r="D161" s="970"/>
      <c r="E161" s="970"/>
      <c r="F161" s="970"/>
      <c r="G161" s="943"/>
    </row>
    <row r="162" spans="1:8" ht="13.5" thickTop="1">
      <c r="A162" s="95"/>
      <c r="B162" s="950" t="s">
        <v>326</v>
      </c>
      <c r="C162" s="951"/>
      <c r="D162" s="951"/>
      <c r="E162" s="951"/>
      <c r="F162" s="971"/>
      <c r="G162" s="121">
        <f>+G126+G142+G153</f>
        <v>322023</v>
      </c>
    </row>
    <row r="163" spans="1:8">
      <c r="A163" s="95"/>
      <c r="B163" s="972" t="s">
        <v>861</v>
      </c>
      <c r="C163" s="973"/>
      <c r="D163" s="973"/>
      <c r="E163" s="974"/>
      <c r="F163" s="128">
        <f>'MANO DE OBRA'!$D$59</f>
        <v>0</v>
      </c>
      <c r="G163" s="122">
        <f>ROUND(G162*F163,0)</f>
        <v>0</v>
      </c>
    </row>
    <row r="164" spans="1:8" ht="13.5" thickBot="1">
      <c r="A164" s="95"/>
      <c r="B164" s="975" t="s">
        <v>1049</v>
      </c>
      <c r="C164" s="976"/>
      <c r="D164" s="976"/>
      <c r="E164" s="976"/>
      <c r="F164" s="977"/>
      <c r="G164" s="118">
        <f>ROUND(G162+G163,-2)</f>
        <v>322000</v>
      </c>
      <c r="H164" s="505" t="s">
        <v>1670</v>
      </c>
    </row>
    <row r="165" spans="1:8" ht="13.5" thickTop="1">
      <c r="A165" s="95"/>
      <c r="B165" s="225" t="s">
        <v>303</v>
      </c>
      <c r="C165" s="843"/>
      <c r="D165" s="843"/>
      <c r="E165" s="843"/>
      <c r="F165" s="92" t="s">
        <v>781</v>
      </c>
      <c r="G165" s="93" t="s">
        <v>865</v>
      </c>
    </row>
    <row r="166" spans="1:8">
      <c r="A166" s="95"/>
      <c r="B166" s="226" t="s">
        <v>834</v>
      </c>
      <c r="C166" s="844" t="s">
        <v>1474</v>
      </c>
      <c r="D166" s="844"/>
      <c r="E166" s="844"/>
      <c r="F166" s="15" t="s">
        <v>833</v>
      </c>
      <c r="G166" s="165" t="str">
        <f>'MANO DE OBRA'!D61</f>
        <v>Agosto de 2010</v>
      </c>
    </row>
    <row r="167" spans="1:8" ht="13.5" thickBot="1">
      <c r="A167" s="127"/>
      <c r="B167" s="228" t="s">
        <v>835</v>
      </c>
      <c r="C167" s="845" t="s">
        <v>1478</v>
      </c>
      <c r="D167" s="845"/>
      <c r="E167" s="845"/>
      <c r="F167" s="845"/>
      <c r="G167" s="846"/>
    </row>
    <row r="168" spans="1:8" ht="14.25" thickTop="1" thickBot="1">
      <c r="A168" s="95"/>
      <c r="B168" s="986"/>
      <c r="C168" s="986"/>
      <c r="D168" s="986"/>
      <c r="E168" s="986"/>
      <c r="F168" s="986"/>
      <c r="G168" s="986"/>
    </row>
    <row r="169" spans="1:8" ht="13.5" thickTop="1">
      <c r="A169" s="95"/>
      <c r="B169" s="950" t="s">
        <v>304</v>
      </c>
      <c r="C169" s="951"/>
      <c r="D169" s="951"/>
      <c r="E169" s="951"/>
      <c r="F169" s="951"/>
      <c r="G169" s="952"/>
    </row>
    <row r="170" spans="1:8">
      <c r="A170" s="95"/>
      <c r="B170" s="229"/>
      <c r="C170" s="97"/>
      <c r="D170" s="98" t="s">
        <v>301</v>
      </c>
      <c r="E170" s="98" t="s">
        <v>1072</v>
      </c>
      <c r="F170" s="99" t="s">
        <v>839</v>
      </c>
      <c r="G170" s="107" t="s">
        <v>840</v>
      </c>
    </row>
    <row r="171" spans="1:8">
      <c r="A171" s="95"/>
      <c r="B171" s="982" t="s">
        <v>838</v>
      </c>
      <c r="C171" s="983"/>
      <c r="D171" s="100" t="s">
        <v>308</v>
      </c>
      <c r="E171" s="100" t="s">
        <v>305</v>
      </c>
      <c r="F171" s="101" t="s">
        <v>306</v>
      </c>
      <c r="G171" s="108" t="s">
        <v>310</v>
      </c>
    </row>
    <row r="172" spans="1:8">
      <c r="A172" s="95"/>
      <c r="B172" s="230"/>
      <c r="C172" s="102"/>
      <c r="D172" s="103"/>
      <c r="E172" s="103" t="s">
        <v>309</v>
      </c>
      <c r="F172" s="104" t="s">
        <v>307</v>
      </c>
      <c r="G172" s="109"/>
    </row>
    <row r="173" spans="1:8">
      <c r="A173" s="127"/>
      <c r="B173" s="841" t="str">
        <f>'MAQUINARIA Y EQUIPOS'!$C$28</f>
        <v>HERRAMIENTAS MENORES</v>
      </c>
      <c r="C173" s="842"/>
      <c r="D173" s="87">
        <v>1</v>
      </c>
      <c r="E173" s="82">
        <f>ROUND(G206*0.05,0)</f>
        <v>1217</v>
      </c>
      <c r="F173" s="81">
        <v>1</v>
      </c>
      <c r="G173" s="110">
        <f>ROUND(D173*E173/F173,0)</f>
        <v>1217</v>
      </c>
    </row>
    <row r="174" spans="1:8">
      <c r="A174" s="95"/>
      <c r="B174" s="854"/>
      <c r="C174" s="855"/>
      <c r="D174" s="37"/>
      <c r="E174" s="129"/>
      <c r="F174" s="83"/>
      <c r="G174" s="111"/>
    </row>
    <row r="175" spans="1:8">
      <c r="A175" s="95"/>
      <c r="B175" s="854"/>
      <c r="C175" s="855"/>
      <c r="D175" s="37"/>
      <c r="E175" s="129"/>
      <c r="F175" s="83"/>
      <c r="G175" s="111"/>
    </row>
    <row r="176" spans="1:8">
      <c r="A176" s="95"/>
      <c r="B176" s="854"/>
      <c r="C176" s="855"/>
      <c r="D176" s="89"/>
      <c r="E176" s="82"/>
      <c r="F176" s="83"/>
      <c r="G176" s="111"/>
    </row>
    <row r="177" spans="1:8">
      <c r="A177" s="95"/>
      <c r="B177" s="854" t="s">
        <v>841</v>
      </c>
      <c r="C177" s="855"/>
      <c r="D177" s="37"/>
      <c r="E177" s="82"/>
      <c r="F177" s="83"/>
      <c r="G177" s="111"/>
    </row>
    <row r="178" spans="1:8" ht="13.5" thickBot="1">
      <c r="A178" s="95"/>
      <c r="B178" s="942" t="s">
        <v>841</v>
      </c>
      <c r="C178" s="943"/>
      <c r="D178" s="77"/>
      <c r="E178" s="106"/>
      <c r="F178" s="86"/>
      <c r="G178" s="112"/>
    </row>
    <row r="179" spans="1:8" ht="14.25" thickTop="1" thickBot="1">
      <c r="A179" s="95"/>
      <c r="B179" s="946"/>
      <c r="C179" s="946"/>
      <c r="D179" s="946"/>
      <c r="E179" s="947"/>
      <c r="F179" s="119" t="s">
        <v>856</v>
      </c>
      <c r="G179" s="118">
        <f>SUM(G173:G178)</f>
        <v>1217</v>
      </c>
    </row>
    <row r="180" spans="1:8" ht="14.25" thickTop="1" thickBot="1">
      <c r="A180" s="95"/>
      <c r="B180" s="970"/>
      <c r="C180" s="970"/>
      <c r="D180" s="970"/>
      <c r="E180" s="970"/>
      <c r="F180" s="970"/>
      <c r="G180" s="970"/>
    </row>
    <row r="181" spans="1:8" ht="13.5" thickTop="1">
      <c r="A181" s="95"/>
      <c r="B181" s="950" t="s">
        <v>311</v>
      </c>
      <c r="C181" s="951"/>
      <c r="D181" s="951"/>
      <c r="E181" s="951"/>
      <c r="F181" s="951"/>
      <c r="G181" s="952"/>
    </row>
    <row r="182" spans="1:8">
      <c r="A182" s="95"/>
      <c r="B182" s="978" t="s">
        <v>838</v>
      </c>
      <c r="C182" s="979"/>
      <c r="D182" s="98" t="s">
        <v>842</v>
      </c>
      <c r="E182" s="98" t="s">
        <v>853</v>
      </c>
      <c r="F182" s="99" t="s">
        <v>1047</v>
      </c>
      <c r="G182" s="107" t="s">
        <v>840</v>
      </c>
    </row>
    <row r="183" spans="1:8">
      <c r="A183" s="95"/>
      <c r="B183" s="230"/>
      <c r="C183" s="102"/>
      <c r="D183" s="100"/>
      <c r="E183" s="100" t="s">
        <v>312</v>
      </c>
      <c r="F183" s="101" t="s">
        <v>313</v>
      </c>
      <c r="G183" s="108" t="s">
        <v>314</v>
      </c>
    </row>
    <row r="184" spans="1:8">
      <c r="A184" s="123"/>
      <c r="B184" s="841" t="str">
        <f>MATERIALES2!$C$338</f>
        <v>LAVAMANOS TREVI BLANCO CORONA</v>
      </c>
      <c r="C184" s="842"/>
      <c r="D184" s="87" t="s">
        <v>865</v>
      </c>
      <c r="E184" s="81">
        <v>1</v>
      </c>
      <c r="F184" s="80">
        <f>MATERIALES2!$E$338</f>
        <v>48720</v>
      </c>
      <c r="G184" s="110">
        <f t="shared" ref="G184:G192" si="3">ROUND(E184*F184,0)</f>
        <v>48720</v>
      </c>
    </row>
    <row r="185" spans="1:8">
      <c r="A185" s="123"/>
      <c r="B185" s="854" t="str">
        <f>MATERIALES2!$C$699</f>
        <v>MANGUERA LAVAMANOS</v>
      </c>
      <c r="C185" s="855"/>
      <c r="D185" s="37" t="s">
        <v>865</v>
      </c>
      <c r="E185" s="83">
        <v>1</v>
      </c>
      <c r="F185" s="82">
        <f>MATERIALES2!$E$699</f>
        <v>2500</v>
      </c>
      <c r="G185" s="111">
        <f t="shared" si="3"/>
        <v>2500</v>
      </c>
    </row>
    <row r="186" spans="1:8">
      <c r="A186" s="123"/>
      <c r="B186" s="854" t="str">
        <f>MATERIALES2!$C$674</f>
        <v>CODO PRESION ½"</v>
      </c>
      <c r="C186" s="855"/>
      <c r="D186" s="37" t="s">
        <v>865</v>
      </c>
      <c r="E186" s="83">
        <v>3</v>
      </c>
      <c r="F186" s="82">
        <f>MATERIALES2!$E$674</f>
        <v>200</v>
      </c>
      <c r="G186" s="111">
        <f t="shared" si="3"/>
        <v>600</v>
      </c>
    </row>
    <row r="187" spans="1:8">
      <c r="A187" s="123"/>
      <c r="B187" s="854" t="str">
        <f>MATERIALES2!$C$626</f>
        <v>ADAPTADOR MACHO PRESION ½"</v>
      </c>
      <c r="C187" s="855"/>
      <c r="D187" s="37" t="s">
        <v>865</v>
      </c>
      <c r="E187" s="83">
        <v>1</v>
      </c>
      <c r="F187" s="82">
        <f>MATERIALES2!$E$626</f>
        <v>200</v>
      </c>
      <c r="G187" s="111">
        <f t="shared" si="3"/>
        <v>200</v>
      </c>
    </row>
    <row r="188" spans="1:8">
      <c r="A188" s="123"/>
      <c r="B188" s="854" t="str">
        <f>MATERIALES2!$C$585</f>
        <v>TUBO PVC PRESION 1/2" x 6.0 M</v>
      </c>
      <c r="C188" s="855"/>
      <c r="D188" s="37" t="s">
        <v>865</v>
      </c>
      <c r="E188" s="83">
        <v>0.25</v>
      </c>
      <c r="F188" s="82">
        <f>MATERIALES2!$E$585</f>
        <v>6000</v>
      </c>
      <c r="G188" s="111">
        <f t="shared" si="3"/>
        <v>1500</v>
      </c>
    </row>
    <row r="189" spans="1:8">
      <c r="A189" s="123"/>
      <c r="B189" s="854" t="str">
        <f>MATERIALES2!$C$704</f>
        <v>SOLDADURA PVC ¼</v>
      </c>
      <c r="C189" s="855"/>
      <c r="D189" s="37" t="s">
        <v>865</v>
      </c>
      <c r="E189" s="83">
        <v>0.01</v>
      </c>
      <c r="F189" s="82">
        <f>MATERIALES2!$E$704</f>
        <v>56298</v>
      </c>
      <c r="G189" s="111">
        <f t="shared" si="3"/>
        <v>563</v>
      </c>
    </row>
    <row r="190" spans="1:8">
      <c r="A190" s="123"/>
      <c r="B190" s="854" t="str">
        <f>MATERIALES2!$C$255</f>
        <v>TORNILLO MADERA 5/16"</v>
      </c>
      <c r="C190" s="855"/>
      <c r="D190" s="37" t="s">
        <v>865</v>
      </c>
      <c r="E190" s="83">
        <v>6</v>
      </c>
      <c r="F190" s="82">
        <f>MATERIALES2!$E$255</f>
        <v>100</v>
      </c>
      <c r="G190" s="111">
        <f t="shared" si="3"/>
        <v>600</v>
      </c>
    </row>
    <row r="191" spans="1:8">
      <c r="A191" s="123"/>
      <c r="B191" s="854" t="str">
        <f>MATERIALES2!$C$257</f>
        <v>CHAZOS 5/16"</v>
      </c>
      <c r="C191" s="855"/>
      <c r="D191" s="37" t="s">
        <v>865</v>
      </c>
      <c r="E191" s="83">
        <v>6</v>
      </c>
      <c r="F191" s="82">
        <f>MATERIALES2!E257</f>
        <v>1275</v>
      </c>
      <c r="G191" s="111">
        <f t="shared" si="3"/>
        <v>7650</v>
      </c>
      <c r="H191" s="505" t="s">
        <v>1670</v>
      </c>
    </row>
    <row r="192" spans="1:8" ht="13.5" thickBot="1">
      <c r="A192" s="123"/>
      <c r="B192" s="854" t="str">
        <f>MATERIALES2!$C$873</f>
        <v xml:space="preserve">TEFLON </v>
      </c>
      <c r="C192" s="855"/>
      <c r="D192" s="37" t="s">
        <v>865</v>
      </c>
      <c r="E192" s="83">
        <v>0.2</v>
      </c>
      <c r="F192" s="82">
        <f>MATERIALES2!$E$873</f>
        <v>500</v>
      </c>
      <c r="G192" s="111">
        <f t="shared" si="3"/>
        <v>100</v>
      </c>
    </row>
    <row r="193" spans="1:7" ht="13.5" thickTop="1">
      <c r="A193" s="95"/>
      <c r="B193" s="946"/>
      <c r="C193" s="947"/>
      <c r="D193" s="801" t="s">
        <v>856</v>
      </c>
      <c r="E193" s="802"/>
      <c r="F193" s="9"/>
      <c r="G193" s="113">
        <f>SUM(G184:G192)</f>
        <v>62433</v>
      </c>
    </row>
    <row r="194" spans="1:7">
      <c r="A194" s="95"/>
      <c r="B194" s="948"/>
      <c r="C194" s="949"/>
      <c r="D194" s="801" t="s">
        <v>857</v>
      </c>
      <c r="E194" s="802"/>
      <c r="F194" s="79">
        <f>'MANO DE OBRA'!$D$60</f>
        <v>0.05</v>
      </c>
      <c r="G194" s="113">
        <f>ROUND(G193*F194,0)</f>
        <v>3122</v>
      </c>
    </row>
    <row r="195" spans="1:7" ht="13.5" thickBot="1">
      <c r="A195" s="95"/>
      <c r="B195" s="948"/>
      <c r="C195" s="949"/>
      <c r="D195" s="803" t="s">
        <v>320</v>
      </c>
      <c r="E195" s="804"/>
      <c r="F195" s="114"/>
      <c r="G195" s="118">
        <f>+G193+G194</f>
        <v>65555</v>
      </c>
    </row>
    <row r="196" spans="1:7" ht="14.25" thickTop="1" thickBot="1">
      <c r="A196" s="95"/>
      <c r="B196" s="970"/>
      <c r="C196" s="970"/>
      <c r="D196" s="970"/>
      <c r="E196" s="970"/>
      <c r="F196" s="970"/>
      <c r="G196" s="970"/>
    </row>
    <row r="197" spans="1:7" ht="13.5" thickTop="1">
      <c r="A197" s="95"/>
      <c r="B197" s="950" t="s">
        <v>858</v>
      </c>
      <c r="C197" s="951"/>
      <c r="D197" s="951"/>
      <c r="E197" s="951"/>
      <c r="F197" s="951"/>
      <c r="G197" s="952"/>
    </row>
    <row r="198" spans="1:7">
      <c r="A198" s="95"/>
      <c r="B198" s="978"/>
      <c r="C198" s="979"/>
      <c r="D198" s="98" t="s">
        <v>301</v>
      </c>
      <c r="E198" s="98" t="s">
        <v>859</v>
      </c>
      <c r="F198" s="99" t="s">
        <v>839</v>
      </c>
      <c r="G198" s="107" t="s">
        <v>840</v>
      </c>
    </row>
    <row r="199" spans="1:7">
      <c r="A199" s="95"/>
      <c r="B199" s="982" t="s">
        <v>838</v>
      </c>
      <c r="C199" s="983"/>
      <c r="D199" s="100" t="s">
        <v>316</v>
      </c>
      <c r="E199" s="100" t="s">
        <v>315</v>
      </c>
      <c r="F199" s="101" t="s">
        <v>306</v>
      </c>
      <c r="G199" s="108" t="s">
        <v>319</v>
      </c>
    </row>
    <row r="200" spans="1:7">
      <c r="A200" s="95"/>
      <c r="B200" s="230"/>
      <c r="C200" s="102"/>
      <c r="D200" s="103"/>
      <c r="E200" s="103" t="s">
        <v>317</v>
      </c>
      <c r="F200" s="104" t="s">
        <v>318</v>
      </c>
      <c r="G200" s="109"/>
    </row>
    <row r="201" spans="1:7">
      <c r="A201" s="95"/>
      <c r="B201" s="841" t="str">
        <f>'MANO DE OBRA'!$B$11</f>
        <v>AYUDANTE CUAD. TIPO BB</v>
      </c>
      <c r="C201" s="842"/>
      <c r="D201" s="87">
        <v>1</v>
      </c>
      <c r="E201" s="80">
        <f>'MANO DE OBRA'!$E$11</f>
        <v>43077</v>
      </c>
      <c r="F201" s="81">
        <v>5</v>
      </c>
      <c r="G201" s="110">
        <f>ROUND(D201*E201/F201,0)</f>
        <v>8615</v>
      </c>
    </row>
    <row r="202" spans="1:7">
      <c r="A202" s="95"/>
      <c r="B202" s="854" t="str">
        <f>'MANO DE OBRA'!$B$16</f>
        <v>OFICIAL CUAD. TIPO BB</v>
      </c>
      <c r="C202" s="855"/>
      <c r="D202" s="37">
        <v>1</v>
      </c>
      <c r="E202" s="82">
        <f>'MANO DE OBRA'!$E$16</f>
        <v>78577</v>
      </c>
      <c r="F202" s="83">
        <v>5</v>
      </c>
      <c r="G202" s="111">
        <f>ROUND(D202*E202/F202,0)</f>
        <v>15715</v>
      </c>
    </row>
    <row r="203" spans="1:7">
      <c r="A203" s="95"/>
      <c r="B203" s="854"/>
      <c r="C203" s="855"/>
      <c r="D203" s="89"/>
      <c r="E203" s="82"/>
      <c r="F203" s="83"/>
      <c r="G203" s="111"/>
    </row>
    <row r="204" spans="1:7">
      <c r="A204" s="95"/>
      <c r="B204" s="854" t="s">
        <v>841</v>
      </c>
      <c r="C204" s="855"/>
      <c r="D204" s="37"/>
      <c r="E204" s="82"/>
      <c r="F204" s="83"/>
      <c r="G204" s="111"/>
    </row>
    <row r="205" spans="1:7" ht="13.5" thickBot="1">
      <c r="A205" s="95"/>
      <c r="B205" s="980" t="s">
        <v>841</v>
      </c>
      <c r="C205" s="981"/>
      <c r="D205" s="77"/>
      <c r="E205" s="82"/>
      <c r="F205" s="86"/>
      <c r="G205" s="112"/>
    </row>
    <row r="206" spans="1:7" ht="14.25" thickTop="1" thickBot="1">
      <c r="A206" s="95"/>
      <c r="B206" s="946"/>
      <c r="C206" s="946"/>
      <c r="D206" s="946"/>
      <c r="E206" s="947"/>
      <c r="F206" s="120" t="s">
        <v>856</v>
      </c>
      <c r="G206" s="118">
        <f>SUM(G201:G205)</f>
        <v>24330</v>
      </c>
    </row>
    <row r="207" spans="1:7" ht="14.25" thickTop="1" thickBot="1">
      <c r="A207" s="95"/>
      <c r="B207" s="970"/>
      <c r="C207" s="970"/>
      <c r="D207" s="970"/>
      <c r="E207" s="970"/>
      <c r="F207" s="970"/>
      <c r="G207" s="970"/>
    </row>
    <row r="208" spans="1:7" ht="13.5" thickTop="1">
      <c r="A208" s="95"/>
      <c r="B208" s="950" t="s">
        <v>321</v>
      </c>
      <c r="C208" s="951"/>
      <c r="D208" s="951"/>
      <c r="E208" s="951"/>
      <c r="F208" s="951"/>
      <c r="G208" s="952"/>
    </row>
    <row r="209" spans="1:8">
      <c r="A209" s="95"/>
      <c r="B209" s="978" t="s">
        <v>838</v>
      </c>
      <c r="C209" s="979"/>
      <c r="D209" s="98" t="s">
        <v>301</v>
      </c>
      <c r="E209" s="98" t="s">
        <v>297</v>
      </c>
      <c r="F209" s="99" t="s">
        <v>839</v>
      </c>
      <c r="G209" s="107" t="s">
        <v>840</v>
      </c>
    </row>
    <row r="210" spans="1:8">
      <c r="A210" s="95"/>
      <c r="B210" s="230"/>
      <c r="C210" s="102"/>
      <c r="D210" s="103" t="s">
        <v>322</v>
      </c>
      <c r="E210" s="103" t="s">
        <v>323</v>
      </c>
      <c r="F210" s="104" t="s">
        <v>324</v>
      </c>
      <c r="G210" s="109" t="s">
        <v>325</v>
      </c>
    </row>
    <row r="211" spans="1:8">
      <c r="A211" s="95"/>
      <c r="B211" s="841"/>
      <c r="C211" s="842"/>
      <c r="D211" s="96"/>
      <c r="E211" s="96"/>
      <c r="F211" s="96"/>
      <c r="G211" s="116"/>
    </row>
    <row r="212" spans="1:8" ht="13.5" thickBot="1">
      <c r="A212" s="95"/>
      <c r="B212" s="980" t="s">
        <v>841</v>
      </c>
      <c r="C212" s="981"/>
      <c r="D212" s="77"/>
      <c r="E212" s="82"/>
      <c r="F212" s="86"/>
      <c r="G212" s="112"/>
    </row>
    <row r="213" spans="1:8" ht="14.25" thickTop="1" thickBot="1">
      <c r="A213" s="95"/>
      <c r="B213" s="946"/>
      <c r="C213" s="946"/>
      <c r="D213" s="946"/>
      <c r="E213" s="947"/>
      <c r="F213" s="120" t="s">
        <v>856</v>
      </c>
      <c r="G213" s="118">
        <f>SUM(G208:G212)</f>
        <v>0</v>
      </c>
    </row>
    <row r="214" spans="1:8" ht="14.25" thickTop="1" thickBot="1">
      <c r="A214" s="95"/>
      <c r="B214" s="970"/>
      <c r="C214" s="970"/>
      <c r="D214" s="970"/>
      <c r="E214" s="970"/>
      <c r="F214" s="970"/>
      <c r="G214" s="943"/>
    </row>
    <row r="215" spans="1:8" ht="13.5" thickTop="1">
      <c r="A215" s="95"/>
      <c r="B215" s="950" t="s">
        <v>326</v>
      </c>
      <c r="C215" s="951"/>
      <c r="D215" s="951"/>
      <c r="E215" s="951"/>
      <c r="F215" s="971"/>
      <c r="G215" s="121">
        <f>+G179+G195+G206</f>
        <v>91102</v>
      </c>
    </row>
    <row r="216" spans="1:8">
      <c r="A216" s="95"/>
      <c r="B216" s="972" t="s">
        <v>861</v>
      </c>
      <c r="C216" s="973"/>
      <c r="D216" s="973"/>
      <c r="E216" s="974"/>
      <c r="F216" s="128">
        <f>'MANO DE OBRA'!$D$59</f>
        <v>0</v>
      </c>
      <c r="G216" s="122">
        <f>ROUND(G215*F216,0)</f>
        <v>0</v>
      </c>
    </row>
    <row r="217" spans="1:8" ht="13.5" thickBot="1">
      <c r="A217" s="95"/>
      <c r="B217" s="975" t="s">
        <v>1049</v>
      </c>
      <c r="C217" s="976"/>
      <c r="D217" s="976"/>
      <c r="E217" s="976"/>
      <c r="F217" s="977"/>
      <c r="G217" s="118">
        <f>ROUND(G215+G216,-2)</f>
        <v>91100</v>
      </c>
      <c r="H217" s="505" t="s">
        <v>1670</v>
      </c>
    </row>
    <row r="218" spans="1:8" ht="13.5" thickTop="1">
      <c r="A218" s="95"/>
      <c r="B218" s="225" t="s">
        <v>303</v>
      </c>
      <c r="C218" s="843"/>
      <c r="D218" s="843"/>
      <c r="E218" s="843"/>
      <c r="F218" s="92" t="s">
        <v>781</v>
      </c>
      <c r="G218" s="93" t="s">
        <v>865</v>
      </c>
    </row>
    <row r="219" spans="1:8">
      <c r="A219" s="95"/>
      <c r="B219" s="226" t="s">
        <v>834</v>
      </c>
      <c r="C219" s="844" t="s">
        <v>1474</v>
      </c>
      <c r="D219" s="844"/>
      <c r="E219" s="844"/>
      <c r="F219" s="15" t="s">
        <v>833</v>
      </c>
      <c r="G219" s="165" t="str">
        <f>'MANO DE OBRA'!D61</f>
        <v>Agosto de 2010</v>
      </c>
    </row>
    <row r="220" spans="1:8" ht="13.5" thickBot="1">
      <c r="A220" s="127"/>
      <c r="B220" s="228" t="s">
        <v>835</v>
      </c>
      <c r="C220" s="845" t="s">
        <v>1479</v>
      </c>
      <c r="D220" s="845"/>
      <c r="E220" s="845"/>
      <c r="F220" s="845"/>
      <c r="G220" s="846"/>
    </row>
    <row r="221" spans="1:8" ht="14.25" thickTop="1" thickBot="1">
      <c r="A221" s="95"/>
      <c r="B221" s="986"/>
      <c r="C221" s="986"/>
      <c r="D221" s="986"/>
      <c r="E221" s="986"/>
      <c r="F221" s="986"/>
      <c r="G221" s="986"/>
    </row>
    <row r="222" spans="1:8" ht="13.5" thickTop="1">
      <c r="A222" s="95"/>
      <c r="B222" s="950" t="s">
        <v>304</v>
      </c>
      <c r="C222" s="951"/>
      <c r="D222" s="951"/>
      <c r="E222" s="951"/>
      <c r="F222" s="951"/>
      <c r="G222" s="952"/>
    </row>
    <row r="223" spans="1:8">
      <c r="A223" s="95"/>
      <c r="B223" s="229"/>
      <c r="C223" s="97"/>
      <c r="D223" s="98" t="s">
        <v>301</v>
      </c>
      <c r="E223" s="98" t="s">
        <v>1072</v>
      </c>
      <c r="F223" s="99" t="s">
        <v>839</v>
      </c>
      <c r="G223" s="107" t="s">
        <v>840</v>
      </c>
    </row>
    <row r="224" spans="1:8">
      <c r="A224" s="95"/>
      <c r="B224" s="982" t="s">
        <v>838</v>
      </c>
      <c r="C224" s="983"/>
      <c r="D224" s="100" t="s">
        <v>308</v>
      </c>
      <c r="E224" s="100" t="s">
        <v>305</v>
      </c>
      <c r="F224" s="101" t="s">
        <v>306</v>
      </c>
      <c r="G224" s="108" t="s">
        <v>310</v>
      </c>
    </row>
    <row r="225" spans="1:7">
      <c r="A225" s="95"/>
      <c r="B225" s="230"/>
      <c r="C225" s="102"/>
      <c r="D225" s="103"/>
      <c r="E225" s="103" t="s">
        <v>309</v>
      </c>
      <c r="F225" s="104" t="s">
        <v>307</v>
      </c>
      <c r="G225" s="109"/>
    </row>
    <row r="226" spans="1:7">
      <c r="A226" s="127"/>
      <c r="B226" s="841" t="str">
        <f>'MAQUINARIA Y EQUIPOS'!$C$28</f>
        <v>HERRAMIENTAS MENORES</v>
      </c>
      <c r="C226" s="842"/>
      <c r="D226" s="87">
        <v>1</v>
      </c>
      <c r="E226" s="82">
        <f>ROUND(G259*0.05,0)</f>
        <v>1217</v>
      </c>
      <c r="F226" s="81">
        <v>1</v>
      </c>
      <c r="G226" s="110">
        <f>ROUND(D226*E226/F226,0)</f>
        <v>1217</v>
      </c>
    </row>
    <row r="227" spans="1:7">
      <c r="A227" s="95"/>
      <c r="B227" s="854"/>
      <c r="C227" s="855"/>
      <c r="D227" s="37"/>
      <c r="E227" s="129"/>
      <c r="F227" s="83"/>
      <c r="G227" s="111"/>
    </row>
    <row r="228" spans="1:7">
      <c r="A228" s="95"/>
      <c r="B228" s="854"/>
      <c r="C228" s="855"/>
      <c r="D228" s="37"/>
      <c r="E228" s="129"/>
      <c r="F228" s="83"/>
      <c r="G228" s="111"/>
    </row>
    <row r="229" spans="1:7">
      <c r="A229" s="95"/>
      <c r="B229" s="854"/>
      <c r="C229" s="855"/>
      <c r="D229" s="89"/>
      <c r="E229" s="82"/>
      <c r="F229" s="83"/>
      <c r="G229" s="111"/>
    </row>
    <row r="230" spans="1:7">
      <c r="A230" s="95"/>
      <c r="B230" s="854" t="s">
        <v>841</v>
      </c>
      <c r="C230" s="855"/>
      <c r="D230" s="37"/>
      <c r="E230" s="82"/>
      <c r="F230" s="83"/>
      <c r="G230" s="111"/>
    </row>
    <row r="231" spans="1:7" ht="13.5" thickBot="1">
      <c r="A231" s="95"/>
      <c r="B231" s="942" t="s">
        <v>841</v>
      </c>
      <c r="C231" s="943"/>
      <c r="D231" s="77"/>
      <c r="E231" s="106"/>
      <c r="F231" s="86"/>
      <c r="G231" s="112"/>
    </row>
    <row r="232" spans="1:7" ht="14.25" thickTop="1" thickBot="1">
      <c r="A232" s="95"/>
      <c r="B232" s="946"/>
      <c r="C232" s="946"/>
      <c r="D232" s="946"/>
      <c r="E232" s="947"/>
      <c r="F232" s="119" t="s">
        <v>856</v>
      </c>
      <c r="G232" s="118">
        <f>SUM(G226:G231)</f>
        <v>1217</v>
      </c>
    </row>
    <row r="233" spans="1:7" ht="14.25" thickTop="1" thickBot="1">
      <c r="A233" s="95"/>
      <c r="B233" s="970"/>
      <c r="C233" s="970"/>
      <c r="D233" s="970"/>
      <c r="E233" s="970"/>
      <c r="F233" s="970"/>
      <c r="G233" s="970"/>
    </row>
    <row r="234" spans="1:7" ht="13.5" thickTop="1">
      <c r="A234" s="95"/>
      <c r="B234" s="950" t="s">
        <v>311</v>
      </c>
      <c r="C234" s="951"/>
      <c r="D234" s="951"/>
      <c r="E234" s="951"/>
      <c r="F234" s="951"/>
      <c r="G234" s="952"/>
    </row>
    <row r="235" spans="1:7">
      <c r="A235" s="95"/>
      <c r="B235" s="978" t="s">
        <v>838</v>
      </c>
      <c r="C235" s="979"/>
      <c r="D235" s="98" t="s">
        <v>842</v>
      </c>
      <c r="E235" s="98" t="s">
        <v>853</v>
      </c>
      <c r="F235" s="99" t="s">
        <v>1047</v>
      </c>
      <c r="G235" s="107" t="s">
        <v>840</v>
      </c>
    </row>
    <row r="236" spans="1:7">
      <c r="A236" s="95"/>
      <c r="B236" s="230"/>
      <c r="C236" s="102"/>
      <c r="D236" s="100"/>
      <c r="E236" s="100" t="s">
        <v>312</v>
      </c>
      <c r="F236" s="101" t="s">
        <v>313</v>
      </c>
      <c r="G236" s="108" t="s">
        <v>314</v>
      </c>
    </row>
    <row r="237" spans="1:7">
      <c r="A237" s="123"/>
      <c r="B237" s="841" t="str">
        <f>MATERIALES2!$C$337</f>
        <v>LAVAMANOS NOVA</v>
      </c>
      <c r="C237" s="842"/>
      <c r="D237" s="87" t="s">
        <v>865</v>
      </c>
      <c r="E237" s="81">
        <v>1</v>
      </c>
      <c r="F237" s="80">
        <f>MATERIALES2!$E$337</f>
        <v>110000</v>
      </c>
      <c r="G237" s="110">
        <f t="shared" ref="G237:G245" si="4">ROUND(E237*F237,0)</f>
        <v>110000</v>
      </c>
    </row>
    <row r="238" spans="1:7">
      <c r="A238" s="123"/>
      <c r="B238" s="854" t="str">
        <f>MATERIALES2!$C$699</f>
        <v>MANGUERA LAVAMANOS</v>
      </c>
      <c r="C238" s="855"/>
      <c r="D238" s="37" t="s">
        <v>865</v>
      </c>
      <c r="E238" s="83">
        <v>2</v>
      </c>
      <c r="F238" s="82">
        <f>MATERIALES2!$E$699</f>
        <v>2500</v>
      </c>
      <c r="G238" s="111">
        <f t="shared" si="4"/>
        <v>5000</v>
      </c>
    </row>
    <row r="239" spans="1:7">
      <c r="A239" s="123"/>
      <c r="B239" s="854" t="str">
        <f>MATERIALES2!$C$674</f>
        <v>CODO PRESION ½"</v>
      </c>
      <c r="C239" s="855"/>
      <c r="D239" s="37" t="s">
        <v>865</v>
      </c>
      <c r="E239" s="83">
        <v>3</v>
      </c>
      <c r="F239" s="82">
        <f>MATERIALES2!$E$674</f>
        <v>200</v>
      </c>
      <c r="G239" s="111">
        <f t="shared" si="4"/>
        <v>600</v>
      </c>
    </row>
    <row r="240" spans="1:7">
      <c r="A240" s="123"/>
      <c r="B240" s="854" t="str">
        <f>MATERIALES2!$C$626</f>
        <v>ADAPTADOR MACHO PRESION ½"</v>
      </c>
      <c r="C240" s="855"/>
      <c r="D240" s="37" t="s">
        <v>865</v>
      </c>
      <c r="E240" s="83">
        <v>2</v>
      </c>
      <c r="F240" s="82">
        <f>MATERIALES2!$E$626</f>
        <v>200</v>
      </c>
      <c r="G240" s="111">
        <f t="shared" si="4"/>
        <v>400</v>
      </c>
    </row>
    <row r="241" spans="1:8">
      <c r="A241" s="123"/>
      <c r="B241" s="854" t="str">
        <f>MATERIALES2!$C$585</f>
        <v>TUBO PVC PRESION 1/2" x 6.0 M</v>
      </c>
      <c r="C241" s="855"/>
      <c r="D241" s="37" t="s">
        <v>865</v>
      </c>
      <c r="E241" s="83">
        <v>0.25</v>
      </c>
      <c r="F241" s="82">
        <f>MATERIALES2!$E$585</f>
        <v>6000</v>
      </c>
      <c r="G241" s="111">
        <f t="shared" si="4"/>
        <v>1500</v>
      </c>
    </row>
    <row r="242" spans="1:8">
      <c r="A242" s="123"/>
      <c r="B242" s="854" t="str">
        <f>MATERIALES2!$C$704</f>
        <v>SOLDADURA PVC ¼</v>
      </c>
      <c r="C242" s="855"/>
      <c r="D242" s="37" t="s">
        <v>865</v>
      </c>
      <c r="E242" s="83">
        <v>0.01</v>
      </c>
      <c r="F242" s="82">
        <f>MATERIALES2!$E$704</f>
        <v>56298</v>
      </c>
      <c r="G242" s="111">
        <f t="shared" si="4"/>
        <v>563</v>
      </c>
    </row>
    <row r="243" spans="1:8">
      <c r="A243" s="123"/>
      <c r="B243" s="854" t="str">
        <f>MATERIALES2!$C$255</f>
        <v>TORNILLO MADERA 5/16"</v>
      </c>
      <c r="C243" s="855"/>
      <c r="D243" s="37" t="s">
        <v>865</v>
      </c>
      <c r="E243" s="83">
        <v>6</v>
      </c>
      <c r="F243" s="82">
        <f>MATERIALES2!$E$255</f>
        <v>100</v>
      </c>
      <c r="G243" s="111">
        <f t="shared" si="4"/>
        <v>600</v>
      </c>
    </row>
    <row r="244" spans="1:8">
      <c r="A244" s="123"/>
      <c r="B244" s="854" t="str">
        <f>MATERIALES2!$C$257</f>
        <v>CHAZOS 5/16"</v>
      </c>
      <c r="C244" s="855"/>
      <c r="D244" s="37" t="s">
        <v>865</v>
      </c>
      <c r="E244" s="83">
        <v>6</v>
      </c>
      <c r="F244" s="82">
        <f>MATERIALES2!$E$257</f>
        <v>1275</v>
      </c>
      <c r="G244" s="111">
        <f t="shared" si="4"/>
        <v>7650</v>
      </c>
      <c r="H244" s="505" t="s">
        <v>1670</v>
      </c>
    </row>
    <row r="245" spans="1:8" ht="13.5" thickBot="1">
      <c r="A245" s="123"/>
      <c r="B245" s="854" t="str">
        <f>MATERIALES2!$C$729</f>
        <v>TEE PRESION ½"</v>
      </c>
      <c r="C245" s="855"/>
      <c r="D245" s="37" t="s">
        <v>865</v>
      </c>
      <c r="E245" s="86">
        <v>1</v>
      </c>
      <c r="F245" s="82">
        <f>MATERIALES2!$E$729</f>
        <v>300</v>
      </c>
      <c r="G245" s="111">
        <f t="shared" si="4"/>
        <v>300</v>
      </c>
    </row>
    <row r="246" spans="1:8" ht="13.5" thickTop="1">
      <c r="A246" s="95"/>
      <c r="B246" s="946"/>
      <c r="C246" s="947"/>
      <c r="D246" s="801" t="s">
        <v>856</v>
      </c>
      <c r="E246" s="802"/>
      <c r="F246" s="9"/>
      <c r="G246" s="113">
        <f>SUM(G237:G245)</f>
        <v>126613</v>
      </c>
    </row>
    <row r="247" spans="1:8">
      <c r="A247" s="95"/>
      <c r="B247" s="948"/>
      <c r="C247" s="949"/>
      <c r="D247" s="801" t="s">
        <v>857</v>
      </c>
      <c r="E247" s="802"/>
      <c r="F247" s="79">
        <f>'MANO DE OBRA'!$D$60</f>
        <v>0.05</v>
      </c>
      <c r="G247" s="113">
        <f>ROUND(G246*F247,0)</f>
        <v>6331</v>
      </c>
    </row>
    <row r="248" spans="1:8" ht="13.5" thickBot="1">
      <c r="A248" s="95"/>
      <c r="B248" s="948"/>
      <c r="C248" s="949"/>
      <c r="D248" s="803" t="s">
        <v>320</v>
      </c>
      <c r="E248" s="804"/>
      <c r="F248" s="114"/>
      <c r="G248" s="118">
        <f>+G246+G247</f>
        <v>132944</v>
      </c>
    </row>
    <row r="249" spans="1:8" ht="14.25" thickTop="1" thickBot="1">
      <c r="A249" s="95"/>
      <c r="B249" s="970"/>
      <c r="C249" s="970"/>
      <c r="D249" s="970"/>
      <c r="E249" s="970"/>
      <c r="F249" s="970"/>
      <c r="G249" s="970"/>
    </row>
    <row r="250" spans="1:8" ht="13.5" thickTop="1">
      <c r="A250" s="95"/>
      <c r="B250" s="950" t="s">
        <v>858</v>
      </c>
      <c r="C250" s="951"/>
      <c r="D250" s="951"/>
      <c r="E250" s="951"/>
      <c r="F250" s="951"/>
      <c r="G250" s="952"/>
    </row>
    <row r="251" spans="1:8">
      <c r="A251" s="95"/>
      <c r="B251" s="978"/>
      <c r="C251" s="979"/>
      <c r="D251" s="98" t="s">
        <v>301</v>
      </c>
      <c r="E251" s="98" t="s">
        <v>859</v>
      </c>
      <c r="F251" s="99" t="s">
        <v>839</v>
      </c>
      <c r="G251" s="107" t="s">
        <v>840</v>
      </c>
    </row>
    <row r="252" spans="1:8">
      <c r="A252" s="95"/>
      <c r="B252" s="982" t="s">
        <v>838</v>
      </c>
      <c r="C252" s="983"/>
      <c r="D252" s="100" t="s">
        <v>316</v>
      </c>
      <c r="E252" s="100" t="s">
        <v>315</v>
      </c>
      <c r="F252" s="101" t="s">
        <v>306</v>
      </c>
      <c r="G252" s="108" t="s">
        <v>319</v>
      </c>
    </row>
    <row r="253" spans="1:8">
      <c r="A253" s="95"/>
      <c r="B253" s="230"/>
      <c r="C253" s="102"/>
      <c r="D253" s="103"/>
      <c r="E253" s="103" t="s">
        <v>317</v>
      </c>
      <c r="F253" s="104" t="s">
        <v>318</v>
      </c>
      <c r="G253" s="109"/>
    </row>
    <row r="254" spans="1:8">
      <c r="A254" s="95"/>
      <c r="B254" s="841" t="str">
        <f>'MANO DE OBRA'!$B$11</f>
        <v>AYUDANTE CUAD. TIPO BB</v>
      </c>
      <c r="C254" s="842"/>
      <c r="D254" s="87">
        <v>1</v>
      </c>
      <c r="E254" s="80">
        <f>'MANO DE OBRA'!$E$11</f>
        <v>43077</v>
      </c>
      <c r="F254" s="81">
        <v>5</v>
      </c>
      <c r="G254" s="110">
        <f>ROUND(D254*E254/F254,0)</f>
        <v>8615</v>
      </c>
    </row>
    <row r="255" spans="1:8">
      <c r="A255" s="95"/>
      <c r="B255" s="854" t="str">
        <f>'MANO DE OBRA'!$B$16</f>
        <v>OFICIAL CUAD. TIPO BB</v>
      </c>
      <c r="C255" s="855"/>
      <c r="D255" s="37">
        <v>1</v>
      </c>
      <c r="E255" s="82">
        <f>'MANO DE OBRA'!$E$16</f>
        <v>78577</v>
      </c>
      <c r="F255" s="83">
        <v>5</v>
      </c>
      <c r="G255" s="111">
        <f>ROUND(D255*E255/F255,0)</f>
        <v>15715</v>
      </c>
    </row>
    <row r="256" spans="1:8">
      <c r="A256" s="95"/>
      <c r="B256" s="854"/>
      <c r="C256" s="855"/>
      <c r="D256" s="89"/>
      <c r="E256" s="82"/>
      <c r="F256" s="83"/>
      <c r="G256" s="111"/>
    </row>
    <row r="257" spans="1:8">
      <c r="A257" s="95"/>
      <c r="B257" s="854" t="s">
        <v>841</v>
      </c>
      <c r="C257" s="855"/>
      <c r="D257" s="37"/>
      <c r="E257" s="82"/>
      <c r="F257" s="83"/>
      <c r="G257" s="111"/>
    </row>
    <row r="258" spans="1:8" ht="13.5" thickBot="1">
      <c r="A258" s="95"/>
      <c r="B258" s="980" t="s">
        <v>841</v>
      </c>
      <c r="C258" s="981"/>
      <c r="D258" s="77"/>
      <c r="E258" s="82"/>
      <c r="F258" s="86"/>
      <c r="G258" s="112"/>
    </row>
    <row r="259" spans="1:8" ht="14.25" thickTop="1" thickBot="1">
      <c r="A259" s="95"/>
      <c r="B259" s="946"/>
      <c r="C259" s="946"/>
      <c r="D259" s="946"/>
      <c r="E259" s="947"/>
      <c r="F259" s="120" t="s">
        <v>856</v>
      </c>
      <c r="G259" s="118">
        <f>SUM(G254:G258)</f>
        <v>24330</v>
      </c>
    </row>
    <row r="260" spans="1:8" ht="14.25" thickTop="1" thickBot="1">
      <c r="A260" s="95"/>
      <c r="B260" s="970"/>
      <c r="C260" s="970"/>
      <c r="D260" s="970"/>
      <c r="E260" s="970"/>
      <c r="F260" s="970"/>
      <c r="G260" s="970"/>
    </row>
    <row r="261" spans="1:8" ht="13.5" thickTop="1">
      <c r="A261" s="95"/>
      <c r="B261" s="950" t="s">
        <v>321</v>
      </c>
      <c r="C261" s="951"/>
      <c r="D261" s="951"/>
      <c r="E261" s="951"/>
      <c r="F261" s="951"/>
      <c r="G261" s="952"/>
    </row>
    <row r="262" spans="1:8">
      <c r="A262" s="95"/>
      <c r="B262" s="978" t="s">
        <v>838</v>
      </c>
      <c r="C262" s="979"/>
      <c r="D262" s="98" t="s">
        <v>301</v>
      </c>
      <c r="E262" s="98" t="s">
        <v>297</v>
      </c>
      <c r="F262" s="99" t="s">
        <v>839</v>
      </c>
      <c r="G262" s="107" t="s">
        <v>840</v>
      </c>
    </row>
    <row r="263" spans="1:8">
      <c r="A263" s="95"/>
      <c r="B263" s="230"/>
      <c r="C263" s="102"/>
      <c r="D263" s="103" t="s">
        <v>322</v>
      </c>
      <c r="E263" s="103" t="s">
        <v>323</v>
      </c>
      <c r="F263" s="104" t="s">
        <v>324</v>
      </c>
      <c r="G263" s="109" t="s">
        <v>325</v>
      </c>
    </row>
    <row r="264" spans="1:8">
      <c r="A264" s="95"/>
      <c r="B264" s="841"/>
      <c r="C264" s="842"/>
      <c r="D264" s="96"/>
      <c r="E264" s="96"/>
      <c r="F264" s="96"/>
      <c r="G264" s="116"/>
    </row>
    <row r="265" spans="1:8" ht="13.5" thickBot="1">
      <c r="A265" s="95"/>
      <c r="B265" s="980" t="s">
        <v>841</v>
      </c>
      <c r="C265" s="981"/>
      <c r="D265" s="77"/>
      <c r="E265" s="82"/>
      <c r="F265" s="86"/>
      <c r="G265" s="112"/>
    </row>
    <row r="266" spans="1:8" ht="14.25" thickTop="1" thickBot="1">
      <c r="A266" s="95"/>
      <c r="B266" s="946"/>
      <c r="C266" s="946"/>
      <c r="D266" s="946"/>
      <c r="E266" s="947"/>
      <c r="F266" s="120" t="s">
        <v>856</v>
      </c>
      <c r="G266" s="118">
        <f>SUM(G261:G265)</f>
        <v>0</v>
      </c>
    </row>
    <row r="267" spans="1:8" ht="14.25" thickTop="1" thickBot="1">
      <c r="A267" s="95"/>
      <c r="B267" s="970"/>
      <c r="C267" s="970"/>
      <c r="D267" s="970"/>
      <c r="E267" s="970"/>
      <c r="F267" s="970"/>
      <c r="G267" s="943"/>
    </row>
    <row r="268" spans="1:8" ht="13.5" thickTop="1">
      <c r="A268" s="95"/>
      <c r="B268" s="950" t="s">
        <v>326</v>
      </c>
      <c r="C268" s="951"/>
      <c r="D268" s="951"/>
      <c r="E268" s="951"/>
      <c r="F268" s="971"/>
      <c r="G268" s="121">
        <f>+G232+G248+G259</f>
        <v>158491</v>
      </c>
    </row>
    <row r="269" spans="1:8">
      <c r="A269" s="95"/>
      <c r="B269" s="972" t="s">
        <v>861</v>
      </c>
      <c r="C269" s="973"/>
      <c r="D269" s="973"/>
      <c r="E269" s="974"/>
      <c r="F269" s="128">
        <f>'MANO DE OBRA'!$D$59</f>
        <v>0</v>
      </c>
      <c r="G269" s="122">
        <f>ROUND(G268*F269,0)</f>
        <v>0</v>
      </c>
    </row>
    <row r="270" spans="1:8" ht="13.5" thickBot="1">
      <c r="A270" s="95"/>
      <c r="B270" s="975" t="s">
        <v>1049</v>
      </c>
      <c r="C270" s="976"/>
      <c r="D270" s="976"/>
      <c r="E270" s="976"/>
      <c r="F270" s="977"/>
      <c r="G270" s="118">
        <f>ROUND(G268+G269,-2)</f>
        <v>158500</v>
      </c>
      <c r="H270" s="505" t="s">
        <v>1670</v>
      </c>
    </row>
    <row r="271" spans="1:8" ht="13.5" thickTop="1">
      <c r="A271" s="95"/>
      <c r="B271" s="225" t="s">
        <v>303</v>
      </c>
      <c r="C271" s="843"/>
      <c r="D271" s="843"/>
      <c r="E271" s="843"/>
      <c r="F271" s="92" t="s">
        <v>781</v>
      </c>
      <c r="G271" s="93" t="s">
        <v>865</v>
      </c>
    </row>
    <row r="272" spans="1:8">
      <c r="A272" s="95"/>
      <c r="B272" s="226" t="s">
        <v>834</v>
      </c>
      <c r="C272" s="844" t="s">
        <v>1474</v>
      </c>
      <c r="D272" s="844"/>
      <c r="E272" s="844"/>
      <c r="F272" s="15" t="s">
        <v>833</v>
      </c>
      <c r="G272" s="165" t="str">
        <f>'MANO DE OBRA'!D61</f>
        <v>Agosto de 2010</v>
      </c>
    </row>
    <row r="273" spans="1:7" ht="13.5" thickBot="1">
      <c r="A273" s="127"/>
      <c r="B273" s="228" t="s">
        <v>835</v>
      </c>
      <c r="C273" s="845" t="s">
        <v>1480</v>
      </c>
      <c r="D273" s="845"/>
      <c r="E273" s="845"/>
      <c r="F273" s="845"/>
      <c r="G273" s="846"/>
    </row>
    <row r="274" spans="1:7" ht="14.25" thickTop="1" thickBot="1">
      <c r="A274" s="95"/>
      <c r="B274" s="986"/>
      <c r="C274" s="986"/>
      <c r="D274" s="986"/>
      <c r="E274" s="986"/>
      <c r="F274" s="986"/>
      <c r="G274" s="986"/>
    </row>
    <row r="275" spans="1:7" ht="13.5" thickTop="1">
      <c r="A275" s="95"/>
      <c r="B275" s="950" t="s">
        <v>304</v>
      </c>
      <c r="C275" s="951"/>
      <c r="D275" s="951"/>
      <c r="E275" s="951"/>
      <c r="F275" s="951"/>
      <c r="G275" s="952"/>
    </row>
    <row r="276" spans="1:7">
      <c r="A276" s="95"/>
      <c r="B276" s="229"/>
      <c r="C276" s="97"/>
      <c r="D276" s="98" t="s">
        <v>301</v>
      </c>
      <c r="E276" s="98" t="s">
        <v>1072</v>
      </c>
      <c r="F276" s="99" t="s">
        <v>839</v>
      </c>
      <c r="G276" s="107" t="s">
        <v>840</v>
      </c>
    </row>
    <row r="277" spans="1:7">
      <c r="A277" s="95"/>
      <c r="B277" s="982" t="s">
        <v>838</v>
      </c>
      <c r="C277" s="983"/>
      <c r="D277" s="100" t="s">
        <v>308</v>
      </c>
      <c r="E277" s="100" t="s">
        <v>305</v>
      </c>
      <c r="F277" s="101" t="s">
        <v>306</v>
      </c>
      <c r="G277" s="108" t="s">
        <v>310</v>
      </c>
    </row>
    <row r="278" spans="1:7">
      <c r="A278" s="95"/>
      <c r="B278" s="230"/>
      <c r="C278" s="102"/>
      <c r="D278" s="103"/>
      <c r="E278" s="103" t="s">
        <v>309</v>
      </c>
      <c r="F278" s="104" t="s">
        <v>307</v>
      </c>
      <c r="G278" s="109"/>
    </row>
    <row r="279" spans="1:7">
      <c r="A279" s="127"/>
      <c r="B279" s="841" t="str">
        <f>'MAQUINARIA Y EQUIPOS'!$C$28</f>
        <v>HERRAMIENTAS MENORES</v>
      </c>
      <c r="C279" s="842"/>
      <c r="D279" s="87">
        <v>1</v>
      </c>
      <c r="E279" s="82">
        <f>ROUND(G312*0.05,0)</f>
        <v>1521</v>
      </c>
      <c r="F279" s="81">
        <v>1</v>
      </c>
      <c r="G279" s="110">
        <f>ROUND(D279*E279/F279,0)</f>
        <v>1521</v>
      </c>
    </row>
    <row r="280" spans="1:7">
      <c r="A280" s="95"/>
      <c r="B280" s="854"/>
      <c r="C280" s="855"/>
      <c r="D280" s="37"/>
      <c r="E280" s="129"/>
      <c r="F280" s="83"/>
      <c r="G280" s="111"/>
    </row>
    <row r="281" spans="1:7">
      <c r="A281" s="95"/>
      <c r="B281" s="854"/>
      <c r="C281" s="855"/>
      <c r="D281" s="37"/>
      <c r="E281" s="129"/>
      <c r="F281" s="83"/>
      <c r="G281" s="111"/>
    </row>
    <row r="282" spans="1:7">
      <c r="A282" s="95"/>
      <c r="B282" s="854"/>
      <c r="C282" s="855"/>
      <c r="D282" s="89"/>
      <c r="E282" s="82"/>
      <c r="F282" s="83"/>
      <c r="G282" s="111"/>
    </row>
    <row r="283" spans="1:7">
      <c r="A283" s="95"/>
      <c r="B283" s="854" t="s">
        <v>841</v>
      </c>
      <c r="C283" s="855"/>
      <c r="D283" s="37"/>
      <c r="E283" s="82"/>
      <c r="F283" s="83"/>
      <c r="G283" s="111"/>
    </row>
    <row r="284" spans="1:7" ht="13.5" thickBot="1">
      <c r="A284" s="95"/>
      <c r="B284" s="942" t="s">
        <v>841</v>
      </c>
      <c r="C284" s="943"/>
      <c r="D284" s="77"/>
      <c r="E284" s="106"/>
      <c r="F284" s="86"/>
      <c r="G284" s="112"/>
    </row>
    <row r="285" spans="1:7" ht="14.25" thickTop="1" thickBot="1">
      <c r="A285" s="95"/>
      <c r="B285" s="946"/>
      <c r="C285" s="946"/>
      <c r="D285" s="946"/>
      <c r="E285" s="947"/>
      <c r="F285" s="119" t="s">
        <v>856</v>
      </c>
      <c r="G285" s="118">
        <f>SUM(G279:G284)</f>
        <v>1521</v>
      </c>
    </row>
    <row r="286" spans="1:7" ht="14.25" thickTop="1" thickBot="1">
      <c r="A286" s="95"/>
      <c r="B286" s="970"/>
      <c r="C286" s="970"/>
      <c r="D286" s="970"/>
      <c r="E286" s="970"/>
      <c r="F286" s="970"/>
      <c r="G286" s="970"/>
    </row>
    <row r="287" spans="1:7" ht="13.5" thickTop="1">
      <c r="A287" s="95"/>
      <c r="B287" s="950" t="s">
        <v>311</v>
      </c>
      <c r="C287" s="951"/>
      <c r="D287" s="951"/>
      <c r="E287" s="951"/>
      <c r="F287" s="951"/>
      <c r="G287" s="952"/>
    </row>
    <row r="288" spans="1:7">
      <c r="A288" s="95"/>
      <c r="B288" s="978" t="s">
        <v>838</v>
      </c>
      <c r="C288" s="979"/>
      <c r="D288" s="98" t="s">
        <v>842</v>
      </c>
      <c r="E288" s="98" t="s">
        <v>853</v>
      </c>
      <c r="F288" s="99" t="s">
        <v>1047</v>
      </c>
      <c r="G288" s="107" t="s">
        <v>840</v>
      </c>
    </row>
    <row r="289" spans="1:8">
      <c r="A289" s="95"/>
      <c r="B289" s="230"/>
      <c r="C289" s="102"/>
      <c r="D289" s="100"/>
      <c r="E289" s="100" t="s">
        <v>312</v>
      </c>
      <c r="F289" s="101" t="s">
        <v>313</v>
      </c>
      <c r="G289" s="108" t="s">
        <v>314</v>
      </c>
    </row>
    <row r="290" spans="1:8">
      <c r="A290" s="123"/>
      <c r="B290" s="841" t="str">
        <f>MATERIALES2!$C$335</f>
        <v>LAVAMANOS TIFFANY</v>
      </c>
      <c r="C290" s="842"/>
      <c r="D290" s="87" t="s">
        <v>865</v>
      </c>
      <c r="E290" s="81">
        <v>1</v>
      </c>
      <c r="F290" s="80">
        <f>MATERIALES2!$E$335</f>
        <v>178275</v>
      </c>
      <c r="G290" s="110">
        <f t="shared" ref="G290:G298" si="5">ROUND(E290*F290,0)</f>
        <v>178275</v>
      </c>
    </row>
    <row r="291" spans="1:8">
      <c r="A291" s="123"/>
      <c r="B291" s="854" t="str">
        <f>MATERIALES2!$C$699</f>
        <v>MANGUERA LAVAMANOS</v>
      </c>
      <c r="C291" s="855"/>
      <c r="D291" s="37" t="s">
        <v>865</v>
      </c>
      <c r="E291" s="83">
        <v>2</v>
      </c>
      <c r="F291" s="82">
        <f>MATERIALES2!$E$699</f>
        <v>2500</v>
      </c>
      <c r="G291" s="111">
        <f t="shared" si="5"/>
        <v>5000</v>
      </c>
    </row>
    <row r="292" spans="1:8">
      <c r="A292" s="123"/>
      <c r="B292" s="854" t="str">
        <f>MATERIALES2!$C$674</f>
        <v>CODO PRESION ½"</v>
      </c>
      <c r="C292" s="855"/>
      <c r="D292" s="37" t="s">
        <v>865</v>
      </c>
      <c r="E292" s="83">
        <v>3</v>
      </c>
      <c r="F292" s="82">
        <f>MATERIALES2!$E$674</f>
        <v>200</v>
      </c>
      <c r="G292" s="111">
        <f t="shared" si="5"/>
        <v>600</v>
      </c>
    </row>
    <row r="293" spans="1:8">
      <c r="A293" s="123"/>
      <c r="B293" s="854" t="str">
        <f>MATERIALES2!$C$626</f>
        <v>ADAPTADOR MACHO PRESION ½"</v>
      </c>
      <c r="C293" s="855"/>
      <c r="D293" s="37" t="s">
        <v>865</v>
      </c>
      <c r="E293" s="83">
        <v>2</v>
      </c>
      <c r="F293" s="82">
        <f>MATERIALES2!$E$626</f>
        <v>200</v>
      </c>
      <c r="G293" s="111">
        <f t="shared" si="5"/>
        <v>400</v>
      </c>
    </row>
    <row r="294" spans="1:8">
      <c r="A294" s="123"/>
      <c r="B294" s="854" t="str">
        <f>MATERIALES2!$C$585</f>
        <v>TUBO PVC PRESION 1/2" x 6.0 M</v>
      </c>
      <c r="C294" s="855"/>
      <c r="D294" s="37" t="s">
        <v>865</v>
      </c>
      <c r="E294" s="83">
        <v>0.25</v>
      </c>
      <c r="F294" s="82">
        <f>MATERIALES2!$E$585</f>
        <v>6000</v>
      </c>
      <c r="G294" s="111">
        <f t="shared" si="5"/>
        <v>1500</v>
      </c>
    </row>
    <row r="295" spans="1:8">
      <c r="A295" s="123"/>
      <c r="B295" s="854" t="str">
        <f>MATERIALES2!$C$704</f>
        <v>SOLDADURA PVC ¼</v>
      </c>
      <c r="C295" s="855"/>
      <c r="D295" s="37" t="s">
        <v>865</v>
      </c>
      <c r="E295" s="83">
        <v>0.01</v>
      </c>
      <c r="F295" s="82">
        <f>MATERIALES2!$E$704</f>
        <v>56298</v>
      </c>
      <c r="G295" s="111">
        <f t="shared" si="5"/>
        <v>563</v>
      </c>
    </row>
    <row r="296" spans="1:8">
      <c r="A296" s="123"/>
      <c r="B296" s="854" t="str">
        <f>MATERIALES2!$C$255</f>
        <v>TORNILLO MADERA 5/16"</v>
      </c>
      <c r="C296" s="855"/>
      <c r="D296" s="37" t="s">
        <v>865</v>
      </c>
      <c r="E296" s="83">
        <v>6</v>
      </c>
      <c r="F296" s="82">
        <f>MATERIALES2!$E$255</f>
        <v>100</v>
      </c>
      <c r="G296" s="111">
        <f t="shared" si="5"/>
        <v>600</v>
      </c>
    </row>
    <row r="297" spans="1:8">
      <c r="A297" s="123"/>
      <c r="B297" s="854" t="str">
        <f>MATERIALES2!$C$257</f>
        <v>CHAZOS 5/16"</v>
      </c>
      <c r="C297" s="855"/>
      <c r="D297" s="37" t="s">
        <v>865</v>
      </c>
      <c r="E297" s="83">
        <v>6</v>
      </c>
      <c r="F297" s="82">
        <f>MATERIALES2!$E$257</f>
        <v>1275</v>
      </c>
      <c r="G297" s="111">
        <f t="shared" si="5"/>
        <v>7650</v>
      </c>
      <c r="H297" s="505" t="s">
        <v>1670</v>
      </c>
    </row>
    <row r="298" spans="1:8" ht="13.5" thickBot="1">
      <c r="A298" s="123"/>
      <c r="B298" s="854" t="str">
        <f>MATERIALES2!$C$729</f>
        <v>TEE PRESION ½"</v>
      </c>
      <c r="C298" s="855"/>
      <c r="D298" s="37" t="s">
        <v>865</v>
      </c>
      <c r="E298" s="86">
        <v>1</v>
      </c>
      <c r="F298" s="82">
        <f>MATERIALES2!$E$729</f>
        <v>300</v>
      </c>
      <c r="G298" s="111">
        <f t="shared" si="5"/>
        <v>300</v>
      </c>
    </row>
    <row r="299" spans="1:8" ht="13.5" thickTop="1">
      <c r="A299" s="95"/>
      <c r="B299" s="946"/>
      <c r="C299" s="947"/>
      <c r="D299" s="801" t="s">
        <v>856</v>
      </c>
      <c r="E299" s="802"/>
      <c r="F299" s="9"/>
      <c r="G299" s="113">
        <f>SUM(G290:G298)</f>
        <v>194888</v>
      </c>
    </row>
    <row r="300" spans="1:8">
      <c r="A300" s="95"/>
      <c r="B300" s="948"/>
      <c r="C300" s="949"/>
      <c r="D300" s="801" t="s">
        <v>857</v>
      </c>
      <c r="E300" s="802"/>
      <c r="F300" s="79">
        <f>'MANO DE OBRA'!$D$60</f>
        <v>0.05</v>
      </c>
      <c r="G300" s="113">
        <f>ROUND(G299*F300,0)</f>
        <v>9744</v>
      </c>
    </row>
    <row r="301" spans="1:8" ht="13.5" thickBot="1">
      <c r="A301" s="95"/>
      <c r="B301" s="948"/>
      <c r="C301" s="949"/>
      <c r="D301" s="803" t="s">
        <v>320</v>
      </c>
      <c r="E301" s="804"/>
      <c r="F301" s="114"/>
      <c r="G301" s="118">
        <f>+G299+G300</f>
        <v>204632</v>
      </c>
    </row>
    <row r="302" spans="1:8" ht="14.25" thickTop="1" thickBot="1">
      <c r="A302" s="95"/>
      <c r="B302" s="970"/>
      <c r="C302" s="970"/>
      <c r="D302" s="970"/>
      <c r="E302" s="970"/>
      <c r="F302" s="970"/>
      <c r="G302" s="970"/>
    </row>
    <row r="303" spans="1:8" ht="13.5" thickTop="1">
      <c r="A303" s="95"/>
      <c r="B303" s="950" t="s">
        <v>858</v>
      </c>
      <c r="C303" s="951"/>
      <c r="D303" s="951"/>
      <c r="E303" s="951"/>
      <c r="F303" s="951"/>
      <c r="G303" s="952"/>
    </row>
    <row r="304" spans="1:8">
      <c r="A304" s="95"/>
      <c r="B304" s="978"/>
      <c r="C304" s="979"/>
      <c r="D304" s="98" t="s">
        <v>301</v>
      </c>
      <c r="E304" s="98" t="s">
        <v>859</v>
      </c>
      <c r="F304" s="99" t="s">
        <v>839</v>
      </c>
      <c r="G304" s="107" t="s">
        <v>840</v>
      </c>
    </row>
    <row r="305" spans="1:7">
      <c r="A305" s="95"/>
      <c r="B305" s="982" t="s">
        <v>838</v>
      </c>
      <c r="C305" s="983"/>
      <c r="D305" s="100" t="s">
        <v>316</v>
      </c>
      <c r="E305" s="100" t="s">
        <v>315</v>
      </c>
      <c r="F305" s="101" t="s">
        <v>306</v>
      </c>
      <c r="G305" s="108" t="s">
        <v>319</v>
      </c>
    </row>
    <row r="306" spans="1:7">
      <c r="A306" s="95"/>
      <c r="B306" s="230"/>
      <c r="C306" s="102"/>
      <c r="D306" s="103"/>
      <c r="E306" s="103" t="s">
        <v>317</v>
      </c>
      <c r="F306" s="104" t="s">
        <v>318</v>
      </c>
      <c r="G306" s="109"/>
    </row>
    <row r="307" spans="1:7">
      <c r="A307" s="95"/>
      <c r="B307" s="841" t="str">
        <f>'MANO DE OBRA'!$B$11</f>
        <v>AYUDANTE CUAD. TIPO BB</v>
      </c>
      <c r="C307" s="842"/>
      <c r="D307" s="87">
        <v>1</v>
      </c>
      <c r="E307" s="80">
        <f>'MANO DE OBRA'!$E$11</f>
        <v>43077</v>
      </c>
      <c r="F307" s="81">
        <v>4</v>
      </c>
      <c r="G307" s="110">
        <f>ROUND(D307*E307/F307,0)</f>
        <v>10769</v>
      </c>
    </row>
    <row r="308" spans="1:7">
      <c r="A308" s="95"/>
      <c r="B308" s="854" t="str">
        <f>'MANO DE OBRA'!$B$16</f>
        <v>OFICIAL CUAD. TIPO BB</v>
      </c>
      <c r="C308" s="855"/>
      <c r="D308" s="37">
        <v>1</v>
      </c>
      <c r="E308" s="82">
        <f>'MANO DE OBRA'!$E$16</f>
        <v>78577</v>
      </c>
      <c r="F308" s="83">
        <v>4</v>
      </c>
      <c r="G308" s="111">
        <f>ROUND(D308*E308/F308,0)</f>
        <v>19644</v>
      </c>
    </row>
    <row r="309" spans="1:7">
      <c r="A309" s="95"/>
      <c r="B309" s="854"/>
      <c r="C309" s="855"/>
      <c r="D309" s="89"/>
      <c r="E309" s="82"/>
      <c r="F309" s="83"/>
      <c r="G309" s="111"/>
    </row>
    <row r="310" spans="1:7">
      <c r="A310" s="95"/>
      <c r="B310" s="854" t="s">
        <v>841</v>
      </c>
      <c r="C310" s="855"/>
      <c r="D310" s="37"/>
      <c r="E310" s="82"/>
      <c r="F310" s="83"/>
      <c r="G310" s="111"/>
    </row>
    <row r="311" spans="1:7" ht="13.5" thickBot="1">
      <c r="A311" s="95"/>
      <c r="B311" s="980" t="s">
        <v>841</v>
      </c>
      <c r="C311" s="981"/>
      <c r="D311" s="77"/>
      <c r="E311" s="82"/>
      <c r="F311" s="86"/>
      <c r="G311" s="112"/>
    </row>
    <row r="312" spans="1:7" ht="14.25" thickTop="1" thickBot="1">
      <c r="A312" s="95"/>
      <c r="B312" s="946"/>
      <c r="C312" s="946"/>
      <c r="D312" s="946"/>
      <c r="E312" s="947"/>
      <c r="F312" s="120" t="s">
        <v>856</v>
      </c>
      <c r="G312" s="118">
        <f>SUM(G307:G311)</f>
        <v>30413</v>
      </c>
    </row>
    <row r="313" spans="1:7" ht="14.25" thickTop="1" thickBot="1">
      <c r="A313" s="95"/>
      <c r="B313" s="970"/>
      <c r="C313" s="970"/>
      <c r="D313" s="970"/>
      <c r="E313" s="970"/>
      <c r="F313" s="970"/>
      <c r="G313" s="970"/>
    </row>
    <row r="314" spans="1:7" ht="13.5" thickTop="1">
      <c r="A314" s="95"/>
      <c r="B314" s="950" t="s">
        <v>321</v>
      </c>
      <c r="C314" s="951"/>
      <c r="D314" s="951"/>
      <c r="E314" s="951"/>
      <c r="F314" s="951"/>
      <c r="G314" s="952"/>
    </row>
    <row r="315" spans="1:7">
      <c r="A315" s="95"/>
      <c r="B315" s="978" t="s">
        <v>838</v>
      </c>
      <c r="C315" s="979"/>
      <c r="D315" s="98" t="s">
        <v>301</v>
      </c>
      <c r="E315" s="98" t="s">
        <v>297</v>
      </c>
      <c r="F315" s="99" t="s">
        <v>839</v>
      </c>
      <c r="G315" s="107" t="s">
        <v>840</v>
      </c>
    </row>
    <row r="316" spans="1:7">
      <c r="A316" s="95"/>
      <c r="B316" s="230"/>
      <c r="C316" s="102"/>
      <c r="D316" s="103" t="s">
        <v>322</v>
      </c>
      <c r="E316" s="103" t="s">
        <v>323</v>
      </c>
      <c r="F316" s="104" t="s">
        <v>324</v>
      </c>
      <c r="G316" s="109" t="s">
        <v>325</v>
      </c>
    </row>
    <row r="317" spans="1:7">
      <c r="A317" s="95"/>
      <c r="B317" s="841"/>
      <c r="C317" s="842"/>
      <c r="D317" s="96"/>
      <c r="E317" s="96"/>
      <c r="F317" s="96"/>
      <c r="G317" s="116"/>
    </row>
    <row r="318" spans="1:7" ht="13.5" thickBot="1">
      <c r="A318" s="95"/>
      <c r="B318" s="980" t="s">
        <v>841</v>
      </c>
      <c r="C318" s="981"/>
      <c r="D318" s="77"/>
      <c r="E318" s="82"/>
      <c r="F318" s="86"/>
      <c r="G318" s="112"/>
    </row>
    <row r="319" spans="1:7" ht="14.25" thickTop="1" thickBot="1">
      <c r="A319" s="95"/>
      <c r="B319" s="946"/>
      <c r="C319" s="946"/>
      <c r="D319" s="946"/>
      <c r="E319" s="947"/>
      <c r="F319" s="120" t="s">
        <v>856</v>
      </c>
      <c r="G319" s="118">
        <f>SUM(G314:G318)</f>
        <v>0</v>
      </c>
    </row>
    <row r="320" spans="1:7" ht="14.25" thickTop="1" thickBot="1">
      <c r="A320" s="95"/>
      <c r="B320" s="970"/>
      <c r="C320" s="970"/>
      <c r="D320" s="970"/>
      <c r="E320" s="970"/>
      <c r="F320" s="970"/>
      <c r="G320" s="943"/>
    </row>
    <row r="321" spans="1:8" ht="13.5" thickTop="1">
      <c r="A321" s="95"/>
      <c r="B321" s="950" t="s">
        <v>326</v>
      </c>
      <c r="C321" s="951"/>
      <c r="D321" s="951"/>
      <c r="E321" s="951"/>
      <c r="F321" s="971"/>
      <c r="G321" s="121">
        <f>+G285+G301+G312</f>
        <v>236566</v>
      </c>
    </row>
    <row r="322" spans="1:8">
      <c r="A322" s="95"/>
      <c r="B322" s="972" t="s">
        <v>861</v>
      </c>
      <c r="C322" s="973"/>
      <c r="D322" s="973"/>
      <c r="E322" s="974"/>
      <c r="F322" s="128">
        <f>'MANO DE OBRA'!$D$59</f>
        <v>0</v>
      </c>
      <c r="G322" s="122">
        <f>ROUND(G321*F322,0)</f>
        <v>0</v>
      </c>
    </row>
    <row r="323" spans="1:8" ht="13.5" thickBot="1">
      <c r="A323" s="95"/>
      <c r="B323" s="975" t="s">
        <v>1049</v>
      </c>
      <c r="C323" s="976"/>
      <c r="D323" s="976"/>
      <c r="E323" s="976"/>
      <c r="F323" s="977"/>
      <c r="G323" s="118">
        <f>ROUND(G321+G322,-2)</f>
        <v>236600</v>
      </c>
      <c r="H323" s="505" t="s">
        <v>1670</v>
      </c>
    </row>
    <row r="324" spans="1:8" ht="13.5" thickTop="1">
      <c r="A324" s="95"/>
      <c r="B324" s="225" t="s">
        <v>303</v>
      </c>
      <c r="C324" s="843"/>
      <c r="D324" s="843"/>
      <c r="E324" s="843"/>
      <c r="F324" s="92" t="s">
        <v>781</v>
      </c>
      <c r="G324" s="93" t="s">
        <v>865</v>
      </c>
    </row>
    <row r="325" spans="1:8">
      <c r="A325" s="95"/>
      <c r="B325" s="226" t="s">
        <v>834</v>
      </c>
      <c r="C325" s="844" t="s">
        <v>1474</v>
      </c>
      <c r="D325" s="844"/>
      <c r="E325" s="844"/>
      <c r="F325" s="15" t="s">
        <v>833</v>
      </c>
      <c r="G325" s="165" t="str">
        <f>'MANO DE OBRA'!D61</f>
        <v>Agosto de 2010</v>
      </c>
    </row>
    <row r="326" spans="1:8" ht="13.5" thickBot="1">
      <c r="A326" s="127"/>
      <c r="B326" s="228" t="s">
        <v>835</v>
      </c>
      <c r="C326" s="845" t="s">
        <v>1481</v>
      </c>
      <c r="D326" s="845"/>
      <c r="E326" s="845"/>
      <c r="F326" s="845"/>
      <c r="G326" s="846"/>
    </row>
    <row r="327" spans="1:8" ht="14.25" thickTop="1" thickBot="1">
      <c r="A327" s="95"/>
      <c r="B327" s="986"/>
      <c r="C327" s="986"/>
      <c r="D327" s="986"/>
      <c r="E327" s="986"/>
      <c r="F327" s="986"/>
      <c r="G327" s="986"/>
    </row>
    <row r="328" spans="1:8" ht="13.5" thickTop="1">
      <c r="A328" s="95"/>
      <c r="B328" s="950" t="s">
        <v>304</v>
      </c>
      <c r="C328" s="951"/>
      <c r="D328" s="951"/>
      <c r="E328" s="951"/>
      <c r="F328" s="951"/>
      <c r="G328" s="952"/>
    </row>
    <row r="329" spans="1:8">
      <c r="A329" s="95"/>
      <c r="B329" s="229"/>
      <c r="C329" s="97"/>
      <c r="D329" s="98" t="s">
        <v>301</v>
      </c>
      <c r="E329" s="98" t="s">
        <v>1072</v>
      </c>
      <c r="F329" s="99" t="s">
        <v>839</v>
      </c>
      <c r="G329" s="107" t="s">
        <v>840</v>
      </c>
    </row>
    <row r="330" spans="1:8">
      <c r="A330" s="95"/>
      <c r="B330" s="982" t="s">
        <v>838</v>
      </c>
      <c r="C330" s="983"/>
      <c r="D330" s="100" t="s">
        <v>308</v>
      </c>
      <c r="E330" s="100" t="s">
        <v>305</v>
      </c>
      <c r="F330" s="101" t="s">
        <v>306</v>
      </c>
      <c r="G330" s="108" t="s">
        <v>310</v>
      </c>
    </row>
    <row r="331" spans="1:8">
      <c r="A331" s="95"/>
      <c r="B331" s="230"/>
      <c r="C331" s="102"/>
      <c r="D331" s="103"/>
      <c r="E331" s="103" t="s">
        <v>309</v>
      </c>
      <c r="F331" s="104" t="s">
        <v>307</v>
      </c>
      <c r="G331" s="109"/>
    </row>
    <row r="332" spans="1:8">
      <c r="A332" s="127"/>
      <c r="B332" s="841" t="str">
        <f>'MAQUINARIA Y EQUIPOS'!$C$28</f>
        <v>HERRAMIENTAS MENORES</v>
      </c>
      <c r="C332" s="842"/>
      <c r="D332" s="87">
        <v>1</v>
      </c>
      <c r="E332" s="82">
        <f>ROUND(G365*0.05,0)</f>
        <v>1217</v>
      </c>
      <c r="F332" s="81">
        <v>1</v>
      </c>
      <c r="G332" s="110">
        <f>ROUND(D332*E332/F332,0)</f>
        <v>1217</v>
      </c>
    </row>
    <row r="333" spans="1:8">
      <c r="A333" s="95"/>
      <c r="B333" s="854"/>
      <c r="C333" s="855"/>
      <c r="D333" s="37"/>
      <c r="E333" s="129"/>
      <c r="F333" s="83"/>
      <c r="G333" s="111"/>
    </row>
    <row r="334" spans="1:8">
      <c r="A334" s="95"/>
      <c r="B334" s="854"/>
      <c r="C334" s="855"/>
      <c r="D334" s="37"/>
      <c r="E334" s="129"/>
      <c r="F334" s="83"/>
      <c r="G334" s="111"/>
    </row>
    <row r="335" spans="1:8">
      <c r="A335" s="95"/>
      <c r="B335" s="854" t="s">
        <v>841</v>
      </c>
      <c r="C335" s="855"/>
      <c r="D335" s="37"/>
      <c r="E335" s="82"/>
      <c r="F335" s="83"/>
      <c r="G335" s="111"/>
    </row>
    <row r="336" spans="1:8" ht="13.5" thickBot="1">
      <c r="A336" s="95"/>
      <c r="B336" s="942" t="s">
        <v>841</v>
      </c>
      <c r="C336" s="943"/>
      <c r="D336" s="77"/>
      <c r="E336" s="106"/>
      <c r="F336" s="86"/>
      <c r="G336" s="112"/>
    </row>
    <row r="337" spans="1:8" ht="14.25" thickTop="1" thickBot="1">
      <c r="A337" s="95"/>
      <c r="B337" s="946"/>
      <c r="C337" s="946"/>
      <c r="D337" s="946"/>
      <c r="E337" s="947"/>
      <c r="F337" s="119" t="s">
        <v>856</v>
      </c>
      <c r="G337" s="118">
        <f>SUM(G332:G336)</f>
        <v>1217</v>
      </c>
    </row>
    <row r="338" spans="1:8" ht="14.25" thickTop="1" thickBot="1">
      <c r="A338" s="95"/>
      <c r="B338" s="970"/>
      <c r="C338" s="970"/>
      <c r="D338" s="970"/>
      <c r="E338" s="970"/>
      <c r="F338" s="970"/>
      <c r="G338" s="970"/>
    </row>
    <row r="339" spans="1:8" ht="13.5" thickTop="1">
      <c r="A339" s="95"/>
      <c r="B339" s="950" t="s">
        <v>311</v>
      </c>
      <c r="C339" s="951"/>
      <c r="D339" s="951"/>
      <c r="E339" s="951"/>
      <c r="F339" s="951"/>
      <c r="G339" s="952"/>
    </row>
    <row r="340" spans="1:8">
      <c r="A340" s="95"/>
      <c r="B340" s="978" t="s">
        <v>838</v>
      </c>
      <c r="C340" s="979"/>
      <c r="D340" s="98" t="s">
        <v>842</v>
      </c>
      <c r="E340" s="98" t="s">
        <v>853</v>
      </c>
      <c r="F340" s="99" t="s">
        <v>1047</v>
      </c>
      <c r="G340" s="107" t="s">
        <v>840</v>
      </c>
    </row>
    <row r="341" spans="1:8">
      <c r="A341" s="95"/>
      <c r="B341" s="230"/>
      <c r="C341" s="102"/>
      <c r="D341" s="100"/>
      <c r="E341" s="100" t="s">
        <v>312</v>
      </c>
      <c r="F341" s="101" t="s">
        <v>313</v>
      </c>
      <c r="G341" s="108" t="s">
        <v>314</v>
      </c>
    </row>
    <row r="342" spans="1:8">
      <c r="A342" s="123"/>
      <c r="B342" s="841" t="str">
        <f>MATERIALES2!$C$345</f>
        <v>ORINAL MEDIANO CON GRIFERIA</v>
      </c>
      <c r="C342" s="842"/>
      <c r="D342" s="87" t="s">
        <v>865</v>
      </c>
      <c r="E342" s="81">
        <v>1</v>
      </c>
      <c r="F342" s="80">
        <f>MATERIALES2!$E$345</f>
        <v>215300</v>
      </c>
      <c r="G342" s="110">
        <f t="shared" ref="G342:G351" si="6">ROUND(E342*F342,0)</f>
        <v>215300</v>
      </c>
    </row>
    <row r="343" spans="1:8">
      <c r="A343" s="123"/>
      <c r="B343" s="854" t="str">
        <f>MATERIALES2!$C$626</f>
        <v>ADAPTADOR MACHO PRESION ½"</v>
      </c>
      <c r="C343" s="855"/>
      <c r="D343" s="37" t="s">
        <v>865</v>
      </c>
      <c r="E343" s="83">
        <v>2</v>
      </c>
      <c r="F343" s="82">
        <f>MATERIALES2!$E$626</f>
        <v>200</v>
      </c>
      <c r="G343" s="111">
        <f t="shared" si="6"/>
        <v>400</v>
      </c>
    </row>
    <row r="344" spans="1:8">
      <c r="A344" s="123"/>
      <c r="B344" s="854" t="str">
        <f>MATERIALES2!$C$674</f>
        <v>CODO PRESION ½"</v>
      </c>
      <c r="C344" s="855"/>
      <c r="D344" s="37" t="s">
        <v>865</v>
      </c>
      <c r="E344" s="83">
        <v>3</v>
      </c>
      <c r="F344" s="82">
        <f>MATERIALES2!$E$674</f>
        <v>200</v>
      </c>
      <c r="G344" s="111">
        <f t="shared" si="6"/>
        <v>600</v>
      </c>
    </row>
    <row r="345" spans="1:8">
      <c r="A345" s="123"/>
      <c r="B345" s="854" t="str">
        <f>MATERIALES2!$C$736</f>
        <v>TEE PRESION 3/4"</v>
      </c>
      <c r="C345" s="855"/>
      <c r="D345" s="37" t="s">
        <v>865</v>
      </c>
      <c r="E345" s="83">
        <v>2</v>
      </c>
      <c r="F345" s="82">
        <f>MATERIALES2!$E$736</f>
        <v>500</v>
      </c>
      <c r="G345" s="111">
        <f t="shared" si="6"/>
        <v>1000</v>
      </c>
    </row>
    <row r="346" spans="1:8">
      <c r="A346" s="123"/>
      <c r="B346" s="854" t="str">
        <f>MATERIALES2!$C$585</f>
        <v>TUBO PVC PRESION 1/2" x 6.0 M</v>
      </c>
      <c r="C346" s="855"/>
      <c r="D346" s="37" t="s">
        <v>865</v>
      </c>
      <c r="E346" s="83">
        <v>0.25</v>
      </c>
      <c r="F346" s="82">
        <f>MATERIALES2!$E$585</f>
        <v>6000</v>
      </c>
      <c r="G346" s="111">
        <f t="shared" si="6"/>
        <v>1500</v>
      </c>
    </row>
    <row r="347" spans="1:8">
      <c r="A347" s="123"/>
      <c r="B347" s="854" t="str">
        <f>MATERIALES2!$C$704</f>
        <v>SOLDADURA PVC ¼</v>
      </c>
      <c r="C347" s="855"/>
      <c r="D347" s="37" t="s">
        <v>865</v>
      </c>
      <c r="E347" s="83">
        <v>0.01</v>
      </c>
      <c r="F347" s="82">
        <f>MATERIALES2!$E$704</f>
        <v>56298</v>
      </c>
      <c r="G347" s="111">
        <f t="shared" si="6"/>
        <v>563</v>
      </c>
    </row>
    <row r="348" spans="1:8">
      <c r="A348" s="123"/>
      <c r="B348" s="854" t="str">
        <f>MATERIALES2!$C$255</f>
        <v>TORNILLO MADERA 5/16"</v>
      </c>
      <c r="C348" s="855"/>
      <c r="D348" s="37" t="s">
        <v>865</v>
      </c>
      <c r="E348" s="83">
        <v>6</v>
      </c>
      <c r="F348" s="82">
        <f>MATERIALES2!$E$255</f>
        <v>100</v>
      </c>
      <c r="G348" s="111">
        <f t="shared" si="6"/>
        <v>600</v>
      </c>
    </row>
    <row r="349" spans="1:8">
      <c r="A349" s="123"/>
      <c r="B349" s="854" t="str">
        <f>MATERIALES2!$C$257</f>
        <v>CHAZOS 5/16"</v>
      </c>
      <c r="C349" s="855"/>
      <c r="D349" s="37" t="s">
        <v>865</v>
      </c>
      <c r="E349" s="83">
        <v>6</v>
      </c>
      <c r="F349" s="82">
        <f>MATERIALES2!$E$257</f>
        <v>1275</v>
      </c>
      <c r="G349" s="111">
        <f t="shared" si="6"/>
        <v>7650</v>
      </c>
    </row>
    <row r="350" spans="1:8">
      <c r="A350" s="123"/>
      <c r="B350" s="854" t="str">
        <f>MATERIALES2!$C$672</f>
        <v>BUJES SOLDADOS 3/4"x1/2"</v>
      </c>
      <c r="C350" s="855"/>
      <c r="D350" s="37" t="s">
        <v>865</v>
      </c>
      <c r="E350" s="83">
        <v>1</v>
      </c>
      <c r="F350" s="82">
        <f>MATERIALES2!$E$672</f>
        <v>250</v>
      </c>
      <c r="G350" s="111">
        <f t="shared" si="6"/>
        <v>250</v>
      </c>
      <c r="H350" s="505" t="s">
        <v>1670</v>
      </c>
    </row>
    <row r="351" spans="1:8" ht="13.5" thickBot="1">
      <c r="A351" s="123"/>
      <c r="B351" s="854" t="str">
        <f>MATERIALES2!$C$873</f>
        <v xml:space="preserve">TEFLON </v>
      </c>
      <c r="C351" s="855"/>
      <c r="D351" s="37" t="s">
        <v>865</v>
      </c>
      <c r="E351" s="86">
        <v>0.2</v>
      </c>
      <c r="F351" s="82">
        <f>MATERIALES2!$E$873</f>
        <v>500</v>
      </c>
      <c r="G351" s="111">
        <f t="shared" si="6"/>
        <v>100</v>
      </c>
    </row>
    <row r="352" spans="1:8" ht="13.5" thickTop="1">
      <c r="A352" s="95"/>
      <c r="B352" s="946"/>
      <c r="C352" s="947"/>
      <c r="D352" s="801" t="s">
        <v>856</v>
      </c>
      <c r="E352" s="802"/>
      <c r="F352" s="9"/>
      <c r="G352" s="113">
        <f>SUM(G342:G351)</f>
        <v>227963</v>
      </c>
    </row>
    <row r="353" spans="1:7">
      <c r="A353" s="95"/>
      <c r="B353" s="948"/>
      <c r="C353" s="949"/>
      <c r="D353" s="801" t="s">
        <v>857</v>
      </c>
      <c r="E353" s="802"/>
      <c r="F353" s="79">
        <f>'MANO DE OBRA'!$D$60</f>
        <v>0.05</v>
      </c>
      <c r="G353" s="113">
        <f>ROUND(G352*F353,0)</f>
        <v>11398</v>
      </c>
    </row>
    <row r="354" spans="1:7" ht="13.5" thickBot="1">
      <c r="A354" s="95"/>
      <c r="B354" s="948"/>
      <c r="C354" s="949"/>
      <c r="D354" s="803" t="s">
        <v>320</v>
      </c>
      <c r="E354" s="804"/>
      <c r="F354" s="114"/>
      <c r="G354" s="118">
        <f>+G352+G353</f>
        <v>239361</v>
      </c>
    </row>
    <row r="355" spans="1:7" ht="14.25" thickTop="1" thickBot="1">
      <c r="A355" s="95"/>
      <c r="B355" s="970"/>
      <c r="C355" s="970"/>
      <c r="D355" s="970"/>
      <c r="E355" s="970"/>
      <c r="F355" s="970"/>
      <c r="G355" s="970"/>
    </row>
    <row r="356" spans="1:7" ht="13.5" thickTop="1">
      <c r="A356" s="95"/>
      <c r="B356" s="950" t="s">
        <v>858</v>
      </c>
      <c r="C356" s="951"/>
      <c r="D356" s="951"/>
      <c r="E356" s="951"/>
      <c r="F356" s="951"/>
      <c r="G356" s="952"/>
    </row>
    <row r="357" spans="1:7">
      <c r="A357" s="95"/>
      <c r="B357" s="978"/>
      <c r="C357" s="979"/>
      <c r="D357" s="98" t="s">
        <v>301</v>
      </c>
      <c r="E357" s="98" t="s">
        <v>859</v>
      </c>
      <c r="F357" s="99" t="s">
        <v>839</v>
      </c>
      <c r="G357" s="107" t="s">
        <v>840</v>
      </c>
    </row>
    <row r="358" spans="1:7">
      <c r="A358" s="95"/>
      <c r="B358" s="982" t="s">
        <v>838</v>
      </c>
      <c r="C358" s="983"/>
      <c r="D358" s="100" t="s">
        <v>316</v>
      </c>
      <c r="E358" s="100" t="s">
        <v>315</v>
      </c>
      <c r="F358" s="101" t="s">
        <v>306</v>
      </c>
      <c r="G358" s="108" t="s">
        <v>319</v>
      </c>
    </row>
    <row r="359" spans="1:7">
      <c r="A359" s="95"/>
      <c r="B359" s="230"/>
      <c r="C359" s="102"/>
      <c r="D359" s="103"/>
      <c r="E359" s="103" t="s">
        <v>317</v>
      </c>
      <c r="F359" s="104" t="s">
        <v>318</v>
      </c>
      <c r="G359" s="109"/>
    </row>
    <row r="360" spans="1:7">
      <c r="A360" s="95"/>
      <c r="B360" s="841" t="str">
        <f>'MANO DE OBRA'!$B$11</f>
        <v>AYUDANTE CUAD. TIPO BB</v>
      </c>
      <c r="C360" s="842"/>
      <c r="D360" s="87">
        <v>1</v>
      </c>
      <c r="E360" s="80">
        <f>'MANO DE OBRA'!$E$11</f>
        <v>43077</v>
      </c>
      <c r="F360" s="81">
        <v>5</v>
      </c>
      <c r="G360" s="110">
        <f>ROUND(D360*E360/F360,0)</f>
        <v>8615</v>
      </c>
    </row>
    <row r="361" spans="1:7">
      <c r="A361" s="95"/>
      <c r="B361" s="854" t="str">
        <f>'MANO DE OBRA'!$B$16</f>
        <v>OFICIAL CUAD. TIPO BB</v>
      </c>
      <c r="C361" s="855"/>
      <c r="D361" s="37">
        <v>1</v>
      </c>
      <c r="E361" s="82">
        <f>'MANO DE OBRA'!$E$16</f>
        <v>78577</v>
      </c>
      <c r="F361" s="83">
        <v>5</v>
      </c>
      <c r="G361" s="111">
        <f>ROUND(D361*E361/F361,0)</f>
        <v>15715</v>
      </c>
    </row>
    <row r="362" spans="1:7">
      <c r="A362" s="95"/>
      <c r="B362" s="854"/>
      <c r="C362" s="855"/>
      <c r="D362" s="89"/>
      <c r="E362" s="82"/>
      <c r="F362" s="83"/>
      <c r="G362" s="111"/>
    </row>
    <row r="363" spans="1:7">
      <c r="A363" s="95"/>
      <c r="B363" s="854" t="s">
        <v>841</v>
      </c>
      <c r="C363" s="855"/>
      <c r="D363" s="37"/>
      <c r="E363" s="82"/>
      <c r="F363" s="83"/>
      <c r="G363" s="111"/>
    </row>
    <row r="364" spans="1:7" ht="13.5" thickBot="1">
      <c r="A364" s="95"/>
      <c r="B364" s="980" t="s">
        <v>841</v>
      </c>
      <c r="C364" s="981"/>
      <c r="D364" s="77"/>
      <c r="E364" s="82"/>
      <c r="F364" s="86"/>
      <c r="G364" s="112"/>
    </row>
    <row r="365" spans="1:7" ht="14.25" thickTop="1" thickBot="1">
      <c r="A365" s="95"/>
      <c r="B365" s="946"/>
      <c r="C365" s="946"/>
      <c r="D365" s="946"/>
      <c r="E365" s="947"/>
      <c r="F365" s="120" t="s">
        <v>856</v>
      </c>
      <c r="G365" s="118">
        <f>SUM(G360:G364)</f>
        <v>24330</v>
      </c>
    </row>
    <row r="366" spans="1:7" ht="14.25" thickTop="1" thickBot="1">
      <c r="A366" s="95"/>
      <c r="B366" s="970"/>
      <c r="C366" s="970"/>
      <c r="D366" s="970"/>
      <c r="E366" s="970"/>
      <c r="F366" s="970"/>
      <c r="G366" s="970"/>
    </row>
    <row r="367" spans="1:7" ht="13.5" thickTop="1">
      <c r="A367" s="95"/>
      <c r="B367" s="950" t="s">
        <v>321</v>
      </c>
      <c r="C367" s="951"/>
      <c r="D367" s="951"/>
      <c r="E367" s="951"/>
      <c r="F367" s="951"/>
      <c r="G367" s="952"/>
    </row>
    <row r="368" spans="1:7">
      <c r="A368" s="95"/>
      <c r="B368" s="978" t="s">
        <v>838</v>
      </c>
      <c r="C368" s="979"/>
      <c r="D368" s="98" t="s">
        <v>301</v>
      </c>
      <c r="E368" s="98" t="s">
        <v>297</v>
      </c>
      <c r="F368" s="99" t="s">
        <v>839</v>
      </c>
      <c r="G368" s="107" t="s">
        <v>840</v>
      </c>
    </row>
    <row r="369" spans="1:8">
      <c r="A369" s="95"/>
      <c r="B369" s="230"/>
      <c r="C369" s="102"/>
      <c r="D369" s="103" t="s">
        <v>322</v>
      </c>
      <c r="E369" s="103" t="s">
        <v>323</v>
      </c>
      <c r="F369" s="104" t="s">
        <v>324</v>
      </c>
      <c r="G369" s="109" t="s">
        <v>325</v>
      </c>
    </row>
    <row r="370" spans="1:8">
      <c r="A370" s="95"/>
      <c r="B370" s="841"/>
      <c r="C370" s="842"/>
      <c r="D370" s="96"/>
      <c r="E370" s="96"/>
      <c r="F370" s="96"/>
      <c r="G370" s="116"/>
    </row>
    <row r="371" spans="1:8" ht="13.5" thickBot="1">
      <c r="A371" s="95"/>
      <c r="B371" s="980" t="s">
        <v>841</v>
      </c>
      <c r="C371" s="981"/>
      <c r="D371" s="77"/>
      <c r="E371" s="82"/>
      <c r="F371" s="86"/>
      <c r="G371" s="112"/>
    </row>
    <row r="372" spans="1:8" ht="14.25" thickTop="1" thickBot="1">
      <c r="A372" s="95"/>
      <c r="B372" s="946"/>
      <c r="C372" s="946"/>
      <c r="D372" s="946"/>
      <c r="E372" s="947"/>
      <c r="F372" s="120" t="s">
        <v>856</v>
      </c>
      <c r="G372" s="118">
        <f>SUM(G367:G371)</f>
        <v>0</v>
      </c>
    </row>
    <row r="373" spans="1:8" ht="14.25" thickTop="1" thickBot="1">
      <c r="A373" s="95"/>
      <c r="B373" s="970"/>
      <c r="C373" s="970"/>
      <c r="D373" s="970"/>
      <c r="E373" s="970"/>
      <c r="F373" s="970"/>
      <c r="G373" s="943"/>
    </row>
    <row r="374" spans="1:8" ht="13.5" thickTop="1">
      <c r="A374" s="95"/>
      <c r="B374" s="950" t="s">
        <v>326</v>
      </c>
      <c r="C374" s="951"/>
      <c r="D374" s="951"/>
      <c r="E374" s="951"/>
      <c r="F374" s="971"/>
      <c r="G374" s="121">
        <f>+G337+G354+G365</f>
        <v>264908</v>
      </c>
    </row>
    <row r="375" spans="1:8">
      <c r="A375" s="95"/>
      <c r="B375" s="972" t="s">
        <v>861</v>
      </c>
      <c r="C375" s="973"/>
      <c r="D375" s="973"/>
      <c r="E375" s="974"/>
      <c r="F375" s="128">
        <f>'MANO DE OBRA'!$D$59</f>
        <v>0</v>
      </c>
      <c r="G375" s="122">
        <f>ROUND(G374*F375,0)</f>
        <v>0</v>
      </c>
    </row>
    <row r="376" spans="1:8" ht="13.5" thickBot="1">
      <c r="A376" s="95"/>
      <c r="B376" s="975" t="s">
        <v>1049</v>
      </c>
      <c r="C376" s="976"/>
      <c r="D376" s="976"/>
      <c r="E376" s="976"/>
      <c r="F376" s="977"/>
      <c r="G376" s="118">
        <f>ROUND(G374+G375,-2)</f>
        <v>264900</v>
      </c>
      <c r="H376" s="505" t="s">
        <v>1670</v>
      </c>
    </row>
    <row r="377" spans="1:8" ht="13.5" thickTop="1">
      <c r="A377" s="95"/>
      <c r="B377" s="225" t="s">
        <v>303</v>
      </c>
      <c r="C377" s="843"/>
      <c r="D377" s="843"/>
      <c r="E377" s="843"/>
      <c r="F377" s="92" t="s">
        <v>781</v>
      </c>
      <c r="G377" s="93" t="s">
        <v>865</v>
      </c>
    </row>
    <row r="378" spans="1:8">
      <c r="A378" s="95"/>
      <c r="B378" s="226" t="s">
        <v>834</v>
      </c>
      <c r="C378" s="844" t="s">
        <v>1474</v>
      </c>
      <c r="D378" s="844"/>
      <c r="E378" s="844"/>
      <c r="F378" s="15" t="s">
        <v>833</v>
      </c>
      <c r="G378" s="165" t="str">
        <f>'MANO DE OBRA'!D61</f>
        <v>Agosto de 2010</v>
      </c>
    </row>
    <row r="379" spans="1:8" ht="13.5" thickBot="1">
      <c r="A379" s="127"/>
      <c r="B379" s="228" t="s">
        <v>835</v>
      </c>
      <c r="C379" s="845" t="s">
        <v>1482</v>
      </c>
      <c r="D379" s="845"/>
      <c r="E379" s="845"/>
      <c r="F379" s="845"/>
      <c r="G379" s="846"/>
    </row>
    <row r="380" spans="1:8" ht="14.25" thickTop="1" thickBot="1">
      <c r="A380" s="95"/>
      <c r="B380" s="986"/>
      <c r="C380" s="986"/>
      <c r="D380" s="986"/>
      <c r="E380" s="986"/>
      <c r="F380" s="986"/>
      <c r="G380" s="986"/>
    </row>
    <row r="381" spans="1:8" ht="13.5" thickTop="1">
      <c r="A381" s="95"/>
      <c r="B381" s="950" t="s">
        <v>304</v>
      </c>
      <c r="C381" s="951"/>
      <c r="D381" s="951"/>
      <c r="E381" s="951"/>
      <c r="F381" s="951"/>
      <c r="G381" s="952"/>
    </row>
    <row r="382" spans="1:8">
      <c r="A382" s="95"/>
      <c r="B382" s="229"/>
      <c r="C382" s="97"/>
      <c r="D382" s="98" t="s">
        <v>301</v>
      </c>
      <c r="E382" s="98" t="s">
        <v>1072</v>
      </c>
      <c r="F382" s="99" t="s">
        <v>839</v>
      </c>
      <c r="G382" s="107" t="s">
        <v>840</v>
      </c>
    </row>
    <row r="383" spans="1:8">
      <c r="A383" s="95"/>
      <c r="B383" s="982" t="s">
        <v>838</v>
      </c>
      <c r="C383" s="983"/>
      <c r="D383" s="100" t="s">
        <v>308</v>
      </c>
      <c r="E383" s="100" t="s">
        <v>305</v>
      </c>
      <c r="F383" s="101" t="s">
        <v>306</v>
      </c>
      <c r="G383" s="108" t="s">
        <v>310</v>
      </c>
    </row>
    <row r="384" spans="1:8">
      <c r="A384" s="95"/>
      <c r="B384" s="230"/>
      <c r="C384" s="102"/>
      <c r="D384" s="103"/>
      <c r="E384" s="103" t="s">
        <v>309</v>
      </c>
      <c r="F384" s="104" t="s">
        <v>307</v>
      </c>
      <c r="G384" s="109"/>
    </row>
    <row r="385" spans="1:7">
      <c r="A385" s="127"/>
      <c r="B385" s="841" t="str">
        <f>'MAQUINARIA Y EQUIPOS'!$C$28</f>
        <v>HERRAMIENTAS MENORES</v>
      </c>
      <c r="C385" s="842"/>
      <c r="D385" s="87">
        <v>1</v>
      </c>
      <c r="E385" s="82">
        <f>ROUND(G418*0.05,0)</f>
        <v>1217</v>
      </c>
      <c r="F385" s="81">
        <v>1</v>
      </c>
      <c r="G385" s="110">
        <f>ROUND(D385*E385/F385,0)</f>
        <v>1217</v>
      </c>
    </row>
    <row r="386" spans="1:7">
      <c r="A386" s="95"/>
      <c r="B386" s="854"/>
      <c r="C386" s="855"/>
      <c r="D386" s="37"/>
      <c r="E386" s="129"/>
      <c r="F386" s="83"/>
      <c r="G386" s="111"/>
    </row>
    <row r="387" spans="1:7">
      <c r="A387" s="95"/>
      <c r="B387" s="854"/>
      <c r="C387" s="855"/>
      <c r="D387" s="37"/>
      <c r="E387" s="129"/>
      <c r="F387" s="83"/>
      <c r="G387" s="111"/>
    </row>
    <row r="388" spans="1:7">
      <c r="A388" s="95"/>
      <c r="B388" s="854" t="s">
        <v>841</v>
      </c>
      <c r="C388" s="855"/>
      <c r="D388" s="37"/>
      <c r="E388" s="82"/>
      <c r="F388" s="83"/>
      <c r="G388" s="111"/>
    </row>
    <row r="389" spans="1:7" ht="13.5" thickBot="1">
      <c r="A389" s="95"/>
      <c r="B389" s="942" t="s">
        <v>841</v>
      </c>
      <c r="C389" s="943"/>
      <c r="D389" s="77"/>
      <c r="E389" s="106"/>
      <c r="F389" s="86"/>
      <c r="G389" s="112"/>
    </row>
    <row r="390" spans="1:7" ht="14.25" thickTop="1" thickBot="1">
      <c r="A390" s="95"/>
      <c r="B390" s="946"/>
      <c r="C390" s="946"/>
      <c r="D390" s="946"/>
      <c r="E390" s="947"/>
      <c r="F390" s="119" t="s">
        <v>856</v>
      </c>
      <c r="G390" s="118">
        <f>SUM(G385:G389)</f>
        <v>1217</v>
      </c>
    </row>
    <row r="391" spans="1:7" ht="14.25" thickTop="1" thickBot="1">
      <c r="A391" s="95"/>
      <c r="B391" s="970"/>
      <c r="C391" s="970"/>
      <c r="D391" s="970"/>
      <c r="E391" s="970"/>
      <c r="F391" s="970"/>
      <c r="G391" s="970"/>
    </row>
    <row r="392" spans="1:7" ht="13.5" thickTop="1">
      <c r="A392" s="95"/>
      <c r="B392" s="950" t="s">
        <v>311</v>
      </c>
      <c r="C392" s="951"/>
      <c r="D392" s="951"/>
      <c r="E392" s="951"/>
      <c r="F392" s="951"/>
      <c r="G392" s="952"/>
    </row>
    <row r="393" spans="1:7">
      <c r="A393" s="95"/>
      <c r="B393" s="978" t="s">
        <v>838</v>
      </c>
      <c r="C393" s="979"/>
      <c r="D393" s="98" t="s">
        <v>842</v>
      </c>
      <c r="E393" s="98" t="s">
        <v>853</v>
      </c>
      <c r="F393" s="99" t="s">
        <v>1047</v>
      </c>
      <c r="G393" s="107" t="s">
        <v>840</v>
      </c>
    </row>
    <row r="394" spans="1:7">
      <c r="A394" s="95"/>
      <c r="B394" s="230"/>
      <c r="C394" s="102"/>
      <c r="D394" s="100"/>
      <c r="E394" s="100" t="s">
        <v>312</v>
      </c>
      <c r="F394" s="101" t="s">
        <v>313</v>
      </c>
      <c r="G394" s="108" t="s">
        <v>314</v>
      </c>
    </row>
    <row r="395" spans="1:7">
      <c r="A395" s="123"/>
      <c r="B395" s="841" t="str">
        <f>MATERIALES2!$C$346</f>
        <v>ORINAL RESIDENCIAL</v>
      </c>
      <c r="C395" s="842"/>
      <c r="D395" s="87" t="s">
        <v>865</v>
      </c>
      <c r="E395" s="81">
        <v>1</v>
      </c>
      <c r="F395" s="80">
        <f>MATERIALES2!$E$346</f>
        <v>98000</v>
      </c>
      <c r="G395" s="110">
        <f t="shared" ref="G395:G404" si="7">ROUND(E395*F395,0)</f>
        <v>98000</v>
      </c>
    </row>
    <row r="396" spans="1:7">
      <c r="A396" s="123"/>
      <c r="B396" s="854" t="str">
        <f>MATERIALES2!$C$626</f>
        <v>ADAPTADOR MACHO PRESION ½"</v>
      </c>
      <c r="C396" s="855"/>
      <c r="D396" s="37" t="s">
        <v>865</v>
      </c>
      <c r="E396" s="83">
        <v>2</v>
      </c>
      <c r="F396" s="82">
        <f>MATERIALES2!$E$626</f>
        <v>200</v>
      </c>
      <c r="G396" s="111">
        <f t="shared" si="7"/>
        <v>400</v>
      </c>
    </row>
    <row r="397" spans="1:7">
      <c r="A397" s="123"/>
      <c r="B397" s="854" t="str">
        <f>MATERIALES2!$C$674</f>
        <v>CODO PRESION ½"</v>
      </c>
      <c r="C397" s="855"/>
      <c r="D397" s="37" t="s">
        <v>865</v>
      </c>
      <c r="E397" s="83">
        <v>3</v>
      </c>
      <c r="F397" s="82">
        <f>MATERIALES2!$E$674</f>
        <v>200</v>
      </c>
      <c r="G397" s="111">
        <f t="shared" si="7"/>
        <v>600</v>
      </c>
    </row>
    <row r="398" spans="1:7">
      <c r="A398" s="123"/>
      <c r="B398" s="854" t="str">
        <f>MATERIALES2!$C$736</f>
        <v>TEE PRESION 3/4"</v>
      </c>
      <c r="C398" s="855"/>
      <c r="D398" s="37" t="s">
        <v>865</v>
      </c>
      <c r="E398" s="83">
        <v>2</v>
      </c>
      <c r="F398" s="82">
        <f>MATERIALES2!$E$736</f>
        <v>500</v>
      </c>
      <c r="G398" s="111">
        <f t="shared" si="7"/>
        <v>1000</v>
      </c>
    </row>
    <row r="399" spans="1:7">
      <c r="A399" s="123"/>
      <c r="B399" s="854" t="str">
        <f>MATERIALES2!$C$585</f>
        <v>TUBO PVC PRESION 1/2" x 6.0 M</v>
      </c>
      <c r="C399" s="855"/>
      <c r="D399" s="37" t="s">
        <v>865</v>
      </c>
      <c r="E399" s="83">
        <v>0.25</v>
      </c>
      <c r="F399" s="82">
        <f>MATERIALES2!$E$585</f>
        <v>6000</v>
      </c>
      <c r="G399" s="111">
        <f t="shared" si="7"/>
        <v>1500</v>
      </c>
    </row>
    <row r="400" spans="1:7">
      <c r="A400" s="123"/>
      <c r="B400" s="854" t="str">
        <f>MATERIALES2!$C$704</f>
        <v>SOLDADURA PVC ¼</v>
      </c>
      <c r="C400" s="855"/>
      <c r="D400" s="37" t="s">
        <v>865</v>
      </c>
      <c r="E400" s="83">
        <v>0.01</v>
      </c>
      <c r="F400" s="82">
        <f>MATERIALES2!$E$704</f>
        <v>56298</v>
      </c>
      <c r="G400" s="111">
        <f t="shared" si="7"/>
        <v>563</v>
      </c>
    </row>
    <row r="401" spans="1:8">
      <c r="A401" s="123"/>
      <c r="B401" s="854" t="str">
        <f>MATERIALES2!$C$255</f>
        <v>TORNILLO MADERA 5/16"</v>
      </c>
      <c r="C401" s="855"/>
      <c r="D401" s="37" t="s">
        <v>865</v>
      </c>
      <c r="E401" s="83">
        <v>6</v>
      </c>
      <c r="F401" s="82">
        <f>MATERIALES2!$E$255</f>
        <v>100</v>
      </c>
      <c r="G401" s="111">
        <f t="shared" si="7"/>
        <v>600</v>
      </c>
    </row>
    <row r="402" spans="1:8">
      <c r="A402" s="123"/>
      <c r="B402" s="854" t="str">
        <f>MATERIALES2!$C$257</f>
        <v>CHAZOS 5/16"</v>
      </c>
      <c r="C402" s="855"/>
      <c r="D402" s="37" t="s">
        <v>865</v>
      </c>
      <c r="E402" s="83">
        <v>6</v>
      </c>
      <c r="F402" s="82">
        <f>MATERIALES2!$E$257</f>
        <v>1275</v>
      </c>
      <c r="G402" s="111">
        <f t="shared" si="7"/>
        <v>7650</v>
      </c>
    </row>
    <row r="403" spans="1:8">
      <c r="A403" s="123"/>
      <c r="B403" s="854" t="str">
        <f>MATERIALES2!$C$672</f>
        <v>BUJES SOLDADOS 3/4"x1/2"</v>
      </c>
      <c r="C403" s="855"/>
      <c r="D403" s="37" t="s">
        <v>865</v>
      </c>
      <c r="E403" s="83">
        <v>1</v>
      </c>
      <c r="F403" s="82">
        <f>MATERIALES2!$E$672</f>
        <v>250</v>
      </c>
      <c r="G403" s="111">
        <f t="shared" si="7"/>
        <v>250</v>
      </c>
      <c r="H403" s="505" t="s">
        <v>1670</v>
      </c>
    </row>
    <row r="404" spans="1:8" ht="13.5" thickBot="1">
      <c r="A404" s="123"/>
      <c r="B404" s="854" t="str">
        <f>MATERIALES2!$C$873</f>
        <v xml:space="preserve">TEFLON </v>
      </c>
      <c r="C404" s="855"/>
      <c r="D404" s="37" t="s">
        <v>865</v>
      </c>
      <c r="E404" s="86">
        <v>0.2</v>
      </c>
      <c r="F404" s="82">
        <f>MATERIALES2!$E$873</f>
        <v>500</v>
      </c>
      <c r="G404" s="111">
        <f t="shared" si="7"/>
        <v>100</v>
      </c>
    </row>
    <row r="405" spans="1:8" ht="13.5" thickTop="1">
      <c r="A405" s="95"/>
      <c r="B405" s="946"/>
      <c r="C405" s="947"/>
      <c r="D405" s="801" t="s">
        <v>856</v>
      </c>
      <c r="E405" s="802"/>
      <c r="F405" s="9"/>
      <c r="G405" s="113">
        <f>SUM(G395:G404)</f>
        <v>110663</v>
      </c>
    </row>
    <row r="406" spans="1:8">
      <c r="A406" s="95"/>
      <c r="B406" s="948"/>
      <c r="C406" s="949"/>
      <c r="D406" s="801" t="s">
        <v>857</v>
      </c>
      <c r="E406" s="802"/>
      <c r="F406" s="79">
        <f>'MANO DE OBRA'!$D$60</f>
        <v>0.05</v>
      </c>
      <c r="G406" s="113">
        <f>ROUND(G405*F406,0)</f>
        <v>5533</v>
      </c>
    </row>
    <row r="407" spans="1:8" ht="13.5" thickBot="1">
      <c r="A407" s="95"/>
      <c r="B407" s="948"/>
      <c r="C407" s="949"/>
      <c r="D407" s="803" t="s">
        <v>320</v>
      </c>
      <c r="E407" s="804"/>
      <c r="F407" s="114"/>
      <c r="G407" s="118">
        <f>+G405+G406</f>
        <v>116196</v>
      </c>
    </row>
    <row r="408" spans="1:8" ht="14.25" thickTop="1" thickBot="1">
      <c r="A408" s="95"/>
      <c r="B408" s="970"/>
      <c r="C408" s="970"/>
      <c r="D408" s="970"/>
      <c r="E408" s="970"/>
      <c r="F408" s="970"/>
      <c r="G408" s="970"/>
    </row>
    <row r="409" spans="1:8" ht="13.5" thickTop="1">
      <c r="A409" s="95"/>
      <c r="B409" s="950" t="s">
        <v>858</v>
      </c>
      <c r="C409" s="951"/>
      <c r="D409" s="951"/>
      <c r="E409" s="951"/>
      <c r="F409" s="951"/>
      <c r="G409" s="952"/>
    </row>
    <row r="410" spans="1:8">
      <c r="A410" s="95"/>
      <c r="B410" s="978"/>
      <c r="C410" s="979"/>
      <c r="D410" s="98" t="s">
        <v>301</v>
      </c>
      <c r="E410" s="98" t="s">
        <v>859</v>
      </c>
      <c r="F410" s="99" t="s">
        <v>839</v>
      </c>
      <c r="G410" s="107" t="s">
        <v>840</v>
      </c>
    </row>
    <row r="411" spans="1:8">
      <c r="A411" s="95"/>
      <c r="B411" s="982" t="s">
        <v>838</v>
      </c>
      <c r="C411" s="983"/>
      <c r="D411" s="100" t="s">
        <v>316</v>
      </c>
      <c r="E411" s="100" t="s">
        <v>315</v>
      </c>
      <c r="F411" s="101" t="s">
        <v>306</v>
      </c>
      <c r="G411" s="108" t="s">
        <v>319</v>
      </c>
    </row>
    <row r="412" spans="1:8">
      <c r="A412" s="95"/>
      <c r="B412" s="230"/>
      <c r="C412" s="102"/>
      <c r="D412" s="103"/>
      <c r="E412" s="103" t="s">
        <v>317</v>
      </c>
      <c r="F412" s="104" t="s">
        <v>318</v>
      </c>
      <c r="G412" s="109"/>
    </row>
    <row r="413" spans="1:8">
      <c r="A413" s="95"/>
      <c r="B413" s="841" t="str">
        <f>'MANO DE OBRA'!$B$11</f>
        <v>AYUDANTE CUAD. TIPO BB</v>
      </c>
      <c r="C413" s="842"/>
      <c r="D413" s="87">
        <v>1</v>
      </c>
      <c r="E413" s="80">
        <f>'MANO DE OBRA'!$E$11</f>
        <v>43077</v>
      </c>
      <c r="F413" s="81">
        <v>5</v>
      </c>
      <c r="G413" s="110">
        <f>ROUND(D413*E413/F413,0)</f>
        <v>8615</v>
      </c>
    </row>
    <row r="414" spans="1:8">
      <c r="A414" s="95"/>
      <c r="B414" s="854" t="str">
        <f>'MANO DE OBRA'!$B$16</f>
        <v>OFICIAL CUAD. TIPO BB</v>
      </c>
      <c r="C414" s="855"/>
      <c r="D414" s="37">
        <v>1</v>
      </c>
      <c r="E414" s="82">
        <f>'MANO DE OBRA'!$E$16</f>
        <v>78577</v>
      </c>
      <c r="F414" s="83">
        <v>5</v>
      </c>
      <c r="G414" s="111">
        <f>ROUND(D414*E414/F414,0)</f>
        <v>15715</v>
      </c>
    </row>
    <row r="415" spans="1:8">
      <c r="A415" s="95"/>
      <c r="B415" s="854"/>
      <c r="C415" s="855"/>
      <c r="D415" s="89"/>
      <c r="E415" s="82"/>
      <c r="F415" s="83"/>
      <c r="G415" s="111"/>
    </row>
    <row r="416" spans="1:8">
      <c r="A416" s="95"/>
      <c r="B416" s="854" t="s">
        <v>841</v>
      </c>
      <c r="C416" s="855"/>
      <c r="D416" s="37"/>
      <c r="E416" s="82"/>
      <c r="F416" s="83"/>
      <c r="G416" s="111"/>
    </row>
    <row r="417" spans="1:8" ht="13.5" thickBot="1">
      <c r="A417" s="95"/>
      <c r="B417" s="980" t="s">
        <v>841</v>
      </c>
      <c r="C417" s="981"/>
      <c r="D417" s="77"/>
      <c r="E417" s="82"/>
      <c r="F417" s="86"/>
      <c r="G417" s="112"/>
    </row>
    <row r="418" spans="1:8" ht="14.25" thickTop="1" thickBot="1">
      <c r="A418" s="95"/>
      <c r="B418" s="946"/>
      <c r="C418" s="946"/>
      <c r="D418" s="946"/>
      <c r="E418" s="947"/>
      <c r="F418" s="120" t="s">
        <v>856</v>
      </c>
      <c r="G418" s="118">
        <f>SUM(G413:G417)</f>
        <v>24330</v>
      </c>
    </row>
    <row r="419" spans="1:8" ht="14.25" thickTop="1" thickBot="1">
      <c r="A419" s="95"/>
      <c r="B419" s="970"/>
      <c r="C419" s="970"/>
      <c r="D419" s="970"/>
      <c r="E419" s="970"/>
      <c r="F419" s="970"/>
      <c r="G419" s="970"/>
    </row>
    <row r="420" spans="1:8" ht="13.5" thickTop="1">
      <c r="A420" s="95"/>
      <c r="B420" s="950" t="s">
        <v>321</v>
      </c>
      <c r="C420" s="951"/>
      <c r="D420" s="951"/>
      <c r="E420" s="951"/>
      <c r="F420" s="951"/>
      <c r="G420" s="952"/>
    </row>
    <row r="421" spans="1:8">
      <c r="A421" s="95"/>
      <c r="B421" s="978" t="s">
        <v>838</v>
      </c>
      <c r="C421" s="979"/>
      <c r="D421" s="98" t="s">
        <v>301</v>
      </c>
      <c r="E421" s="98" t="s">
        <v>297</v>
      </c>
      <c r="F421" s="99" t="s">
        <v>839</v>
      </c>
      <c r="G421" s="107" t="s">
        <v>840</v>
      </c>
    </row>
    <row r="422" spans="1:8">
      <c r="A422" s="95"/>
      <c r="B422" s="230"/>
      <c r="C422" s="102"/>
      <c r="D422" s="103" t="s">
        <v>322</v>
      </c>
      <c r="E422" s="103" t="s">
        <v>323</v>
      </c>
      <c r="F422" s="104" t="s">
        <v>324</v>
      </c>
      <c r="G422" s="109" t="s">
        <v>325</v>
      </c>
    </row>
    <row r="423" spans="1:8">
      <c r="A423" s="95"/>
      <c r="B423" s="841"/>
      <c r="C423" s="842"/>
      <c r="D423" s="96"/>
      <c r="E423" s="96"/>
      <c r="F423" s="96"/>
      <c r="G423" s="116"/>
    </row>
    <row r="424" spans="1:8" ht="13.5" thickBot="1">
      <c r="A424" s="95"/>
      <c r="B424" s="980" t="s">
        <v>841</v>
      </c>
      <c r="C424" s="981"/>
      <c r="D424" s="77"/>
      <c r="E424" s="82"/>
      <c r="F424" s="86"/>
      <c r="G424" s="112"/>
    </row>
    <row r="425" spans="1:8" ht="14.25" thickTop="1" thickBot="1">
      <c r="A425" s="95"/>
      <c r="B425" s="946"/>
      <c r="C425" s="946"/>
      <c r="D425" s="946"/>
      <c r="E425" s="947"/>
      <c r="F425" s="120" t="s">
        <v>856</v>
      </c>
      <c r="G425" s="118">
        <f>SUM(G420:G424)</f>
        <v>0</v>
      </c>
    </row>
    <row r="426" spans="1:8" ht="14.25" thickTop="1" thickBot="1">
      <c r="A426" s="95"/>
      <c r="B426" s="970"/>
      <c r="C426" s="970"/>
      <c r="D426" s="970"/>
      <c r="E426" s="970"/>
      <c r="F426" s="970"/>
      <c r="G426" s="943"/>
    </row>
    <row r="427" spans="1:8" ht="13.5" thickTop="1">
      <c r="A427" s="95"/>
      <c r="B427" s="950" t="s">
        <v>326</v>
      </c>
      <c r="C427" s="951"/>
      <c r="D427" s="951"/>
      <c r="E427" s="951"/>
      <c r="F427" s="971"/>
      <c r="G427" s="121">
        <f>+G390+G407+G418</f>
        <v>141743</v>
      </c>
    </row>
    <row r="428" spans="1:8">
      <c r="A428" s="95"/>
      <c r="B428" s="972" t="s">
        <v>861</v>
      </c>
      <c r="C428" s="973"/>
      <c r="D428" s="973"/>
      <c r="E428" s="974"/>
      <c r="F428" s="128">
        <f>'MANO DE OBRA'!$D$59</f>
        <v>0</v>
      </c>
      <c r="G428" s="122">
        <f>ROUND(G427*F428,0)</f>
        <v>0</v>
      </c>
    </row>
    <row r="429" spans="1:8" ht="13.5" thickBot="1">
      <c r="A429" s="95"/>
      <c r="B429" s="975" t="s">
        <v>1049</v>
      </c>
      <c r="C429" s="976"/>
      <c r="D429" s="976"/>
      <c r="E429" s="976"/>
      <c r="F429" s="977"/>
      <c r="G429" s="118">
        <f>ROUND(G427+G428,-2)</f>
        <v>141700</v>
      </c>
      <c r="H429" s="505" t="s">
        <v>1670</v>
      </c>
    </row>
    <row r="430" spans="1:8" ht="13.5" thickTop="1">
      <c r="A430" s="95"/>
      <c r="B430" s="225" t="s">
        <v>303</v>
      </c>
      <c r="C430" s="843"/>
      <c r="D430" s="843"/>
      <c r="E430" s="843"/>
      <c r="F430" s="92" t="s">
        <v>781</v>
      </c>
      <c r="G430" s="93" t="s">
        <v>865</v>
      </c>
    </row>
    <row r="431" spans="1:8">
      <c r="A431" s="95"/>
      <c r="B431" s="226" t="s">
        <v>834</v>
      </c>
      <c r="C431" s="844" t="s">
        <v>382</v>
      </c>
      <c r="D431" s="844"/>
      <c r="E431" s="844"/>
      <c r="F431" s="15" t="s">
        <v>833</v>
      </c>
      <c r="G431" s="165" t="str">
        <f>'MANO DE OBRA'!D61</f>
        <v>Agosto de 2010</v>
      </c>
    </row>
    <row r="432" spans="1:8" ht="13.5" thickBot="1">
      <c r="A432" s="127"/>
      <c r="B432" s="228" t="s">
        <v>835</v>
      </c>
      <c r="C432" s="845" t="s">
        <v>100</v>
      </c>
      <c r="D432" s="845"/>
      <c r="E432" s="845"/>
      <c r="F432" s="845"/>
      <c r="G432" s="846"/>
    </row>
    <row r="433" spans="1:7" ht="14.25" thickTop="1" thickBot="1">
      <c r="A433" s="95"/>
      <c r="B433" s="986"/>
      <c r="C433" s="986"/>
      <c r="D433" s="986"/>
      <c r="E433" s="986"/>
      <c r="F433" s="986"/>
      <c r="G433" s="986"/>
    </row>
    <row r="434" spans="1:7" ht="13.5" thickTop="1">
      <c r="A434" s="95"/>
      <c r="B434" s="950" t="s">
        <v>304</v>
      </c>
      <c r="C434" s="951"/>
      <c r="D434" s="951"/>
      <c r="E434" s="951"/>
      <c r="F434" s="951"/>
      <c r="G434" s="952"/>
    </row>
    <row r="435" spans="1:7">
      <c r="A435" s="95"/>
      <c r="B435" s="229"/>
      <c r="C435" s="97"/>
      <c r="D435" s="98" t="s">
        <v>301</v>
      </c>
      <c r="E435" s="98" t="s">
        <v>1072</v>
      </c>
      <c r="F435" s="99" t="s">
        <v>839</v>
      </c>
      <c r="G435" s="107" t="s">
        <v>840</v>
      </c>
    </row>
    <row r="436" spans="1:7">
      <c r="A436" s="95"/>
      <c r="B436" s="982" t="s">
        <v>838</v>
      </c>
      <c r="C436" s="983"/>
      <c r="D436" s="100" t="s">
        <v>308</v>
      </c>
      <c r="E436" s="100" t="s">
        <v>305</v>
      </c>
      <c r="F436" s="101" t="s">
        <v>306</v>
      </c>
      <c r="G436" s="108" t="s">
        <v>310</v>
      </c>
    </row>
    <row r="437" spans="1:7">
      <c r="A437" s="95"/>
      <c r="B437" s="230"/>
      <c r="C437" s="102"/>
      <c r="D437" s="103"/>
      <c r="E437" s="103" t="s">
        <v>309</v>
      </c>
      <c r="F437" s="104" t="s">
        <v>307</v>
      </c>
      <c r="G437" s="109"/>
    </row>
    <row r="438" spans="1:7">
      <c r="A438" s="127"/>
      <c r="B438" s="841" t="str">
        <f>'MAQUINARIA Y EQUIPOS'!$C$28</f>
        <v>HERRAMIENTAS MENORES</v>
      </c>
      <c r="C438" s="842"/>
      <c r="D438" s="87">
        <v>1</v>
      </c>
      <c r="E438" s="82">
        <f>ROUND(G471*0.05,0)</f>
        <v>1521</v>
      </c>
      <c r="F438" s="81">
        <v>1</v>
      </c>
      <c r="G438" s="110">
        <f>ROUND(D438*E438/F438,0)</f>
        <v>1521</v>
      </c>
    </row>
    <row r="439" spans="1:7">
      <c r="A439" s="95"/>
      <c r="B439" s="854"/>
      <c r="C439" s="855"/>
      <c r="D439" s="37"/>
      <c r="E439" s="129"/>
      <c r="F439" s="83"/>
      <c r="G439" s="111"/>
    </row>
    <row r="440" spans="1:7">
      <c r="A440" s="95"/>
      <c r="B440" s="854"/>
      <c r="C440" s="855"/>
      <c r="D440" s="37"/>
      <c r="E440" s="129"/>
      <c r="F440" s="83"/>
      <c r="G440" s="111"/>
    </row>
    <row r="441" spans="1:7">
      <c r="A441" s="95"/>
      <c r="B441" s="854"/>
      <c r="C441" s="855"/>
      <c r="D441" s="89"/>
      <c r="E441" s="82"/>
      <c r="F441" s="83"/>
      <c r="G441" s="111"/>
    </row>
    <row r="442" spans="1:7">
      <c r="A442" s="95"/>
      <c r="B442" s="854" t="s">
        <v>841</v>
      </c>
      <c r="C442" s="855"/>
      <c r="D442" s="37"/>
      <c r="E442" s="82"/>
      <c r="F442" s="83"/>
      <c r="G442" s="111"/>
    </row>
    <row r="443" spans="1:7" ht="13.5" thickBot="1">
      <c r="A443" s="95"/>
      <c r="B443" s="942" t="s">
        <v>841</v>
      </c>
      <c r="C443" s="943"/>
      <c r="D443" s="77"/>
      <c r="E443" s="106"/>
      <c r="F443" s="86"/>
      <c r="G443" s="112"/>
    </row>
    <row r="444" spans="1:7" ht="14.25" thickTop="1" thickBot="1">
      <c r="A444" s="95"/>
      <c r="B444" s="946"/>
      <c r="C444" s="946"/>
      <c r="D444" s="946"/>
      <c r="E444" s="947"/>
      <c r="F444" s="119" t="s">
        <v>856</v>
      </c>
      <c r="G444" s="118">
        <f>SUM(G438:G443)</f>
        <v>1521</v>
      </c>
    </row>
    <row r="445" spans="1:7" ht="14.25" thickTop="1" thickBot="1">
      <c r="A445" s="95"/>
      <c r="B445" s="970"/>
      <c r="C445" s="970"/>
      <c r="D445" s="970"/>
      <c r="E445" s="970"/>
      <c r="F445" s="970"/>
      <c r="G445" s="970"/>
    </row>
    <row r="446" spans="1:7" ht="13.5" thickTop="1">
      <c r="A446" s="95"/>
      <c r="B446" s="950" t="s">
        <v>311</v>
      </c>
      <c r="C446" s="951"/>
      <c r="D446" s="951"/>
      <c r="E446" s="951"/>
      <c r="F446" s="951"/>
      <c r="G446" s="952"/>
    </row>
    <row r="447" spans="1:7">
      <c r="A447" s="95"/>
      <c r="B447" s="978" t="s">
        <v>838</v>
      </c>
      <c r="C447" s="979"/>
      <c r="D447" s="98" t="s">
        <v>842</v>
      </c>
      <c r="E447" s="98" t="s">
        <v>853</v>
      </c>
      <c r="F447" s="99" t="s">
        <v>1047</v>
      </c>
      <c r="G447" s="107" t="s">
        <v>840</v>
      </c>
    </row>
    <row r="448" spans="1:7">
      <c r="A448" s="95"/>
      <c r="B448" s="230"/>
      <c r="C448" s="102"/>
      <c r="D448" s="100"/>
      <c r="E448" s="100" t="s">
        <v>312</v>
      </c>
      <c r="F448" s="101" t="s">
        <v>313</v>
      </c>
      <c r="G448" s="108" t="s">
        <v>314</v>
      </c>
    </row>
    <row r="449" spans="1:8">
      <c r="A449" s="125"/>
      <c r="B449" s="841" t="str">
        <f>MATERIALES2!C331</f>
        <v>SANITARIO TREVI BLANCO CORONA</v>
      </c>
      <c r="C449" s="842"/>
      <c r="D449" s="87" t="s">
        <v>865</v>
      </c>
      <c r="E449" s="81">
        <v>1</v>
      </c>
      <c r="F449" s="80">
        <f>MATERIALES2!$E$331</f>
        <v>151000</v>
      </c>
      <c r="G449" s="110">
        <f>ROUND(E449*F449,0)</f>
        <v>151000</v>
      </c>
    </row>
    <row r="450" spans="1:8">
      <c r="A450" s="123"/>
      <c r="B450" s="854" t="str">
        <f>MATERIALES2!$C$12</f>
        <v>CEMENTO BLANCO</v>
      </c>
      <c r="C450" s="855"/>
      <c r="D450" s="37" t="s">
        <v>925</v>
      </c>
      <c r="E450" s="83">
        <v>2.5</v>
      </c>
      <c r="F450" s="82">
        <f>MATERIALES2!$E$12</f>
        <v>750</v>
      </c>
      <c r="G450" s="111">
        <f>ROUND(E450*F450,0)</f>
        <v>1875</v>
      </c>
    </row>
    <row r="451" spans="1:8">
      <c r="A451" s="123"/>
      <c r="B451" s="854" t="str">
        <f>MATERIALES2!$C$700</f>
        <v>MANGUERA SANITARIOS</v>
      </c>
      <c r="C451" s="855"/>
      <c r="D451" s="37" t="s">
        <v>865</v>
      </c>
      <c r="E451" s="83">
        <v>1</v>
      </c>
      <c r="F451" s="82">
        <f>MATERIALES2!$E$700</f>
        <v>4500</v>
      </c>
      <c r="G451" s="111">
        <f>ROUND(E451*F451,0)</f>
        <v>4500</v>
      </c>
    </row>
    <row r="452" spans="1:8">
      <c r="A452" s="123"/>
      <c r="B452" s="854"/>
      <c r="C452" s="855"/>
      <c r="D452" s="37"/>
      <c r="E452" s="83"/>
      <c r="F452" s="82"/>
      <c r="G452" s="111"/>
    </row>
    <row r="453" spans="1:8">
      <c r="A453" s="123"/>
      <c r="B453" s="854"/>
      <c r="C453" s="855"/>
      <c r="D453" s="37"/>
      <c r="E453" s="83"/>
      <c r="F453" s="82"/>
      <c r="G453" s="111"/>
    </row>
    <row r="454" spans="1:8">
      <c r="A454" s="123"/>
      <c r="B454" s="854"/>
      <c r="C454" s="855"/>
      <c r="D454" s="37"/>
      <c r="E454" s="83"/>
      <c r="F454" s="82"/>
      <c r="G454" s="111"/>
    </row>
    <row r="455" spans="1:8">
      <c r="A455" s="123"/>
      <c r="B455" s="854"/>
      <c r="C455" s="855"/>
      <c r="D455" s="37"/>
      <c r="E455" s="83"/>
      <c r="F455" s="82"/>
      <c r="G455" s="111"/>
    </row>
    <row r="456" spans="1:8">
      <c r="A456" s="123"/>
      <c r="B456" s="854"/>
      <c r="C456" s="855"/>
      <c r="D456" s="37"/>
      <c r="E456" s="83"/>
      <c r="F456" s="82"/>
      <c r="G456" s="111"/>
      <c r="H456" s="505" t="s">
        <v>1670</v>
      </c>
    </row>
    <row r="457" spans="1:8" ht="13.5" thickBot="1">
      <c r="A457" s="123"/>
      <c r="B457" s="854"/>
      <c r="C457" s="855"/>
      <c r="D457" s="37"/>
      <c r="E457" s="83"/>
      <c r="F457" s="82"/>
      <c r="G457" s="111"/>
    </row>
    <row r="458" spans="1:8" ht="13.5" thickTop="1">
      <c r="A458" s="95"/>
      <c r="B458" s="946"/>
      <c r="C458" s="947"/>
      <c r="D458" s="801" t="s">
        <v>856</v>
      </c>
      <c r="E458" s="802"/>
      <c r="F458" s="9"/>
      <c r="G458" s="113">
        <f>SUM(G449:G457)</f>
        <v>157375</v>
      </c>
    </row>
    <row r="459" spans="1:8">
      <c r="A459" s="95"/>
      <c r="B459" s="948"/>
      <c r="C459" s="949"/>
      <c r="D459" s="801" t="s">
        <v>857</v>
      </c>
      <c r="E459" s="802"/>
      <c r="F459" s="79">
        <f>'MANO DE OBRA'!$D$60</f>
        <v>0.05</v>
      </c>
      <c r="G459" s="113">
        <f>ROUND(G458*F459,0)</f>
        <v>7869</v>
      </c>
    </row>
    <row r="460" spans="1:8" ht="13.5" thickBot="1">
      <c r="A460" s="95"/>
      <c r="B460" s="948"/>
      <c r="C460" s="949"/>
      <c r="D460" s="803" t="s">
        <v>320</v>
      </c>
      <c r="E460" s="804"/>
      <c r="F460" s="114"/>
      <c r="G460" s="118">
        <f>+G458+G459</f>
        <v>165244</v>
      </c>
    </row>
    <row r="461" spans="1:8" ht="14.25" thickTop="1" thickBot="1">
      <c r="A461" s="95"/>
      <c r="B461" s="970"/>
      <c r="C461" s="970"/>
      <c r="D461" s="970"/>
      <c r="E461" s="970"/>
      <c r="F461" s="970"/>
      <c r="G461" s="970"/>
    </row>
    <row r="462" spans="1:8" ht="13.5" thickTop="1">
      <c r="A462" s="95"/>
      <c r="B462" s="950" t="s">
        <v>858</v>
      </c>
      <c r="C462" s="951"/>
      <c r="D462" s="951"/>
      <c r="E462" s="951"/>
      <c r="F462" s="951"/>
      <c r="G462" s="952"/>
    </row>
    <row r="463" spans="1:8">
      <c r="A463" s="95"/>
      <c r="B463" s="978"/>
      <c r="C463" s="979"/>
      <c r="D463" s="98" t="s">
        <v>301</v>
      </c>
      <c r="E463" s="98" t="s">
        <v>859</v>
      </c>
      <c r="F463" s="99" t="s">
        <v>839</v>
      </c>
      <c r="G463" s="107" t="s">
        <v>840</v>
      </c>
    </row>
    <row r="464" spans="1:8">
      <c r="A464" s="95"/>
      <c r="B464" s="982" t="s">
        <v>838</v>
      </c>
      <c r="C464" s="983"/>
      <c r="D464" s="100" t="s">
        <v>316</v>
      </c>
      <c r="E464" s="100" t="s">
        <v>315</v>
      </c>
      <c r="F464" s="101" t="s">
        <v>306</v>
      </c>
      <c r="G464" s="108" t="s">
        <v>319</v>
      </c>
    </row>
    <row r="465" spans="1:7">
      <c r="A465" s="95"/>
      <c r="B465" s="230"/>
      <c r="C465" s="102"/>
      <c r="D465" s="103"/>
      <c r="E465" s="103" t="s">
        <v>317</v>
      </c>
      <c r="F465" s="104" t="s">
        <v>318</v>
      </c>
      <c r="G465" s="109"/>
    </row>
    <row r="466" spans="1:7">
      <c r="A466" s="95"/>
      <c r="B466" s="841" t="str">
        <f>'MANO DE OBRA'!$B$11</f>
        <v>AYUDANTE CUAD. TIPO BB</v>
      </c>
      <c r="C466" s="842"/>
      <c r="D466" s="87">
        <v>1</v>
      </c>
      <c r="E466" s="80">
        <f>'MANO DE OBRA'!$E$11</f>
        <v>43077</v>
      </c>
      <c r="F466" s="81">
        <v>4</v>
      </c>
      <c r="G466" s="110">
        <f>ROUND(D466*E466/F466,0)</f>
        <v>10769</v>
      </c>
    </row>
    <row r="467" spans="1:7">
      <c r="A467" s="95"/>
      <c r="B467" s="854" t="str">
        <f>'MANO DE OBRA'!$B$16</f>
        <v>OFICIAL CUAD. TIPO BB</v>
      </c>
      <c r="C467" s="855"/>
      <c r="D467" s="37">
        <v>1</v>
      </c>
      <c r="E467" s="82">
        <f>'MANO DE OBRA'!$E$16</f>
        <v>78577</v>
      </c>
      <c r="F467" s="83">
        <v>4</v>
      </c>
      <c r="G467" s="111">
        <f>ROUND(D467*E467/F467,0)</f>
        <v>19644</v>
      </c>
    </row>
    <row r="468" spans="1:7">
      <c r="A468" s="95"/>
      <c r="B468" s="854"/>
      <c r="C468" s="855"/>
      <c r="D468" s="89"/>
      <c r="E468" s="82"/>
      <c r="F468" s="83"/>
      <c r="G468" s="111"/>
    </row>
    <row r="469" spans="1:7">
      <c r="A469" s="95"/>
      <c r="B469" s="854" t="s">
        <v>841</v>
      </c>
      <c r="C469" s="855"/>
      <c r="D469" s="37"/>
      <c r="E469" s="82"/>
      <c r="F469" s="83"/>
      <c r="G469" s="111"/>
    </row>
    <row r="470" spans="1:7" ht="13.5" thickBot="1">
      <c r="A470" s="95"/>
      <c r="B470" s="980" t="s">
        <v>841</v>
      </c>
      <c r="C470" s="981"/>
      <c r="D470" s="77"/>
      <c r="E470" s="82"/>
      <c r="F470" s="86"/>
      <c r="G470" s="112"/>
    </row>
    <row r="471" spans="1:7" ht="14.25" thickTop="1" thickBot="1">
      <c r="A471" s="95"/>
      <c r="B471" s="946"/>
      <c r="C471" s="946"/>
      <c r="D471" s="946"/>
      <c r="E471" s="947"/>
      <c r="F471" s="120" t="s">
        <v>856</v>
      </c>
      <c r="G471" s="118">
        <f>SUM(G466:G470)</f>
        <v>30413</v>
      </c>
    </row>
    <row r="472" spans="1:7" ht="14.25" thickTop="1" thickBot="1">
      <c r="A472" s="95"/>
      <c r="B472" s="970"/>
      <c r="C472" s="970"/>
      <c r="D472" s="970"/>
      <c r="E472" s="970"/>
      <c r="F472" s="970"/>
      <c r="G472" s="970"/>
    </row>
    <row r="473" spans="1:7" ht="13.5" thickTop="1">
      <c r="A473" s="95"/>
      <c r="B473" s="950" t="s">
        <v>321</v>
      </c>
      <c r="C473" s="951"/>
      <c r="D473" s="951"/>
      <c r="E473" s="951"/>
      <c r="F473" s="951"/>
      <c r="G473" s="952"/>
    </row>
    <row r="474" spans="1:7">
      <c r="A474" s="95"/>
      <c r="B474" s="978" t="s">
        <v>838</v>
      </c>
      <c r="C474" s="979"/>
      <c r="D474" s="98" t="s">
        <v>301</v>
      </c>
      <c r="E474" s="98" t="s">
        <v>297</v>
      </c>
      <c r="F474" s="99" t="s">
        <v>839</v>
      </c>
      <c r="G474" s="107" t="s">
        <v>840</v>
      </c>
    </row>
    <row r="475" spans="1:7">
      <c r="A475" s="95"/>
      <c r="B475" s="230"/>
      <c r="C475" s="102"/>
      <c r="D475" s="103" t="s">
        <v>322</v>
      </c>
      <c r="E475" s="103" t="s">
        <v>323</v>
      </c>
      <c r="F475" s="104" t="s">
        <v>324</v>
      </c>
      <c r="G475" s="109" t="s">
        <v>325</v>
      </c>
    </row>
    <row r="476" spans="1:7">
      <c r="A476" s="95"/>
      <c r="B476" s="841"/>
      <c r="C476" s="842"/>
      <c r="D476" s="96"/>
      <c r="E476" s="96"/>
      <c r="F476" s="96"/>
      <c r="G476" s="116"/>
    </row>
    <row r="477" spans="1:7" ht="13.5" thickBot="1">
      <c r="A477" s="95"/>
      <c r="B477" s="980" t="s">
        <v>841</v>
      </c>
      <c r="C477" s="981"/>
      <c r="D477" s="77"/>
      <c r="E477" s="82"/>
      <c r="F477" s="86"/>
      <c r="G477" s="112"/>
    </row>
    <row r="478" spans="1:7" ht="14.25" thickTop="1" thickBot="1">
      <c r="A478" s="95"/>
      <c r="B478" s="946"/>
      <c r="C478" s="946"/>
      <c r="D478" s="946"/>
      <c r="E478" s="947"/>
      <c r="F478" s="120" t="s">
        <v>856</v>
      </c>
      <c r="G478" s="118">
        <f>SUM(G473:G477)</f>
        <v>0</v>
      </c>
    </row>
    <row r="479" spans="1:7" ht="14.25" thickTop="1" thickBot="1">
      <c r="A479" s="95"/>
      <c r="B479" s="970"/>
      <c r="C479" s="970"/>
      <c r="D479" s="970"/>
      <c r="E479" s="970"/>
      <c r="F479" s="970"/>
      <c r="G479" s="943"/>
    </row>
    <row r="480" spans="1:7" ht="13.5" thickTop="1">
      <c r="A480" s="95"/>
      <c r="B480" s="950" t="s">
        <v>326</v>
      </c>
      <c r="C480" s="951"/>
      <c r="D480" s="951"/>
      <c r="E480" s="951"/>
      <c r="F480" s="971"/>
      <c r="G480" s="121">
        <f>+G444+G460+G471</f>
        <v>197178</v>
      </c>
    </row>
    <row r="481" spans="1:8">
      <c r="A481" s="95"/>
      <c r="B481" s="972" t="s">
        <v>861</v>
      </c>
      <c r="C481" s="973"/>
      <c r="D481" s="973"/>
      <c r="E481" s="974"/>
      <c r="F481" s="128">
        <f>'MANO DE OBRA'!$D$59</f>
        <v>0</v>
      </c>
      <c r="G481" s="122">
        <f>ROUND(G480*F481,0)</f>
        <v>0</v>
      </c>
    </row>
    <row r="482" spans="1:8" ht="13.5" thickBot="1">
      <c r="A482" s="95"/>
      <c r="B482" s="975" t="s">
        <v>1049</v>
      </c>
      <c r="C482" s="976"/>
      <c r="D482" s="976"/>
      <c r="E482" s="976"/>
      <c r="F482" s="977"/>
      <c r="G482" s="118">
        <f>ROUND(G480+G481,-2)</f>
        <v>197200</v>
      </c>
      <c r="H482" s="505" t="s">
        <v>1670</v>
      </c>
    </row>
    <row r="483" spans="1:8" ht="13.5" thickTop="1">
      <c r="A483" s="95"/>
      <c r="B483" s="225" t="s">
        <v>303</v>
      </c>
      <c r="C483" s="843"/>
      <c r="D483" s="843"/>
      <c r="E483" s="843"/>
      <c r="F483" s="92" t="s">
        <v>781</v>
      </c>
      <c r="G483" s="93" t="s">
        <v>865</v>
      </c>
    </row>
    <row r="484" spans="1:8">
      <c r="A484" s="95"/>
      <c r="B484" s="226" t="s">
        <v>834</v>
      </c>
      <c r="C484" s="844" t="s">
        <v>382</v>
      </c>
      <c r="D484" s="844"/>
      <c r="E484" s="844"/>
      <c r="F484" s="15" t="s">
        <v>833</v>
      </c>
      <c r="G484" s="165" t="str">
        <f>'MANO DE OBRA'!D61</f>
        <v>Agosto de 2010</v>
      </c>
    </row>
    <row r="485" spans="1:8" ht="13.5" thickBot="1">
      <c r="A485" s="127"/>
      <c r="B485" s="228" t="s">
        <v>835</v>
      </c>
      <c r="C485" s="845" t="s">
        <v>101</v>
      </c>
      <c r="D485" s="845"/>
      <c r="E485" s="845"/>
      <c r="F485" s="845"/>
      <c r="G485" s="846"/>
    </row>
    <row r="486" spans="1:8" ht="14.25" thickTop="1" thickBot="1">
      <c r="A486" s="95"/>
      <c r="B486" s="986"/>
      <c r="C486" s="986"/>
      <c r="D486" s="986"/>
      <c r="E486" s="986"/>
      <c r="F486" s="986"/>
      <c r="G486" s="986"/>
    </row>
    <row r="487" spans="1:8" ht="13.5" thickTop="1">
      <c r="A487" s="95"/>
      <c r="B487" s="950" t="s">
        <v>304</v>
      </c>
      <c r="C487" s="951"/>
      <c r="D487" s="951"/>
      <c r="E487" s="951"/>
      <c r="F487" s="951"/>
      <c r="G487" s="952"/>
    </row>
    <row r="488" spans="1:8">
      <c r="A488" s="95"/>
      <c r="B488" s="229"/>
      <c r="C488" s="97"/>
      <c r="D488" s="98" t="s">
        <v>301</v>
      </c>
      <c r="E488" s="98" t="s">
        <v>1072</v>
      </c>
      <c r="F488" s="99" t="s">
        <v>839</v>
      </c>
      <c r="G488" s="107" t="s">
        <v>840</v>
      </c>
    </row>
    <row r="489" spans="1:8">
      <c r="A489" s="95"/>
      <c r="B489" s="982" t="s">
        <v>838</v>
      </c>
      <c r="C489" s="983"/>
      <c r="D489" s="100" t="s">
        <v>308</v>
      </c>
      <c r="E489" s="100" t="s">
        <v>305</v>
      </c>
      <c r="F489" s="101" t="s">
        <v>306</v>
      </c>
      <c r="G489" s="108" t="s">
        <v>310</v>
      </c>
    </row>
    <row r="490" spans="1:8">
      <c r="A490" s="95"/>
      <c r="B490" s="230"/>
      <c r="C490" s="102"/>
      <c r="D490" s="103"/>
      <c r="E490" s="103" t="s">
        <v>309</v>
      </c>
      <c r="F490" s="104" t="s">
        <v>307</v>
      </c>
      <c r="G490" s="109"/>
    </row>
    <row r="491" spans="1:8">
      <c r="A491" s="127"/>
      <c r="B491" s="841" t="str">
        <f>'MAQUINARIA Y EQUIPOS'!$C$28</f>
        <v>HERRAMIENTAS MENORES</v>
      </c>
      <c r="C491" s="842"/>
      <c r="D491" s="87">
        <v>1</v>
      </c>
      <c r="E491" s="82">
        <f>ROUND(G524*0.05,0)</f>
        <v>1521</v>
      </c>
      <c r="F491" s="81">
        <v>1</v>
      </c>
      <c r="G491" s="110">
        <f>ROUND(D491*E491/F491,0)</f>
        <v>1521</v>
      </c>
    </row>
    <row r="492" spans="1:8">
      <c r="A492" s="95"/>
      <c r="B492" s="854"/>
      <c r="C492" s="855"/>
      <c r="D492" s="37"/>
      <c r="E492" s="129"/>
      <c r="F492" s="83"/>
      <c r="G492" s="111"/>
    </row>
    <row r="493" spans="1:8">
      <c r="A493" s="95"/>
      <c r="B493" s="854"/>
      <c r="C493" s="855"/>
      <c r="D493" s="37"/>
      <c r="E493" s="129"/>
      <c r="F493" s="83"/>
      <c r="G493" s="111"/>
    </row>
    <row r="494" spans="1:8">
      <c r="A494" s="95"/>
      <c r="B494" s="854"/>
      <c r="C494" s="855"/>
      <c r="D494" s="89"/>
      <c r="E494" s="82"/>
      <c r="F494" s="83"/>
      <c r="G494" s="111"/>
    </row>
    <row r="495" spans="1:8">
      <c r="A495" s="95"/>
      <c r="B495" s="854" t="s">
        <v>841</v>
      </c>
      <c r="C495" s="855"/>
      <c r="D495" s="37"/>
      <c r="E495" s="82"/>
      <c r="F495" s="83"/>
      <c r="G495" s="111"/>
    </row>
    <row r="496" spans="1:8" ht="13.5" thickBot="1">
      <c r="A496" s="95"/>
      <c r="B496" s="942" t="s">
        <v>841</v>
      </c>
      <c r="C496" s="943"/>
      <c r="D496" s="77"/>
      <c r="E496" s="106"/>
      <c r="F496" s="86"/>
      <c r="G496" s="112"/>
    </row>
    <row r="497" spans="1:8" ht="14.25" thickTop="1" thickBot="1">
      <c r="A497" s="95"/>
      <c r="B497" s="946"/>
      <c r="C497" s="946"/>
      <c r="D497" s="946"/>
      <c r="E497" s="947"/>
      <c r="F497" s="119" t="s">
        <v>856</v>
      </c>
      <c r="G497" s="118">
        <f>SUM(G491:G496)</f>
        <v>1521</v>
      </c>
    </row>
    <row r="498" spans="1:8" ht="14.25" thickTop="1" thickBot="1">
      <c r="A498" s="95"/>
      <c r="B498" s="970"/>
      <c r="C498" s="970"/>
      <c r="D498" s="970"/>
      <c r="E498" s="970"/>
      <c r="F498" s="970"/>
      <c r="G498" s="970"/>
    </row>
    <row r="499" spans="1:8" ht="13.5" thickTop="1">
      <c r="A499" s="95"/>
      <c r="B499" s="950" t="s">
        <v>311</v>
      </c>
      <c r="C499" s="951"/>
      <c r="D499" s="951"/>
      <c r="E499" s="951"/>
      <c r="F499" s="951"/>
      <c r="G499" s="952"/>
    </row>
    <row r="500" spans="1:8">
      <c r="A500" s="95"/>
      <c r="B500" s="978" t="s">
        <v>838</v>
      </c>
      <c r="C500" s="979"/>
      <c r="D500" s="98" t="s">
        <v>842</v>
      </c>
      <c r="E500" s="98" t="s">
        <v>853</v>
      </c>
      <c r="F500" s="99" t="s">
        <v>1047</v>
      </c>
      <c r="G500" s="107" t="s">
        <v>840</v>
      </c>
    </row>
    <row r="501" spans="1:8">
      <c r="A501" s="95"/>
      <c r="B501" s="230"/>
      <c r="C501" s="102"/>
      <c r="D501" s="100"/>
      <c r="E501" s="100" t="s">
        <v>312</v>
      </c>
      <c r="F501" s="101" t="s">
        <v>313</v>
      </c>
      <c r="G501" s="108" t="s">
        <v>314</v>
      </c>
    </row>
    <row r="502" spans="1:8">
      <c r="A502" s="125"/>
      <c r="B502" s="841" t="str">
        <f>MATERIALES2!C345</f>
        <v>ORINAL MEDIANO CON GRIFERIA</v>
      </c>
      <c r="C502" s="842"/>
      <c r="D502" s="87" t="s">
        <v>865</v>
      </c>
      <c r="E502" s="81">
        <v>1</v>
      </c>
      <c r="F502" s="80">
        <f>MATERIALES2!E345</f>
        <v>215300</v>
      </c>
      <c r="G502" s="110">
        <f>ROUND(E502*F502,0)</f>
        <v>215300</v>
      </c>
    </row>
    <row r="503" spans="1:8">
      <c r="A503" s="123"/>
      <c r="B503" s="854" t="str">
        <f>MATERIALES2!$C$12</f>
        <v>CEMENTO BLANCO</v>
      </c>
      <c r="C503" s="855"/>
      <c r="D503" s="37" t="s">
        <v>925</v>
      </c>
      <c r="E503" s="83">
        <v>2.5</v>
      </c>
      <c r="F503" s="82">
        <f>MATERIALES2!$E$12</f>
        <v>750</v>
      </c>
      <c r="G503" s="111">
        <f>ROUND(E503*F503,0)</f>
        <v>1875</v>
      </c>
    </row>
    <row r="504" spans="1:8">
      <c r="A504" s="123"/>
      <c r="B504" s="854"/>
      <c r="C504" s="855"/>
      <c r="D504" s="37"/>
      <c r="E504" s="83"/>
      <c r="F504" s="82"/>
      <c r="G504" s="111"/>
    </row>
    <row r="505" spans="1:8">
      <c r="A505" s="123"/>
      <c r="B505" s="854"/>
      <c r="C505" s="855"/>
      <c r="D505" s="37"/>
      <c r="E505" s="83"/>
      <c r="F505" s="82"/>
      <c r="G505" s="111"/>
    </row>
    <row r="506" spans="1:8">
      <c r="A506" s="123"/>
      <c r="B506" s="854"/>
      <c r="C506" s="855"/>
      <c r="D506" s="37"/>
      <c r="E506" s="83"/>
      <c r="F506" s="82"/>
      <c r="G506" s="111"/>
    </row>
    <row r="507" spans="1:8">
      <c r="A507" s="123"/>
      <c r="B507" s="854"/>
      <c r="C507" s="855"/>
      <c r="D507" s="37"/>
      <c r="E507" s="83"/>
      <c r="F507" s="82"/>
      <c r="G507" s="111"/>
    </row>
    <row r="508" spans="1:8">
      <c r="A508" s="123"/>
      <c r="B508" s="854"/>
      <c r="C508" s="855"/>
      <c r="D508" s="37"/>
      <c r="E508" s="83"/>
      <c r="F508" s="82"/>
      <c r="G508" s="111"/>
    </row>
    <row r="509" spans="1:8">
      <c r="A509" s="123"/>
      <c r="B509" s="854"/>
      <c r="C509" s="855"/>
      <c r="D509" s="37"/>
      <c r="E509" s="83"/>
      <c r="F509" s="82"/>
      <c r="G509" s="111"/>
      <c r="H509" s="505" t="s">
        <v>1670</v>
      </c>
    </row>
    <row r="510" spans="1:8" ht="13.5" thickBot="1">
      <c r="A510" s="123"/>
      <c r="B510" s="854"/>
      <c r="C510" s="855"/>
      <c r="D510" s="37"/>
      <c r="E510" s="83"/>
      <c r="F510" s="82"/>
      <c r="G510" s="111"/>
    </row>
    <row r="511" spans="1:8" ht="13.5" thickTop="1">
      <c r="A511" s="95"/>
      <c r="B511" s="946"/>
      <c r="C511" s="947"/>
      <c r="D511" s="801" t="s">
        <v>856</v>
      </c>
      <c r="E511" s="802"/>
      <c r="F511" s="9"/>
      <c r="G511" s="113">
        <f>SUM(G502:G510)</f>
        <v>217175</v>
      </c>
    </row>
    <row r="512" spans="1:8">
      <c r="A512" s="95"/>
      <c r="B512" s="948"/>
      <c r="C512" s="949"/>
      <c r="D512" s="801" t="s">
        <v>857</v>
      </c>
      <c r="E512" s="802"/>
      <c r="F512" s="79">
        <f>'MANO DE OBRA'!$D$60</f>
        <v>0.05</v>
      </c>
      <c r="G512" s="113">
        <f>ROUND(G511*F512,0)</f>
        <v>10859</v>
      </c>
    </row>
    <row r="513" spans="1:7" ht="13.5" thickBot="1">
      <c r="A513" s="95"/>
      <c r="B513" s="948"/>
      <c r="C513" s="949"/>
      <c r="D513" s="803" t="s">
        <v>320</v>
      </c>
      <c r="E513" s="804"/>
      <c r="F513" s="114"/>
      <c r="G513" s="118">
        <f>+G511+G512</f>
        <v>228034</v>
      </c>
    </row>
    <row r="514" spans="1:7" ht="14.25" thickTop="1" thickBot="1">
      <c r="A514" s="95"/>
      <c r="B514" s="970"/>
      <c r="C514" s="970"/>
      <c r="D514" s="970"/>
      <c r="E514" s="970"/>
      <c r="F514" s="970"/>
      <c r="G514" s="970"/>
    </row>
    <row r="515" spans="1:7" ht="13.5" thickTop="1">
      <c r="A515" s="95"/>
      <c r="B515" s="950" t="s">
        <v>858</v>
      </c>
      <c r="C515" s="951"/>
      <c r="D515" s="951"/>
      <c r="E515" s="951"/>
      <c r="F515" s="951"/>
      <c r="G515" s="952"/>
    </row>
    <row r="516" spans="1:7">
      <c r="A516" s="95"/>
      <c r="B516" s="978"/>
      <c r="C516" s="979"/>
      <c r="D516" s="98" t="s">
        <v>301</v>
      </c>
      <c r="E516" s="98" t="s">
        <v>859</v>
      </c>
      <c r="F516" s="99" t="s">
        <v>839</v>
      </c>
      <c r="G516" s="107" t="s">
        <v>840</v>
      </c>
    </row>
    <row r="517" spans="1:7">
      <c r="A517" s="95"/>
      <c r="B517" s="982" t="s">
        <v>838</v>
      </c>
      <c r="C517" s="983"/>
      <c r="D517" s="100" t="s">
        <v>316</v>
      </c>
      <c r="E517" s="100" t="s">
        <v>315</v>
      </c>
      <c r="F517" s="101" t="s">
        <v>306</v>
      </c>
      <c r="G517" s="108" t="s">
        <v>319</v>
      </c>
    </row>
    <row r="518" spans="1:7">
      <c r="A518" s="95"/>
      <c r="B518" s="230"/>
      <c r="C518" s="102"/>
      <c r="D518" s="103"/>
      <c r="E518" s="103" t="s">
        <v>317</v>
      </c>
      <c r="F518" s="104" t="s">
        <v>318</v>
      </c>
      <c r="G518" s="109"/>
    </row>
    <row r="519" spans="1:7">
      <c r="A519" s="95"/>
      <c r="B519" s="841" t="str">
        <f>'MANO DE OBRA'!$B$11</f>
        <v>AYUDANTE CUAD. TIPO BB</v>
      </c>
      <c r="C519" s="842"/>
      <c r="D519" s="87">
        <v>1</v>
      </c>
      <c r="E519" s="80">
        <f>'MANO DE OBRA'!$E$11</f>
        <v>43077</v>
      </c>
      <c r="F519" s="81">
        <v>4</v>
      </c>
      <c r="G519" s="110">
        <f>ROUND(D519*E519/F519,0)</f>
        <v>10769</v>
      </c>
    </row>
    <row r="520" spans="1:7">
      <c r="A520" s="95"/>
      <c r="B520" s="854" t="str">
        <f>'MANO DE OBRA'!$B$16</f>
        <v>OFICIAL CUAD. TIPO BB</v>
      </c>
      <c r="C520" s="855"/>
      <c r="D520" s="37">
        <v>1</v>
      </c>
      <c r="E520" s="82">
        <f>'MANO DE OBRA'!$E$16</f>
        <v>78577</v>
      </c>
      <c r="F520" s="83">
        <v>4</v>
      </c>
      <c r="G520" s="111">
        <f>ROUND(D520*E520/F520,0)</f>
        <v>19644</v>
      </c>
    </row>
    <row r="521" spans="1:7">
      <c r="A521" s="95"/>
      <c r="B521" s="854"/>
      <c r="C521" s="855"/>
      <c r="D521" s="89"/>
      <c r="E521" s="82"/>
      <c r="F521" s="83"/>
      <c r="G521" s="111"/>
    </row>
    <row r="522" spans="1:7">
      <c r="A522" s="95"/>
      <c r="B522" s="854" t="s">
        <v>841</v>
      </c>
      <c r="C522" s="855"/>
      <c r="D522" s="37"/>
      <c r="E522" s="82"/>
      <c r="F522" s="83"/>
      <c r="G522" s="111"/>
    </row>
    <row r="523" spans="1:7" ht="13.5" thickBot="1">
      <c r="A523" s="95"/>
      <c r="B523" s="980" t="s">
        <v>841</v>
      </c>
      <c r="C523" s="981"/>
      <c r="D523" s="77"/>
      <c r="E523" s="82"/>
      <c r="F523" s="86"/>
      <c r="G523" s="112"/>
    </row>
    <row r="524" spans="1:7" ht="14.25" thickTop="1" thickBot="1">
      <c r="A524" s="95"/>
      <c r="B524" s="946"/>
      <c r="C524" s="946"/>
      <c r="D524" s="946"/>
      <c r="E524" s="947"/>
      <c r="F524" s="120" t="s">
        <v>856</v>
      </c>
      <c r="G524" s="118">
        <f>SUM(G519:G523)</f>
        <v>30413</v>
      </c>
    </row>
    <row r="525" spans="1:7" ht="14.25" thickTop="1" thickBot="1">
      <c r="A525" s="95"/>
      <c r="B525" s="970"/>
      <c r="C525" s="970"/>
      <c r="D525" s="970"/>
      <c r="E525" s="970"/>
      <c r="F525" s="970"/>
      <c r="G525" s="970"/>
    </row>
    <row r="526" spans="1:7" ht="13.5" thickTop="1">
      <c r="A526" s="95"/>
      <c r="B526" s="950" t="s">
        <v>321</v>
      </c>
      <c r="C526" s="951"/>
      <c r="D526" s="951"/>
      <c r="E526" s="951"/>
      <c r="F526" s="951"/>
      <c r="G526" s="952"/>
    </row>
    <row r="527" spans="1:7">
      <c r="A527" s="95"/>
      <c r="B527" s="978" t="s">
        <v>838</v>
      </c>
      <c r="C527" s="979"/>
      <c r="D527" s="98" t="s">
        <v>301</v>
      </c>
      <c r="E527" s="98" t="s">
        <v>297</v>
      </c>
      <c r="F527" s="99" t="s">
        <v>839</v>
      </c>
      <c r="G527" s="107" t="s">
        <v>840</v>
      </c>
    </row>
    <row r="528" spans="1:7">
      <c r="A528" s="95"/>
      <c r="B528" s="230"/>
      <c r="C528" s="102"/>
      <c r="D528" s="103" t="s">
        <v>322</v>
      </c>
      <c r="E528" s="103" t="s">
        <v>323</v>
      </c>
      <c r="F528" s="104" t="s">
        <v>324</v>
      </c>
      <c r="G528" s="109" t="s">
        <v>325</v>
      </c>
    </row>
    <row r="529" spans="1:8">
      <c r="A529" s="95"/>
      <c r="B529" s="841"/>
      <c r="C529" s="842"/>
      <c r="D529" s="96"/>
      <c r="E529" s="96"/>
      <c r="F529" s="96"/>
      <c r="G529" s="116"/>
    </row>
    <row r="530" spans="1:8" ht="13.5" thickBot="1">
      <c r="A530" s="95"/>
      <c r="B530" s="980" t="s">
        <v>841</v>
      </c>
      <c r="C530" s="981"/>
      <c r="D530" s="77"/>
      <c r="E530" s="82"/>
      <c r="F530" s="86"/>
      <c r="G530" s="112"/>
    </row>
    <row r="531" spans="1:8" ht="14.25" thickTop="1" thickBot="1">
      <c r="A531" s="95"/>
      <c r="B531" s="946"/>
      <c r="C531" s="946"/>
      <c r="D531" s="946"/>
      <c r="E531" s="947"/>
      <c r="F531" s="120" t="s">
        <v>856</v>
      </c>
      <c r="G531" s="118">
        <f>SUM(G526:G530)</f>
        <v>0</v>
      </c>
    </row>
    <row r="532" spans="1:8" ht="14.25" thickTop="1" thickBot="1">
      <c r="A532" s="95"/>
      <c r="B532" s="970"/>
      <c r="C532" s="970"/>
      <c r="D532" s="970"/>
      <c r="E532" s="970"/>
      <c r="F532" s="970"/>
      <c r="G532" s="943"/>
    </row>
    <row r="533" spans="1:8" ht="13.5" thickTop="1">
      <c r="A533" s="95"/>
      <c r="B533" s="950" t="s">
        <v>326</v>
      </c>
      <c r="C533" s="951"/>
      <c r="D533" s="951"/>
      <c r="E533" s="951"/>
      <c r="F533" s="971"/>
      <c r="G533" s="121">
        <f>+G497+G513+G524</f>
        <v>259968</v>
      </c>
    </row>
    <row r="534" spans="1:8">
      <c r="A534" s="95"/>
      <c r="B534" s="972" t="s">
        <v>861</v>
      </c>
      <c r="C534" s="973"/>
      <c r="D534" s="973"/>
      <c r="E534" s="974"/>
      <c r="F534" s="128">
        <f>'MANO DE OBRA'!$D$59</f>
        <v>0</v>
      </c>
      <c r="G534" s="122">
        <f>ROUND(G533*F534,0)</f>
        <v>0</v>
      </c>
    </row>
    <row r="535" spans="1:8" ht="13.5" thickBot="1">
      <c r="A535" s="95"/>
      <c r="B535" s="975" t="s">
        <v>1049</v>
      </c>
      <c r="C535" s="976"/>
      <c r="D535" s="976"/>
      <c r="E535" s="976"/>
      <c r="F535" s="977"/>
      <c r="G535" s="118">
        <f>ROUND(G533+G534,-2)</f>
        <v>260000</v>
      </c>
      <c r="H535" s="505" t="s">
        <v>1670</v>
      </c>
    </row>
    <row r="536" spans="1:8" ht="13.5" thickTop="1">
      <c r="A536" s="95"/>
      <c r="B536" s="225" t="s">
        <v>303</v>
      </c>
      <c r="C536" s="843"/>
      <c r="D536" s="843"/>
      <c r="E536" s="843"/>
      <c r="F536" s="92" t="s">
        <v>781</v>
      </c>
      <c r="G536" s="93" t="s">
        <v>865</v>
      </c>
    </row>
    <row r="537" spans="1:8">
      <c r="A537" s="95"/>
      <c r="B537" s="226" t="s">
        <v>834</v>
      </c>
      <c r="C537" s="844" t="s">
        <v>382</v>
      </c>
      <c r="D537" s="844"/>
      <c r="E537" s="844"/>
      <c r="F537" s="15" t="s">
        <v>833</v>
      </c>
      <c r="G537" s="165" t="str">
        <f>'MANO DE OBRA'!D61</f>
        <v>Agosto de 2010</v>
      </c>
    </row>
    <row r="538" spans="1:8" ht="13.5" thickBot="1">
      <c r="A538" s="127"/>
      <c r="B538" s="228" t="s">
        <v>835</v>
      </c>
      <c r="C538" s="845" t="s">
        <v>102</v>
      </c>
      <c r="D538" s="845"/>
      <c r="E538" s="845"/>
      <c r="F538" s="845"/>
      <c r="G538" s="846"/>
    </row>
    <row r="539" spans="1:8" ht="14.25" thickTop="1" thickBot="1">
      <c r="A539" s="95"/>
      <c r="B539" s="986"/>
      <c r="C539" s="986"/>
      <c r="D539" s="986"/>
      <c r="E539" s="986"/>
      <c r="F539" s="986"/>
      <c r="G539" s="986"/>
    </row>
    <row r="540" spans="1:8" ht="13.5" thickTop="1">
      <c r="A540" s="95"/>
      <c r="B540" s="950" t="s">
        <v>304</v>
      </c>
      <c r="C540" s="951"/>
      <c r="D540" s="951"/>
      <c r="E540" s="951"/>
      <c r="F540" s="951"/>
      <c r="G540" s="952"/>
    </row>
    <row r="541" spans="1:8">
      <c r="A541" s="95"/>
      <c r="B541" s="229"/>
      <c r="C541" s="97"/>
      <c r="D541" s="98" t="s">
        <v>301</v>
      </c>
      <c r="E541" s="98" t="s">
        <v>1072</v>
      </c>
      <c r="F541" s="99" t="s">
        <v>839</v>
      </c>
      <c r="G541" s="107" t="s">
        <v>840</v>
      </c>
    </row>
    <row r="542" spans="1:8">
      <c r="A542" s="95"/>
      <c r="B542" s="982" t="s">
        <v>838</v>
      </c>
      <c r="C542" s="983"/>
      <c r="D542" s="100" t="s">
        <v>308</v>
      </c>
      <c r="E542" s="100" t="s">
        <v>305</v>
      </c>
      <c r="F542" s="101" t="s">
        <v>306</v>
      </c>
      <c r="G542" s="108" t="s">
        <v>310</v>
      </c>
    </row>
    <row r="543" spans="1:8">
      <c r="A543" s="95"/>
      <c r="B543" s="230"/>
      <c r="C543" s="102"/>
      <c r="D543" s="103"/>
      <c r="E543" s="103" t="s">
        <v>309</v>
      </c>
      <c r="F543" s="104" t="s">
        <v>307</v>
      </c>
      <c r="G543" s="109"/>
    </row>
    <row r="544" spans="1:8">
      <c r="A544" s="127"/>
      <c r="B544" s="841" t="str">
        <f>'MAQUINARIA Y EQUIPOS'!$C$28</f>
        <v>HERRAMIENTAS MENORES</v>
      </c>
      <c r="C544" s="842"/>
      <c r="D544" s="87">
        <v>1</v>
      </c>
      <c r="E544" s="82">
        <f>ROUND(G577*0.05,0)</f>
        <v>1521</v>
      </c>
      <c r="F544" s="81">
        <v>1</v>
      </c>
      <c r="G544" s="110">
        <f>ROUND(D544*E544/F544,0)</f>
        <v>1521</v>
      </c>
    </row>
    <row r="545" spans="1:7">
      <c r="A545" s="95"/>
      <c r="B545" s="854"/>
      <c r="C545" s="855"/>
      <c r="D545" s="37"/>
      <c r="E545" s="129"/>
      <c r="F545" s="83"/>
      <c r="G545" s="111"/>
    </row>
    <row r="546" spans="1:7">
      <c r="A546" s="95"/>
      <c r="B546" s="854"/>
      <c r="C546" s="855"/>
      <c r="D546" s="37"/>
      <c r="E546" s="129"/>
      <c r="F546" s="83"/>
      <c r="G546" s="111"/>
    </row>
    <row r="547" spans="1:7">
      <c r="A547" s="95"/>
      <c r="B547" s="854"/>
      <c r="C547" s="855"/>
      <c r="D547" s="89"/>
      <c r="E547" s="82"/>
      <c r="F547" s="83"/>
      <c r="G547" s="111"/>
    </row>
    <row r="548" spans="1:7">
      <c r="A548" s="95"/>
      <c r="B548" s="854" t="s">
        <v>841</v>
      </c>
      <c r="C548" s="855"/>
      <c r="D548" s="37"/>
      <c r="E548" s="82"/>
      <c r="F548" s="83"/>
      <c r="G548" s="111"/>
    </row>
    <row r="549" spans="1:7" ht="13.5" thickBot="1">
      <c r="A549" s="95"/>
      <c r="B549" s="942" t="s">
        <v>841</v>
      </c>
      <c r="C549" s="943"/>
      <c r="D549" s="77"/>
      <c r="E549" s="106"/>
      <c r="F549" s="86"/>
      <c r="G549" s="112"/>
    </row>
    <row r="550" spans="1:7" ht="14.25" thickTop="1" thickBot="1">
      <c r="A550" s="95"/>
      <c r="B550" s="946"/>
      <c r="C550" s="946"/>
      <c r="D550" s="946"/>
      <c r="E550" s="947"/>
      <c r="F550" s="119" t="s">
        <v>856</v>
      </c>
      <c r="G550" s="118">
        <f>SUM(G544:G549)</f>
        <v>1521</v>
      </c>
    </row>
    <row r="551" spans="1:7" ht="14.25" thickTop="1" thickBot="1">
      <c r="A551" s="95"/>
      <c r="B551" s="970"/>
      <c r="C551" s="970"/>
      <c r="D551" s="970"/>
      <c r="E551" s="970"/>
      <c r="F551" s="970"/>
      <c r="G551" s="970"/>
    </row>
    <row r="552" spans="1:7" ht="13.5" thickTop="1">
      <c r="A552" s="95"/>
      <c r="B552" s="950" t="s">
        <v>311</v>
      </c>
      <c r="C552" s="951"/>
      <c r="D552" s="951"/>
      <c r="E552" s="951"/>
      <c r="F552" s="951"/>
      <c r="G552" s="952"/>
    </row>
    <row r="553" spans="1:7">
      <c r="A553" s="95"/>
      <c r="B553" s="978" t="s">
        <v>838</v>
      </c>
      <c r="C553" s="979"/>
      <c r="D553" s="98" t="s">
        <v>842</v>
      </c>
      <c r="E553" s="98" t="s">
        <v>853</v>
      </c>
      <c r="F553" s="99" t="s">
        <v>1047</v>
      </c>
      <c r="G553" s="107" t="s">
        <v>840</v>
      </c>
    </row>
    <row r="554" spans="1:7">
      <c r="A554" s="95"/>
      <c r="B554" s="230"/>
      <c r="C554" s="102"/>
      <c r="D554" s="100"/>
      <c r="E554" s="100" t="s">
        <v>312</v>
      </c>
      <c r="F554" s="101" t="s">
        <v>313</v>
      </c>
      <c r="G554" s="108" t="s">
        <v>314</v>
      </c>
    </row>
    <row r="555" spans="1:7">
      <c r="A555" s="123"/>
      <c r="B555" s="841" t="str">
        <f>MATERIALES2!C338</f>
        <v>LAVAMANOS TREVI BLANCO CORONA</v>
      </c>
      <c r="C555" s="842"/>
      <c r="D555" s="87" t="s">
        <v>865</v>
      </c>
      <c r="E555" s="81">
        <v>1</v>
      </c>
      <c r="F555" s="80">
        <f>MATERIALES2!$E$338</f>
        <v>48720</v>
      </c>
      <c r="G555" s="110">
        <f>ROUND(E555*F555,0)</f>
        <v>48720</v>
      </c>
    </row>
    <row r="556" spans="1:7">
      <c r="A556" s="123"/>
      <c r="B556" s="854" t="str">
        <f>MATERIALES2!$C$699</f>
        <v>MANGUERA LAVAMANOS</v>
      </c>
      <c r="C556" s="855"/>
      <c r="D556" s="37" t="s">
        <v>865</v>
      </c>
      <c r="E556" s="83">
        <v>2</v>
      </c>
      <c r="F556" s="82">
        <f>MATERIALES2!$E$699</f>
        <v>2500</v>
      </c>
      <c r="G556" s="111">
        <f>ROUND(E556*F556,0)</f>
        <v>5000</v>
      </c>
    </row>
    <row r="557" spans="1:7">
      <c r="A557" s="123"/>
      <c r="B557" s="854"/>
      <c r="C557" s="855"/>
      <c r="D557" s="37"/>
      <c r="E557" s="83"/>
      <c r="F557" s="82"/>
      <c r="G557" s="111"/>
    </row>
    <row r="558" spans="1:7">
      <c r="A558" s="123"/>
      <c r="B558" s="854"/>
      <c r="C558" s="855"/>
      <c r="D558" s="37"/>
      <c r="E558" s="83"/>
      <c r="F558" s="82"/>
      <c r="G558" s="111"/>
    </row>
    <row r="559" spans="1:7">
      <c r="A559" s="123"/>
      <c r="B559" s="854"/>
      <c r="C559" s="855"/>
      <c r="D559" s="37"/>
      <c r="E559" s="83"/>
      <c r="F559" s="82"/>
      <c r="G559" s="111"/>
    </row>
    <row r="560" spans="1:7">
      <c r="A560" s="123"/>
      <c r="B560" s="854"/>
      <c r="C560" s="855"/>
      <c r="D560" s="37"/>
      <c r="E560" s="83"/>
      <c r="F560" s="82"/>
      <c r="G560" s="111"/>
    </row>
    <row r="561" spans="1:8">
      <c r="A561" s="123"/>
      <c r="B561" s="854"/>
      <c r="C561" s="855"/>
      <c r="D561" s="37"/>
      <c r="E561" s="83"/>
      <c r="F561" s="82"/>
      <c r="G561" s="111"/>
    </row>
    <row r="562" spans="1:8">
      <c r="A562" s="123"/>
      <c r="B562" s="854"/>
      <c r="C562" s="855"/>
      <c r="D562" s="37"/>
      <c r="E562" s="83"/>
      <c r="F562" s="82"/>
      <c r="G562" s="111"/>
      <c r="H562" s="505" t="s">
        <v>1670</v>
      </c>
    </row>
    <row r="563" spans="1:8" ht="13.5" thickBot="1">
      <c r="A563" s="123"/>
      <c r="B563" s="854"/>
      <c r="C563" s="855"/>
      <c r="D563" s="37"/>
      <c r="E563" s="86"/>
      <c r="F563" s="82"/>
      <c r="G563" s="111"/>
    </row>
    <row r="564" spans="1:8" ht="13.5" thickTop="1">
      <c r="A564" s="95"/>
      <c r="B564" s="946"/>
      <c r="C564" s="947"/>
      <c r="D564" s="801" t="s">
        <v>856</v>
      </c>
      <c r="E564" s="802"/>
      <c r="F564" s="9"/>
      <c r="G564" s="113">
        <f>SUM(G555:G563)</f>
        <v>53720</v>
      </c>
    </row>
    <row r="565" spans="1:8">
      <c r="A565" s="95"/>
      <c r="B565" s="948"/>
      <c r="C565" s="949"/>
      <c r="D565" s="801" t="s">
        <v>857</v>
      </c>
      <c r="E565" s="802"/>
      <c r="F565" s="79">
        <f>'MANO DE OBRA'!$D$60</f>
        <v>0.05</v>
      </c>
      <c r="G565" s="113">
        <f>ROUND(G564*F565,0)</f>
        <v>2686</v>
      </c>
    </row>
    <row r="566" spans="1:8" ht="13.5" thickBot="1">
      <c r="A566" s="95"/>
      <c r="B566" s="948"/>
      <c r="C566" s="949"/>
      <c r="D566" s="803" t="s">
        <v>320</v>
      </c>
      <c r="E566" s="804"/>
      <c r="F566" s="114"/>
      <c r="G566" s="118">
        <f>+G564+G565</f>
        <v>56406</v>
      </c>
    </row>
    <row r="567" spans="1:8" ht="14.25" thickTop="1" thickBot="1">
      <c r="A567" s="95"/>
      <c r="B567" s="970"/>
      <c r="C567" s="970"/>
      <c r="D567" s="970"/>
      <c r="E567" s="970"/>
      <c r="F567" s="970"/>
      <c r="G567" s="970"/>
    </row>
    <row r="568" spans="1:8" ht="13.5" thickTop="1">
      <c r="A568" s="95"/>
      <c r="B568" s="950" t="s">
        <v>858</v>
      </c>
      <c r="C568" s="951"/>
      <c r="D568" s="951"/>
      <c r="E568" s="951"/>
      <c r="F568" s="951"/>
      <c r="G568" s="952"/>
    </row>
    <row r="569" spans="1:8">
      <c r="A569" s="95"/>
      <c r="B569" s="978"/>
      <c r="C569" s="979"/>
      <c r="D569" s="98" t="s">
        <v>301</v>
      </c>
      <c r="E569" s="98" t="s">
        <v>859</v>
      </c>
      <c r="F569" s="99" t="s">
        <v>839</v>
      </c>
      <c r="G569" s="107" t="s">
        <v>840</v>
      </c>
    </row>
    <row r="570" spans="1:8">
      <c r="A570" s="95"/>
      <c r="B570" s="982" t="s">
        <v>838</v>
      </c>
      <c r="C570" s="983"/>
      <c r="D570" s="100" t="s">
        <v>316</v>
      </c>
      <c r="E570" s="100" t="s">
        <v>315</v>
      </c>
      <c r="F570" s="101" t="s">
        <v>306</v>
      </c>
      <c r="G570" s="108" t="s">
        <v>319</v>
      </c>
    </row>
    <row r="571" spans="1:8">
      <c r="A571" s="95"/>
      <c r="B571" s="230"/>
      <c r="C571" s="102"/>
      <c r="D571" s="103"/>
      <c r="E571" s="103" t="s">
        <v>317</v>
      </c>
      <c r="F571" s="104" t="s">
        <v>318</v>
      </c>
      <c r="G571" s="109"/>
    </row>
    <row r="572" spans="1:8">
      <c r="A572" s="95"/>
      <c r="B572" s="841" t="str">
        <f>'MANO DE OBRA'!$B$11</f>
        <v>AYUDANTE CUAD. TIPO BB</v>
      </c>
      <c r="C572" s="842"/>
      <c r="D572" s="87">
        <v>1</v>
      </c>
      <c r="E572" s="80">
        <f>'MANO DE OBRA'!$E$11</f>
        <v>43077</v>
      </c>
      <c r="F572" s="81">
        <v>4</v>
      </c>
      <c r="G572" s="110">
        <f>ROUND(D572*E572/F572,0)</f>
        <v>10769</v>
      </c>
    </row>
    <row r="573" spans="1:8">
      <c r="A573" s="95"/>
      <c r="B573" s="854" t="str">
        <f>'MANO DE OBRA'!$B$16</f>
        <v>OFICIAL CUAD. TIPO BB</v>
      </c>
      <c r="C573" s="855"/>
      <c r="D573" s="37">
        <v>1</v>
      </c>
      <c r="E573" s="82">
        <f>'MANO DE OBRA'!$E$16</f>
        <v>78577</v>
      </c>
      <c r="F573" s="83">
        <v>4</v>
      </c>
      <c r="G573" s="111">
        <f>ROUND(D573*E573/F573,0)</f>
        <v>19644</v>
      </c>
    </row>
    <row r="574" spans="1:8">
      <c r="A574" s="95"/>
      <c r="B574" s="854"/>
      <c r="C574" s="855"/>
      <c r="D574" s="89"/>
      <c r="E574" s="82"/>
      <c r="F574" s="83"/>
      <c r="G574" s="111"/>
    </row>
    <row r="575" spans="1:8">
      <c r="A575" s="95"/>
      <c r="B575" s="854" t="s">
        <v>841</v>
      </c>
      <c r="C575" s="855"/>
      <c r="D575" s="37"/>
      <c r="E575" s="82"/>
      <c r="F575" s="83"/>
      <c r="G575" s="111"/>
    </row>
    <row r="576" spans="1:8" ht="13.5" thickBot="1">
      <c r="A576" s="95"/>
      <c r="B576" s="980" t="s">
        <v>841</v>
      </c>
      <c r="C576" s="981"/>
      <c r="D576" s="77"/>
      <c r="E576" s="82"/>
      <c r="F576" s="86"/>
      <c r="G576" s="112"/>
    </row>
    <row r="577" spans="1:8" ht="14.25" thickTop="1" thickBot="1">
      <c r="A577" s="95"/>
      <c r="B577" s="946"/>
      <c r="C577" s="946"/>
      <c r="D577" s="946"/>
      <c r="E577" s="947"/>
      <c r="F577" s="120" t="s">
        <v>856</v>
      </c>
      <c r="G577" s="118">
        <f>SUM(G572:G576)</f>
        <v>30413</v>
      </c>
    </row>
    <row r="578" spans="1:8" ht="14.25" thickTop="1" thickBot="1">
      <c r="A578" s="95"/>
      <c r="B578" s="970"/>
      <c r="C578" s="970"/>
      <c r="D578" s="970"/>
      <c r="E578" s="970"/>
      <c r="F578" s="970"/>
      <c r="G578" s="970"/>
    </row>
    <row r="579" spans="1:8" ht="13.5" thickTop="1">
      <c r="A579" s="95"/>
      <c r="B579" s="950" t="s">
        <v>321</v>
      </c>
      <c r="C579" s="951"/>
      <c r="D579" s="951"/>
      <c r="E579" s="951"/>
      <c r="F579" s="951"/>
      <c r="G579" s="952"/>
    </row>
    <row r="580" spans="1:8">
      <c r="A580" s="95"/>
      <c r="B580" s="978" t="s">
        <v>838</v>
      </c>
      <c r="C580" s="979"/>
      <c r="D580" s="98" t="s">
        <v>301</v>
      </c>
      <c r="E580" s="98" t="s">
        <v>297</v>
      </c>
      <c r="F580" s="99" t="s">
        <v>839</v>
      </c>
      <c r="G580" s="107" t="s">
        <v>840</v>
      </c>
    </row>
    <row r="581" spans="1:8">
      <c r="A581" s="95"/>
      <c r="B581" s="230"/>
      <c r="C581" s="102"/>
      <c r="D581" s="103" t="s">
        <v>322</v>
      </c>
      <c r="E581" s="103" t="s">
        <v>323</v>
      </c>
      <c r="F581" s="104" t="s">
        <v>324</v>
      </c>
      <c r="G581" s="109" t="s">
        <v>325</v>
      </c>
    </row>
    <row r="582" spans="1:8">
      <c r="A582" s="95"/>
      <c r="B582" s="841"/>
      <c r="C582" s="842"/>
      <c r="D582" s="96"/>
      <c r="E582" s="96"/>
      <c r="F582" s="96"/>
      <c r="G582" s="116"/>
    </row>
    <row r="583" spans="1:8" ht="13.5" thickBot="1">
      <c r="A583" s="95"/>
      <c r="B583" s="980" t="s">
        <v>841</v>
      </c>
      <c r="C583" s="981"/>
      <c r="D583" s="77"/>
      <c r="E583" s="82"/>
      <c r="F583" s="86"/>
      <c r="G583" s="112"/>
    </row>
    <row r="584" spans="1:8" ht="14.25" thickTop="1" thickBot="1">
      <c r="A584" s="95"/>
      <c r="B584" s="946"/>
      <c r="C584" s="946"/>
      <c r="D584" s="946"/>
      <c r="E584" s="947"/>
      <c r="F584" s="120" t="s">
        <v>856</v>
      </c>
      <c r="G584" s="118">
        <f>SUM(G579:G583)</f>
        <v>0</v>
      </c>
    </row>
    <row r="585" spans="1:8" ht="14.25" thickTop="1" thickBot="1">
      <c r="A585" s="95"/>
      <c r="B585" s="970"/>
      <c r="C585" s="970"/>
      <c r="D585" s="970"/>
      <c r="E585" s="970"/>
      <c r="F585" s="970"/>
      <c r="G585" s="943"/>
    </row>
    <row r="586" spans="1:8" ht="13.5" thickTop="1">
      <c r="A586" s="95"/>
      <c r="B586" s="950" t="s">
        <v>326</v>
      </c>
      <c r="C586" s="951"/>
      <c r="D586" s="951"/>
      <c r="E586" s="951"/>
      <c r="F586" s="971"/>
      <c r="G586" s="121">
        <f>+G550+G566+G577</f>
        <v>88340</v>
      </c>
    </row>
    <row r="587" spans="1:8">
      <c r="A587" s="95"/>
      <c r="B587" s="972" t="s">
        <v>861</v>
      </c>
      <c r="C587" s="973"/>
      <c r="D587" s="973"/>
      <c r="E587" s="974"/>
      <c r="F587" s="128">
        <f>'MANO DE OBRA'!$D$59</f>
        <v>0</v>
      </c>
      <c r="G587" s="122">
        <f>ROUND(G586*F587,0)</f>
        <v>0</v>
      </c>
    </row>
    <row r="588" spans="1:8" ht="13.5" thickBot="1">
      <c r="A588" s="95"/>
      <c r="B588" s="975" t="s">
        <v>1049</v>
      </c>
      <c r="C588" s="976"/>
      <c r="D588" s="976"/>
      <c r="E588" s="976"/>
      <c r="F588" s="977"/>
      <c r="G588" s="118">
        <f>ROUND(G586+G587,-2)</f>
        <v>88300</v>
      </c>
      <c r="H588" s="505" t="s">
        <v>1670</v>
      </c>
    </row>
    <row r="589" spans="1:8" ht="13.5" thickTop="1">
      <c r="B589" s="225" t="s">
        <v>303</v>
      </c>
      <c r="C589" s="843"/>
      <c r="D589" s="843"/>
      <c r="E589" s="843"/>
      <c r="F589" s="92" t="s">
        <v>781</v>
      </c>
      <c r="G589" s="93" t="s">
        <v>865</v>
      </c>
    </row>
    <row r="590" spans="1:8">
      <c r="B590" s="226" t="s">
        <v>834</v>
      </c>
      <c r="C590" s="844" t="s">
        <v>1474</v>
      </c>
      <c r="D590" s="844"/>
      <c r="E590" s="844"/>
      <c r="F590" s="15" t="s">
        <v>833</v>
      </c>
      <c r="G590" s="165" t="str">
        <f>'MANO DE OBRA'!D61</f>
        <v>Agosto de 2010</v>
      </c>
    </row>
    <row r="591" spans="1:8" ht="13.5" thickBot="1">
      <c r="B591" s="228" t="s">
        <v>835</v>
      </c>
      <c r="C591" s="845" t="s">
        <v>768</v>
      </c>
      <c r="D591" s="845"/>
      <c r="E591" s="845"/>
      <c r="F591" s="845"/>
      <c r="G591" s="846"/>
    </row>
    <row r="592" spans="1:8" ht="14.25" thickTop="1" thickBot="1">
      <c r="B592" s="986"/>
      <c r="C592" s="986"/>
      <c r="D592" s="986"/>
      <c r="E592" s="986"/>
      <c r="F592" s="986"/>
      <c r="G592" s="986"/>
    </row>
    <row r="593" spans="2:7" ht="13.5" thickTop="1">
      <c r="B593" s="950" t="s">
        <v>304</v>
      </c>
      <c r="C593" s="951"/>
      <c r="D593" s="951"/>
      <c r="E593" s="951"/>
      <c r="F593" s="951"/>
      <c r="G593" s="952"/>
    </row>
    <row r="594" spans="2:7">
      <c r="B594" s="229"/>
      <c r="C594" s="97"/>
      <c r="D594" s="98" t="s">
        <v>301</v>
      </c>
      <c r="E594" s="98" t="s">
        <v>1072</v>
      </c>
      <c r="F594" s="99" t="s">
        <v>839</v>
      </c>
      <c r="G594" s="107" t="s">
        <v>840</v>
      </c>
    </row>
    <row r="595" spans="2:7">
      <c r="B595" s="982" t="s">
        <v>838</v>
      </c>
      <c r="C595" s="983"/>
      <c r="D595" s="100" t="s">
        <v>308</v>
      </c>
      <c r="E595" s="100" t="s">
        <v>305</v>
      </c>
      <c r="F595" s="101" t="s">
        <v>306</v>
      </c>
      <c r="G595" s="108" t="s">
        <v>310</v>
      </c>
    </row>
    <row r="596" spans="2:7">
      <c r="B596" s="230"/>
      <c r="C596" s="102"/>
      <c r="D596" s="103"/>
      <c r="E596" s="103" t="s">
        <v>309</v>
      </c>
      <c r="F596" s="104" t="s">
        <v>307</v>
      </c>
      <c r="G596" s="109"/>
    </row>
    <row r="597" spans="2:7">
      <c r="B597" s="841" t="str">
        <f>'MAQUINARIA Y EQUIPOS'!$C$28</f>
        <v>HERRAMIENTAS MENORES</v>
      </c>
      <c r="C597" s="842"/>
      <c r="D597" s="87">
        <v>1</v>
      </c>
      <c r="E597" s="82">
        <f>ROUND(G630*0.05,0)</f>
        <v>1521</v>
      </c>
      <c r="F597" s="81">
        <v>1</v>
      </c>
      <c r="G597" s="110">
        <f>ROUND(D597*E597/F597,0)</f>
        <v>1521</v>
      </c>
    </row>
    <row r="598" spans="2:7">
      <c r="B598" s="854"/>
      <c r="C598" s="855"/>
      <c r="D598" s="37"/>
      <c r="E598" s="129"/>
      <c r="F598" s="83"/>
      <c r="G598" s="111"/>
    </row>
    <row r="599" spans="2:7">
      <c r="B599" s="854"/>
      <c r="C599" s="855"/>
      <c r="D599" s="37"/>
      <c r="E599" s="129"/>
      <c r="F599" s="83"/>
      <c r="G599" s="111"/>
    </row>
    <row r="600" spans="2:7">
      <c r="B600" s="854"/>
      <c r="C600" s="855"/>
      <c r="D600" s="89"/>
      <c r="E600" s="82"/>
      <c r="F600" s="83"/>
      <c r="G600" s="111"/>
    </row>
    <row r="601" spans="2:7">
      <c r="B601" s="854" t="s">
        <v>841</v>
      </c>
      <c r="C601" s="855"/>
      <c r="D601" s="37"/>
      <c r="E601" s="82"/>
      <c r="F601" s="83"/>
      <c r="G601" s="111"/>
    </row>
    <row r="602" spans="2:7" ht="13.5" thickBot="1">
      <c r="B602" s="942" t="s">
        <v>841</v>
      </c>
      <c r="C602" s="943"/>
      <c r="D602" s="77"/>
      <c r="E602" s="106"/>
      <c r="F602" s="86"/>
      <c r="G602" s="112"/>
    </row>
    <row r="603" spans="2:7" ht="14.25" thickTop="1" thickBot="1">
      <c r="B603" s="946"/>
      <c r="C603" s="946"/>
      <c r="D603" s="946"/>
      <c r="E603" s="947"/>
      <c r="F603" s="119" t="s">
        <v>856</v>
      </c>
      <c r="G603" s="118">
        <f>SUM(G597:G602)</f>
        <v>1521</v>
      </c>
    </row>
    <row r="604" spans="2:7" ht="14.25" thickTop="1" thickBot="1">
      <c r="B604" s="970"/>
      <c r="C604" s="970"/>
      <c r="D604" s="970"/>
      <c r="E604" s="970"/>
      <c r="F604" s="970"/>
      <c r="G604" s="970"/>
    </row>
    <row r="605" spans="2:7" ht="13.5" thickTop="1">
      <c r="B605" s="950" t="s">
        <v>311</v>
      </c>
      <c r="C605" s="951"/>
      <c r="D605" s="951"/>
      <c r="E605" s="951"/>
      <c r="F605" s="951"/>
      <c r="G605" s="952"/>
    </row>
    <row r="606" spans="2:7">
      <c r="B606" s="978" t="s">
        <v>838</v>
      </c>
      <c r="C606" s="979"/>
      <c r="D606" s="98" t="s">
        <v>842</v>
      </c>
      <c r="E606" s="98" t="s">
        <v>853</v>
      </c>
      <c r="F606" s="99" t="s">
        <v>1047</v>
      </c>
      <c r="G606" s="107" t="s">
        <v>840</v>
      </c>
    </row>
    <row r="607" spans="2:7">
      <c r="B607" s="230"/>
      <c r="C607" s="102"/>
      <c r="D607" s="100"/>
      <c r="E607" s="100" t="s">
        <v>312</v>
      </c>
      <c r="F607" s="101" t="s">
        <v>313</v>
      </c>
      <c r="G607" s="108" t="s">
        <v>314</v>
      </c>
    </row>
    <row r="608" spans="2:7">
      <c r="B608" s="841" t="str">
        <f>MATERIALES2!C12</f>
        <v>CEMENTO BLANCO</v>
      </c>
      <c r="C608" s="842"/>
      <c r="D608" s="87" t="s">
        <v>925</v>
      </c>
      <c r="E608" s="81">
        <v>2.2999999999999998</v>
      </c>
      <c r="F608" s="80">
        <f>MATERIALES2!E12</f>
        <v>750</v>
      </c>
      <c r="G608" s="110">
        <f>ROUND(E608*F608,0)</f>
        <v>1725</v>
      </c>
    </row>
    <row r="609" spans="2:8">
      <c r="B609" s="854"/>
      <c r="C609" s="855"/>
      <c r="D609" s="37"/>
      <c r="E609" s="83"/>
      <c r="F609" s="82"/>
      <c r="G609" s="111"/>
    </row>
    <row r="610" spans="2:8">
      <c r="B610" s="854"/>
      <c r="C610" s="855"/>
      <c r="D610" s="37"/>
      <c r="E610" s="83"/>
      <c r="F610" s="82"/>
      <c r="G610" s="111"/>
    </row>
    <row r="611" spans="2:8">
      <c r="B611" s="854"/>
      <c r="C611" s="855"/>
      <c r="D611" s="37"/>
      <c r="E611" s="83"/>
      <c r="F611" s="82"/>
      <c r="G611" s="111"/>
    </row>
    <row r="612" spans="2:8">
      <c r="B612" s="854"/>
      <c r="C612" s="855"/>
      <c r="D612" s="37"/>
      <c r="E612" s="83"/>
      <c r="F612" s="82"/>
      <c r="G612" s="111"/>
    </row>
    <row r="613" spans="2:8">
      <c r="B613" s="854"/>
      <c r="C613" s="855"/>
      <c r="D613" s="37"/>
      <c r="E613" s="83"/>
      <c r="F613" s="82"/>
      <c r="G613" s="111"/>
    </row>
    <row r="614" spans="2:8">
      <c r="B614" s="854"/>
      <c r="C614" s="855"/>
      <c r="D614" s="37"/>
      <c r="E614" s="83"/>
      <c r="F614" s="82"/>
      <c r="G614" s="111"/>
    </row>
    <row r="615" spans="2:8">
      <c r="B615" s="854"/>
      <c r="C615" s="855"/>
      <c r="D615" s="37"/>
      <c r="E615" s="83"/>
      <c r="F615" s="82"/>
      <c r="G615" s="111"/>
      <c r="H615" s="505" t="s">
        <v>1670</v>
      </c>
    </row>
    <row r="616" spans="2:8" ht="13.5" thickBot="1">
      <c r="B616" s="854"/>
      <c r="C616" s="855"/>
      <c r="D616" s="37"/>
      <c r="E616" s="86"/>
      <c r="F616" s="82"/>
      <c r="G616" s="111"/>
    </row>
    <row r="617" spans="2:8" ht="13.5" thickTop="1">
      <c r="B617" s="946"/>
      <c r="C617" s="947"/>
      <c r="D617" s="801" t="s">
        <v>856</v>
      </c>
      <c r="E617" s="802"/>
      <c r="F617" s="9"/>
      <c r="G617" s="113">
        <f>SUM(G608:G616)</f>
        <v>1725</v>
      </c>
    </row>
    <row r="618" spans="2:8">
      <c r="B618" s="948"/>
      <c r="C618" s="949"/>
      <c r="D618" s="801" t="s">
        <v>857</v>
      </c>
      <c r="E618" s="802"/>
      <c r="F618" s="79">
        <f>'MANO DE OBRA'!$D$60</f>
        <v>0.05</v>
      </c>
      <c r="G618" s="113">
        <f>ROUND(G617*F618,0)</f>
        <v>86</v>
      </c>
    </row>
    <row r="619" spans="2:8" ht="13.5" thickBot="1">
      <c r="B619" s="948"/>
      <c r="C619" s="949"/>
      <c r="D619" s="803" t="s">
        <v>320</v>
      </c>
      <c r="E619" s="804"/>
      <c r="F619" s="114"/>
      <c r="G619" s="118">
        <f>+G617+G618</f>
        <v>1811</v>
      </c>
    </row>
    <row r="620" spans="2:8" ht="14.25" thickTop="1" thickBot="1">
      <c r="B620" s="970"/>
      <c r="C620" s="970"/>
      <c r="D620" s="970"/>
      <c r="E620" s="970"/>
      <c r="F620" s="970"/>
      <c r="G620" s="970"/>
    </row>
    <row r="621" spans="2:8" ht="13.5" thickTop="1">
      <c r="B621" s="950" t="s">
        <v>858</v>
      </c>
      <c r="C621" s="951"/>
      <c r="D621" s="951"/>
      <c r="E621" s="951"/>
      <c r="F621" s="951"/>
      <c r="G621" s="952"/>
    </row>
    <row r="622" spans="2:8">
      <c r="B622" s="978"/>
      <c r="C622" s="979"/>
      <c r="D622" s="98" t="s">
        <v>301</v>
      </c>
      <c r="E622" s="98" t="s">
        <v>859</v>
      </c>
      <c r="F622" s="99" t="s">
        <v>839</v>
      </c>
      <c r="G622" s="107" t="s">
        <v>840</v>
      </c>
    </row>
    <row r="623" spans="2:8">
      <c r="B623" s="982" t="s">
        <v>838</v>
      </c>
      <c r="C623" s="983"/>
      <c r="D623" s="100" t="s">
        <v>316</v>
      </c>
      <c r="E623" s="100" t="s">
        <v>315</v>
      </c>
      <c r="F623" s="101" t="s">
        <v>306</v>
      </c>
      <c r="G623" s="108" t="s">
        <v>319</v>
      </c>
    </row>
    <row r="624" spans="2:8">
      <c r="B624" s="230"/>
      <c r="C624" s="102"/>
      <c r="D624" s="103"/>
      <c r="E624" s="103" t="s">
        <v>317</v>
      </c>
      <c r="F624" s="104" t="s">
        <v>318</v>
      </c>
      <c r="G624" s="109"/>
    </row>
    <row r="625" spans="2:7">
      <c r="B625" s="841" t="str">
        <f>'MANO DE OBRA'!$B$11</f>
        <v>AYUDANTE CUAD. TIPO BB</v>
      </c>
      <c r="C625" s="842"/>
      <c r="D625" s="87">
        <v>1</v>
      </c>
      <c r="E625" s="80">
        <f>'MANO DE OBRA'!$E$11</f>
        <v>43077</v>
      </c>
      <c r="F625" s="81">
        <v>4</v>
      </c>
      <c r="G625" s="110">
        <f>ROUND(D625*E625/F625,0)</f>
        <v>10769</v>
      </c>
    </row>
    <row r="626" spans="2:7">
      <c r="B626" s="854" t="str">
        <f>'MANO DE OBRA'!$B$16</f>
        <v>OFICIAL CUAD. TIPO BB</v>
      </c>
      <c r="C626" s="855"/>
      <c r="D626" s="37">
        <v>1</v>
      </c>
      <c r="E626" s="82">
        <f>'MANO DE OBRA'!$E$16</f>
        <v>78577</v>
      </c>
      <c r="F626" s="83">
        <v>4</v>
      </c>
      <c r="G626" s="111">
        <f>ROUND(D626*E626/F626,0)</f>
        <v>19644</v>
      </c>
    </row>
    <row r="627" spans="2:7">
      <c r="B627" s="854"/>
      <c r="C627" s="855"/>
      <c r="D627" s="89"/>
      <c r="E627" s="82"/>
      <c r="F627" s="83"/>
      <c r="G627" s="111"/>
    </row>
    <row r="628" spans="2:7">
      <c r="B628" s="854" t="s">
        <v>841</v>
      </c>
      <c r="C628" s="855"/>
      <c r="D628" s="37"/>
      <c r="E628" s="82"/>
      <c r="F628" s="83"/>
      <c r="G628" s="111"/>
    </row>
    <row r="629" spans="2:7" ht="13.5" thickBot="1">
      <c r="B629" s="980" t="s">
        <v>841</v>
      </c>
      <c r="C629" s="981"/>
      <c r="D629" s="77"/>
      <c r="E629" s="82"/>
      <c r="F629" s="86"/>
      <c r="G629" s="112"/>
    </row>
    <row r="630" spans="2:7" ht="14.25" thickTop="1" thickBot="1">
      <c r="B630" s="946"/>
      <c r="C630" s="946"/>
      <c r="D630" s="946"/>
      <c r="E630" s="947"/>
      <c r="F630" s="120" t="s">
        <v>856</v>
      </c>
      <c r="G630" s="118">
        <f>SUM(G625:G629)</f>
        <v>30413</v>
      </c>
    </row>
    <row r="631" spans="2:7" ht="14.25" thickTop="1" thickBot="1">
      <c r="B631" s="970"/>
      <c r="C631" s="970"/>
      <c r="D631" s="970"/>
      <c r="E631" s="970"/>
      <c r="F631" s="970"/>
      <c r="G631" s="970"/>
    </row>
    <row r="632" spans="2:7" ht="13.5" thickTop="1">
      <c r="B632" s="950" t="s">
        <v>321</v>
      </c>
      <c r="C632" s="951"/>
      <c r="D632" s="951"/>
      <c r="E632" s="951"/>
      <c r="F632" s="951"/>
      <c r="G632" s="952"/>
    </row>
    <row r="633" spans="2:7">
      <c r="B633" s="978" t="s">
        <v>838</v>
      </c>
      <c r="C633" s="979"/>
      <c r="D633" s="98" t="s">
        <v>301</v>
      </c>
      <c r="E633" s="98" t="s">
        <v>297</v>
      </c>
      <c r="F633" s="99" t="s">
        <v>839</v>
      </c>
      <c r="G633" s="107" t="s">
        <v>840</v>
      </c>
    </row>
    <row r="634" spans="2:7">
      <c r="B634" s="230"/>
      <c r="C634" s="102"/>
      <c r="D634" s="103" t="s">
        <v>322</v>
      </c>
      <c r="E634" s="103" t="s">
        <v>323</v>
      </c>
      <c r="F634" s="104" t="s">
        <v>324</v>
      </c>
      <c r="G634" s="109" t="s">
        <v>325</v>
      </c>
    </row>
    <row r="635" spans="2:7">
      <c r="B635" s="841"/>
      <c r="C635" s="842"/>
      <c r="D635" s="96"/>
      <c r="E635" s="96"/>
      <c r="F635" s="96"/>
      <c r="G635" s="116"/>
    </row>
    <row r="636" spans="2:7" ht="13.5" thickBot="1">
      <c r="B636" s="980" t="s">
        <v>841</v>
      </c>
      <c r="C636" s="981"/>
      <c r="D636" s="77"/>
      <c r="E636" s="82"/>
      <c r="F636" s="86"/>
      <c r="G636" s="112"/>
    </row>
    <row r="637" spans="2:7" ht="14.25" thickTop="1" thickBot="1">
      <c r="B637" s="946"/>
      <c r="C637" s="946"/>
      <c r="D637" s="946"/>
      <c r="E637" s="947"/>
      <c r="F637" s="120" t="s">
        <v>856</v>
      </c>
      <c r="G637" s="118">
        <f>SUM(G632:G636)</f>
        <v>0</v>
      </c>
    </row>
    <row r="638" spans="2:7" ht="14.25" thickTop="1" thickBot="1">
      <c r="B638" s="970"/>
      <c r="C638" s="970"/>
      <c r="D638" s="970"/>
      <c r="E638" s="970"/>
      <c r="F638" s="970"/>
      <c r="G638" s="943"/>
    </row>
    <row r="639" spans="2:7" ht="13.5" thickTop="1">
      <c r="B639" s="950" t="s">
        <v>326</v>
      </c>
      <c r="C639" s="951"/>
      <c r="D639" s="951"/>
      <c r="E639" s="951"/>
      <c r="F639" s="971"/>
      <c r="G639" s="121">
        <f>+G603+G619+G630</f>
        <v>33745</v>
      </c>
    </row>
    <row r="640" spans="2:7">
      <c r="B640" s="972" t="s">
        <v>861</v>
      </c>
      <c r="C640" s="973"/>
      <c r="D640" s="973"/>
      <c r="E640" s="974"/>
      <c r="F640" s="128">
        <f>'MANO DE OBRA'!$D$59</f>
        <v>0</v>
      </c>
      <c r="G640" s="122">
        <f>ROUND(G639*F640,0)</f>
        <v>0</v>
      </c>
    </row>
    <row r="641" spans="2:8" ht="13.5" thickBot="1">
      <c r="B641" s="975" t="s">
        <v>1049</v>
      </c>
      <c r="C641" s="976"/>
      <c r="D641" s="976"/>
      <c r="E641" s="976"/>
      <c r="F641" s="977"/>
      <c r="G641" s="118">
        <f>ROUND(G639+G640,-2)</f>
        <v>33700</v>
      </c>
      <c r="H641" s="505" t="s">
        <v>1670</v>
      </c>
    </row>
    <row r="642" spans="2:8" ht="13.5" thickTop="1">
      <c r="B642" s="225" t="s">
        <v>303</v>
      </c>
      <c r="C642" s="843"/>
      <c r="D642" s="843"/>
      <c r="E642" s="843"/>
      <c r="F642" s="92" t="s">
        <v>781</v>
      </c>
      <c r="G642" s="93" t="s">
        <v>865</v>
      </c>
    </row>
    <row r="643" spans="2:8">
      <c r="B643" s="226" t="s">
        <v>834</v>
      </c>
      <c r="C643" s="844" t="s">
        <v>1474</v>
      </c>
      <c r="D643" s="844"/>
      <c r="E643" s="844"/>
      <c r="F643" s="15" t="s">
        <v>833</v>
      </c>
      <c r="G643" s="165" t="str">
        <f>'MANO DE OBRA'!D61</f>
        <v>Agosto de 2010</v>
      </c>
    </row>
    <row r="644" spans="2:8" ht="13.5" thickBot="1">
      <c r="B644" s="228" t="s">
        <v>835</v>
      </c>
      <c r="C644" s="845" t="s">
        <v>769</v>
      </c>
      <c r="D644" s="845"/>
      <c r="E644" s="845"/>
      <c r="F644" s="845"/>
      <c r="G644" s="846"/>
    </row>
    <row r="645" spans="2:8" ht="14.25" thickTop="1" thickBot="1">
      <c r="B645" s="986"/>
      <c r="C645" s="986"/>
      <c r="D645" s="986"/>
      <c r="E645" s="986"/>
      <c r="F645" s="986"/>
      <c r="G645" s="986"/>
    </row>
    <row r="646" spans="2:8" ht="13.5" thickTop="1">
      <c r="B646" s="950" t="s">
        <v>304</v>
      </c>
      <c r="C646" s="951"/>
      <c r="D646" s="951"/>
      <c r="E646" s="951"/>
      <c r="F646" s="951"/>
      <c r="G646" s="952"/>
    </row>
    <row r="647" spans="2:8">
      <c r="B647" s="229"/>
      <c r="C647" s="97"/>
      <c r="D647" s="98" t="s">
        <v>301</v>
      </c>
      <c r="E647" s="98" t="s">
        <v>1072</v>
      </c>
      <c r="F647" s="99" t="s">
        <v>839</v>
      </c>
      <c r="G647" s="107" t="s">
        <v>840</v>
      </c>
    </row>
    <row r="648" spans="2:8">
      <c r="B648" s="982" t="s">
        <v>838</v>
      </c>
      <c r="C648" s="983"/>
      <c r="D648" s="100" t="s">
        <v>308</v>
      </c>
      <c r="E648" s="100" t="s">
        <v>305</v>
      </c>
      <c r="F648" s="101" t="s">
        <v>306</v>
      </c>
      <c r="G648" s="108" t="s">
        <v>310</v>
      </c>
    </row>
    <row r="649" spans="2:8">
      <c r="B649" s="230"/>
      <c r="C649" s="102"/>
      <c r="D649" s="103"/>
      <c r="E649" s="103" t="s">
        <v>309</v>
      </c>
      <c r="F649" s="104" t="s">
        <v>307</v>
      </c>
      <c r="G649" s="109"/>
    </row>
    <row r="650" spans="2:8">
      <c r="B650" s="841" t="str">
        <f>'MAQUINARIA Y EQUIPOS'!$C$28</f>
        <v>HERRAMIENTAS MENORES</v>
      </c>
      <c r="C650" s="842"/>
      <c r="D650" s="87">
        <v>1</v>
      </c>
      <c r="E650" s="82">
        <f>ROUND(G683*0.05,0)</f>
        <v>1521</v>
      </c>
      <c r="F650" s="81">
        <v>1</v>
      </c>
      <c r="G650" s="110">
        <f>ROUND(D650*E650/F650,0)</f>
        <v>1521</v>
      </c>
    </row>
    <row r="651" spans="2:8">
      <c r="B651" s="854"/>
      <c r="C651" s="855"/>
      <c r="D651" s="37"/>
      <c r="E651" s="129"/>
      <c r="F651" s="83"/>
      <c r="G651" s="111"/>
    </row>
    <row r="652" spans="2:8">
      <c r="B652" s="854"/>
      <c r="C652" s="855"/>
      <c r="D652" s="37"/>
      <c r="E652" s="129"/>
      <c r="F652" s="83"/>
      <c r="G652" s="111"/>
    </row>
    <row r="653" spans="2:8">
      <c r="B653" s="854"/>
      <c r="C653" s="855"/>
      <c r="D653" s="89"/>
      <c r="E653" s="82"/>
      <c r="F653" s="83"/>
      <c r="G653" s="111"/>
    </row>
    <row r="654" spans="2:8">
      <c r="B654" s="854" t="s">
        <v>841</v>
      </c>
      <c r="C654" s="855"/>
      <c r="D654" s="37"/>
      <c r="E654" s="82"/>
      <c r="F654" s="83"/>
      <c r="G654" s="111"/>
    </row>
    <row r="655" spans="2:8" ht="13.5" thickBot="1">
      <c r="B655" s="942" t="s">
        <v>841</v>
      </c>
      <c r="C655" s="943"/>
      <c r="D655" s="77"/>
      <c r="E655" s="106"/>
      <c r="F655" s="86"/>
      <c r="G655" s="112"/>
    </row>
    <row r="656" spans="2:8" ht="14.25" thickTop="1" thickBot="1">
      <c r="B656" s="946"/>
      <c r="C656" s="946"/>
      <c r="D656" s="946"/>
      <c r="E656" s="947"/>
      <c r="F656" s="119" t="s">
        <v>856</v>
      </c>
      <c r="G656" s="118">
        <f>SUM(G650:G655)</f>
        <v>1521</v>
      </c>
    </row>
    <row r="657" spans="2:8" ht="14.25" thickTop="1" thickBot="1">
      <c r="B657" s="970"/>
      <c r="C657" s="970"/>
      <c r="D657" s="970"/>
      <c r="E657" s="970"/>
      <c r="F657" s="970"/>
      <c r="G657" s="970"/>
    </row>
    <row r="658" spans="2:8" ht="13.5" thickTop="1">
      <c r="B658" s="950" t="s">
        <v>311</v>
      </c>
      <c r="C658" s="951"/>
      <c r="D658" s="951"/>
      <c r="E658" s="951"/>
      <c r="F658" s="951"/>
      <c r="G658" s="952"/>
    </row>
    <row r="659" spans="2:8">
      <c r="B659" s="978" t="s">
        <v>838</v>
      </c>
      <c r="C659" s="979"/>
      <c r="D659" s="98" t="s">
        <v>842</v>
      </c>
      <c r="E659" s="98" t="s">
        <v>853</v>
      </c>
      <c r="F659" s="99" t="s">
        <v>1047</v>
      </c>
      <c r="G659" s="107" t="s">
        <v>840</v>
      </c>
    </row>
    <row r="660" spans="2:8">
      <c r="B660" s="230"/>
      <c r="C660" s="102"/>
      <c r="D660" s="100"/>
      <c r="E660" s="100" t="s">
        <v>312</v>
      </c>
      <c r="F660" s="101" t="s">
        <v>313</v>
      </c>
      <c r="G660" s="109" t="s">
        <v>314</v>
      </c>
    </row>
    <row r="661" spans="2:8">
      <c r="B661" s="841" t="str">
        <f>MATERIALES2!C12</f>
        <v>CEMENTO BLANCO</v>
      </c>
      <c r="C661" s="842"/>
      <c r="D661" s="87" t="s">
        <v>925</v>
      </c>
      <c r="E661" s="81">
        <v>2.2999999999999998</v>
      </c>
      <c r="F661" s="80">
        <f>MATERIALES2!E12</f>
        <v>750</v>
      </c>
      <c r="G661" s="111">
        <f>ROUND(E661*F661,0)</f>
        <v>1725</v>
      </c>
    </row>
    <row r="662" spans="2:8">
      <c r="B662" s="854"/>
      <c r="C662" s="855"/>
      <c r="D662" s="37"/>
      <c r="E662" s="83"/>
      <c r="F662" s="82"/>
      <c r="G662" s="111"/>
    </row>
    <row r="663" spans="2:8">
      <c r="B663" s="854"/>
      <c r="C663" s="855"/>
      <c r="D663" s="37"/>
      <c r="E663" s="83"/>
      <c r="F663" s="82"/>
      <c r="G663" s="111"/>
    </row>
    <row r="664" spans="2:8">
      <c r="B664" s="854"/>
      <c r="C664" s="855"/>
      <c r="D664" s="37"/>
      <c r="E664" s="83"/>
      <c r="F664" s="82"/>
      <c r="G664" s="111"/>
    </row>
    <row r="665" spans="2:8">
      <c r="B665" s="854"/>
      <c r="C665" s="855"/>
      <c r="D665" s="37"/>
      <c r="E665" s="83"/>
      <c r="F665" s="82"/>
      <c r="G665" s="111"/>
    </row>
    <row r="666" spans="2:8">
      <c r="B666" s="854"/>
      <c r="C666" s="855"/>
      <c r="D666" s="37"/>
      <c r="E666" s="83"/>
      <c r="F666" s="82"/>
      <c r="G666" s="111"/>
    </row>
    <row r="667" spans="2:8">
      <c r="B667" s="854"/>
      <c r="C667" s="855"/>
      <c r="D667" s="37"/>
      <c r="E667" s="83"/>
      <c r="F667" s="82"/>
      <c r="G667" s="111"/>
    </row>
    <row r="668" spans="2:8">
      <c r="B668" s="854"/>
      <c r="C668" s="855"/>
      <c r="D668" s="37"/>
      <c r="E668" s="83"/>
      <c r="F668" s="82"/>
      <c r="G668" s="111"/>
      <c r="H668" s="505" t="s">
        <v>1670</v>
      </c>
    </row>
    <row r="669" spans="2:8" ht="13.5" thickBot="1">
      <c r="B669" s="854"/>
      <c r="C669" s="855"/>
      <c r="D669" s="37"/>
      <c r="E669" s="83"/>
      <c r="F669" s="82"/>
      <c r="G669" s="111"/>
    </row>
    <row r="670" spans="2:8" ht="13.5" thickTop="1">
      <c r="B670" s="946"/>
      <c r="C670" s="947"/>
      <c r="D670" s="801" t="s">
        <v>856</v>
      </c>
      <c r="E670" s="802"/>
      <c r="F670" s="9"/>
      <c r="G670" s="113">
        <f>SUM(G661:G669)</f>
        <v>1725</v>
      </c>
    </row>
    <row r="671" spans="2:8">
      <c r="B671" s="948"/>
      <c r="C671" s="949"/>
      <c r="D671" s="801" t="s">
        <v>857</v>
      </c>
      <c r="E671" s="802"/>
      <c r="F671" s="79">
        <f>'MANO DE OBRA'!$D$60</f>
        <v>0.05</v>
      </c>
      <c r="G671" s="113">
        <f>ROUND(G670*F671,0)</f>
        <v>86</v>
      </c>
    </row>
    <row r="672" spans="2:8" ht="13.5" thickBot="1">
      <c r="B672" s="948"/>
      <c r="C672" s="949"/>
      <c r="D672" s="803" t="s">
        <v>320</v>
      </c>
      <c r="E672" s="804"/>
      <c r="F672" s="114"/>
      <c r="G672" s="118">
        <f>+G670+G671</f>
        <v>1811</v>
      </c>
    </row>
    <row r="673" spans="2:7" ht="14.25" thickTop="1" thickBot="1">
      <c r="B673" s="970"/>
      <c r="C673" s="970"/>
      <c r="D673" s="970"/>
      <c r="E673" s="970"/>
      <c r="F673" s="970"/>
      <c r="G673" s="970"/>
    </row>
    <row r="674" spans="2:7" ht="13.5" thickTop="1">
      <c r="B674" s="950" t="s">
        <v>858</v>
      </c>
      <c r="C674" s="951"/>
      <c r="D674" s="951"/>
      <c r="E674" s="951"/>
      <c r="F674" s="951"/>
      <c r="G674" s="952"/>
    </row>
    <row r="675" spans="2:7">
      <c r="B675" s="978"/>
      <c r="C675" s="979"/>
      <c r="D675" s="98" t="s">
        <v>301</v>
      </c>
      <c r="E675" s="98" t="s">
        <v>859</v>
      </c>
      <c r="F675" s="99" t="s">
        <v>839</v>
      </c>
      <c r="G675" s="107" t="s">
        <v>840</v>
      </c>
    </row>
    <row r="676" spans="2:7">
      <c r="B676" s="982" t="s">
        <v>838</v>
      </c>
      <c r="C676" s="983"/>
      <c r="D676" s="100" t="s">
        <v>316</v>
      </c>
      <c r="E676" s="100" t="s">
        <v>315</v>
      </c>
      <c r="F676" s="101" t="s">
        <v>306</v>
      </c>
      <c r="G676" s="108" t="s">
        <v>319</v>
      </c>
    </row>
    <row r="677" spans="2:7">
      <c r="B677" s="230"/>
      <c r="C677" s="102"/>
      <c r="D677" s="103"/>
      <c r="E677" s="103" t="s">
        <v>317</v>
      </c>
      <c r="F677" s="104" t="s">
        <v>318</v>
      </c>
      <c r="G677" s="109"/>
    </row>
    <row r="678" spans="2:7">
      <c r="B678" s="841" t="str">
        <f>'MANO DE OBRA'!$B$11</f>
        <v>AYUDANTE CUAD. TIPO BB</v>
      </c>
      <c r="C678" s="842"/>
      <c r="D678" s="87">
        <v>1</v>
      </c>
      <c r="E678" s="80">
        <f>'MANO DE OBRA'!$E$11</f>
        <v>43077</v>
      </c>
      <c r="F678" s="81">
        <v>4</v>
      </c>
      <c r="G678" s="110">
        <f>ROUND(D678*E678/F678,0)</f>
        <v>10769</v>
      </c>
    </row>
    <row r="679" spans="2:7">
      <c r="B679" s="854" t="str">
        <f>'MANO DE OBRA'!$B$16</f>
        <v>OFICIAL CUAD. TIPO BB</v>
      </c>
      <c r="C679" s="855"/>
      <c r="D679" s="37">
        <v>1</v>
      </c>
      <c r="E679" s="82">
        <f>'MANO DE OBRA'!$E$16</f>
        <v>78577</v>
      </c>
      <c r="F679" s="83">
        <v>4</v>
      </c>
      <c r="G679" s="111">
        <f>ROUND(D679*E679/F679,0)</f>
        <v>19644</v>
      </c>
    </row>
    <row r="680" spans="2:7">
      <c r="B680" s="854"/>
      <c r="C680" s="855"/>
      <c r="D680" s="89"/>
      <c r="E680" s="82"/>
      <c r="F680" s="83"/>
      <c r="G680" s="111"/>
    </row>
    <row r="681" spans="2:7">
      <c r="B681" s="854" t="s">
        <v>841</v>
      </c>
      <c r="C681" s="855"/>
      <c r="D681" s="37"/>
      <c r="E681" s="82"/>
      <c r="F681" s="83"/>
      <c r="G681" s="111"/>
    </row>
    <row r="682" spans="2:7" ht="13.5" thickBot="1">
      <c r="B682" s="980" t="s">
        <v>841</v>
      </c>
      <c r="C682" s="981"/>
      <c r="D682" s="77"/>
      <c r="E682" s="82"/>
      <c r="F682" s="86"/>
      <c r="G682" s="112"/>
    </row>
    <row r="683" spans="2:7" ht="14.25" thickTop="1" thickBot="1">
      <c r="B683" s="946"/>
      <c r="C683" s="946"/>
      <c r="D683" s="946"/>
      <c r="E683" s="947"/>
      <c r="F683" s="120" t="s">
        <v>856</v>
      </c>
      <c r="G683" s="118">
        <f>SUM(G678:G682)</f>
        <v>30413</v>
      </c>
    </row>
    <row r="684" spans="2:7" ht="14.25" thickTop="1" thickBot="1">
      <c r="B684" s="970"/>
      <c r="C684" s="970"/>
      <c r="D684" s="970"/>
      <c r="E684" s="970"/>
      <c r="F684" s="970"/>
      <c r="G684" s="970"/>
    </row>
    <row r="685" spans="2:7" ht="13.5" thickTop="1">
      <c r="B685" s="950" t="s">
        <v>321</v>
      </c>
      <c r="C685" s="951"/>
      <c r="D685" s="951"/>
      <c r="E685" s="951"/>
      <c r="F685" s="951"/>
      <c r="G685" s="952"/>
    </row>
    <row r="686" spans="2:7">
      <c r="B686" s="978" t="s">
        <v>838</v>
      </c>
      <c r="C686" s="979"/>
      <c r="D686" s="98" t="s">
        <v>301</v>
      </c>
      <c r="E686" s="98" t="s">
        <v>297</v>
      </c>
      <c r="F686" s="99" t="s">
        <v>839</v>
      </c>
      <c r="G686" s="107" t="s">
        <v>840</v>
      </c>
    </row>
    <row r="687" spans="2:7">
      <c r="B687" s="230"/>
      <c r="C687" s="102"/>
      <c r="D687" s="103" t="s">
        <v>322</v>
      </c>
      <c r="E687" s="103" t="s">
        <v>323</v>
      </c>
      <c r="F687" s="104" t="s">
        <v>324</v>
      </c>
      <c r="G687" s="109" t="s">
        <v>325</v>
      </c>
    </row>
    <row r="688" spans="2:7">
      <c r="B688" s="841"/>
      <c r="C688" s="842"/>
      <c r="D688" s="96"/>
      <c r="E688" s="96"/>
      <c r="F688" s="96"/>
      <c r="G688" s="116"/>
    </row>
    <row r="689" spans="1:8" ht="13.5" thickBot="1">
      <c r="B689" s="980" t="s">
        <v>841</v>
      </c>
      <c r="C689" s="981"/>
      <c r="D689" s="77"/>
      <c r="E689" s="82"/>
      <c r="F689" s="86"/>
      <c r="G689" s="112"/>
    </row>
    <row r="690" spans="1:8" ht="14.25" thickTop="1" thickBot="1">
      <c r="B690" s="946"/>
      <c r="C690" s="946"/>
      <c r="D690" s="946"/>
      <c r="E690" s="947"/>
      <c r="F690" s="120" t="s">
        <v>856</v>
      </c>
      <c r="G690" s="118">
        <f>SUM(G685:G689)</f>
        <v>0</v>
      </c>
    </row>
    <row r="691" spans="1:8" ht="14.25" thickTop="1" thickBot="1">
      <c r="B691" s="970"/>
      <c r="C691" s="970"/>
      <c r="D691" s="970"/>
      <c r="E691" s="970"/>
      <c r="F691" s="970"/>
      <c r="G691" s="943"/>
    </row>
    <row r="692" spans="1:8" ht="13.5" thickTop="1">
      <c r="B692" s="950" t="s">
        <v>326</v>
      </c>
      <c r="C692" s="951"/>
      <c r="D692" s="951"/>
      <c r="E692" s="951"/>
      <c r="F692" s="971"/>
      <c r="G692" s="121">
        <f>+G656+G672+G683</f>
        <v>33745</v>
      </c>
    </row>
    <row r="693" spans="1:8">
      <c r="B693" s="972" t="s">
        <v>861</v>
      </c>
      <c r="C693" s="973"/>
      <c r="D693" s="973"/>
      <c r="E693" s="974"/>
      <c r="F693" s="128">
        <f>'MANO DE OBRA'!$D$59</f>
        <v>0</v>
      </c>
      <c r="G693" s="122">
        <f>ROUND(G692*F693,0)</f>
        <v>0</v>
      </c>
    </row>
    <row r="694" spans="1:8" ht="13.5" thickBot="1">
      <c r="B694" s="975" t="s">
        <v>1049</v>
      </c>
      <c r="C694" s="976"/>
      <c r="D694" s="976"/>
      <c r="E694" s="976"/>
      <c r="F694" s="977"/>
      <c r="G694" s="118">
        <f>ROUND(G692+G693,-2)</f>
        <v>33700</v>
      </c>
      <c r="H694" s="505" t="s">
        <v>1670</v>
      </c>
    </row>
    <row r="695" spans="1:8" ht="13.5" thickTop="1">
      <c r="A695" s="95"/>
      <c r="B695" s="225" t="s">
        <v>303</v>
      </c>
      <c r="C695" s="843"/>
      <c r="D695" s="843"/>
      <c r="E695" s="843"/>
      <c r="F695" s="92" t="s">
        <v>781</v>
      </c>
      <c r="G695" s="93" t="s">
        <v>865</v>
      </c>
    </row>
    <row r="696" spans="1:8">
      <c r="A696" s="95"/>
      <c r="B696" s="226" t="s">
        <v>834</v>
      </c>
      <c r="C696" s="844" t="s">
        <v>382</v>
      </c>
      <c r="D696" s="844"/>
      <c r="E696" s="844"/>
      <c r="F696" s="15" t="s">
        <v>833</v>
      </c>
      <c r="G696" s="165" t="str">
        <f>'MANO DE OBRA'!D61</f>
        <v>Agosto de 2010</v>
      </c>
    </row>
    <row r="697" spans="1:8" ht="13.5" thickBot="1">
      <c r="A697" s="127"/>
      <c r="B697" s="228" t="s">
        <v>835</v>
      </c>
      <c r="C697" s="845" t="s">
        <v>395</v>
      </c>
      <c r="D697" s="845"/>
      <c r="E697" s="845"/>
      <c r="F697" s="845"/>
      <c r="G697" s="846"/>
    </row>
    <row r="698" spans="1:8" ht="14.25" thickTop="1" thickBot="1">
      <c r="A698" s="95"/>
      <c r="B698" s="986"/>
      <c r="C698" s="986"/>
      <c r="D698" s="986"/>
      <c r="E698" s="986"/>
      <c r="F698" s="986"/>
      <c r="G698" s="986"/>
    </row>
    <row r="699" spans="1:8" ht="13.5" thickTop="1">
      <c r="A699" s="95"/>
      <c r="B699" s="950" t="s">
        <v>304</v>
      </c>
      <c r="C699" s="951"/>
      <c r="D699" s="951"/>
      <c r="E699" s="951"/>
      <c r="F699" s="951"/>
      <c r="G699" s="952"/>
    </row>
    <row r="700" spans="1:8">
      <c r="A700" s="95"/>
      <c r="B700" s="229"/>
      <c r="C700" s="97"/>
      <c r="D700" s="98" t="s">
        <v>301</v>
      </c>
      <c r="E700" s="98" t="s">
        <v>1072</v>
      </c>
      <c r="F700" s="99" t="s">
        <v>839</v>
      </c>
      <c r="G700" s="107" t="s">
        <v>840</v>
      </c>
    </row>
    <row r="701" spans="1:8">
      <c r="A701" s="95"/>
      <c r="B701" s="982" t="s">
        <v>838</v>
      </c>
      <c r="C701" s="983"/>
      <c r="D701" s="100" t="s">
        <v>308</v>
      </c>
      <c r="E701" s="100" t="s">
        <v>305</v>
      </c>
      <c r="F701" s="101" t="s">
        <v>306</v>
      </c>
      <c r="G701" s="108" t="s">
        <v>310</v>
      </c>
    </row>
    <row r="702" spans="1:8">
      <c r="A702" s="95"/>
      <c r="B702" s="230"/>
      <c r="C702" s="102"/>
      <c r="D702" s="103"/>
      <c r="E702" s="103" t="s">
        <v>309</v>
      </c>
      <c r="F702" s="104" t="s">
        <v>307</v>
      </c>
      <c r="G702" s="109"/>
    </row>
    <row r="703" spans="1:8">
      <c r="A703" s="127"/>
      <c r="B703" s="841" t="str">
        <f>'MAQUINARIA Y EQUIPOS'!$C$28</f>
        <v>HERRAMIENTAS MENORES</v>
      </c>
      <c r="C703" s="842"/>
      <c r="D703" s="87">
        <v>1</v>
      </c>
      <c r="E703" s="82">
        <f>ROUND(G736*0.05,0)</f>
        <v>1217</v>
      </c>
      <c r="F703" s="81">
        <v>1</v>
      </c>
      <c r="G703" s="110">
        <f>ROUND(D703*E703/F703,0)</f>
        <v>1217</v>
      </c>
    </row>
    <row r="704" spans="1:8">
      <c r="A704" s="95"/>
      <c r="B704" s="854"/>
      <c r="C704" s="855"/>
      <c r="D704" s="37"/>
      <c r="E704" s="129"/>
      <c r="F704" s="83"/>
      <c r="G704" s="111"/>
    </row>
    <row r="705" spans="1:7">
      <c r="A705" s="95"/>
      <c r="B705" s="854"/>
      <c r="C705" s="855"/>
      <c r="D705" s="37"/>
      <c r="E705" s="129"/>
      <c r="F705" s="83"/>
      <c r="G705" s="111"/>
    </row>
    <row r="706" spans="1:7">
      <c r="A706" s="95"/>
      <c r="B706" s="854"/>
      <c r="C706" s="855"/>
      <c r="D706" s="89"/>
      <c r="E706" s="82"/>
      <c r="F706" s="83"/>
      <c r="G706" s="111"/>
    </row>
    <row r="707" spans="1:7">
      <c r="A707" s="95"/>
      <c r="B707" s="854" t="s">
        <v>841</v>
      </c>
      <c r="C707" s="855"/>
      <c r="D707" s="37"/>
      <c r="E707" s="82"/>
      <c r="F707" s="83"/>
      <c r="G707" s="111"/>
    </row>
    <row r="708" spans="1:7" ht="13.5" thickBot="1">
      <c r="A708" s="95"/>
      <c r="B708" s="942" t="s">
        <v>841</v>
      </c>
      <c r="C708" s="943"/>
      <c r="D708" s="77"/>
      <c r="E708" s="106"/>
      <c r="F708" s="86"/>
      <c r="G708" s="112"/>
    </row>
    <row r="709" spans="1:7" ht="14.25" thickTop="1" thickBot="1">
      <c r="A709" s="95"/>
      <c r="B709" s="946"/>
      <c r="C709" s="946"/>
      <c r="D709" s="946"/>
      <c r="E709" s="947"/>
      <c r="F709" s="119" t="s">
        <v>856</v>
      </c>
      <c r="G709" s="118">
        <f>SUM(G703:G708)</f>
        <v>1217</v>
      </c>
    </row>
    <row r="710" spans="1:7" ht="14.25" thickTop="1" thickBot="1">
      <c r="A710" s="95"/>
      <c r="B710" s="970"/>
      <c r="C710" s="970"/>
      <c r="D710" s="970"/>
      <c r="E710" s="970"/>
      <c r="F710" s="970"/>
      <c r="G710" s="970"/>
    </row>
    <row r="711" spans="1:7" ht="13.5" thickTop="1">
      <c r="A711" s="95"/>
      <c r="B711" s="950" t="s">
        <v>311</v>
      </c>
      <c r="C711" s="951"/>
      <c r="D711" s="951"/>
      <c r="E711" s="951"/>
      <c r="F711" s="951"/>
      <c r="G711" s="952"/>
    </row>
    <row r="712" spans="1:7">
      <c r="A712" s="95"/>
      <c r="B712" s="978" t="s">
        <v>838</v>
      </c>
      <c r="C712" s="979"/>
      <c r="D712" s="98" t="s">
        <v>842</v>
      </c>
      <c r="E712" s="98" t="s">
        <v>853</v>
      </c>
      <c r="F712" s="99" t="s">
        <v>1047</v>
      </c>
      <c r="G712" s="107" t="s">
        <v>840</v>
      </c>
    </row>
    <row r="713" spans="1:7">
      <c r="A713" s="95"/>
      <c r="B713" s="230"/>
      <c r="C713" s="102"/>
      <c r="D713" s="100"/>
      <c r="E713" s="100" t="s">
        <v>312</v>
      </c>
      <c r="F713" s="101" t="s">
        <v>313</v>
      </c>
      <c r="G713" s="108" t="s">
        <v>314</v>
      </c>
    </row>
    <row r="714" spans="1:7">
      <c r="A714" s="123"/>
      <c r="B714" s="841" t="str">
        <f>MATERIALES2!C358</f>
        <v xml:space="preserve">LAVAPLATOS SOCODA SENCILLO SIN GRIFERIA </v>
      </c>
      <c r="C714" s="842"/>
      <c r="D714" s="87" t="s">
        <v>865</v>
      </c>
      <c r="E714" s="81">
        <v>1</v>
      </c>
      <c r="F714" s="80">
        <f>MATERIALES2!E358</f>
        <v>70000</v>
      </c>
      <c r="G714" s="110">
        <f>ROUND(E714*F714,0)</f>
        <v>70000</v>
      </c>
    </row>
    <row r="715" spans="1:7">
      <c r="A715" s="123"/>
      <c r="B715" s="854" t="str">
        <f>MATERIALES2!C369</f>
        <v>GRIFERIA GRIVAL</v>
      </c>
      <c r="C715" s="855"/>
      <c r="D715" s="37" t="s">
        <v>865</v>
      </c>
      <c r="E715" s="83">
        <v>1</v>
      </c>
      <c r="F715" s="82">
        <f>MATERIALES2!E369</f>
        <v>50600</v>
      </c>
      <c r="G715" s="111">
        <f>ROUND(E715*F715,0)</f>
        <v>50600</v>
      </c>
    </row>
    <row r="716" spans="1:7">
      <c r="A716" s="123"/>
      <c r="B716" s="854" t="str">
        <f>MATERIALES2!C12</f>
        <v>CEMENTO BLANCO</v>
      </c>
      <c r="C716" s="855"/>
      <c r="D716" s="37" t="s">
        <v>925</v>
      </c>
      <c r="E716" s="83">
        <v>1.5</v>
      </c>
      <c r="F716" s="82">
        <f>MATERIALES2!E12</f>
        <v>750</v>
      </c>
      <c r="G716" s="111">
        <f>ROUND(E716*F716,0)</f>
        <v>1125</v>
      </c>
    </row>
    <row r="717" spans="1:7">
      <c r="A717" s="123"/>
      <c r="B717" s="854"/>
      <c r="C717" s="855"/>
      <c r="D717" s="37"/>
      <c r="E717" s="83"/>
      <c r="F717" s="82"/>
      <c r="G717" s="111"/>
    </row>
    <row r="718" spans="1:7">
      <c r="A718" s="123"/>
      <c r="B718" s="854"/>
      <c r="C718" s="855"/>
      <c r="D718" s="37"/>
      <c r="E718" s="83"/>
      <c r="F718" s="82"/>
      <c r="G718" s="111"/>
    </row>
    <row r="719" spans="1:7">
      <c r="A719" s="123"/>
      <c r="B719" s="854"/>
      <c r="C719" s="855"/>
      <c r="D719" s="37"/>
      <c r="E719" s="83"/>
      <c r="F719" s="82"/>
      <c r="G719" s="111"/>
    </row>
    <row r="720" spans="1:7">
      <c r="A720" s="123"/>
      <c r="B720" s="854"/>
      <c r="C720" s="855"/>
      <c r="D720" s="37"/>
      <c r="E720" s="83"/>
      <c r="F720" s="82"/>
      <c r="G720" s="111"/>
    </row>
    <row r="721" spans="1:8">
      <c r="A721" s="123"/>
      <c r="B721" s="854"/>
      <c r="C721" s="855"/>
      <c r="D721" s="37"/>
      <c r="E721" s="83"/>
      <c r="F721" s="82"/>
      <c r="G721" s="111"/>
      <c r="H721" s="505" t="s">
        <v>1670</v>
      </c>
    </row>
    <row r="722" spans="1:8" ht="13.5" thickBot="1">
      <c r="A722" s="123"/>
      <c r="B722" s="854"/>
      <c r="C722" s="855"/>
      <c r="D722" s="37"/>
      <c r="E722" s="86"/>
      <c r="F722" s="82"/>
      <c r="G722" s="111"/>
    </row>
    <row r="723" spans="1:8" ht="13.5" thickTop="1">
      <c r="A723" s="95"/>
      <c r="B723" s="946"/>
      <c r="C723" s="947"/>
      <c r="D723" s="801" t="s">
        <v>856</v>
      </c>
      <c r="E723" s="802"/>
      <c r="F723" s="9"/>
      <c r="G723" s="113">
        <f>SUM(G714:G722)</f>
        <v>121725</v>
      </c>
    </row>
    <row r="724" spans="1:8">
      <c r="A724" s="95"/>
      <c r="B724" s="948"/>
      <c r="C724" s="949"/>
      <c r="D724" s="801" t="s">
        <v>857</v>
      </c>
      <c r="E724" s="802"/>
      <c r="F724" s="79">
        <f>'MANO DE OBRA'!$D$60</f>
        <v>0.05</v>
      </c>
      <c r="G724" s="113">
        <f>ROUND(G723*F724,0)</f>
        <v>6086</v>
      </c>
    </row>
    <row r="725" spans="1:8" ht="13.5" thickBot="1">
      <c r="A725" s="95"/>
      <c r="B725" s="948"/>
      <c r="C725" s="949"/>
      <c r="D725" s="803" t="s">
        <v>320</v>
      </c>
      <c r="E725" s="804"/>
      <c r="F725" s="114"/>
      <c r="G725" s="118">
        <f>+G723+G724</f>
        <v>127811</v>
      </c>
    </row>
    <row r="726" spans="1:8" ht="14.25" thickTop="1" thickBot="1">
      <c r="A726" s="95"/>
      <c r="B726" s="970"/>
      <c r="C726" s="970"/>
      <c r="D726" s="970"/>
      <c r="E726" s="970"/>
      <c r="F726" s="970"/>
      <c r="G726" s="970"/>
    </row>
    <row r="727" spans="1:8" ht="13.5" thickTop="1">
      <c r="A727" s="95"/>
      <c r="B727" s="950" t="s">
        <v>858</v>
      </c>
      <c r="C727" s="951"/>
      <c r="D727" s="951"/>
      <c r="E727" s="951"/>
      <c r="F727" s="951"/>
      <c r="G727" s="952"/>
    </row>
    <row r="728" spans="1:8">
      <c r="A728" s="95"/>
      <c r="B728" s="978"/>
      <c r="C728" s="979"/>
      <c r="D728" s="98" t="s">
        <v>301</v>
      </c>
      <c r="E728" s="98" t="s">
        <v>859</v>
      </c>
      <c r="F728" s="99" t="s">
        <v>839</v>
      </c>
      <c r="G728" s="107" t="s">
        <v>840</v>
      </c>
    </row>
    <row r="729" spans="1:8">
      <c r="A729" s="95"/>
      <c r="B729" s="982" t="s">
        <v>838</v>
      </c>
      <c r="C729" s="983"/>
      <c r="D729" s="100" t="s">
        <v>316</v>
      </c>
      <c r="E729" s="100" t="s">
        <v>315</v>
      </c>
      <c r="F729" s="101" t="s">
        <v>306</v>
      </c>
      <c r="G729" s="108" t="s">
        <v>319</v>
      </c>
    </row>
    <row r="730" spans="1:8">
      <c r="A730" s="95"/>
      <c r="B730" s="230"/>
      <c r="C730" s="102"/>
      <c r="D730" s="103"/>
      <c r="E730" s="103" t="s">
        <v>317</v>
      </c>
      <c r="F730" s="104" t="s">
        <v>318</v>
      </c>
      <c r="G730" s="109"/>
    </row>
    <row r="731" spans="1:8">
      <c r="A731" s="95"/>
      <c r="B731" s="841" t="str">
        <f>'MANO DE OBRA'!$B$11</f>
        <v>AYUDANTE CUAD. TIPO BB</v>
      </c>
      <c r="C731" s="842"/>
      <c r="D731" s="87">
        <v>1</v>
      </c>
      <c r="E731" s="80">
        <f>'MANO DE OBRA'!$E$11</f>
        <v>43077</v>
      </c>
      <c r="F731" s="81">
        <v>5</v>
      </c>
      <c r="G731" s="110">
        <f>ROUND(D731*E731/F731,0)</f>
        <v>8615</v>
      </c>
    </row>
    <row r="732" spans="1:8">
      <c r="A732" s="95"/>
      <c r="B732" s="854" t="str">
        <f>'MANO DE OBRA'!$B$16</f>
        <v>OFICIAL CUAD. TIPO BB</v>
      </c>
      <c r="C732" s="855"/>
      <c r="D732" s="37">
        <v>1</v>
      </c>
      <c r="E732" s="82">
        <f>'MANO DE OBRA'!$E$16</f>
        <v>78577</v>
      </c>
      <c r="F732" s="83">
        <v>5</v>
      </c>
      <c r="G732" s="111">
        <f>ROUND(D732*E732/F732,0)</f>
        <v>15715</v>
      </c>
    </row>
    <row r="733" spans="1:8">
      <c r="A733" s="95"/>
      <c r="B733" s="854"/>
      <c r="C733" s="855"/>
      <c r="D733" s="89"/>
      <c r="E733" s="82"/>
      <c r="F733" s="83"/>
      <c r="G733" s="111"/>
    </row>
    <row r="734" spans="1:8">
      <c r="A734" s="95"/>
      <c r="B734" s="854" t="s">
        <v>841</v>
      </c>
      <c r="C734" s="855"/>
      <c r="D734" s="37"/>
      <c r="E734" s="82"/>
      <c r="F734" s="83"/>
      <c r="G734" s="111"/>
    </row>
    <row r="735" spans="1:8" ht="13.5" thickBot="1">
      <c r="A735" s="95"/>
      <c r="B735" s="980" t="s">
        <v>841</v>
      </c>
      <c r="C735" s="981"/>
      <c r="D735" s="77"/>
      <c r="E735" s="82"/>
      <c r="F735" s="86"/>
      <c r="G735" s="112"/>
    </row>
    <row r="736" spans="1:8" ht="14.25" thickTop="1" thickBot="1">
      <c r="A736" s="95"/>
      <c r="B736" s="946"/>
      <c r="C736" s="946"/>
      <c r="D736" s="946"/>
      <c r="E736" s="947"/>
      <c r="F736" s="120" t="s">
        <v>856</v>
      </c>
      <c r="G736" s="118">
        <f>SUM(G731:G735)</f>
        <v>24330</v>
      </c>
    </row>
    <row r="737" spans="1:8" ht="14.25" thickTop="1" thickBot="1">
      <c r="A737" s="95"/>
      <c r="B737" s="970"/>
      <c r="C737" s="970"/>
      <c r="D737" s="970"/>
      <c r="E737" s="970"/>
      <c r="F737" s="970"/>
      <c r="G737" s="970"/>
    </row>
    <row r="738" spans="1:8" ht="13.5" thickTop="1">
      <c r="A738" s="95"/>
      <c r="B738" s="950" t="s">
        <v>321</v>
      </c>
      <c r="C738" s="951"/>
      <c r="D738" s="951"/>
      <c r="E738" s="951"/>
      <c r="F738" s="951"/>
      <c r="G738" s="952"/>
    </row>
    <row r="739" spans="1:8">
      <c r="A739" s="95"/>
      <c r="B739" s="978" t="s">
        <v>838</v>
      </c>
      <c r="C739" s="979"/>
      <c r="D739" s="98" t="s">
        <v>301</v>
      </c>
      <c r="E739" s="98" t="s">
        <v>297</v>
      </c>
      <c r="F739" s="99" t="s">
        <v>839</v>
      </c>
      <c r="G739" s="107" t="s">
        <v>840</v>
      </c>
    </row>
    <row r="740" spans="1:8">
      <c r="A740" s="95"/>
      <c r="B740" s="230"/>
      <c r="C740" s="102"/>
      <c r="D740" s="103" t="s">
        <v>322</v>
      </c>
      <c r="E740" s="103" t="s">
        <v>323</v>
      </c>
      <c r="F740" s="104" t="s">
        <v>324</v>
      </c>
      <c r="G740" s="109" t="s">
        <v>325</v>
      </c>
    </row>
    <row r="741" spans="1:8">
      <c r="A741" s="95"/>
      <c r="B741" s="841"/>
      <c r="C741" s="842"/>
      <c r="D741" s="96"/>
      <c r="E741" s="96"/>
      <c r="F741" s="96"/>
      <c r="G741" s="116"/>
    </row>
    <row r="742" spans="1:8" ht="13.5" thickBot="1">
      <c r="A742" s="95"/>
      <c r="B742" s="980" t="s">
        <v>841</v>
      </c>
      <c r="C742" s="981"/>
      <c r="D742" s="77"/>
      <c r="E742" s="82"/>
      <c r="F742" s="86"/>
      <c r="G742" s="112"/>
    </row>
    <row r="743" spans="1:8" ht="14.25" thickTop="1" thickBot="1">
      <c r="A743" s="95"/>
      <c r="B743" s="946"/>
      <c r="C743" s="946"/>
      <c r="D743" s="946"/>
      <c r="E743" s="947"/>
      <c r="F743" s="120" t="s">
        <v>856</v>
      </c>
      <c r="G743" s="118">
        <f>SUM(G738:G742)</f>
        <v>0</v>
      </c>
    </row>
    <row r="744" spans="1:8" ht="14.25" thickTop="1" thickBot="1">
      <c r="A744" s="95"/>
      <c r="B744" s="970"/>
      <c r="C744" s="970"/>
      <c r="D744" s="970"/>
      <c r="E744" s="970"/>
      <c r="F744" s="970"/>
      <c r="G744" s="943"/>
    </row>
    <row r="745" spans="1:8" ht="13.5" thickTop="1">
      <c r="A745" s="95"/>
      <c r="B745" s="950" t="s">
        <v>326</v>
      </c>
      <c r="C745" s="951"/>
      <c r="D745" s="951"/>
      <c r="E745" s="951"/>
      <c r="F745" s="971"/>
      <c r="G745" s="121">
        <f>+G709+G725+G736</f>
        <v>153358</v>
      </c>
    </row>
    <row r="746" spans="1:8">
      <c r="A746" s="95"/>
      <c r="B746" s="972" t="s">
        <v>861</v>
      </c>
      <c r="C746" s="973"/>
      <c r="D746" s="973"/>
      <c r="E746" s="974"/>
      <c r="F746" s="128">
        <f>'MANO DE OBRA'!$D$59</f>
        <v>0</v>
      </c>
      <c r="G746" s="122">
        <f>ROUND(G745*F746,0)</f>
        <v>0</v>
      </c>
    </row>
    <row r="747" spans="1:8" ht="13.5" thickBot="1">
      <c r="A747" s="95"/>
      <c r="B747" s="975" t="s">
        <v>1049</v>
      </c>
      <c r="C747" s="976"/>
      <c r="D747" s="976"/>
      <c r="E747" s="976"/>
      <c r="F747" s="977"/>
      <c r="G747" s="118">
        <f>ROUND(G745+G746,-2)</f>
        <v>153400</v>
      </c>
      <c r="H747" s="505" t="s">
        <v>1670</v>
      </c>
    </row>
    <row r="748" spans="1:8" ht="13.5" thickTop="1">
      <c r="A748" s="95"/>
      <c r="B748" s="225" t="s">
        <v>303</v>
      </c>
      <c r="C748" s="843"/>
      <c r="D748" s="843"/>
      <c r="E748" s="843"/>
      <c r="F748" s="92" t="s">
        <v>781</v>
      </c>
      <c r="G748" s="93" t="s">
        <v>865</v>
      </c>
    </row>
    <row r="749" spans="1:8">
      <c r="A749" s="95"/>
      <c r="B749" s="226" t="s">
        <v>834</v>
      </c>
      <c r="C749" s="844" t="s">
        <v>1474</v>
      </c>
      <c r="D749" s="844"/>
      <c r="E749" s="844"/>
      <c r="F749" s="15" t="s">
        <v>833</v>
      </c>
      <c r="G749" s="165" t="str">
        <f>'MANO DE OBRA'!D61</f>
        <v>Agosto de 2010</v>
      </c>
    </row>
    <row r="750" spans="1:8" ht="13.5" thickBot="1">
      <c r="A750" s="127"/>
      <c r="B750" s="228" t="s">
        <v>835</v>
      </c>
      <c r="C750" s="845" t="s">
        <v>67</v>
      </c>
      <c r="D750" s="845"/>
      <c r="E750" s="845"/>
      <c r="F750" s="845"/>
      <c r="G750" s="846"/>
    </row>
    <row r="751" spans="1:8" ht="14.25" thickTop="1" thickBot="1">
      <c r="A751" s="95"/>
      <c r="B751" s="986"/>
      <c r="C751" s="986"/>
      <c r="D751" s="986"/>
      <c r="E751" s="986"/>
      <c r="F751" s="986"/>
      <c r="G751" s="986"/>
    </row>
    <row r="752" spans="1:8" ht="13.5" thickTop="1">
      <c r="A752" s="95"/>
      <c r="B752" s="950" t="s">
        <v>304</v>
      </c>
      <c r="C752" s="951"/>
      <c r="D752" s="951"/>
      <c r="E752" s="951"/>
      <c r="F752" s="951"/>
      <c r="G752" s="952"/>
    </row>
    <row r="753" spans="1:7">
      <c r="A753" s="95"/>
      <c r="B753" s="229"/>
      <c r="C753" s="97"/>
      <c r="D753" s="98" t="s">
        <v>301</v>
      </c>
      <c r="E753" s="98" t="s">
        <v>1072</v>
      </c>
      <c r="F753" s="99" t="s">
        <v>839</v>
      </c>
      <c r="G753" s="107" t="s">
        <v>840</v>
      </c>
    </row>
    <row r="754" spans="1:7">
      <c r="A754" s="95"/>
      <c r="B754" s="982" t="s">
        <v>838</v>
      </c>
      <c r="C754" s="983"/>
      <c r="D754" s="100" t="s">
        <v>308</v>
      </c>
      <c r="E754" s="100" t="s">
        <v>305</v>
      </c>
      <c r="F754" s="101" t="s">
        <v>306</v>
      </c>
      <c r="G754" s="108" t="s">
        <v>310</v>
      </c>
    </row>
    <row r="755" spans="1:7">
      <c r="A755" s="95"/>
      <c r="B755" s="230"/>
      <c r="C755" s="102"/>
      <c r="D755" s="103"/>
      <c r="E755" s="103" t="s">
        <v>309</v>
      </c>
      <c r="F755" s="104" t="s">
        <v>307</v>
      </c>
      <c r="G755" s="109"/>
    </row>
    <row r="756" spans="1:7">
      <c r="A756" s="127"/>
      <c r="B756" s="841" t="str">
        <f>'MAQUINARIA Y EQUIPOS'!$C$28</f>
        <v>HERRAMIENTAS MENORES</v>
      </c>
      <c r="C756" s="842"/>
      <c r="D756" s="87">
        <v>1</v>
      </c>
      <c r="E756" s="82">
        <f>ROUND(G789*0.05,0)</f>
        <v>1217</v>
      </c>
      <c r="F756" s="81">
        <v>1</v>
      </c>
      <c r="G756" s="110">
        <f>ROUND(D756*E756/F756,0)</f>
        <v>1217</v>
      </c>
    </row>
    <row r="757" spans="1:7">
      <c r="A757" s="95"/>
      <c r="B757" s="854"/>
      <c r="C757" s="855"/>
      <c r="D757" s="37"/>
      <c r="E757" s="129"/>
      <c r="F757" s="83"/>
      <c r="G757" s="111"/>
    </row>
    <row r="758" spans="1:7">
      <c r="A758" s="95"/>
      <c r="B758" s="854"/>
      <c r="C758" s="855"/>
      <c r="D758" s="37"/>
      <c r="E758" s="129"/>
      <c r="F758" s="83"/>
      <c r="G758" s="111"/>
    </row>
    <row r="759" spans="1:7">
      <c r="A759" s="95"/>
      <c r="B759" s="854"/>
      <c r="C759" s="855"/>
      <c r="D759" s="89"/>
      <c r="E759" s="82"/>
      <c r="F759" s="83"/>
      <c r="G759" s="111"/>
    </row>
    <row r="760" spans="1:7">
      <c r="A760" s="95"/>
      <c r="B760" s="854" t="s">
        <v>841</v>
      </c>
      <c r="C760" s="855"/>
      <c r="D760" s="37"/>
      <c r="E760" s="82"/>
      <c r="F760" s="83"/>
      <c r="G760" s="111"/>
    </row>
    <row r="761" spans="1:7" ht="13.5" thickBot="1">
      <c r="A761" s="95"/>
      <c r="B761" s="942" t="s">
        <v>841</v>
      </c>
      <c r="C761" s="943"/>
      <c r="D761" s="77"/>
      <c r="E761" s="106"/>
      <c r="F761" s="86"/>
      <c r="G761" s="112"/>
    </row>
    <row r="762" spans="1:7" ht="14.25" thickTop="1" thickBot="1">
      <c r="A762" s="95"/>
      <c r="B762" s="946"/>
      <c r="C762" s="946"/>
      <c r="D762" s="946"/>
      <c r="E762" s="947"/>
      <c r="F762" s="119" t="s">
        <v>856</v>
      </c>
      <c r="G762" s="118">
        <f>SUM(G756:G761)</f>
        <v>1217</v>
      </c>
    </row>
    <row r="763" spans="1:7" ht="14.25" thickTop="1" thickBot="1">
      <c r="A763" s="95"/>
      <c r="B763" s="970"/>
      <c r="C763" s="970"/>
      <c r="D763" s="970"/>
      <c r="E763" s="970"/>
      <c r="F763" s="970"/>
      <c r="G763" s="970"/>
    </row>
    <row r="764" spans="1:7" ht="13.5" thickTop="1">
      <c r="A764" s="95"/>
      <c r="B764" s="950" t="s">
        <v>311</v>
      </c>
      <c r="C764" s="951"/>
      <c r="D764" s="951"/>
      <c r="E764" s="951"/>
      <c r="F764" s="951"/>
      <c r="G764" s="952"/>
    </row>
    <row r="765" spans="1:7">
      <c r="A765" s="95"/>
      <c r="B765" s="978" t="s">
        <v>838</v>
      </c>
      <c r="C765" s="979"/>
      <c r="D765" s="98" t="s">
        <v>842</v>
      </c>
      <c r="E765" s="98" t="s">
        <v>853</v>
      </c>
      <c r="F765" s="99" t="s">
        <v>1047</v>
      </c>
      <c r="G765" s="107" t="s">
        <v>840</v>
      </c>
    </row>
    <row r="766" spans="1:7">
      <c r="A766" s="95"/>
      <c r="B766" s="230"/>
      <c r="C766" s="102"/>
      <c r="D766" s="100"/>
      <c r="E766" s="100" t="s">
        <v>312</v>
      </c>
      <c r="F766" s="101" t="s">
        <v>313</v>
      </c>
      <c r="G766" s="108" t="s">
        <v>314</v>
      </c>
    </row>
    <row r="767" spans="1:7">
      <c r="A767" s="123"/>
      <c r="B767" s="841" t="str">
        <f>MATERIALES2!C12</f>
        <v>CEMENTO BLANCO</v>
      </c>
      <c r="C767" s="842"/>
      <c r="D767" s="87" t="s">
        <v>925</v>
      </c>
      <c r="E767" s="81">
        <v>1.9</v>
      </c>
      <c r="F767" s="80">
        <f>MATERIALES2!E12</f>
        <v>750</v>
      </c>
      <c r="G767" s="111">
        <f>ROUND(E767*F767,0)</f>
        <v>1425</v>
      </c>
    </row>
    <row r="768" spans="1:7">
      <c r="A768" s="123"/>
      <c r="B768" s="854"/>
      <c r="C768" s="855"/>
      <c r="D768" s="37"/>
      <c r="E768" s="83"/>
      <c r="F768" s="82"/>
      <c r="G768" s="111"/>
    </row>
    <row r="769" spans="1:8">
      <c r="A769" s="123"/>
      <c r="B769" s="854"/>
      <c r="C769" s="855"/>
      <c r="D769" s="37"/>
      <c r="E769" s="83"/>
      <c r="F769" s="82"/>
      <c r="G769" s="111"/>
    </row>
    <row r="770" spans="1:8">
      <c r="A770" s="123"/>
      <c r="B770" s="854"/>
      <c r="C770" s="855"/>
      <c r="D770" s="37"/>
      <c r="E770" s="83"/>
      <c r="F770" s="82"/>
      <c r="G770" s="111"/>
    </row>
    <row r="771" spans="1:8">
      <c r="A771" s="123"/>
      <c r="B771" s="854"/>
      <c r="C771" s="855"/>
      <c r="D771" s="37"/>
      <c r="E771" s="83"/>
      <c r="F771" s="82"/>
      <c r="G771" s="111"/>
    </row>
    <row r="772" spans="1:8">
      <c r="A772" s="123"/>
      <c r="B772" s="854"/>
      <c r="C772" s="855"/>
      <c r="D772" s="37"/>
      <c r="E772" s="83"/>
      <c r="F772" s="82"/>
      <c r="G772" s="111"/>
    </row>
    <row r="773" spans="1:8">
      <c r="A773" s="123"/>
      <c r="B773" s="854"/>
      <c r="C773" s="855"/>
      <c r="D773" s="37"/>
      <c r="E773" s="83"/>
      <c r="F773" s="82"/>
      <c r="G773" s="111"/>
    </row>
    <row r="774" spans="1:8">
      <c r="A774" s="123"/>
      <c r="B774" s="854"/>
      <c r="C774" s="855"/>
      <c r="D774" s="37"/>
      <c r="E774" s="83"/>
      <c r="F774" s="82"/>
      <c r="G774" s="111"/>
      <c r="H774" s="505" t="s">
        <v>1670</v>
      </c>
    </row>
    <row r="775" spans="1:8" ht="13.5" thickBot="1">
      <c r="A775" s="123"/>
      <c r="B775" s="854"/>
      <c r="C775" s="855"/>
      <c r="D775" s="37"/>
      <c r="E775" s="86"/>
      <c r="F775" s="82"/>
      <c r="G775" s="111"/>
    </row>
    <row r="776" spans="1:8" ht="13.5" thickTop="1">
      <c r="A776" s="95"/>
      <c r="B776" s="946"/>
      <c r="C776" s="947"/>
      <c r="D776" s="801" t="s">
        <v>856</v>
      </c>
      <c r="E776" s="802"/>
      <c r="F776" s="9"/>
      <c r="G776" s="113">
        <f>SUM(G767:G775)</f>
        <v>1425</v>
      </c>
    </row>
    <row r="777" spans="1:8">
      <c r="A777" s="95"/>
      <c r="B777" s="948"/>
      <c r="C777" s="949"/>
      <c r="D777" s="801" t="s">
        <v>857</v>
      </c>
      <c r="E777" s="802"/>
      <c r="F777" s="79">
        <f>'MANO DE OBRA'!$D$60</f>
        <v>0.05</v>
      </c>
      <c r="G777" s="113">
        <f>ROUND(G776*F777,0)</f>
        <v>71</v>
      </c>
    </row>
    <row r="778" spans="1:8" ht="13.5" thickBot="1">
      <c r="A778" s="95"/>
      <c r="B778" s="948"/>
      <c r="C778" s="949"/>
      <c r="D778" s="803" t="s">
        <v>320</v>
      </c>
      <c r="E778" s="804"/>
      <c r="F778" s="114"/>
      <c r="G778" s="118">
        <f>+G776+G777</f>
        <v>1496</v>
      </c>
    </row>
    <row r="779" spans="1:8" ht="14.25" thickTop="1" thickBot="1">
      <c r="A779" s="95"/>
      <c r="B779" s="970"/>
      <c r="C779" s="970"/>
      <c r="D779" s="970"/>
      <c r="E779" s="970"/>
      <c r="F779" s="970"/>
      <c r="G779" s="970"/>
    </row>
    <row r="780" spans="1:8" ht="13.5" thickTop="1">
      <c r="A780" s="95"/>
      <c r="B780" s="950" t="s">
        <v>858</v>
      </c>
      <c r="C780" s="951"/>
      <c r="D780" s="951"/>
      <c r="E780" s="951"/>
      <c r="F780" s="951"/>
      <c r="G780" s="952"/>
    </row>
    <row r="781" spans="1:8">
      <c r="A781" s="95"/>
      <c r="B781" s="978"/>
      <c r="C781" s="979"/>
      <c r="D781" s="98" t="s">
        <v>301</v>
      </c>
      <c r="E781" s="98" t="s">
        <v>859</v>
      </c>
      <c r="F781" s="99" t="s">
        <v>839</v>
      </c>
      <c r="G781" s="107" t="s">
        <v>840</v>
      </c>
    </row>
    <row r="782" spans="1:8">
      <c r="A782" s="95"/>
      <c r="B782" s="982" t="s">
        <v>838</v>
      </c>
      <c r="C782" s="983"/>
      <c r="D782" s="100" t="s">
        <v>316</v>
      </c>
      <c r="E782" s="100" t="s">
        <v>315</v>
      </c>
      <c r="F782" s="101" t="s">
        <v>306</v>
      </c>
      <c r="G782" s="108" t="s">
        <v>319</v>
      </c>
    </row>
    <row r="783" spans="1:8">
      <c r="A783" s="95"/>
      <c r="B783" s="230"/>
      <c r="C783" s="102"/>
      <c r="D783" s="103"/>
      <c r="E783" s="103" t="s">
        <v>317</v>
      </c>
      <c r="F783" s="104" t="s">
        <v>318</v>
      </c>
      <c r="G783" s="109"/>
    </row>
    <row r="784" spans="1:8">
      <c r="A784" s="95"/>
      <c r="B784" s="841" t="str">
        <f>'MANO DE OBRA'!$B$11</f>
        <v>AYUDANTE CUAD. TIPO BB</v>
      </c>
      <c r="C784" s="842"/>
      <c r="D784" s="87">
        <v>1</v>
      </c>
      <c r="E784" s="80">
        <f>'MANO DE OBRA'!$E$11</f>
        <v>43077</v>
      </c>
      <c r="F784" s="81">
        <v>5</v>
      </c>
      <c r="G784" s="110">
        <f>ROUND(D784*E784/F784,0)</f>
        <v>8615</v>
      </c>
    </row>
    <row r="785" spans="1:8">
      <c r="A785" s="95"/>
      <c r="B785" s="854" t="str">
        <f>'MANO DE OBRA'!$B$16</f>
        <v>OFICIAL CUAD. TIPO BB</v>
      </c>
      <c r="C785" s="855"/>
      <c r="D785" s="37">
        <v>1</v>
      </c>
      <c r="E785" s="82">
        <f>'MANO DE OBRA'!$E$16</f>
        <v>78577</v>
      </c>
      <c r="F785" s="83">
        <v>5</v>
      </c>
      <c r="G785" s="111">
        <f>ROUND(D785*E785/F785,0)</f>
        <v>15715</v>
      </c>
    </row>
    <row r="786" spans="1:8">
      <c r="A786" s="95"/>
      <c r="B786" s="854"/>
      <c r="C786" s="855"/>
      <c r="D786" s="89"/>
      <c r="E786" s="82"/>
      <c r="F786" s="83"/>
      <c r="G786" s="111"/>
    </row>
    <row r="787" spans="1:8">
      <c r="A787" s="95"/>
      <c r="B787" s="854" t="s">
        <v>841</v>
      </c>
      <c r="C787" s="855"/>
      <c r="D787" s="37"/>
      <c r="E787" s="82"/>
      <c r="F787" s="83"/>
      <c r="G787" s="111"/>
    </row>
    <row r="788" spans="1:8" ht="13.5" thickBot="1">
      <c r="A788" s="95"/>
      <c r="B788" s="980" t="s">
        <v>841</v>
      </c>
      <c r="C788" s="981"/>
      <c r="D788" s="77"/>
      <c r="E788" s="82"/>
      <c r="F788" s="86"/>
      <c r="G788" s="112"/>
    </row>
    <row r="789" spans="1:8" ht="14.25" thickTop="1" thickBot="1">
      <c r="A789" s="95"/>
      <c r="B789" s="946"/>
      <c r="C789" s="946"/>
      <c r="D789" s="946"/>
      <c r="E789" s="947"/>
      <c r="F789" s="120" t="s">
        <v>856</v>
      </c>
      <c r="G789" s="118">
        <f>SUM(G784:G788)</f>
        <v>24330</v>
      </c>
    </row>
    <row r="790" spans="1:8" ht="14.25" thickTop="1" thickBot="1">
      <c r="A790" s="95"/>
      <c r="B790" s="970"/>
      <c r="C790" s="970"/>
      <c r="D790" s="970"/>
      <c r="E790" s="970"/>
      <c r="F790" s="970"/>
      <c r="G790" s="970"/>
    </row>
    <row r="791" spans="1:8" ht="13.5" thickTop="1">
      <c r="A791" s="95"/>
      <c r="B791" s="950" t="s">
        <v>321</v>
      </c>
      <c r="C791" s="951"/>
      <c r="D791" s="951"/>
      <c r="E791" s="951"/>
      <c r="F791" s="951"/>
      <c r="G791" s="952"/>
    </row>
    <row r="792" spans="1:8">
      <c r="A792" s="95"/>
      <c r="B792" s="978" t="s">
        <v>838</v>
      </c>
      <c r="C792" s="979"/>
      <c r="D792" s="98" t="s">
        <v>301</v>
      </c>
      <c r="E792" s="98" t="s">
        <v>297</v>
      </c>
      <c r="F792" s="99" t="s">
        <v>839</v>
      </c>
      <c r="G792" s="107" t="s">
        <v>840</v>
      </c>
    </row>
    <row r="793" spans="1:8">
      <c r="A793" s="95"/>
      <c r="B793" s="230"/>
      <c r="C793" s="102"/>
      <c r="D793" s="103" t="s">
        <v>322</v>
      </c>
      <c r="E793" s="103" t="s">
        <v>323</v>
      </c>
      <c r="F793" s="104" t="s">
        <v>324</v>
      </c>
      <c r="G793" s="109" t="s">
        <v>325</v>
      </c>
    </row>
    <row r="794" spans="1:8">
      <c r="A794" s="95"/>
      <c r="B794" s="841"/>
      <c r="C794" s="842"/>
      <c r="D794" s="96"/>
      <c r="E794" s="96"/>
      <c r="F794" s="96"/>
      <c r="G794" s="116"/>
    </row>
    <row r="795" spans="1:8" ht="13.5" thickBot="1">
      <c r="A795" s="95"/>
      <c r="B795" s="980" t="s">
        <v>841</v>
      </c>
      <c r="C795" s="981"/>
      <c r="D795" s="77"/>
      <c r="E795" s="82"/>
      <c r="F795" s="86"/>
      <c r="G795" s="112"/>
    </row>
    <row r="796" spans="1:8" ht="14.25" thickTop="1" thickBot="1">
      <c r="A796" s="95"/>
      <c r="B796" s="946"/>
      <c r="C796" s="946"/>
      <c r="D796" s="946"/>
      <c r="E796" s="947"/>
      <c r="F796" s="120" t="s">
        <v>856</v>
      </c>
      <c r="G796" s="118">
        <f>SUM(G791:G795)</f>
        <v>0</v>
      </c>
    </row>
    <row r="797" spans="1:8" ht="14.25" thickTop="1" thickBot="1">
      <c r="A797" s="95"/>
      <c r="B797" s="970"/>
      <c r="C797" s="970"/>
      <c r="D797" s="970"/>
      <c r="E797" s="970"/>
      <c r="F797" s="970"/>
      <c r="G797" s="943"/>
    </row>
    <row r="798" spans="1:8" ht="13.5" thickTop="1">
      <c r="A798" s="95"/>
      <c r="B798" s="950" t="s">
        <v>326</v>
      </c>
      <c r="C798" s="951"/>
      <c r="D798" s="951"/>
      <c r="E798" s="951"/>
      <c r="F798" s="971"/>
      <c r="G798" s="121">
        <f>+G762+G778+G789</f>
        <v>27043</v>
      </c>
    </row>
    <row r="799" spans="1:8">
      <c r="A799" s="95"/>
      <c r="B799" s="972" t="s">
        <v>861</v>
      </c>
      <c r="C799" s="973"/>
      <c r="D799" s="973"/>
      <c r="E799" s="974"/>
      <c r="F799" s="128">
        <f>'MANO DE OBRA'!$D$59</f>
        <v>0</v>
      </c>
      <c r="G799" s="122">
        <f>ROUND(G798*F799,0)</f>
        <v>0</v>
      </c>
    </row>
    <row r="800" spans="1:8" ht="13.5" thickBot="1">
      <c r="A800" s="95"/>
      <c r="B800" s="975" t="s">
        <v>1049</v>
      </c>
      <c r="C800" s="976"/>
      <c r="D800" s="976"/>
      <c r="E800" s="976"/>
      <c r="F800" s="977"/>
      <c r="G800" s="118">
        <f>ROUND(G798+G799,-2)</f>
        <v>27000</v>
      </c>
      <c r="H800" s="505" t="s">
        <v>1670</v>
      </c>
    </row>
    <row r="801" spans="2:7" ht="13.5" thickTop="1"/>
    <row r="802" spans="2:7" ht="13.5" thickBot="1"/>
    <row r="803" spans="2:7" ht="13.5" thickTop="1">
      <c r="B803" s="225" t="s">
        <v>303</v>
      </c>
      <c r="C803" s="843"/>
      <c r="D803" s="843"/>
      <c r="E803" s="843"/>
      <c r="F803" s="92" t="s">
        <v>781</v>
      </c>
      <c r="G803" s="93" t="s">
        <v>865</v>
      </c>
    </row>
    <row r="804" spans="2:7">
      <c r="B804" s="226" t="s">
        <v>834</v>
      </c>
      <c r="C804" s="844" t="s">
        <v>382</v>
      </c>
      <c r="D804" s="844"/>
      <c r="E804" s="844"/>
      <c r="F804" s="15" t="s">
        <v>833</v>
      </c>
      <c r="G804" s="165" t="str">
        <f>'MANO DE OBRA'!D61</f>
        <v>Agosto de 2010</v>
      </c>
    </row>
    <row r="805" spans="2:7" ht="13.5" thickBot="1">
      <c r="B805" s="228" t="s">
        <v>835</v>
      </c>
      <c r="C805" s="845" t="s">
        <v>396</v>
      </c>
      <c r="D805" s="845"/>
      <c r="E805" s="845"/>
      <c r="F805" s="845"/>
      <c r="G805" s="846"/>
    </row>
    <row r="806" spans="2:7" ht="14.25" thickTop="1" thickBot="1">
      <c r="B806" s="986"/>
      <c r="C806" s="986"/>
      <c r="D806" s="986"/>
      <c r="E806" s="986"/>
      <c r="F806" s="986"/>
      <c r="G806" s="986"/>
    </row>
    <row r="807" spans="2:7" ht="13.5" thickTop="1">
      <c r="B807" s="950" t="s">
        <v>304</v>
      </c>
      <c r="C807" s="951"/>
      <c r="D807" s="951"/>
      <c r="E807" s="951"/>
      <c r="F807" s="951"/>
      <c r="G807" s="952"/>
    </row>
    <row r="808" spans="2:7">
      <c r="B808" s="229"/>
      <c r="C808" s="97"/>
      <c r="D808" s="98" t="s">
        <v>301</v>
      </c>
      <c r="E808" s="98" t="s">
        <v>1072</v>
      </c>
      <c r="F808" s="99" t="s">
        <v>839</v>
      </c>
      <c r="G808" s="107" t="s">
        <v>840</v>
      </c>
    </row>
    <row r="809" spans="2:7">
      <c r="B809" s="982" t="s">
        <v>838</v>
      </c>
      <c r="C809" s="983"/>
      <c r="D809" s="100" t="s">
        <v>308</v>
      </c>
      <c r="E809" s="100" t="s">
        <v>305</v>
      </c>
      <c r="F809" s="101" t="s">
        <v>306</v>
      </c>
      <c r="G809" s="108" t="s">
        <v>310</v>
      </c>
    </row>
    <row r="810" spans="2:7">
      <c r="B810" s="230"/>
      <c r="C810" s="102"/>
      <c r="D810" s="103"/>
      <c r="E810" s="103" t="s">
        <v>309</v>
      </c>
      <c r="F810" s="104" t="s">
        <v>307</v>
      </c>
      <c r="G810" s="109"/>
    </row>
    <row r="811" spans="2:7">
      <c r="B811" s="841" t="str">
        <f>'MAQUINARIA Y EQUIPOS'!$C$28</f>
        <v>HERRAMIENTAS MENORES</v>
      </c>
      <c r="C811" s="842"/>
      <c r="D811" s="87">
        <v>1</v>
      </c>
      <c r="E811" s="82">
        <f>ROUND(G844*0.05,0)</f>
        <v>760</v>
      </c>
      <c r="F811" s="81">
        <v>1</v>
      </c>
      <c r="G811" s="110">
        <f>ROUND(D811*E811/F811,0)</f>
        <v>760</v>
      </c>
    </row>
    <row r="812" spans="2:7">
      <c r="B812" s="854"/>
      <c r="C812" s="855"/>
      <c r="D812" s="37"/>
      <c r="E812" s="129"/>
      <c r="F812" s="83"/>
      <c r="G812" s="111"/>
    </row>
    <row r="813" spans="2:7">
      <c r="B813" s="854"/>
      <c r="C813" s="855"/>
      <c r="D813" s="37"/>
      <c r="E813" s="129"/>
      <c r="F813" s="83"/>
      <c r="G813" s="111"/>
    </row>
    <row r="814" spans="2:7">
      <c r="B814" s="854"/>
      <c r="C814" s="855"/>
      <c r="D814" s="89"/>
      <c r="E814" s="82"/>
      <c r="F814" s="83"/>
      <c r="G814" s="111"/>
    </row>
    <row r="815" spans="2:7">
      <c r="B815" s="854" t="s">
        <v>841</v>
      </c>
      <c r="C815" s="855"/>
      <c r="D815" s="37"/>
      <c r="E815" s="82"/>
      <c r="F815" s="83"/>
      <c r="G815" s="111"/>
    </row>
    <row r="816" spans="2:7" ht="13.5" thickBot="1">
      <c r="B816" s="942" t="s">
        <v>841</v>
      </c>
      <c r="C816" s="943"/>
      <c r="D816" s="77"/>
      <c r="E816" s="106"/>
      <c r="F816" s="86"/>
      <c r="G816" s="112"/>
    </row>
    <row r="817" spans="2:8" ht="14.25" thickTop="1" thickBot="1">
      <c r="B817" s="946"/>
      <c r="C817" s="946"/>
      <c r="D817" s="946"/>
      <c r="E817" s="947"/>
      <c r="F817" s="119" t="s">
        <v>856</v>
      </c>
      <c r="G817" s="118">
        <f>SUM(G811:G816)</f>
        <v>760</v>
      </c>
    </row>
    <row r="818" spans="2:8" ht="14.25" thickTop="1" thickBot="1">
      <c r="B818" s="970"/>
      <c r="C818" s="970"/>
      <c r="D818" s="970"/>
      <c r="E818" s="970"/>
      <c r="F818" s="970"/>
      <c r="G818" s="970"/>
    </row>
    <row r="819" spans="2:8" ht="13.5" thickTop="1">
      <c r="B819" s="950" t="s">
        <v>311</v>
      </c>
      <c r="C819" s="951"/>
      <c r="D819" s="951"/>
      <c r="E819" s="951"/>
      <c r="F819" s="951"/>
      <c r="G819" s="952"/>
    </row>
    <row r="820" spans="2:8">
      <c r="B820" s="978" t="s">
        <v>838</v>
      </c>
      <c r="C820" s="979"/>
      <c r="D820" s="98" t="s">
        <v>842</v>
      </c>
      <c r="E820" s="98" t="s">
        <v>853</v>
      </c>
      <c r="F820" s="99" t="s">
        <v>1047</v>
      </c>
      <c r="G820" s="98" t="s">
        <v>840</v>
      </c>
    </row>
    <row r="821" spans="2:8">
      <c r="B821" s="230"/>
      <c r="C821" s="102"/>
      <c r="D821" s="100"/>
      <c r="E821" s="100" t="s">
        <v>312</v>
      </c>
      <c r="F821" s="101" t="s">
        <v>313</v>
      </c>
      <c r="G821" s="103" t="s">
        <v>314</v>
      </c>
    </row>
    <row r="822" spans="2:8">
      <c r="B822" s="841" t="str">
        <f>MATERIALES2!C370</f>
        <v>GRIFERIA PARA DUCHA INCLUYE REGISTRO</v>
      </c>
      <c r="C822" s="842"/>
      <c r="D822" s="87" t="s">
        <v>865</v>
      </c>
      <c r="E822" s="81">
        <v>1</v>
      </c>
      <c r="F822" s="80">
        <f>MATERIALES2!E370</f>
        <v>27700</v>
      </c>
      <c r="G822" s="111">
        <f>ROUND(E822*F822,0)</f>
        <v>27700</v>
      </c>
    </row>
    <row r="823" spans="2:8">
      <c r="B823" s="854"/>
      <c r="C823" s="855"/>
      <c r="D823" s="37"/>
      <c r="E823" s="83"/>
      <c r="F823" s="82"/>
      <c r="G823" s="111"/>
    </row>
    <row r="824" spans="2:8">
      <c r="B824" s="854"/>
      <c r="C824" s="855"/>
      <c r="D824" s="37"/>
      <c r="E824" s="83"/>
      <c r="F824" s="82"/>
      <c r="G824" s="111"/>
    </row>
    <row r="825" spans="2:8">
      <c r="B825" s="854"/>
      <c r="C825" s="855"/>
      <c r="D825" s="37"/>
      <c r="E825" s="83"/>
      <c r="F825" s="82"/>
      <c r="G825" s="111"/>
    </row>
    <row r="826" spans="2:8">
      <c r="B826" s="854"/>
      <c r="C826" s="855"/>
      <c r="D826" s="37"/>
      <c r="E826" s="83"/>
      <c r="F826" s="82"/>
      <c r="G826" s="111"/>
    </row>
    <row r="827" spans="2:8">
      <c r="B827" s="854"/>
      <c r="C827" s="855"/>
      <c r="D827" s="37"/>
      <c r="E827" s="83"/>
      <c r="F827" s="82"/>
      <c r="G827" s="111"/>
    </row>
    <row r="828" spans="2:8">
      <c r="B828" s="854"/>
      <c r="C828" s="855"/>
      <c r="D828" s="37"/>
      <c r="E828" s="83"/>
      <c r="F828" s="82"/>
      <c r="G828" s="111"/>
    </row>
    <row r="829" spans="2:8">
      <c r="B829" s="854"/>
      <c r="C829" s="855"/>
      <c r="D829" s="37"/>
      <c r="E829" s="83"/>
      <c r="F829" s="82"/>
      <c r="G829" s="111"/>
      <c r="H829" s="505" t="s">
        <v>1670</v>
      </c>
    </row>
    <row r="830" spans="2:8" ht="13.5" thickBot="1">
      <c r="B830" s="854"/>
      <c r="C830" s="855"/>
      <c r="D830" s="37"/>
      <c r="E830" s="86"/>
      <c r="F830" s="82"/>
      <c r="G830" s="111"/>
    </row>
    <row r="831" spans="2:8" ht="13.5" thickTop="1">
      <c r="B831" s="946"/>
      <c r="C831" s="947"/>
      <c r="D831" s="801" t="s">
        <v>856</v>
      </c>
      <c r="E831" s="802"/>
      <c r="F831" s="9"/>
      <c r="G831" s="113">
        <f>SUM(G822:G830)</f>
        <v>27700</v>
      </c>
    </row>
    <row r="832" spans="2:8">
      <c r="B832" s="948"/>
      <c r="C832" s="949"/>
      <c r="D832" s="801" t="s">
        <v>857</v>
      </c>
      <c r="E832" s="802"/>
      <c r="F832" s="79">
        <f>'MANO DE OBRA'!$D$60</f>
        <v>0.05</v>
      </c>
      <c r="G832" s="113">
        <f>ROUND(G831*F832,0)</f>
        <v>1385</v>
      </c>
    </row>
    <row r="833" spans="2:7" ht="13.5" thickBot="1">
      <c r="B833" s="948"/>
      <c r="C833" s="949"/>
      <c r="D833" s="803" t="s">
        <v>320</v>
      </c>
      <c r="E833" s="804"/>
      <c r="F833" s="114"/>
      <c r="G833" s="118">
        <f>+G831+G832</f>
        <v>29085</v>
      </c>
    </row>
    <row r="834" spans="2:7" ht="14.25" thickTop="1" thickBot="1">
      <c r="B834" s="970"/>
      <c r="C834" s="970"/>
      <c r="D834" s="970"/>
      <c r="E834" s="970"/>
      <c r="F834" s="970"/>
      <c r="G834" s="970"/>
    </row>
    <row r="835" spans="2:7" ht="13.5" thickTop="1">
      <c r="B835" s="950" t="s">
        <v>858</v>
      </c>
      <c r="C835" s="951"/>
      <c r="D835" s="951"/>
      <c r="E835" s="951"/>
      <c r="F835" s="951"/>
      <c r="G835" s="952"/>
    </row>
    <row r="836" spans="2:7">
      <c r="B836" s="978"/>
      <c r="C836" s="979"/>
      <c r="D836" s="98" t="s">
        <v>301</v>
      </c>
      <c r="E836" s="98" t="s">
        <v>859</v>
      </c>
      <c r="F836" s="99" t="s">
        <v>839</v>
      </c>
      <c r="G836" s="107" t="s">
        <v>840</v>
      </c>
    </row>
    <row r="837" spans="2:7">
      <c r="B837" s="982" t="s">
        <v>838</v>
      </c>
      <c r="C837" s="983"/>
      <c r="D837" s="100" t="s">
        <v>316</v>
      </c>
      <c r="E837" s="100" t="s">
        <v>315</v>
      </c>
      <c r="F837" s="101" t="s">
        <v>306</v>
      </c>
      <c r="G837" s="108" t="s">
        <v>319</v>
      </c>
    </row>
    <row r="838" spans="2:7">
      <c r="B838" s="230"/>
      <c r="C838" s="102"/>
      <c r="D838" s="103"/>
      <c r="E838" s="103" t="s">
        <v>317</v>
      </c>
      <c r="F838" s="104" t="s">
        <v>318</v>
      </c>
      <c r="G838" s="109"/>
    </row>
    <row r="839" spans="2:7">
      <c r="B839" s="841" t="str">
        <f>'MANO DE OBRA'!$B$11</f>
        <v>AYUDANTE CUAD. TIPO BB</v>
      </c>
      <c r="C839" s="842"/>
      <c r="D839" s="87">
        <v>1</v>
      </c>
      <c r="E839" s="80">
        <f>'MANO DE OBRA'!$E$11</f>
        <v>43077</v>
      </c>
      <c r="F839" s="81">
        <v>8</v>
      </c>
      <c r="G839" s="110">
        <f>ROUND(D839*E839/F839,0)</f>
        <v>5385</v>
      </c>
    </row>
    <row r="840" spans="2:7">
      <c r="B840" s="854" t="str">
        <f>'MANO DE OBRA'!$B$16</f>
        <v>OFICIAL CUAD. TIPO BB</v>
      </c>
      <c r="C840" s="855"/>
      <c r="D840" s="37">
        <v>1</v>
      </c>
      <c r="E840" s="82">
        <f>'MANO DE OBRA'!$E$16</f>
        <v>78577</v>
      </c>
      <c r="F840" s="83">
        <v>8</v>
      </c>
      <c r="G840" s="111">
        <f>ROUND(D840*E840/F840,0)</f>
        <v>9822</v>
      </c>
    </row>
    <row r="841" spans="2:7">
      <c r="B841" s="854"/>
      <c r="C841" s="855"/>
      <c r="D841" s="89"/>
      <c r="E841" s="82"/>
      <c r="F841" s="83"/>
      <c r="G841" s="111"/>
    </row>
    <row r="842" spans="2:7">
      <c r="B842" s="854" t="s">
        <v>841</v>
      </c>
      <c r="C842" s="855"/>
      <c r="D842" s="37"/>
      <c r="E842" s="82"/>
      <c r="F842" s="83"/>
      <c r="G842" s="111"/>
    </row>
    <row r="843" spans="2:7" ht="13.5" thickBot="1">
      <c r="B843" s="980" t="s">
        <v>841</v>
      </c>
      <c r="C843" s="981"/>
      <c r="D843" s="77"/>
      <c r="E843" s="82"/>
      <c r="F843" s="86"/>
      <c r="G843" s="112"/>
    </row>
    <row r="844" spans="2:7" ht="14.25" thickTop="1" thickBot="1">
      <c r="B844" s="946"/>
      <c r="C844" s="946"/>
      <c r="D844" s="946"/>
      <c r="E844" s="947"/>
      <c r="F844" s="120" t="s">
        <v>856</v>
      </c>
      <c r="G844" s="118">
        <f>SUM(G839:G843)</f>
        <v>15207</v>
      </c>
    </row>
    <row r="845" spans="2:7" ht="14.25" thickTop="1" thickBot="1">
      <c r="B845" s="970"/>
      <c r="C845" s="970"/>
      <c r="D845" s="970"/>
      <c r="E845" s="970"/>
      <c r="F845" s="970"/>
      <c r="G845" s="970"/>
    </row>
    <row r="846" spans="2:7" ht="13.5" thickTop="1">
      <c r="B846" s="950" t="s">
        <v>321</v>
      </c>
      <c r="C846" s="951"/>
      <c r="D846" s="951"/>
      <c r="E846" s="951"/>
      <c r="F846" s="951"/>
      <c r="G846" s="952"/>
    </row>
    <row r="847" spans="2:7">
      <c r="B847" s="978" t="s">
        <v>838</v>
      </c>
      <c r="C847" s="979"/>
      <c r="D847" s="98" t="s">
        <v>301</v>
      </c>
      <c r="E847" s="98" t="s">
        <v>297</v>
      </c>
      <c r="F847" s="99" t="s">
        <v>839</v>
      </c>
      <c r="G847" s="107" t="s">
        <v>840</v>
      </c>
    </row>
    <row r="848" spans="2:7">
      <c r="B848" s="230"/>
      <c r="C848" s="102"/>
      <c r="D848" s="103" t="s">
        <v>322</v>
      </c>
      <c r="E848" s="103" t="s">
        <v>323</v>
      </c>
      <c r="F848" s="104" t="s">
        <v>324</v>
      </c>
      <c r="G848" s="109" t="s">
        <v>325</v>
      </c>
    </row>
    <row r="849" spans="2:8">
      <c r="B849" s="841"/>
      <c r="C849" s="842"/>
      <c r="D849" s="96"/>
      <c r="E849" s="96"/>
      <c r="F849" s="96"/>
      <c r="G849" s="116"/>
    </row>
    <row r="850" spans="2:8" ht="13.5" thickBot="1">
      <c r="B850" s="980" t="s">
        <v>841</v>
      </c>
      <c r="C850" s="981"/>
      <c r="D850" s="77"/>
      <c r="E850" s="82"/>
      <c r="F850" s="86"/>
      <c r="G850" s="112"/>
    </row>
    <row r="851" spans="2:8" ht="14.25" thickTop="1" thickBot="1">
      <c r="B851" s="946"/>
      <c r="C851" s="946"/>
      <c r="D851" s="946"/>
      <c r="E851" s="947"/>
      <c r="F851" s="120" t="s">
        <v>856</v>
      </c>
      <c r="G851" s="118">
        <f>SUM(G846:G850)</f>
        <v>0</v>
      </c>
    </row>
    <row r="852" spans="2:8" ht="14.25" thickTop="1" thickBot="1">
      <c r="B852" s="970"/>
      <c r="C852" s="970"/>
      <c r="D852" s="970"/>
      <c r="E852" s="970"/>
      <c r="F852" s="970"/>
      <c r="G852" s="943"/>
    </row>
    <row r="853" spans="2:8" ht="13.5" thickTop="1">
      <c r="B853" s="950" t="s">
        <v>326</v>
      </c>
      <c r="C853" s="951"/>
      <c r="D853" s="951"/>
      <c r="E853" s="951"/>
      <c r="F853" s="971"/>
      <c r="G853" s="121">
        <f>+G817+G833+G844</f>
        <v>45052</v>
      </c>
    </row>
    <row r="854" spans="2:8">
      <c r="B854" s="972" t="s">
        <v>861</v>
      </c>
      <c r="C854" s="973"/>
      <c r="D854" s="973"/>
      <c r="E854" s="974"/>
      <c r="F854" s="128">
        <f>'MANO DE OBRA'!$D$59</f>
        <v>0</v>
      </c>
      <c r="G854" s="122">
        <f>ROUND(G853*F854,0)</f>
        <v>0</v>
      </c>
    </row>
    <row r="855" spans="2:8" ht="13.5" thickBot="1">
      <c r="B855" s="975" t="s">
        <v>1049</v>
      </c>
      <c r="C855" s="976"/>
      <c r="D855" s="976"/>
      <c r="E855" s="976"/>
      <c r="F855" s="977"/>
      <c r="G855" s="118">
        <f>ROUND(G853+G854,-2)</f>
        <v>45100</v>
      </c>
      <c r="H855" s="505" t="s">
        <v>1670</v>
      </c>
    </row>
    <row r="856" spans="2:8" ht="13.5" thickTop="1"/>
    <row r="857" spans="2:8" ht="13.5" thickBot="1"/>
    <row r="858" spans="2:8" ht="13.5" thickTop="1">
      <c r="B858" s="225" t="s">
        <v>303</v>
      </c>
      <c r="C858" s="843"/>
      <c r="D858" s="843"/>
      <c r="E858" s="843"/>
      <c r="F858" s="92" t="s">
        <v>781</v>
      </c>
      <c r="G858" s="93" t="s">
        <v>865</v>
      </c>
    </row>
    <row r="859" spans="2:8">
      <c r="B859" s="226" t="s">
        <v>834</v>
      </c>
      <c r="C859" s="844" t="s">
        <v>382</v>
      </c>
      <c r="D859" s="844"/>
      <c r="E859" s="844"/>
      <c r="F859" s="15" t="s">
        <v>833</v>
      </c>
      <c r="G859" s="165" t="str">
        <f>'MANO DE OBRA'!D61</f>
        <v>Agosto de 2010</v>
      </c>
    </row>
    <row r="860" spans="2:8" ht="13.5" thickBot="1">
      <c r="B860" s="228" t="s">
        <v>835</v>
      </c>
      <c r="C860" s="845" t="s">
        <v>105</v>
      </c>
      <c r="D860" s="845"/>
      <c r="E860" s="845"/>
      <c r="F860" s="845"/>
      <c r="G860" s="846"/>
    </row>
    <row r="861" spans="2:8" ht="14.25" thickTop="1" thickBot="1">
      <c r="B861" s="986"/>
      <c r="C861" s="986"/>
      <c r="D861" s="986"/>
      <c r="E861" s="986"/>
      <c r="F861" s="986"/>
      <c r="G861" s="986"/>
    </row>
    <row r="862" spans="2:8" ht="13.5" thickTop="1">
      <c r="B862" s="950" t="s">
        <v>304</v>
      </c>
      <c r="C862" s="951"/>
      <c r="D862" s="951"/>
      <c r="E862" s="951"/>
      <c r="F862" s="951"/>
      <c r="G862" s="952"/>
    </row>
    <row r="863" spans="2:8">
      <c r="B863" s="229"/>
      <c r="C863" s="97"/>
      <c r="D863" s="98" t="s">
        <v>301</v>
      </c>
      <c r="E863" s="98" t="s">
        <v>1072</v>
      </c>
      <c r="F863" s="99" t="s">
        <v>839</v>
      </c>
      <c r="G863" s="107" t="s">
        <v>840</v>
      </c>
    </row>
    <row r="864" spans="2:8">
      <c r="B864" s="982" t="s">
        <v>838</v>
      </c>
      <c r="C864" s="983"/>
      <c r="D864" s="100" t="s">
        <v>308</v>
      </c>
      <c r="E864" s="100" t="s">
        <v>305</v>
      </c>
      <c r="F864" s="101" t="s">
        <v>306</v>
      </c>
      <c r="G864" s="108" t="s">
        <v>310</v>
      </c>
    </row>
    <row r="865" spans="2:7">
      <c r="B865" s="230"/>
      <c r="C865" s="102"/>
      <c r="D865" s="103"/>
      <c r="E865" s="103" t="s">
        <v>309</v>
      </c>
      <c r="F865" s="104" t="s">
        <v>307</v>
      </c>
      <c r="G865" s="109"/>
    </row>
    <row r="866" spans="2:7">
      <c r="B866" s="841" t="str">
        <f>'MAQUINARIA Y EQUIPOS'!$C$28</f>
        <v>HERRAMIENTAS MENORES</v>
      </c>
      <c r="C866" s="842"/>
      <c r="D866" s="87">
        <v>1</v>
      </c>
      <c r="E866" s="82">
        <f>ROUND(G899*0.05,0)</f>
        <v>1217</v>
      </c>
      <c r="F866" s="81">
        <v>1</v>
      </c>
      <c r="G866" s="110">
        <f>ROUND(D866*E866/F866,0)</f>
        <v>1217</v>
      </c>
    </row>
    <row r="867" spans="2:7">
      <c r="B867" s="854"/>
      <c r="C867" s="855"/>
      <c r="D867" s="37"/>
      <c r="E867" s="129"/>
      <c r="F867" s="83"/>
      <c r="G867" s="111"/>
    </row>
    <row r="868" spans="2:7">
      <c r="B868" s="854"/>
      <c r="C868" s="855"/>
      <c r="D868" s="37"/>
      <c r="E868" s="129"/>
      <c r="F868" s="83"/>
      <c r="G868" s="111"/>
    </row>
    <row r="869" spans="2:7">
      <c r="B869" s="854"/>
      <c r="C869" s="855"/>
      <c r="D869" s="89"/>
      <c r="E869" s="82"/>
      <c r="F869" s="83"/>
      <c r="G869" s="111"/>
    </row>
    <row r="870" spans="2:7">
      <c r="B870" s="854" t="s">
        <v>841</v>
      </c>
      <c r="C870" s="855"/>
      <c r="D870" s="37"/>
      <c r="E870" s="82"/>
      <c r="F870" s="83"/>
      <c r="G870" s="111"/>
    </row>
    <row r="871" spans="2:7" ht="13.5" thickBot="1">
      <c r="B871" s="942" t="s">
        <v>841</v>
      </c>
      <c r="C871" s="943"/>
      <c r="D871" s="77"/>
      <c r="E871" s="106"/>
      <c r="F871" s="86"/>
      <c r="G871" s="112"/>
    </row>
    <row r="872" spans="2:7" ht="14.25" thickTop="1" thickBot="1">
      <c r="B872" s="946"/>
      <c r="C872" s="946"/>
      <c r="D872" s="946"/>
      <c r="E872" s="947"/>
      <c r="F872" s="119" t="s">
        <v>856</v>
      </c>
      <c r="G872" s="118">
        <f>SUM(G866:G871)</f>
        <v>1217</v>
      </c>
    </row>
    <row r="873" spans="2:7" ht="14.25" thickTop="1" thickBot="1">
      <c r="B873" s="970"/>
      <c r="C873" s="970"/>
      <c r="D873" s="970"/>
      <c r="E873" s="970"/>
      <c r="F873" s="970"/>
      <c r="G873" s="970"/>
    </row>
    <row r="874" spans="2:7" ht="13.5" thickTop="1">
      <c r="B874" s="950" t="s">
        <v>311</v>
      </c>
      <c r="C874" s="951"/>
      <c r="D874" s="951"/>
      <c r="E874" s="951"/>
      <c r="F874" s="951"/>
      <c r="G874" s="952"/>
    </row>
    <row r="875" spans="2:7">
      <c r="B875" s="978" t="s">
        <v>838</v>
      </c>
      <c r="C875" s="979"/>
      <c r="D875" s="98" t="s">
        <v>842</v>
      </c>
      <c r="E875" s="98" t="s">
        <v>853</v>
      </c>
      <c r="F875" s="99" t="s">
        <v>1047</v>
      </c>
      <c r="G875" s="107" t="s">
        <v>840</v>
      </c>
    </row>
    <row r="876" spans="2:7">
      <c r="B876" s="230"/>
      <c r="C876" s="102"/>
      <c r="D876" s="100"/>
      <c r="E876" s="100" t="s">
        <v>312</v>
      </c>
      <c r="F876" s="101" t="s">
        <v>313</v>
      </c>
      <c r="G876" s="109" t="s">
        <v>314</v>
      </c>
    </row>
    <row r="877" spans="2:7">
      <c r="B877" s="841" t="str">
        <f>MATERIALES2!C371</f>
        <v>DUCHA TELEFONO CON REGISTRO</v>
      </c>
      <c r="C877" s="842"/>
      <c r="D877" s="87" t="s">
        <v>865</v>
      </c>
      <c r="E877" s="81">
        <v>1</v>
      </c>
      <c r="F877" s="80">
        <f>MATERIALES2!E371</f>
        <v>50600</v>
      </c>
      <c r="G877" s="111">
        <f>ROUND(E877*F877,0)</f>
        <v>50600</v>
      </c>
    </row>
    <row r="878" spans="2:7">
      <c r="B878" s="854"/>
      <c r="C878" s="855"/>
      <c r="D878" s="37"/>
      <c r="E878" s="83"/>
      <c r="F878" s="82"/>
      <c r="G878" s="111"/>
    </row>
    <row r="879" spans="2:7">
      <c r="B879" s="854"/>
      <c r="C879" s="855"/>
      <c r="D879" s="37"/>
      <c r="E879" s="83"/>
      <c r="F879" s="82"/>
      <c r="G879" s="111"/>
    </row>
    <row r="880" spans="2:7">
      <c r="B880" s="854"/>
      <c r="C880" s="855"/>
      <c r="D880" s="37"/>
      <c r="E880" s="83"/>
      <c r="F880" s="82"/>
      <c r="G880" s="111"/>
    </row>
    <row r="881" spans="2:8">
      <c r="B881" s="854"/>
      <c r="C881" s="855"/>
      <c r="D881" s="37"/>
      <c r="E881" s="83"/>
      <c r="F881" s="82"/>
      <c r="G881" s="111"/>
    </row>
    <row r="882" spans="2:8">
      <c r="B882" s="854"/>
      <c r="C882" s="855"/>
      <c r="D882" s="37"/>
      <c r="E882" s="83"/>
      <c r="F882" s="82"/>
      <c r="G882" s="111"/>
    </row>
    <row r="883" spans="2:8">
      <c r="B883" s="854"/>
      <c r="C883" s="855"/>
      <c r="D883" s="37"/>
      <c r="E883" s="83"/>
      <c r="F883" s="82"/>
      <c r="G883" s="111"/>
    </row>
    <row r="884" spans="2:8">
      <c r="B884" s="854"/>
      <c r="C884" s="855"/>
      <c r="D884" s="37"/>
      <c r="E884" s="83"/>
      <c r="F884" s="82"/>
      <c r="G884" s="111"/>
      <c r="H884" s="505" t="s">
        <v>1670</v>
      </c>
    </row>
    <row r="885" spans="2:8" ht="13.5" thickBot="1">
      <c r="B885" s="854"/>
      <c r="C885" s="855"/>
      <c r="D885" s="37"/>
      <c r="E885" s="86"/>
      <c r="F885" s="82"/>
      <c r="G885" s="111"/>
    </row>
    <row r="886" spans="2:8" ht="13.5" thickTop="1">
      <c r="B886" s="946"/>
      <c r="C886" s="947"/>
      <c r="D886" s="801" t="s">
        <v>856</v>
      </c>
      <c r="E886" s="802"/>
      <c r="F886" s="9"/>
      <c r="G886" s="113">
        <f>SUM(G877:G885)</f>
        <v>50600</v>
      </c>
    </row>
    <row r="887" spans="2:8">
      <c r="B887" s="948"/>
      <c r="C887" s="949"/>
      <c r="D887" s="801" t="s">
        <v>857</v>
      </c>
      <c r="E887" s="802"/>
      <c r="F887" s="79">
        <f>'MANO DE OBRA'!$D$60</f>
        <v>0.05</v>
      </c>
      <c r="G887" s="113">
        <f>ROUND(G886*F887,0)</f>
        <v>2530</v>
      </c>
    </row>
    <row r="888" spans="2:8" ht="13.5" thickBot="1">
      <c r="B888" s="948"/>
      <c r="C888" s="949"/>
      <c r="D888" s="803" t="s">
        <v>320</v>
      </c>
      <c r="E888" s="804"/>
      <c r="F888" s="114"/>
      <c r="G888" s="118">
        <f>+G886+G887</f>
        <v>53130</v>
      </c>
    </row>
    <row r="889" spans="2:8" ht="14.25" thickTop="1" thickBot="1">
      <c r="B889" s="970"/>
      <c r="C889" s="970"/>
      <c r="D889" s="970"/>
      <c r="E889" s="970"/>
      <c r="F889" s="970"/>
      <c r="G889" s="970"/>
    </row>
    <row r="890" spans="2:8" ht="13.5" thickTop="1">
      <c r="B890" s="950" t="s">
        <v>858</v>
      </c>
      <c r="C890" s="951"/>
      <c r="D890" s="951"/>
      <c r="E890" s="951"/>
      <c r="F890" s="951"/>
      <c r="G890" s="952"/>
    </row>
    <row r="891" spans="2:8">
      <c r="B891" s="978"/>
      <c r="C891" s="979"/>
      <c r="D891" s="98" t="s">
        <v>301</v>
      </c>
      <c r="E891" s="98" t="s">
        <v>859</v>
      </c>
      <c r="F891" s="99" t="s">
        <v>839</v>
      </c>
      <c r="G891" s="107" t="s">
        <v>840</v>
      </c>
    </row>
    <row r="892" spans="2:8">
      <c r="B892" s="982" t="s">
        <v>838</v>
      </c>
      <c r="C892" s="983"/>
      <c r="D892" s="100" t="s">
        <v>316</v>
      </c>
      <c r="E892" s="100" t="s">
        <v>315</v>
      </c>
      <c r="F892" s="101" t="s">
        <v>306</v>
      </c>
      <c r="G892" s="108" t="s">
        <v>319</v>
      </c>
    </row>
    <row r="893" spans="2:8">
      <c r="B893" s="230"/>
      <c r="C893" s="102"/>
      <c r="D893" s="103"/>
      <c r="E893" s="103" t="s">
        <v>317</v>
      </c>
      <c r="F893" s="104" t="s">
        <v>318</v>
      </c>
      <c r="G893" s="109"/>
    </row>
    <row r="894" spans="2:8">
      <c r="B894" s="841" t="str">
        <f>'MANO DE OBRA'!$B$11</f>
        <v>AYUDANTE CUAD. TIPO BB</v>
      </c>
      <c r="C894" s="842"/>
      <c r="D894" s="87">
        <v>1</v>
      </c>
      <c r="E894" s="80">
        <f>'MANO DE OBRA'!$E$11</f>
        <v>43077</v>
      </c>
      <c r="F894" s="81">
        <v>5</v>
      </c>
      <c r="G894" s="110">
        <f>ROUND(D894*E894/F894,0)</f>
        <v>8615</v>
      </c>
    </row>
    <row r="895" spans="2:8">
      <c r="B895" s="854" t="str">
        <f>'MANO DE OBRA'!$B$16</f>
        <v>OFICIAL CUAD. TIPO BB</v>
      </c>
      <c r="C895" s="855"/>
      <c r="D895" s="37">
        <v>1</v>
      </c>
      <c r="E895" s="82">
        <f>'MANO DE OBRA'!$E$16</f>
        <v>78577</v>
      </c>
      <c r="F895" s="83">
        <v>5</v>
      </c>
      <c r="G895" s="111">
        <f>ROUND(D895*E895/F895,0)</f>
        <v>15715</v>
      </c>
    </row>
    <row r="896" spans="2:8">
      <c r="B896" s="854"/>
      <c r="C896" s="855"/>
      <c r="D896" s="89"/>
      <c r="E896" s="82"/>
      <c r="F896" s="83"/>
      <c r="G896" s="111"/>
    </row>
    <row r="897" spans="2:8">
      <c r="B897" s="854" t="s">
        <v>841</v>
      </c>
      <c r="C897" s="855"/>
      <c r="D897" s="37"/>
      <c r="E897" s="82"/>
      <c r="F897" s="83"/>
      <c r="G897" s="111"/>
    </row>
    <row r="898" spans="2:8" ht="13.5" thickBot="1">
      <c r="B898" s="980" t="s">
        <v>841</v>
      </c>
      <c r="C898" s="981"/>
      <c r="D898" s="77"/>
      <c r="E898" s="82"/>
      <c r="F898" s="86"/>
      <c r="G898" s="112"/>
    </row>
    <row r="899" spans="2:8" ht="14.25" thickTop="1" thickBot="1">
      <c r="B899" s="946"/>
      <c r="C899" s="946"/>
      <c r="D899" s="946"/>
      <c r="E899" s="947"/>
      <c r="F899" s="120" t="s">
        <v>856</v>
      </c>
      <c r="G899" s="118">
        <f>SUM(G894:G898)</f>
        <v>24330</v>
      </c>
    </row>
    <row r="900" spans="2:8" ht="14.25" thickTop="1" thickBot="1">
      <c r="B900" s="970"/>
      <c r="C900" s="970"/>
      <c r="D900" s="970"/>
      <c r="E900" s="970"/>
      <c r="F900" s="970"/>
      <c r="G900" s="970"/>
    </row>
    <row r="901" spans="2:8" ht="13.5" thickTop="1">
      <c r="B901" s="950" t="s">
        <v>321</v>
      </c>
      <c r="C901" s="951"/>
      <c r="D901" s="951"/>
      <c r="E901" s="951"/>
      <c r="F901" s="951"/>
      <c r="G901" s="952"/>
    </row>
    <row r="902" spans="2:8">
      <c r="B902" s="978" t="s">
        <v>838</v>
      </c>
      <c r="C902" s="979"/>
      <c r="D902" s="98" t="s">
        <v>301</v>
      </c>
      <c r="E902" s="98" t="s">
        <v>297</v>
      </c>
      <c r="F902" s="99" t="s">
        <v>839</v>
      </c>
      <c r="G902" s="107" t="s">
        <v>840</v>
      </c>
    </row>
    <row r="903" spans="2:8">
      <c r="B903" s="230"/>
      <c r="C903" s="102"/>
      <c r="D903" s="103" t="s">
        <v>322</v>
      </c>
      <c r="E903" s="103" t="s">
        <v>323</v>
      </c>
      <c r="F903" s="104" t="s">
        <v>324</v>
      </c>
      <c r="G903" s="109" t="s">
        <v>325</v>
      </c>
    </row>
    <row r="904" spans="2:8">
      <c r="B904" s="841"/>
      <c r="C904" s="842"/>
      <c r="D904" s="96"/>
      <c r="E904" s="96"/>
      <c r="F904" s="96"/>
      <c r="G904" s="116"/>
    </row>
    <row r="905" spans="2:8" ht="13.5" thickBot="1">
      <c r="B905" s="980" t="s">
        <v>841</v>
      </c>
      <c r="C905" s="981"/>
      <c r="D905" s="77"/>
      <c r="E905" s="82"/>
      <c r="F905" s="86"/>
      <c r="G905" s="112"/>
    </row>
    <row r="906" spans="2:8" ht="14.25" thickTop="1" thickBot="1">
      <c r="B906" s="946"/>
      <c r="C906" s="946"/>
      <c r="D906" s="946"/>
      <c r="E906" s="947"/>
      <c r="F906" s="120" t="s">
        <v>856</v>
      </c>
      <c r="G906" s="118">
        <f>SUM(G901:G905)</f>
        <v>0</v>
      </c>
    </row>
    <row r="907" spans="2:8" ht="14.25" thickTop="1" thickBot="1">
      <c r="B907" s="970"/>
      <c r="C907" s="970"/>
      <c r="D907" s="970"/>
      <c r="E907" s="970"/>
      <c r="F907" s="970"/>
      <c r="G907" s="943"/>
    </row>
    <row r="908" spans="2:8" ht="13.5" thickTop="1">
      <c r="B908" s="950" t="s">
        <v>326</v>
      </c>
      <c r="C908" s="951"/>
      <c r="D908" s="951"/>
      <c r="E908" s="951"/>
      <c r="F908" s="971"/>
      <c r="G908" s="121">
        <f>+G872+G888+G899</f>
        <v>78677</v>
      </c>
    </row>
    <row r="909" spans="2:8">
      <c r="B909" s="972" t="s">
        <v>861</v>
      </c>
      <c r="C909" s="973"/>
      <c r="D909" s="973"/>
      <c r="E909" s="974"/>
      <c r="F909" s="128">
        <f>'MANO DE OBRA'!$D$59</f>
        <v>0</v>
      </c>
      <c r="G909" s="122">
        <f>ROUND(G908*F909,0)</f>
        <v>0</v>
      </c>
    </row>
    <row r="910" spans="2:8" ht="13.5" thickBot="1">
      <c r="B910" s="975" t="s">
        <v>1049</v>
      </c>
      <c r="C910" s="976"/>
      <c r="D910" s="976"/>
      <c r="E910" s="976"/>
      <c r="F910" s="977"/>
      <c r="G910" s="118">
        <f>ROUND(G908+G909,-2)</f>
        <v>78700</v>
      </c>
      <c r="H910" s="505" t="s">
        <v>1670</v>
      </c>
    </row>
    <row r="911" spans="2:8" ht="13.5" thickTop="1"/>
    <row r="912" spans="2:8" ht="13.5" thickBot="1"/>
    <row r="913" spans="2:7" ht="13.5" thickTop="1">
      <c r="B913" s="225" t="s">
        <v>303</v>
      </c>
      <c r="C913" s="843"/>
      <c r="D913" s="843"/>
      <c r="E913" s="843"/>
      <c r="F913" s="92" t="s">
        <v>781</v>
      </c>
      <c r="G913" s="93" t="s">
        <v>865</v>
      </c>
    </row>
    <row r="914" spans="2:7">
      <c r="B914" s="226" t="s">
        <v>834</v>
      </c>
      <c r="C914" s="844" t="s">
        <v>382</v>
      </c>
      <c r="D914" s="844"/>
      <c r="E914" s="844"/>
      <c r="F914" s="15" t="s">
        <v>833</v>
      </c>
      <c r="G914" s="165" t="str">
        <f>'MANO DE OBRA'!D61</f>
        <v>Agosto de 2010</v>
      </c>
    </row>
    <row r="915" spans="2:7" ht="13.5" thickBot="1">
      <c r="B915" s="228" t="s">
        <v>835</v>
      </c>
      <c r="C915" s="845" t="s">
        <v>107</v>
      </c>
      <c r="D915" s="845"/>
      <c r="E915" s="845"/>
      <c r="F915" s="845"/>
      <c r="G915" s="846"/>
    </row>
    <row r="916" spans="2:7" ht="14.25" thickTop="1" thickBot="1">
      <c r="B916" s="986"/>
      <c r="C916" s="986"/>
      <c r="D916" s="986"/>
      <c r="E916" s="986"/>
      <c r="F916" s="986"/>
      <c r="G916" s="986"/>
    </row>
    <row r="917" spans="2:7" ht="13.5" thickTop="1">
      <c r="B917" s="950" t="s">
        <v>304</v>
      </c>
      <c r="C917" s="951"/>
      <c r="D917" s="951"/>
      <c r="E917" s="951"/>
      <c r="F917" s="951"/>
      <c r="G917" s="952"/>
    </row>
    <row r="918" spans="2:7">
      <c r="B918" s="229"/>
      <c r="C918" s="97"/>
      <c r="D918" s="98" t="s">
        <v>301</v>
      </c>
      <c r="E918" s="98" t="s">
        <v>1072</v>
      </c>
      <c r="F918" s="99" t="s">
        <v>839</v>
      </c>
      <c r="G918" s="107" t="s">
        <v>840</v>
      </c>
    </row>
    <row r="919" spans="2:7">
      <c r="B919" s="982" t="s">
        <v>838</v>
      </c>
      <c r="C919" s="983"/>
      <c r="D919" s="100" t="s">
        <v>308</v>
      </c>
      <c r="E919" s="100" t="s">
        <v>305</v>
      </c>
      <c r="F919" s="101" t="s">
        <v>306</v>
      </c>
      <c r="G919" s="108" t="s">
        <v>310</v>
      </c>
    </row>
    <row r="920" spans="2:7">
      <c r="B920" s="230"/>
      <c r="C920" s="102"/>
      <c r="D920" s="103"/>
      <c r="E920" s="103" t="s">
        <v>309</v>
      </c>
      <c r="F920" s="104" t="s">
        <v>307</v>
      </c>
      <c r="G920" s="109"/>
    </row>
    <row r="921" spans="2:7">
      <c r="B921" s="841" t="str">
        <f>'MAQUINARIA Y EQUIPOS'!$C$28</f>
        <v>HERRAMIENTAS MENORES</v>
      </c>
      <c r="C921" s="842"/>
      <c r="D921" s="87">
        <v>1</v>
      </c>
      <c r="E921" s="82">
        <f>ROUND(G954*0.05,0)</f>
        <v>1521</v>
      </c>
      <c r="F921" s="81">
        <v>1</v>
      </c>
      <c r="G921" s="110">
        <f>ROUND(D921*E921/F921,0)</f>
        <v>1521</v>
      </c>
    </row>
    <row r="922" spans="2:7">
      <c r="B922" s="854"/>
      <c r="C922" s="855"/>
      <c r="D922" s="37"/>
      <c r="E922" s="129"/>
      <c r="F922" s="83"/>
      <c r="G922" s="111"/>
    </row>
    <row r="923" spans="2:7">
      <c r="B923" s="854"/>
      <c r="C923" s="855"/>
      <c r="D923" s="37"/>
      <c r="E923" s="129"/>
      <c r="F923" s="83"/>
      <c r="G923" s="111"/>
    </row>
    <row r="924" spans="2:7">
      <c r="B924" s="854"/>
      <c r="C924" s="855"/>
      <c r="D924" s="89"/>
      <c r="E924" s="82"/>
      <c r="F924" s="83"/>
      <c r="G924" s="111"/>
    </row>
    <row r="925" spans="2:7">
      <c r="B925" s="854" t="s">
        <v>841</v>
      </c>
      <c r="C925" s="855"/>
      <c r="D925" s="37"/>
      <c r="E925" s="82"/>
      <c r="F925" s="83"/>
      <c r="G925" s="111"/>
    </row>
    <row r="926" spans="2:7" ht="13.5" thickBot="1">
      <c r="B926" s="942" t="s">
        <v>841</v>
      </c>
      <c r="C926" s="943"/>
      <c r="D926" s="77"/>
      <c r="E926" s="106"/>
      <c r="F926" s="86"/>
      <c r="G926" s="112"/>
    </row>
    <row r="927" spans="2:7" ht="14.25" thickTop="1" thickBot="1">
      <c r="B927" s="946"/>
      <c r="C927" s="946"/>
      <c r="D927" s="946"/>
      <c r="E927" s="947"/>
      <c r="F927" s="119" t="s">
        <v>856</v>
      </c>
      <c r="G927" s="118">
        <f>SUM(G921:G926)</f>
        <v>1521</v>
      </c>
    </row>
    <row r="928" spans="2:7" ht="14.25" thickTop="1" thickBot="1">
      <c r="B928" s="970"/>
      <c r="C928" s="970"/>
      <c r="D928" s="970"/>
      <c r="E928" s="970"/>
      <c r="F928" s="970"/>
      <c r="G928" s="970"/>
    </row>
    <row r="929" spans="2:8" ht="13.5" thickTop="1">
      <c r="B929" s="950" t="s">
        <v>311</v>
      </c>
      <c r="C929" s="951"/>
      <c r="D929" s="951"/>
      <c r="E929" s="951"/>
      <c r="F929" s="951"/>
      <c r="G929" s="952"/>
    </row>
    <row r="930" spans="2:8">
      <c r="B930" s="978" t="s">
        <v>838</v>
      </c>
      <c r="C930" s="979"/>
      <c r="D930" s="98" t="s">
        <v>842</v>
      </c>
      <c r="E930" s="98" t="s">
        <v>853</v>
      </c>
      <c r="F930" s="99" t="s">
        <v>1047</v>
      </c>
      <c r="G930" s="107" t="s">
        <v>840</v>
      </c>
    </row>
    <row r="931" spans="2:8">
      <c r="B931" s="230"/>
      <c r="C931" s="102"/>
      <c r="D931" s="100"/>
      <c r="E931" s="100" t="s">
        <v>312</v>
      </c>
      <c r="F931" s="101" t="s">
        <v>313</v>
      </c>
      <c r="G931" s="109" t="s">
        <v>314</v>
      </c>
    </row>
    <row r="932" spans="2:8">
      <c r="B932" s="841" t="str">
        <f>MATERIALES2!C372</f>
        <v>LAVAMANOS QUIRURGICO</v>
      </c>
      <c r="C932" s="842"/>
      <c r="D932" s="87" t="s">
        <v>865</v>
      </c>
      <c r="E932" s="81">
        <v>1</v>
      </c>
      <c r="F932" s="80">
        <v>1875000</v>
      </c>
      <c r="G932" s="111">
        <f>ROUND(E932*F932,0)</f>
        <v>1875000</v>
      </c>
    </row>
    <row r="933" spans="2:8">
      <c r="B933" s="854"/>
      <c r="C933" s="855"/>
      <c r="D933" s="37"/>
      <c r="E933" s="83"/>
      <c r="F933" s="82"/>
      <c r="G933" s="111"/>
    </row>
    <row r="934" spans="2:8">
      <c r="B934" s="854"/>
      <c r="C934" s="855"/>
      <c r="D934" s="37"/>
      <c r="E934" s="83"/>
      <c r="F934" s="82"/>
      <c r="G934" s="111"/>
    </row>
    <row r="935" spans="2:8">
      <c r="B935" s="854"/>
      <c r="C935" s="855"/>
      <c r="D935" s="37"/>
      <c r="E935" s="83"/>
      <c r="F935" s="82"/>
      <c r="G935" s="111"/>
    </row>
    <row r="936" spans="2:8">
      <c r="B936" s="854"/>
      <c r="C936" s="855"/>
      <c r="D936" s="37"/>
      <c r="E936" s="83"/>
      <c r="F936" s="82"/>
      <c r="G936" s="111"/>
    </row>
    <row r="937" spans="2:8">
      <c r="B937" s="854"/>
      <c r="C937" s="855"/>
      <c r="D937" s="37"/>
      <c r="E937" s="83"/>
      <c r="F937" s="82"/>
      <c r="G937" s="111"/>
    </row>
    <row r="938" spans="2:8">
      <c r="B938" s="854"/>
      <c r="C938" s="855"/>
      <c r="D938" s="37"/>
      <c r="E938" s="83"/>
      <c r="F938" s="82"/>
      <c r="G938" s="111"/>
    </row>
    <row r="939" spans="2:8">
      <c r="B939" s="854"/>
      <c r="C939" s="855"/>
      <c r="D939" s="37"/>
      <c r="E939" s="83"/>
      <c r="F939" s="82"/>
      <c r="G939" s="111"/>
      <c r="H939" s="505" t="s">
        <v>1670</v>
      </c>
    </row>
    <row r="940" spans="2:8" ht="13.5" thickBot="1">
      <c r="B940" s="854"/>
      <c r="C940" s="855"/>
      <c r="D940" s="37"/>
      <c r="E940" s="86"/>
      <c r="F940" s="82"/>
      <c r="G940" s="111"/>
    </row>
    <row r="941" spans="2:8" ht="13.5" thickTop="1">
      <c r="B941" s="946"/>
      <c r="C941" s="947"/>
      <c r="D941" s="801" t="s">
        <v>856</v>
      </c>
      <c r="E941" s="802"/>
      <c r="F941" s="9"/>
      <c r="G941" s="113">
        <f>SUM(G932:G940)</f>
        <v>1875000</v>
      </c>
    </row>
    <row r="942" spans="2:8">
      <c r="B942" s="948"/>
      <c r="C942" s="949"/>
      <c r="D942" s="801" t="s">
        <v>857</v>
      </c>
      <c r="E942" s="802"/>
      <c r="F942" s="79">
        <f>'MANO DE OBRA'!$D$60</f>
        <v>0.05</v>
      </c>
      <c r="G942" s="113">
        <f>ROUND(G941*F942,0)</f>
        <v>93750</v>
      </c>
    </row>
    <row r="943" spans="2:8" ht="13.5" thickBot="1">
      <c r="B943" s="948"/>
      <c r="C943" s="949"/>
      <c r="D943" s="803" t="s">
        <v>320</v>
      </c>
      <c r="E943" s="804"/>
      <c r="F943" s="114"/>
      <c r="G943" s="118">
        <f>+G941+G942</f>
        <v>1968750</v>
      </c>
    </row>
    <row r="944" spans="2:8" ht="14.25" thickTop="1" thickBot="1">
      <c r="B944" s="970"/>
      <c r="C944" s="970"/>
      <c r="D944" s="970"/>
      <c r="E944" s="970"/>
      <c r="F944" s="970"/>
      <c r="G944" s="970"/>
    </row>
    <row r="945" spans="2:7" ht="13.5" thickTop="1">
      <c r="B945" s="950" t="s">
        <v>858</v>
      </c>
      <c r="C945" s="951"/>
      <c r="D945" s="951"/>
      <c r="E945" s="951"/>
      <c r="F945" s="951"/>
      <c r="G945" s="952"/>
    </row>
    <row r="946" spans="2:7">
      <c r="B946" s="978"/>
      <c r="C946" s="979"/>
      <c r="D946" s="98" t="s">
        <v>301</v>
      </c>
      <c r="E946" s="98" t="s">
        <v>859</v>
      </c>
      <c r="F946" s="99" t="s">
        <v>839</v>
      </c>
      <c r="G946" s="107" t="s">
        <v>840</v>
      </c>
    </row>
    <row r="947" spans="2:7">
      <c r="B947" s="982" t="s">
        <v>838</v>
      </c>
      <c r="C947" s="983"/>
      <c r="D947" s="100" t="s">
        <v>316</v>
      </c>
      <c r="E947" s="100" t="s">
        <v>315</v>
      </c>
      <c r="F947" s="101" t="s">
        <v>306</v>
      </c>
      <c r="G947" s="108" t="s">
        <v>319</v>
      </c>
    </row>
    <row r="948" spans="2:7">
      <c r="B948" s="230"/>
      <c r="C948" s="102"/>
      <c r="D948" s="103"/>
      <c r="E948" s="103" t="s">
        <v>317</v>
      </c>
      <c r="F948" s="104" t="s">
        <v>318</v>
      </c>
      <c r="G948" s="109"/>
    </row>
    <row r="949" spans="2:7">
      <c r="B949" s="841" t="str">
        <f>'MANO DE OBRA'!$B$11</f>
        <v>AYUDANTE CUAD. TIPO BB</v>
      </c>
      <c r="C949" s="842"/>
      <c r="D949" s="87">
        <v>1</v>
      </c>
      <c r="E949" s="80">
        <f>'MANO DE OBRA'!$E$11</f>
        <v>43077</v>
      </c>
      <c r="F949" s="81">
        <v>4</v>
      </c>
      <c r="G949" s="110">
        <f>ROUND(D949*E949/F949,0)</f>
        <v>10769</v>
      </c>
    </row>
    <row r="950" spans="2:7">
      <c r="B950" s="854" t="str">
        <f>'MANO DE OBRA'!$B$16</f>
        <v>OFICIAL CUAD. TIPO BB</v>
      </c>
      <c r="C950" s="855"/>
      <c r="D950" s="37">
        <v>1</v>
      </c>
      <c r="E950" s="82">
        <f>'MANO DE OBRA'!$E$16</f>
        <v>78577</v>
      </c>
      <c r="F950" s="83">
        <v>4</v>
      </c>
      <c r="G950" s="111">
        <f>ROUND(D950*E950/F950,0)</f>
        <v>19644</v>
      </c>
    </row>
    <row r="951" spans="2:7">
      <c r="B951" s="854"/>
      <c r="C951" s="855"/>
      <c r="D951" s="89"/>
      <c r="E951" s="82"/>
      <c r="F951" s="83"/>
      <c r="G951" s="111"/>
    </row>
    <row r="952" spans="2:7">
      <c r="B952" s="854" t="s">
        <v>841</v>
      </c>
      <c r="C952" s="855"/>
      <c r="D952" s="37"/>
      <c r="E952" s="82"/>
      <c r="F952" s="83"/>
      <c r="G952" s="111"/>
    </row>
    <row r="953" spans="2:7" ht="13.5" thickBot="1">
      <c r="B953" s="980" t="s">
        <v>841</v>
      </c>
      <c r="C953" s="981"/>
      <c r="D953" s="77"/>
      <c r="E953" s="82"/>
      <c r="F953" s="86"/>
      <c r="G953" s="112"/>
    </row>
    <row r="954" spans="2:7" ht="14.25" thickTop="1" thickBot="1">
      <c r="B954" s="946"/>
      <c r="C954" s="946"/>
      <c r="D954" s="946"/>
      <c r="E954" s="947"/>
      <c r="F954" s="120" t="s">
        <v>856</v>
      </c>
      <c r="G954" s="118">
        <f>SUM(G949:G953)</f>
        <v>30413</v>
      </c>
    </row>
    <row r="955" spans="2:7" ht="14.25" thickTop="1" thickBot="1">
      <c r="B955" s="970"/>
      <c r="C955" s="970"/>
      <c r="D955" s="970"/>
      <c r="E955" s="970"/>
      <c r="F955" s="970"/>
      <c r="G955" s="970"/>
    </row>
    <row r="956" spans="2:7" ht="13.5" thickTop="1">
      <c r="B956" s="950" t="s">
        <v>321</v>
      </c>
      <c r="C956" s="951"/>
      <c r="D956" s="951"/>
      <c r="E956" s="951"/>
      <c r="F956" s="951"/>
      <c r="G956" s="952"/>
    </row>
    <row r="957" spans="2:7">
      <c r="B957" s="978" t="s">
        <v>838</v>
      </c>
      <c r="C957" s="979"/>
      <c r="D957" s="98" t="s">
        <v>301</v>
      </c>
      <c r="E957" s="98" t="s">
        <v>297</v>
      </c>
      <c r="F957" s="99" t="s">
        <v>839</v>
      </c>
      <c r="G957" s="107" t="s">
        <v>840</v>
      </c>
    </row>
    <row r="958" spans="2:7">
      <c r="B958" s="230"/>
      <c r="C958" s="102"/>
      <c r="D958" s="103" t="s">
        <v>322</v>
      </c>
      <c r="E958" s="103" t="s">
        <v>323</v>
      </c>
      <c r="F958" s="104" t="s">
        <v>324</v>
      </c>
      <c r="G958" s="109" t="s">
        <v>325</v>
      </c>
    </row>
    <row r="959" spans="2:7">
      <c r="B959" s="841"/>
      <c r="C959" s="842"/>
      <c r="D959" s="96"/>
      <c r="E959" s="96"/>
      <c r="F959" s="96"/>
      <c r="G959" s="116"/>
    </row>
    <row r="960" spans="2:7" ht="13.5" thickBot="1">
      <c r="B960" s="980" t="s">
        <v>841</v>
      </c>
      <c r="C960" s="981"/>
      <c r="D960" s="77"/>
      <c r="E960" s="82"/>
      <c r="F960" s="86"/>
      <c r="G960" s="112"/>
    </row>
    <row r="961" spans="2:8" ht="14.25" thickTop="1" thickBot="1">
      <c r="B961" s="946"/>
      <c r="C961" s="946"/>
      <c r="D961" s="946"/>
      <c r="E961" s="947"/>
      <c r="F961" s="120" t="s">
        <v>856</v>
      </c>
      <c r="G961" s="118">
        <f>SUM(G956:G960)</f>
        <v>0</v>
      </c>
    </row>
    <row r="962" spans="2:8" ht="14.25" thickTop="1" thickBot="1">
      <c r="B962" s="970"/>
      <c r="C962" s="970"/>
      <c r="D962" s="970"/>
      <c r="E962" s="970"/>
      <c r="F962" s="970"/>
      <c r="G962" s="943"/>
    </row>
    <row r="963" spans="2:8" ht="13.5" thickTop="1">
      <c r="B963" s="950" t="s">
        <v>326</v>
      </c>
      <c r="C963" s="951"/>
      <c r="D963" s="951"/>
      <c r="E963" s="951"/>
      <c r="F963" s="971"/>
      <c r="G963" s="121">
        <f>+G927+G943+G954</f>
        <v>2000684</v>
      </c>
    </row>
    <row r="964" spans="2:8">
      <c r="B964" s="972" t="s">
        <v>861</v>
      </c>
      <c r="C964" s="973"/>
      <c r="D964" s="973"/>
      <c r="E964" s="974"/>
      <c r="F964" s="128">
        <f>'MANO DE OBRA'!$D$59</f>
        <v>0</v>
      </c>
      <c r="G964" s="122">
        <f>ROUND(G963*F964,0)</f>
        <v>0</v>
      </c>
    </row>
    <row r="965" spans="2:8" ht="13.5" thickBot="1">
      <c r="B965" s="975" t="s">
        <v>1049</v>
      </c>
      <c r="C965" s="976"/>
      <c r="D965" s="976"/>
      <c r="E965" s="976"/>
      <c r="F965" s="977"/>
      <c r="G965" s="118">
        <f>ROUND(G963+G964,-2)</f>
        <v>2000700</v>
      </c>
      <c r="H965" s="505" t="s">
        <v>1670</v>
      </c>
    </row>
    <row r="966" spans="2:8" ht="13.5" thickTop="1"/>
    <row r="967" spans="2:8" ht="13.5" thickBot="1"/>
    <row r="968" spans="2:8" ht="13.5" thickTop="1">
      <c r="B968" s="225" t="s">
        <v>303</v>
      </c>
      <c r="C968" s="843"/>
      <c r="D968" s="843"/>
      <c r="E968" s="843"/>
      <c r="F968" s="92" t="s">
        <v>781</v>
      </c>
      <c r="G968" s="93" t="s">
        <v>865</v>
      </c>
    </row>
    <row r="969" spans="2:8">
      <c r="B969" s="226" t="s">
        <v>834</v>
      </c>
      <c r="C969" s="844" t="s">
        <v>382</v>
      </c>
      <c r="D969" s="844"/>
      <c r="E969" s="844"/>
      <c r="F969" s="15" t="s">
        <v>833</v>
      </c>
      <c r="G969" s="165" t="str">
        <f>'MANO DE OBRA'!D61</f>
        <v>Agosto de 2010</v>
      </c>
    </row>
    <row r="970" spans="2:8" ht="13.5" thickBot="1">
      <c r="B970" s="228" t="s">
        <v>835</v>
      </c>
      <c r="C970" s="845" t="s">
        <v>109</v>
      </c>
      <c r="D970" s="845"/>
      <c r="E970" s="845"/>
      <c r="F970" s="845"/>
      <c r="G970" s="846"/>
    </row>
    <row r="971" spans="2:8" ht="14.25" thickTop="1" thickBot="1">
      <c r="B971" s="986"/>
      <c r="C971" s="986"/>
      <c r="D971" s="986"/>
      <c r="E971" s="986"/>
      <c r="F971" s="986"/>
      <c r="G971" s="986"/>
    </row>
    <row r="972" spans="2:8" ht="13.5" thickTop="1">
      <c r="B972" s="950" t="s">
        <v>304</v>
      </c>
      <c r="C972" s="951"/>
      <c r="D972" s="951"/>
      <c r="E972" s="951"/>
      <c r="F972" s="951"/>
      <c r="G972" s="952"/>
    </row>
    <row r="973" spans="2:8">
      <c r="B973" s="229"/>
      <c r="C973" s="97"/>
      <c r="D973" s="98" t="s">
        <v>301</v>
      </c>
      <c r="E973" s="98" t="s">
        <v>1072</v>
      </c>
      <c r="F973" s="99" t="s">
        <v>839</v>
      </c>
      <c r="G973" s="107" t="s">
        <v>840</v>
      </c>
    </row>
    <row r="974" spans="2:8">
      <c r="B974" s="982" t="s">
        <v>838</v>
      </c>
      <c r="C974" s="983"/>
      <c r="D974" s="100" t="s">
        <v>308</v>
      </c>
      <c r="E974" s="100" t="s">
        <v>305</v>
      </c>
      <c r="F974" s="101" t="s">
        <v>306</v>
      </c>
      <c r="G974" s="108" t="s">
        <v>310</v>
      </c>
    </row>
    <row r="975" spans="2:8">
      <c r="B975" s="230"/>
      <c r="C975" s="102"/>
      <c r="D975" s="103"/>
      <c r="E975" s="103" t="s">
        <v>309</v>
      </c>
      <c r="F975" s="104" t="s">
        <v>307</v>
      </c>
      <c r="G975" s="109"/>
    </row>
    <row r="976" spans="2:8">
      <c r="B976" s="841" t="str">
        <f>'MAQUINARIA Y EQUIPOS'!$C$28</f>
        <v>HERRAMIENTAS MENORES</v>
      </c>
      <c r="C976" s="842"/>
      <c r="D976" s="87">
        <v>1</v>
      </c>
      <c r="E976" s="82">
        <f>ROUND(G1009*0.05,0)</f>
        <v>338</v>
      </c>
      <c r="F976" s="81">
        <v>1</v>
      </c>
      <c r="G976" s="110">
        <f>ROUND(D976*E976/F976,0)</f>
        <v>338</v>
      </c>
    </row>
    <row r="977" spans="2:7">
      <c r="B977" s="854"/>
      <c r="C977" s="855"/>
      <c r="D977" s="37"/>
      <c r="E977" s="129"/>
      <c r="F977" s="83"/>
      <c r="G977" s="111"/>
    </row>
    <row r="978" spans="2:7">
      <c r="B978" s="854"/>
      <c r="C978" s="855"/>
      <c r="D978" s="37"/>
      <c r="E978" s="129"/>
      <c r="F978" s="83"/>
      <c r="G978" s="111"/>
    </row>
    <row r="979" spans="2:7">
      <c r="B979" s="854"/>
      <c r="C979" s="855"/>
      <c r="D979" s="89"/>
      <c r="E979" s="82"/>
      <c r="F979" s="83"/>
      <c r="G979" s="111"/>
    </row>
    <row r="980" spans="2:7">
      <c r="B980" s="854" t="s">
        <v>841</v>
      </c>
      <c r="C980" s="855"/>
      <c r="D980" s="37"/>
      <c r="E980" s="82"/>
      <c r="F980" s="83"/>
      <c r="G980" s="111"/>
    </row>
    <row r="981" spans="2:7" ht="13.5" thickBot="1">
      <c r="B981" s="942" t="s">
        <v>841</v>
      </c>
      <c r="C981" s="943"/>
      <c r="D981" s="77"/>
      <c r="E981" s="106"/>
      <c r="F981" s="86"/>
      <c r="G981" s="112"/>
    </row>
    <row r="982" spans="2:7" ht="14.25" thickTop="1" thickBot="1">
      <c r="B982" s="946"/>
      <c r="C982" s="946"/>
      <c r="D982" s="946"/>
      <c r="E982" s="947"/>
      <c r="F982" s="119" t="s">
        <v>856</v>
      </c>
      <c r="G982" s="118">
        <f>SUM(G976:G981)</f>
        <v>338</v>
      </c>
    </row>
    <row r="983" spans="2:7" ht="14.25" thickTop="1" thickBot="1">
      <c r="B983" s="970"/>
      <c r="C983" s="970"/>
      <c r="D983" s="970"/>
      <c r="E983" s="970"/>
      <c r="F983" s="970"/>
      <c r="G983" s="970"/>
    </row>
    <row r="984" spans="2:7" ht="13.5" thickTop="1">
      <c r="B984" s="950" t="s">
        <v>311</v>
      </c>
      <c r="C984" s="951"/>
      <c r="D984" s="951"/>
      <c r="E984" s="951"/>
      <c r="F984" s="951"/>
      <c r="G984" s="952"/>
    </row>
    <row r="985" spans="2:7">
      <c r="B985" s="978" t="s">
        <v>838</v>
      </c>
      <c r="C985" s="979"/>
      <c r="D985" s="98" t="s">
        <v>842</v>
      </c>
      <c r="E985" s="98" t="s">
        <v>853</v>
      </c>
      <c r="F985" s="99" t="s">
        <v>1047</v>
      </c>
      <c r="G985" s="107" t="s">
        <v>840</v>
      </c>
    </row>
    <row r="986" spans="2:7">
      <c r="B986" s="230"/>
      <c r="C986" s="102"/>
      <c r="D986" s="100"/>
      <c r="E986" s="100" t="s">
        <v>312</v>
      </c>
      <c r="F986" s="101" t="s">
        <v>313</v>
      </c>
      <c r="G986" s="109" t="s">
        <v>314</v>
      </c>
    </row>
    <row r="987" spans="2:7">
      <c r="B987" s="841" t="str">
        <f>MATERIALES2!C344</f>
        <v>INCRUSTACIONES(3 PIEZAS)</v>
      </c>
      <c r="C987" s="842"/>
      <c r="D987" s="87" t="s">
        <v>865</v>
      </c>
      <c r="E987" s="81">
        <v>1</v>
      </c>
      <c r="F987" s="80">
        <f>MATERIALES2!E344</f>
        <v>27000</v>
      </c>
      <c r="G987" s="111">
        <f>ROUND(E987*F987,0)</f>
        <v>27000</v>
      </c>
    </row>
    <row r="988" spans="2:7">
      <c r="B988" s="854" t="str">
        <f>MATERIALES2!C12</f>
        <v>CEMENTO BLANCO</v>
      </c>
      <c r="C988" s="855"/>
      <c r="D988" s="37" t="s">
        <v>925</v>
      </c>
      <c r="E988" s="83">
        <v>1.6</v>
      </c>
      <c r="F988" s="82">
        <f>MATERIALES2!E12</f>
        <v>750</v>
      </c>
      <c r="G988" s="111">
        <f>ROUND(E988*F988,0)</f>
        <v>1200</v>
      </c>
    </row>
    <row r="989" spans="2:7">
      <c r="B989" s="854"/>
      <c r="C989" s="855"/>
      <c r="D989" s="37"/>
      <c r="E989" s="83"/>
      <c r="F989" s="82"/>
      <c r="G989" s="111"/>
    </row>
    <row r="990" spans="2:7">
      <c r="B990" s="854"/>
      <c r="C990" s="855"/>
      <c r="D990" s="37"/>
      <c r="E990" s="83"/>
      <c r="F990" s="82"/>
      <c r="G990" s="111"/>
    </row>
    <row r="991" spans="2:7">
      <c r="B991" s="854"/>
      <c r="C991" s="855"/>
      <c r="D991" s="37"/>
      <c r="E991" s="83"/>
      <c r="F991" s="82"/>
      <c r="G991" s="111"/>
    </row>
    <row r="992" spans="2:7">
      <c r="B992" s="854"/>
      <c r="C992" s="855"/>
      <c r="D992" s="37"/>
      <c r="E992" s="83"/>
      <c r="F992" s="82"/>
      <c r="G992" s="111"/>
    </row>
    <row r="993" spans="2:8">
      <c r="B993" s="854"/>
      <c r="C993" s="855"/>
      <c r="D993" s="37"/>
      <c r="E993" s="83"/>
      <c r="F993" s="82"/>
      <c r="G993" s="111"/>
    </row>
    <row r="994" spans="2:8">
      <c r="B994" s="854"/>
      <c r="C994" s="855"/>
      <c r="D994" s="37"/>
      <c r="E994" s="83"/>
      <c r="F994" s="82"/>
      <c r="G994" s="111"/>
      <c r="H994" s="505" t="s">
        <v>1670</v>
      </c>
    </row>
    <row r="995" spans="2:8" ht="13.5" thickBot="1">
      <c r="B995" s="854"/>
      <c r="C995" s="855"/>
      <c r="D995" s="37"/>
      <c r="E995" s="86"/>
      <c r="F995" s="82"/>
      <c r="G995" s="111"/>
    </row>
    <row r="996" spans="2:8" ht="13.5" thickTop="1">
      <c r="B996" s="946"/>
      <c r="C996" s="947"/>
      <c r="D996" s="801" t="s">
        <v>856</v>
      </c>
      <c r="E996" s="802"/>
      <c r="F996" s="9"/>
      <c r="G996" s="113">
        <f>SUM(G987:G995)</f>
        <v>28200</v>
      </c>
    </row>
    <row r="997" spans="2:8">
      <c r="B997" s="948"/>
      <c r="C997" s="949"/>
      <c r="D997" s="801" t="s">
        <v>857</v>
      </c>
      <c r="E997" s="802"/>
      <c r="F997" s="79">
        <f>'MANO DE OBRA'!$D$60</f>
        <v>0.05</v>
      </c>
      <c r="G997" s="113">
        <f>ROUND(G996*F997,0)</f>
        <v>1410</v>
      </c>
    </row>
    <row r="998" spans="2:8" ht="13.5" thickBot="1">
      <c r="B998" s="948"/>
      <c r="C998" s="949"/>
      <c r="D998" s="803" t="s">
        <v>320</v>
      </c>
      <c r="E998" s="804"/>
      <c r="F998" s="114"/>
      <c r="G998" s="118">
        <f>+G996+G997</f>
        <v>29610</v>
      </c>
    </row>
    <row r="999" spans="2:8" ht="14.25" thickTop="1" thickBot="1">
      <c r="B999" s="970"/>
      <c r="C999" s="970"/>
      <c r="D999" s="970"/>
      <c r="E999" s="970"/>
      <c r="F999" s="970"/>
      <c r="G999" s="970"/>
    </row>
    <row r="1000" spans="2:8" ht="13.5" thickTop="1">
      <c r="B1000" s="950" t="s">
        <v>858</v>
      </c>
      <c r="C1000" s="951"/>
      <c r="D1000" s="951"/>
      <c r="E1000" s="951"/>
      <c r="F1000" s="951"/>
      <c r="G1000" s="952"/>
    </row>
    <row r="1001" spans="2:8">
      <c r="B1001" s="978"/>
      <c r="C1001" s="979"/>
      <c r="D1001" s="98" t="s">
        <v>301</v>
      </c>
      <c r="E1001" s="98" t="s">
        <v>859</v>
      </c>
      <c r="F1001" s="99" t="s">
        <v>839</v>
      </c>
      <c r="G1001" s="107" t="s">
        <v>840</v>
      </c>
    </row>
    <row r="1002" spans="2:8">
      <c r="B1002" s="982" t="s">
        <v>838</v>
      </c>
      <c r="C1002" s="983"/>
      <c r="D1002" s="100" t="s">
        <v>316</v>
      </c>
      <c r="E1002" s="100" t="s">
        <v>315</v>
      </c>
      <c r="F1002" s="101" t="s">
        <v>306</v>
      </c>
      <c r="G1002" s="108" t="s">
        <v>319</v>
      </c>
    </row>
    <row r="1003" spans="2:8">
      <c r="B1003" s="230"/>
      <c r="C1003" s="102"/>
      <c r="D1003" s="103"/>
      <c r="E1003" s="103" t="s">
        <v>317</v>
      </c>
      <c r="F1003" s="104" t="s">
        <v>318</v>
      </c>
      <c r="G1003" s="109"/>
    </row>
    <row r="1004" spans="2:8">
      <c r="B1004" s="841" t="str">
        <f>'MANO DE OBRA'!$B$11</f>
        <v>AYUDANTE CUAD. TIPO BB</v>
      </c>
      <c r="C1004" s="842"/>
      <c r="D1004" s="87">
        <v>1</v>
      </c>
      <c r="E1004" s="80">
        <f>'MANO DE OBRA'!$E$11</f>
        <v>43077</v>
      </c>
      <c r="F1004" s="81">
        <v>18</v>
      </c>
      <c r="G1004" s="110">
        <f>ROUND(D1004*E1004/F1004,0)</f>
        <v>2393</v>
      </c>
    </row>
    <row r="1005" spans="2:8">
      <c r="B1005" s="854" t="str">
        <f>'MANO DE OBRA'!$B$16</f>
        <v>OFICIAL CUAD. TIPO BB</v>
      </c>
      <c r="C1005" s="855"/>
      <c r="D1005" s="37">
        <v>1</v>
      </c>
      <c r="E1005" s="82">
        <f>'MANO DE OBRA'!$E$16</f>
        <v>78577</v>
      </c>
      <c r="F1005" s="83">
        <v>18</v>
      </c>
      <c r="G1005" s="111">
        <f>ROUND(D1005*E1005/F1005,0)</f>
        <v>4365</v>
      </c>
    </row>
    <row r="1006" spans="2:8">
      <c r="B1006" s="854"/>
      <c r="C1006" s="855"/>
      <c r="D1006" s="89"/>
      <c r="E1006" s="82"/>
      <c r="F1006" s="83"/>
      <c r="G1006" s="111"/>
    </row>
    <row r="1007" spans="2:8">
      <c r="B1007" s="854" t="s">
        <v>841</v>
      </c>
      <c r="C1007" s="855"/>
      <c r="D1007" s="37"/>
      <c r="E1007" s="82"/>
      <c r="F1007" s="83"/>
      <c r="G1007" s="111"/>
    </row>
    <row r="1008" spans="2:8" ht="13.5" thickBot="1">
      <c r="B1008" s="980" t="s">
        <v>841</v>
      </c>
      <c r="C1008" s="981"/>
      <c r="D1008" s="77"/>
      <c r="E1008" s="82"/>
      <c r="F1008" s="86"/>
      <c r="G1008" s="112"/>
    </row>
    <row r="1009" spans="2:8" ht="14.25" thickTop="1" thickBot="1">
      <c r="B1009" s="946"/>
      <c r="C1009" s="946"/>
      <c r="D1009" s="946"/>
      <c r="E1009" s="947"/>
      <c r="F1009" s="120" t="s">
        <v>856</v>
      </c>
      <c r="G1009" s="118">
        <f>SUM(G1004:G1008)</f>
        <v>6758</v>
      </c>
    </row>
    <row r="1010" spans="2:8" ht="14.25" thickTop="1" thickBot="1">
      <c r="B1010" s="970"/>
      <c r="C1010" s="970"/>
      <c r="D1010" s="970"/>
      <c r="E1010" s="970"/>
      <c r="F1010" s="970"/>
      <c r="G1010" s="970"/>
    </row>
    <row r="1011" spans="2:8" ht="13.5" thickTop="1">
      <c r="B1011" s="950" t="s">
        <v>321</v>
      </c>
      <c r="C1011" s="951"/>
      <c r="D1011" s="951"/>
      <c r="E1011" s="951"/>
      <c r="F1011" s="951"/>
      <c r="G1011" s="952"/>
    </row>
    <row r="1012" spans="2:8">
      <c r="B1012" s="978" t="s">
        <v>838</v>
      </c>
      <c r="C1012" s="979"/>
      <c r="D1012" s="98" t="s">
        <v>301</v>
      </c>
      <c r="E1012" s="98" t="s">
        <v>297</v>
      </c>
      <c r="F1012" s="99" t="s">
        <v>839</v>
      </c>
      <c r="G1012" s="107" t="s">
        <v>840</v>
      </c>
    </row>
    <row r="1013" spans="2:8">
      <c r="B1013" s="230"/>
      <c r="C1013" s="102"/>
      <c r="D1013" s="103" t="s">
        <v>322</v>
      </c>
      <c r="E1013" s="103" t="s">
        <v>323</v>
      </c>
      <c r="F1013" s="104" t="s">
        <v>324</v>
      </c>
      <c r="G1013" s="109" t="s">
        <v>325</v>
      </c>
    </row>
    <row r="1014" spans="2:8">
      <c r="B1014" s="841"/>
      <c r="C1014" s="842"/>
      <c r="D1014" s="96"/>
      <c r="E1014" s="96"/>
      <c r="F1014" s="96"/>
      <c r="G1014" s="116"/>
    </row>
    <row r="1015" spans="2:8" ht="13.5" thickBot="1">
      <c r="B1015" s="980" t="s">
        <v>841</v>
      </c>
      <c r="C1015" s="981"/>
      <c r="D1015" s="77"/>
      <c r="E1015" s="82"/>
      <c r="F1015" s="86"/>
      <c r="G1015" s="112"/>
    </row>
    <row r="1016" spans="2:8" ht="14.25" thickTop="1" thickBot="1">
      <c r="B1016" s="946"/>
      <c r="C1016" s="946"/>
      <c r="D1016" s="946"/>
      <c r="E1016" s="947"/>
      <c r="F1016" s="120" t="s">
        <v>856</v>
      </c>
      <c r="G1016" s="118">
        <f>SUM(G1011:G1015)</f>
        <v>0</v>
      </c>
    </row>
    <row r="1017" spans="2:8" ht="14.25" thickTop="1" thickBot="1">
      <c r="B1017" s="970"/>
      <c r="C1017" s="970"/>
      <c r="D1017" s="970"/>
      <c r="E1017" s="970"/>
      <c r="F1017" s="970"/>
      <c r="G1017" s="943"/>
    </row>
    <row r="1018" spans="2:8" ht="13.5" thickTop="1">
      <c r="B1018" s="950" t="s">
        <v>326</v>
      </c>
      <c r="C1018" s="951"/>
      <c r="D1018" s="951"/>
      <c r="E1018" s="951"/>
      <c r="F1018" s="971"/>
      <c r="G1018" s="121">
        <f>+G982+G998+G1009</f>
        <v>36706</v>
      </c>
    </row>
    <row r="1019" spans="2:8">
      <c r="B1019" s="972" t="s">
        <v>861</v>
      </c>
      <c r="C1019" s="973"/>
      <c r="D1019" s="973"/>
      <c r="E1019" s="974"/>
      <c r="F1019" s="128">
        <f>'MANO DE OBRA'!$D$59</f>
        <v>0</v>
      </c>
      <c r="G1019" s="122">
        <f>ROUND(G1018*F1019,0)</f>
        <v>0</v>
      </c>
    </row>
    <row r="1020" spans="2:8" ht="13.5" thickBot="1">
      <c r="B1020" s="975" t="s">
        <v>1049</v>
      </c>
      <c r="C1020" s="976"/>
      <c r="D1020" s="976"/>
      <c r="E1020" s="976"/>
      <c r="F1020" s="977"/>
      <c r="G1020" s="118">
        <f>ROUND(G1018+G1019,-2)</f>
        <v>36700</v>
      </c>
      <c r="H1020" s="505" t="s">
        <v>1670</v>
      </c>
    </row>
    <row r="1021" spans="2:8" ht="13.5" thickTop="1"/>
    <row r="1022" spans="2:8" ht="13.5" thickBot="1"/>
    <row r="1023" spans="2:8" ht="13.5" thickTop="1">
      <c r="B1023" s="225" t="s">
        <v>303</v>
      </c>
      <c r="C1023" s="843"/>
      <c r="D1023" s="843"/>
      <c r="E1023" s="843"/>
      <c r="F1023" s="92" t="s">
        <v>781</v>
      </c>
      <c r="G1023" s="93" t="s">
        <v>865</v>
      </c>
    </row>
    <row r="1024" spans="2:8">
      <c r="B1024" s="226" t="s">
        <v>834</v>
      </c>
      <c r="C1024" s="844" t="s">
        <v>1474</v>
      </c>
      <c r="D1024" s="844"/>
      <c r="E1024" s="844"/>
      <c r="F1024" s="15" t="s">
        <v>833</v>
      </c>
      <c r="G1024" s="165" t="str">
        <f>'MANO DE OBRA'!D61</f>
        <v>Agosto de 2010</v>
      </c>
    </row>
    <row r="1025" spans="2:7" ht="13.5" thickBot="1">
      <c r="B1025" s="228" t="s">
        <v>835</v>
      </c>
      <c r="C1025" s="845" t="s">
        <v>112</v>
      </c>
      <c r="D1025" s="845"/>
      <c r="E1025" s="845"/>
      <c r="F1025" s="845"/>
      <c r="G1025" s="846"/>
    </row>
    <row r="1026" spans="2:7" ht="14.25" thickTop="1" thickBot="1">
      <c r="B1026" s="986"/>
      <c r="C1026" s="986"/>
      <c r="D1026" s="986"/>
      <c r="E1026" s="986"/>
      <c r="F1026" s="986"/>
      <c r="G1026" s="986"/>
    </row>
    <row r="1027" spans="2:7" ht="13.5" thickTop="1">
      <c r="B1027" s="950" t="s">
        <v>304</v>
      </c>
      <c r="C1027" s="951"/>
      <c r="D1027" s="951"/>
      <c r="E1027" s="951"/>
      <c r="F1027" s="951"/>
      <c r="G1027" s="952"/>
    </row>
    <row r="1028" spans="2:7">
      <c r="B1028" s="229"/>
      <c r="C1028" s="97"/>
      <c r="D1028" s="98" t="s">
        <v>301</v>
      </c>
      <c r="E1028" s="98" t="s">
        <v>1072</v>
      </c>
      <c r="F1028" s="99" t="s">
        <v>839</v>
      </c>
      <c r="G1028" s="107" t="s">
        <v>840</v>
      </c>
    </row>
    <row r="1029" spans="2:7">
      <c r="B1029" s="982" t="s">
        <v>838</v>
      </c>
      <c r="C1029" s="983"/>
      <c r="D1029" s="100" t="s">
        <v>308</v>
      </c>
      <c r="E1029" s="100" t="s">
        <v>305</v>
      </c>
      <c r="F1029" s="101" t="s">
        <v>306</v>
      </c>
      <c r="G1029" s="108" t="s">
        <v>310</v>
      </c>
    </row>
    <row r="1030" spans="2:7">
      <c r="B1030" s="230"/>
      <c r="C1030" s="102"/>
      <c r="D1030" s="103"/>
      <c r="E1030" s="103" t="s">
        <v>309</v>
      </c>
      <c r="F1030" s="104" t="s">
        <v>307</v>
      </c>
      <c r="G1030" s="109"/>
    </row>
    <row r="1031" spans="2:7">
      <c r="B1031" s="841" t="str">
        <f>'MAQUINARIA Y EQUIPOS'!$C$28</f>
        <v>HERRAMIENTAS MENORES</v>
      </c>
      <c r="C1031" s="842"/>
      <c r="D1031" s="87">
        <v>1</v>
      </c>
      <c r="E1031" s="82">
        <f>ROUND(G1064*0.05,0)</f>
        <v>152</v>
      </c>
      <c r="F1031" s="81">
        <v>1</v>
      </c>
      <c r="G1031" s="110">
        <f>ROUND(D1031*E1031/F1031,0)</f>
        <v>152</v>
      </c>
    </row>
    <row r="1032" spans="2:7">
      <c r="B1032" s="854"/>
      <c r="C1032" s="855"/>
      <c r="D1032" s="37"/>
      <c r="E1032" s="129"/>
      <c r="F1032" s="83"/>
      <c r="G1032" s="111"/>
    </row>
    <row r="1033" spans="2:7">
      <c r="B1033" s="854"/>
      <c r="C1033" s="855"/>
      <c r="D1033" s="37"/>
      <c r="E1033" s="129"/>
      <c r="F1033" s="83"/>
      <c r="G1033" s="111"/>
    </row>
    <row r="1034" spans="2:7">
      <c r="B1034" s="854"/>
      <c r="C1034" s="855"/>
      <c r="D1034" s="89"/>
      <c r="E1034" s="82"/>
      <c r="F1034" s="83"/>
      <c r="G1034" s="111"/>
    </row>
    <row r="1035" spans="2:7">
      <c r="B1035" s="854" t="s">
        <v>841</v>
      </c>
      <c r="C1035" s="855"/>
      <c r="D1035" s="37"/>
      <c r="E1035" s="82"/>
      <c r="F1035" s="83"/>
      <c r="G1035" s="111"/>
    </row>
    <row r="1036" spans="2:7" ht="13.5" thickBot="1">
      <c r="B1036" s="942" t="s">
        <v>841</v>
      </c>
      <c r="C1036" s="943"/>
      <c r="D1036" s="77"/>
      <c r="E1036" s="106"/>
      <c r="F1036" s="86"/>
      <c r="G1036" s="112"/>
    </row>
    <row r="1037" spans="2:7" ht="14.25" thickTop="1" thickBot="1">
      <c r="B1037" s="946"/>
      <c r="C1037" s="946"/>
      <c r="D1037" s="946"/>
      <c r="E1037" s="947"/>
      <c r="F1037" s="119" t="s">
        <v>856</v>
      </c>
      <c r="G1037" s="118">
        <f>SUM(G1031:G1036)</f>
        <v>152</v>
      </c>
    </row>
    <row r="1038" spans="2:7" ht="14.25" thickTop="1" thickBot="1">
      <c r="B1038" s="970"/>
      <c r="C1038" s="970"/>
      <c r="D1038" s="970"/>
      <c r="E1038" s="970"/>
      <c r="F1038" s="970"/>
      <c r="G1038" s="970"/>
    </row>
    <row r="1039" spans="2:7" ht="13.5" thickTop="1">
      <c r="B1039" s="950" t="s">
        <v>311</v>
      </c>
      <c r="C1039" s="951"/>
      <c r="D1039" s="951"/>
      <c r="E1039" s="951"/>
      <c r="F1039" s="951"/>
      <c r="G1039" s="952"/>
    </row>
    <row r="1040" spans="2:7">
      <c r="B1040" s="978" t="s">
        <v>838</v>
      </c>
      <c r="C1040" s="979"/>
      <c r="D1040" s="98" t="s">
        <v>842</v>
      </c>
      <c r="E1040" s="98" t="s">
        <v>853</v>
      </c>
      <c r="F1040" s="99" t="s">
        <v>1047</v>
      </c>
      <c r="G1040" s="107" t="s">
        <v>840</v>
      </c>
    </row>
    <row r="1041" spans="2:8">
      <c r="B1041" s="230"/>
      <c r="C1041" s="102"/>
      <c r="D1041" s="100"/>
      <c r="E1041" s="100" t="s">
        <v>312</v>
      </c>
      <c r="F1041" s="101" t="s">
        <v>313</v>
      </c>
      <c r="G1041" s="109" t="s">
        <v>314</v>
      </c>
    </row>
    <row r="1042" spans="2:8">
      <c r="B1042" s="841" t="str">
        <f>MATERIALES2!C893</f>
        <v>REJILLA PLASTICA PARA PISO</v>
      </c>
      <c r="C1042" s="842"/>
      <c r="D1042" s="87" t="s">
        <v>865</v>
      </c>
      <c r="E1042" s="81">
        <v>1</v>
      </c>
      <c r="F1042" s="80">
        <f>MATERIALES2!E893</f>
        <v>4700</v>
      </c>
      <c r="G1042" s="111">
        <f>ROUND(E1042*F1042,0)</f>
        <v>4700</v>
      </c>
    </row>
    <row r="1043" spans="2:8">
      <c r="B1043" s="854" t="str">
        <f>MATERIALES2!C12</f>
        <v>CEMENTO BLANCO</v>
      </c>
      <c r="C1043" s="855"/>
      <c r="D1043" s="37" t="s">
        <v>925</v>
      </c>
      <c r="E1043" s="83">
        <v>0.75</v>
      </c>
      <c r="F1043" s="82">
        <f>MATERIALES2!E12</f>
        <v>750</v>
      </c>
      <c r="G1043" s="111">
        <f>ROUND(E1043*F1043,0)</f>
        <v>563</v>
      </c>
    </row>
    <row r="1044" spans="2:8">
      <c r="B1044" s="854"/>
      <c r="C1044" s="855"/>
      <c r="D1044" s="37"/>
      <c r="E1044" s="83"/>
      <c r="F1044" s="82"/>
      <c r="G1044" s="111"/>
    </row>
    <row r="1045" spans="2:8">
      <c r="B1045" s="854"/>
      <c r="C1045" s="855"/>
      <c r="D1045" s="37"/>
      <c r="E1045" s="83"/>
      <c r="F1045" s="82"/>
      <c r="G1045" s="111"/>
    </row>
    <row r="1046" spans="2:8">
      <c r="B1046" s="854"/>
      <c r="C1046" s="855"/>
      <c r="D1046" s="37"/>
      <c r="E1046" s="83"/>
      <c r="F1046" s="82"/>
      <c r="G1046" s="111"/>
    </row>
    <row r="1047" spans="2:8">
      <c r="B1047" s="854"/>
      <c r="C1047" s="855"/>
      <c r="D1047" s="37"/>
      <c r="E1047" s="83"/>
      <c r="F1047" s="82"/>
      <c r="G1047" s="111"/>
    </row>
    <row r="1048" spans="2:8">
      <c r="B1048" s="854"/>
      <c r="C1048" s="855"/>
      <c r="D1048" s="37"/>
      <c r="E1048" s="83"/>
      <c r="F1048" s="82"/>
      <c r="G1048" s="111"/>
    </row>
    <row r="1049" spans="2:8">
      <c r="B1049" s="854"/>
      <c r="C1049" s="855"/>
      <c r="D1049" s="37"/>
      <c r="E1049" s="83"/>
      <c r="F1049" s="82"/>
      <c r="G1049" s="111"/>
      <c r="H1049" s="505" t="s">
        <v>1670</v>
      </c>
    </row>
    <row r="1050" spans="2:8" ht="13.5" thickBot="1">
      <c r="B1050" s="854"/>
      <c r="C1050" s="855"/>
      <c r="D1050" s="37"/>
      <c r="E1050" s="86"/>
      <c r="F1050" s="82"/>
      <c r="G1050" s="111"/>
    </row>
    <row r="1051" spans="2:8" ht="13.5" thickTop="1">
      <c r="B1051" s="946"/>
      <c r="C1051" s="947"/>
      <c r="D1051" s="801" t="s">
        <v>856</v>
      </c>
      <c r="E1051" s="802"/>
      <c r="F1051" s="9"/>
      <c r="G1051" s="113">
        <f>SUM(G1042:G1050)</f>
        <v>5263</v>
      </c>
    </row>
    <row r="1052" spans="2:8">
      <c r="B1052" s="948"/>
      <c r="C1052" s="949"/>
      <c r="D1052" s="801" t="s">
        <v>857</v>
      </c>
      <c r="E1052" s="802"/>
      <c r="F1052" s="79">
        <f>'MANO DE OBRA'!$D$60</f>
        <v>0.05</v>
      </c>
      <c r="G1052" s="113">
        <f>ROUND(G1051*F1052,0)</f>
        <v>263</v>
      </c>
    </row>
    <row r="1053" spans="2:8" ht="13.5" thickBot="1">
      <c r="B1053" s="948"/>
      <c r="C1053" s="949"/>
      <c r="D1053" s="803" t="s">
        <v>320</v>
      </c>
      <c r="E1053" s="804"/>
      <c r="F1053" s="114"/>
      <c r="G1053" s="118">
        <f>+G1051+G1052</f>
        <v>5526</v>
      </c>
    </row>
    <row r="1054" spans="2:8" ht="14.25" thickTop="1" thickBot="1">
      <c r="B1054" s="970"/>
      <c r="C1054" s="970"/>
      <c r="D1054" s="970"/>
      <c r="E1054" s="970"/>
      <c r="F1054" s="970"/>
      <c r="G1054" s="970"/>
    </row>
    <row r="1055" spans="2:8" ht="13.5" thickTop="1">
      <c r="B1055" s="950" t="s">
        <v>858</v>
      </c>
      <c r="C1055" s="951"/>
      <c r="D1055" s="951"/>
      <c r="E1055" s="951"/>
      <c r="F1055" s="951"/>
      <c r="G1055" s="952"/>
    </row>
    <row r="1056" spans="2:8">
      <c r="B1056" s="978"/>
      <c r="C1056" s="979"/>
      <c r="D1056" s="98" t="s">
        <v>301</v>
      </c>
      <c r="E1056" s="98" t="s">
        <v>859</v>
      </c>
      <c r="F1056" s="99" t="s">
        <v>839</v>
      </c>
      <c r="G1056" s="107" t="s">
        <v>840</v>
      </c>
    </row>
    <row r="1057" spans="2:7">
      <c r="B1057" s="982" t="s">
        <v>838</v>
      </c>
      <c r="C1057" s="983"/>
      <c r="D1057" s="100" t="s">
        <v>316</v>
      </c>
      <c r="E1057" s="100" t="s">
        <v>315</v>
      </c>
      <c r="F1057" s="101" t="s">
        <v>306</v>
      </c>
      <c r="G1057" s="108" t="s">
        <v>319</v>
      </c>
    </row>
    <row r="1058" spans="2:7">
      <c r="B1058" s="230"/>
      <c r="C1058" s="102"/>
      <c r="D1058" s="103"/>
      <c r="E1058" s="103" t="s">
        <v>317</v>
      </c>
      <c r="F1058" s="104" t="s">
        <v>318</v>
      </c>
      <c r="G1058" s="109"/>
    </row>
    <row r="1059" spans="2:7">
      <c r="B1059" s="841" t="str">
        <f>'MANO DE OBRA'!$B$11</f>
        <v>AYUDANTE CUAD. TIPO BB</v>
      </c>
      <c r="C1059" s="842"/>
      <c r="D1059" s="87">
        <v>1</v>
      </c>
      <c r="E1059" s="80">
        <f>'MANO DE OBRA'!$E$11</f>
        <v>43077</v>
      </c>
      <c r="F1059" s="81">
        <v>40</v>
      </c>
      <c r="G1059" s="110">
        <f>ROUND(D1059*E1059/F1059,0)</f>
        <v>1077</v>
      </c>
    </row>
    <row r="1060" spans="2:7">
      <c r="B1060" s="854" t="str">
        <f>'MANO DE OBRA'!$B$16</f>
        <v>OFICIAL CUAD. TIPO BB</v>
      </c>
      <c r="C1060" s="855"/>
      <c r="D1060" s="37">
        <v>1</v>
      </c>
      <c r="E1060" s="82">
        <f>'MANO DE OBRA'!$E$16</f>
        <v>78577</v>
      </c>
      <c r="F1060" s="83">
        <v>40</v>
      </c>
      <c r="G1060" s="111">
        <f>ROUND(D1060*E1060/F1060,0)</f>
        <v>1964</v>
      </c>
    </row>
    <row r="1061" spans="2:7">
      <c r="B1061" s="854"/>
      <c r="C1061" s="855"/>
      <c r="D1061" s="89"/>
      <c r="E1061" s="82"/>
      <c r="F1061" s="83"/>
      <c r="G1061" s="111"/>
    </row>
    <row r="1062" spans="2:7">
      <c r="B1062" s="854" t="s">
        <v>841</v>
      </c>
      <c r="C1062" s="855"/>
      <c r="D1062" s="37"/>
      <c r="E1062" s="82"/>
      <c r="F1062" s="83"/>
      <c r="G1062" s="111"/>
    </row>
    <row r="1063" spans="2:7" ht="13.5" thickBot="1">
      <c r="B1063" s="980" t="s">
        <v>841</v>
      </c>
      <c r="C1063" s="981"/>
      <c r="D1063" s="77"/>
      <c r="E1063" s="82"/>
      <c r="F1063" s="86"/>
      <c r="G1063" s="112"/>
    </row>
    <row r="1064" spans="2:7" ht="14.25" thickTop="1" thickBot="1">
      <c r="B1064" s="946"/>
      <c r="C1064" s="946"/>
      <c r="D1064" s="946"/>
      <c r="E1064" s="947"/>
      <c r="F1064" s="120" t="s">
        <v>856</v>
      </c>
      <c r="G1064" s="118">
        <f>SUM(G1059:G1063)</f>
        <v>3041</v>
      </c>
    </row>
    <row r="1065" spans="2:7" ht="14.25" thickTop="1" thickBot="1">
      <c r="B1065" s="970"/>
      <c r="C1065" s="970"/>
      <c r="D1065" s="970"/>
      <c r="E1065" s="970"/>
      <c r="F1065" s="970"/>
      <c r="G1065" s="970"/>
    </row>
    <row r="1066" spans="2:7" ht="13.5" thickTop="1">
      <c r="B1066" s="950" t="s">
        <v>321</v>
      </c>
      <c r="C1066" s="951"/>
      <c r="D1066" s="951"/>
      <c r="E1066" s="951"/>
      <c r="F1066" s="951"/>
      <c r="G1066" s="952"/>
    </row>
    <row r="1067" spans="2:7">
      <c r="B1067" s="978" t="s">
        <v>838</v>
      </c>
      <c r="C1067" s="979"/>
      <c r="D1067" s="98" t="s">
        <v>301</v>
      </c>
      <c r="E1067" s="98" t="s">
        <v>297</v>
      </c>
      <c r="F1067" s="99" t="s">
        <v>839</v>
      </c>
      <c r="G1067" s="107" t="s">
        <v>840</v>
      </c>
    </row>
    <row r="1068" spans="2:7">
      <c r="B1068" s="230"/>
      <c r="C1068" s="102"/>
      <c r="D1068" s="103" t="s">
        <v>322</v>
      </c>
      <c r="E1068" s="103" t="s">
        <v>323</v>
      </c>
      <c r="F1068" s="104" t="s">
        <v>324</v>
      </c>
      <c r="G1068" s="109" t="s">
        <v>325</v>
      </c>
    </row>
    <row r="1069" spans="2:7">
      <c r="B1069" s="841"/>
      <c r="C1069" s="842"/>
      <c r="D1069" s="96"/>
      <c r="E1069" s="96"/>
      <c r="F1069" s="96"/>
      <c r="G1069" s="116"/>
    </row>
    <row r="1070" spans="2:7" ht="13.5" thickBot="1">
      <c r="B1070" s="980" t="s">
        <v>841</v>
      </c>
      <c r="C1070" s="981"/>
      <c r="D1070" s="77"/>
      <c r="E1070" s="82"/>
      <c r="F1070" s="86"/>
      <c r="G1070" s="112"/>
    </row>
    <row r="1071" spans="2:7" ht="14.25" thickTop="1" thickBot="1">
      <c r="B1071" s="946"/>
      <c r="C1071" s="946"/>
      <c r="D1071" s="946"/>
      <c r="E1071" s="947"/>
      <c r="F1071" s="120" t="s">
        <v>856</v>
      </c>
      <c r="G1071" s="118">
        <f>SUM(G1066:G1070)</f>
        <v>0</v>
      </c>
    </row>
    <row r="1072" spans="2:7" ht="14.25" thickTop="1" thickBot="1">
      <c r="B1072" s="970"/>
      <c r="C1072" s="970"/>
      <c r="D1072" s="970"/>
      <c r="E1072" s="970"/>
      <c r="F1072" s="970"/>
      <c r="G1072" s="943"/>
    </row>
    <row r="1073" spans="2:8" ht="13.5" thickTop="1">
      <c r="B1073" s="950" t="s">
        <v>326</v>
      </c>
      <c r="C1073" s="951"/>
      <c r="D1073" s="951"/>
      <c r="E1073" s="951"/>
      <c r="F1073" s="971"/>
      <c r="G1073" s="121">
        <f>+G1037+G1053+G1064</f>
        <v>8719</v>
      </c>
    </row>
    <row r="1074" spans="2:8">
      <c r="B1074" s="972" t="s">
        <v>861</v>
      </c>
      <c r="C1074" s="973"/>
      <c r="D1074" s="973"/>
      <c r="E1074" s="974"/>
      <c r="F1074" s="128">
        <f>'MANO DE OBRA'!$D$59</f>
        <v>0</v>
      </c>
      <c r="G1074" s="122">
        <f>ROUND(G1073*F1074,0)</f>
        <v>0</v>
      </c>
    </row>
    <row r="1075" spans="2:8" ht="13.5" thickBot="1">
      <c r="B1075" s="975" t="s">
        <v>1049</v>
      </c>
      <c r="C1075" s="976"/>
      <c r="D1075" s="976"/>
      <c r="E1075" s="976"/>
      <c r="F1075" s="977"/>
      <c r="G1075" s="118">
        <f>ROUND(G1073+G1074,-2)</f>
        <v>8700</v>
      </c>
      <c r="H1075" s="505" t="s">
        <v>1670</v>
      </c>
    </row>
    <row r="1076" spans="2:8" ht="13.5" thickTop="1"/>
  </sheetData>
  <mergeCells count="985">
    <mergeCell ref="B797:G797"/>
    <mergeCell ref="B798:F798"/>
    <mergeCell ref="B779:G779"/>
    <mergeCell ref="B780:G780"/>
    <mergeCell ref="B781:C781"/>
    <mergeCell ref="B782:C782"/>
    <mergeCell ref="B799:E799"/>
    <mergeCell ref="B800:F800"/>
    <mergeCell ref="B792:C792"/>
    <mergeCell ref="B794:C794"/>
    <mergeCell ref="B795:C795"/>
    <mergeCell ref="B796:E796"/>
    <mergeCell ref="B789:E789"/>
    <mergeCell ref="B790:G790"/>
    <mergeCell ref="B791:G791"/>
    <mergeCell ref="B776:C778"/>
    <mergeCell ref="D776:E776"/>
    <mergeCell ref="D777:E777"/>
    <mergeCell ref="D778:E778"/>
    <mergeCell ref="B788:C788"/>
    <mergeCell ref="B767:C767"/>
    <mergeCell ref="B759:C759"/>
    <mergeCell ref="B760:C760"/>
    <mergeCell ref="B761:C761"/>
    <mergeCell ref="B762:E762"/>
    <mergeCell ref="B772:C772"/>
    <mergeCell ref="B773:C773"/>
    <mergeCell ref="B774:C774"/>
    <mergeCell ref="B775:C775"/>
    <mergeCell ref="B768:C768"/>
    <mergeCell ref="B769:C769"/>
    <mergeCell ref="B770:C770"/>
    <mergeCell ref="B771:C771"/>
    <mergeCell ref="B784:C784"/>
    <mergeCell ref="B785:C785"/>
    <mergeCell ref="B786:C786"/>
    <mergeCell ref="B787:C787"/>
    <mergeCell ref="B757:C757"/>
    <mergeCell ref="B758:C758"/>
    <mergeCell ref="C749:E749"/>
    <mergeCell ref="C750:G750"/>
    <mergeCell ref="B751:G751"/>
    <mergeCell ref="B752:G752"/>
    <mergeCell ref="B763:G763"/>
    <mergeCell ref="B764:G764"/>
    <mergeCell ref="B765:C765"/>
    <mergeCell ref="B746:E746"/>
    <mergeCell ref="B747:F747"/>
    <mergeCell ref="C748:E748"/>
    <mergeCell ref="B741:C741"/>
    <mergeCell ref="B742:C742"/>
    <mergeCell ref="B743:E743"/>
    <mergeCell ref="B744:G744"/>
    <mergeCell ref="B754:C754"/>
    <mergeCell ref="B756:C756"/>
    <mergeCell ref="B736:E736"/>
    <mergeCell ref="B737:G737"/>
    <mergeCell ref="B738:G738"/>
    <mergeCell ref="B739:C739"/>
    <mergeCell ref="B732:C732"/>
    <mergeCell ref="B733:C733"/>
    <mergeCell ref="B734:C734"/>
    <mergeCell ref="B735:C735"/>
    <mergeCell ref="B745:F745"/>
    <mergeCell ref="B723:C725"/>
    <mergeCell ref="B716:C716"/>
    <mergeCell ref="B717:C717"/>
    <mergeCell ref="B718:C718"/>
    <mergeCell ref="B719:C719"/>
    <mergeCell ref="B727:G727"/>
    <mergeCell ref="B728:C728"/>
    <mergeCell ref="B729:C729"/>
    <mergeCell ref="B731:C731"/>
    <mergeCell ref="D723:E723"/>
    <mergeCell ref="D724:E724"/>
    <mergeCell ref="D725:E725"/>
    <mergeCell ref="B726:G726"/>
    <mergeCell ref="B714:C714"/>
    <mergeCell ref="B715:C715"/>
    <mergeCell ref="B707:C707"/>
    <mergeCell ref="B708:C708"/>
    <mergeCell ref="B709:E709"/>
    <mergeCell ref="B710:G710"/>
    <mergeCell ref="B720:C720"/>
    <mergeCell ref="B721:C721"/>
    <mergeCell ref="B722:C722"/>
    <mergeCell ref="C3:G3"/>
    <mergeCell ref="B4:G4"/>
    <mergeCell ref="C1:G1"/>
    <mergeCell ref="C2:G2"/>
    <mergeCell ref="C5:G5"/>
    <mergeCell ref="C6:E6"/>
    <mergeCell ref="B9:G9"/>
    <mergeCell ref="B10:G10"/>
    <mergeCell ref="B12:C12"/>
    <mergeCell ref="B28:C28"/>
    <mergeCell ref="B29:C29"/>
    <mergeCell ref="B30:C30"/>
    <mergeCell ref="B31:C31"/>
    <mergeCell ref="B32:C32"/>
    <mergeCell ref="B33:C33"/>
    <mergeCell ref="C7:E7"/>
    <mergeCell ref="C8:G8"/>
    <mergeCell ref="B21:G21"/>
    <mergeCell ref="B22:G22"/>
    <mergeCell ref="B15:C15"/>
    <mergeCell ref="B16:C16"/>
    <mergeCell ref="B17:C17"/>
    <mergeCell ref="B18:C18"/>
    <mergeCell ref="B19:C19"/>
    <mergeCell ref="B20:E20"/>
    <mergeCell ref="B14:C14"/>
    <mergeCell ref="B23:C23"/>
    <mergeCell ref="B25:C25"/>
    <mergeCell ref="B26:C26"/>
    <mergeCell ref="B27:C27"/>
    <mergeCell ref="B39:C39"/>
    <mergeCell ref="B40:C40"/>
    <mergeCell ref="B42:C42"/>
    <mergeCell ref="B43:C43"/>
    <mergeCell ref="B44:C44"/>
    <mergeCell ref="B45:C45"/>
    <mergeCell ref="B34:C36"/>
    <mergeCell ref="D34:E34"/>
    <mergeCell ref="D35:E35"/>
    <mergeCell ref="D36:E36"/>
    <mergeCell ref="B37:G37"/>
    <mergeCell ref="B38:G38"/>
    <mergeCell ref="B53:C53"/>
    <mergeCell ref="B54:E54"/>
    <mergeCell ref="B55:G55"/>
    <mergeCell ref="B56:F56"/>
    <mergeCell ref="B57:E57"/>
    <mergeCell ref="B58:F58"/>
    <mergeCell ref="B46:C46"/>
    <mergeCell ref="B47:E47"/>
    <mergeCell ref="B48:G48"/>
    <mergeCell ref="B49:G49"/>
    <mergeCell ref="B50:C50"/>
    <mergeCell ref="B52:C52"/>
    <mergeCell ref="B67:C67"/>
    <mergeCell ref="B68:C68"/>
    <mergeCell ref="B69:C69"/>
    <mergeCell ref="B70:C70"/>
    <mergeCell ref="B71:C71"/>
    <mergeCell ref="B72:C72"/>
    <mergeCell ref="C59:E59"/>
    <mergeCell ref="C60:E60"/>
    <mergeCell ref="C61:G61"/>
    <mergeCell ref="B62:G62"/>
    <mergeCell ref="B63:G63"/>
    <mergeCell ref="B65:C65"/>
    <mergeCell ref="B80:C80"/>
    <mergeCell ref="B81:C81"/>
    <mergeCell ref="B82:C82"/>
    <mergeCell ref="B83:C83"/>
    <mergeCell ref="B84:C84"/>
    <mergeCell ref="B85:C85"/>
    <mergeCell ref="B73:E73"/>
    <mergeCell ref="B74:G74"/>
    <mergeCell ref="B75:G75"/>
    <mergeCell ref="B76:C76"/>
    <mergeCell ref="B78:C78"/>
    <mergeCell ref="B79:C79"/>
    <mergeCell ref="B91:G91"/>
    <mergeCell ref="B92:C92"/>
    <mergeCell ref="B93:C93"/>
    <mergeCell ref="B95:C95"/>
    <mergeCell ref="B96:C96"/>
    <mergeCell ref="B97:C97"/>
    <mergeCell ref="B86:C86"/>
    <mergeCell ref="B87:C89"/>
    <mergeCell ref="D87:E87"/>
    <mergeCell ref="D88:E88"/>
    <mergeCell ref="D89:E89"/>
    <mergeCell ref="B90:G90"/>
    <mergeCell ref="B105:C105"/>
    <mergeCell ref="B106:C106"/>
    <mergeCell ref="B107:E107"/>
    <mergeCell ref="B108:G108"/>
    <mergeCell ref="B109:F109"/>
    <mergeCell ref="B110:E110"/>
    <mergeCell ref="B98:C98"/>
    <mergeCell ref="B99:C99"/>
    <mergeCell ref="B100:E100"/>
    <mergeCell ref="B101:G101"/>
    <mergeCell ref="B102:G102"/>
    <mergeCell ref="B103:C103"/>
    <mergeCell ref="B118:C118"/>
    <mergeCell ref="B120:C120"/>
    <mergeCell ref="B121:C121"/>
    <mergeCell ref="B122:C122"/>
    <mergeCell ref="B123:C123"/>
    <mergeCell ref="B124:C124"/>
    <mergeCell ref="B111:F111"/>
    <mergeCell ref="C112:E112"/>
    <mergeCell ref="C113:E113"/>
    <mergeCell ref="C114:G114"/>
    <mergeCell ref="B115:G115"/>
    <mergeCell ref="B116:G116"/>
    <mergeCell ref="B132:C132"/>
    <mergeCell ref="B133:C133"/>
    <mergeCell ref="B134:C134"/>
    <mergeCell ref="B135:C135"/>
    <mergeCell ref="B136:C136"/>
    <mergeCell ref="B137:C137"/>
    <mergeCell ref="B125:C125"/>
    <mergeCell ref="B126:E126"/>
    <mergeCell ref="B127:G127"/>
    <mergeCell ref="B128:G128"/>
    <mergeCell ref="B129:C129"/>
    <mergeCell ref="B131:C131"/>
    <mergeCell ref="B143:G143"/>
    <mergeCell ref="B144:G144"/>
    <mergeCell ref="B145:C145"/>
    <mergeCell ref="B146:C146"/>
    <mergeCell ref="B148:C148"/>
    <mergeCell ref="B149:C149"/>
    <mergeCell ref="B138:C138"/>
    <mergeCell ref="B139:C139"/>
    <mergeCell ref="B140:C142"/>
    <mergeCell ref="D140:E140"/>
    <mergeCell ref="D141:E141"/>
    <mergeCell ref="D142:E142"/>
    <mergeCell ref="B156:C156"/>
    <mergeCell ref="B158:C158"/>
    <mergeCell ref="B159:C159"/>
    <mergeCell ref="B160:E160"/>
    <mergeCell ref="B161:G161"/>
    <mergeCell ref="B162:F162"/>
    <mergeCell ref="B150:C150"/>
    <mergeCell ref="B151:C151"/>
    <mergeCell ref="B152:C152"/>
    <mergeCell ref="B153:E153"/>
    <mergeCell ref="B154:G154"/>
    <mergeCell ref="B155:G155"/>
    <mergeCell ref="B169:G169"/>
    <mergeCell ref="B171:C171"/>
    <mergeCell ref="B173:C173"/>
    <mergeCell ref="B174:C174"/>
    <mergeCell ref="B175:C175"/>
    <mergeCell ref="B176:C176"/>
    <mergeCell ref="B163:E163"/>
    <mergeCell ref="B164:F164"/>
    <mergeCell ref="C165:E165"/>
    <mergeCell ref="C166:E166"/>
    <mergeCell ref="C167:G167"/>
    <mergeCell ref="B168:G168"/>
    <mergeCell ref="B184:C184"/>
    <mergeCell ref="B185:C185"/>
    <mergeCell ref="B186:C186"/>
    <mergeCell ref="B187:C187"/>
    <mergeCell ref="B188:C188"/>
    <mergeCell ref="B189:C189"/>
    <mergeCell ref="B177:C177"/>
    <mergeCell ref="B178:C178"/>
    <mergeCell ref="B179:E179"/>
    <mergeCell ref="B180:G180"/>
    <mergeCell ref="B181:G181"/>
    <mergeCell ref="B182:C182"/>
    <mergeCell ref="B196:G196"/>
    <mergeCell ref="B197:G197"/>
    <mergeCell ref="B198:C198"/>
    <mergeCell ref="B199:C199"/>
    <mergeCell ref="B201:C201"/>
    <mergeCell ref="B202:C202"/>
    <mergeCell ref="B190:C190"/>
    <mergeCell ref="B191:C191"/>
    <mergeCell ref="B192:C192"/>
    <mergeCell ref="B193:C195"/>
    <mergeCell ref="D193:E193"/>
    <mergeCell ref="D194:E194"/>
    <mergeCell ref="D195:E195"/>
    <mergeCell ref="B209:C209"/>
    <mergeCell ref="B211:C211"/>
    <mergeCell ref="B212:C212"/>
    <mergeCell ref="B213:E213"/>
    <mergeCell ref="B214:G214"/>
    <mergeCell ref="B215:F215"/>
    <mergeCell ref="B203:C203"/>
    <mergeCell ref="B204:C204"/>
    <mergeCell ref="B205:C205"/>
    <mergeCell ref="B206:E206"/>
    <mergeCell ref="B207:G207"/>
    <mergeCell ref="B208:G208"/>
    <mergeCell ref="B222:G222"/>
    <mergeCell ref="B224:C224"/>
    <mergeCell ref="B226:C226"/>
    <mergeCell ref="B227:C227"/>
    <mergeCell ref="B228:C228"/>
    <mergeCell ref="B229:C229"/>
    <mergeCell ref="B216:E216"/>
    <mergeCell ref="B217:F217"/>
    <mergeCell ref="C218:E218"/>
    <mergeCell ref="C219:E219"/>
    <mergeCell ref="C220:G220"/>
    <mergeCell ref="B221:G221"/>
    <mergeCell ref="B237:C237"/>
    <mergeCell ref="B238:C238"/>
    <mergeCell ref="B239:C239"/>
    <mergeCell ref="B240:C240"/>
    <mergeCell ref="B241:C241"/>
    <mergeCell ref="B242:C242"/>
    <mergeCell ref="B230:C230"/>
    <mergeCell ref="B231:C231"/>
    <mergeCell ref="B232:E232"/>
    <mergeCell ref="B233:G233"/>
    <mergeCell ref="B234:G234"/>
    <mergeCell ref="B235:C235"/>
    <mergeCell ref="B249:G249"/>
    <mergeCell ref="B250:G250"/>
    <mergeCell ref="B251:C251"/>
    <mergeCell ref="B252:C252"/>
    <mergeCell ref="B254:C254"/>
    <mergeCell ref="B255:C255"/>
    <mergeCell ref="B243:C243"/>
    <mergeCell ref="B244:C244"/>
    <mergeCell ref="B245:C245"/>
    <mergeCell ref="B246:C248"/>
    <mergeCell ref="D246:E246"/>
    <mergeCell ref="D247:E247"/>
    <mergeCell ref="D248:E248"/>
    <mergeCell ref="B262:C262"/>
    <mergeCell ref="B264:C264"/>
    <mergeCell ref="B265:C265"/>
    <mergeCell ref="B266:E266"/>
    <mergeCell ref="B267:G267"/>
    <mergeCell ref="B268:F268"/>
    <mergeCell ref="B256:C256"/>
    <mergeCell ref="B257:C257"/>
    <mergeCell ref="B258:C258"/>
    <mergeCell ref="B259:E259"/>
    <mergeCell ref="B260:G260"/>
    <mergeCell ref="B261:G261"/>
    <mergeCell ref="B275:G275"/>
    <mergeCell ref="B277:C277"/>
    <mergeCell ref="B279:C279"/>
    <mergeCell ref="B280:C280"/>
    <mergeCell ref="B281:C281"/>
    <mergeCell ref="B282:C282"/>
    <mergeCell ref="B269:E269"/>
    <mergeCell ref="B270:F270"/>
    <mergeCell ref="C271:E271"/>
    <mergeCell ref="C272:E272"/>
    <mergeCell ref="C273:G273"/>
    <mergeCell ref="B274:G274"/>
    <mergeCell ref="B290:C290"/>
    <mergeCell ref="B291:C291"/>
    <mergeCell ref="B292:C292"/>
    <mergeCell ref="B293:C293"/>
    <mergeCell ref="B294:C294"/>
    <mergeCell ref="B295:C295"/>
    <mergeCell ref="B283:C283"/>
    <mergeCell ref="B284:C284"/>
    <mergeCell ref="B285:E285"/>
    <mergeCell ref="B286:G286"/>
    <mergeCell ref="B287:G287"/>
    <mergeCell ref="B288:C288"/>
    <mergeCell ref="B302:G302"/>
    <mergeCell ref="B303:G303"/>
    <mergeCell ref="B304:C304"/>
    <mergeCell ref="B305:C305"/>
    <mergeCell ref="B307:C307"/>
    <mergeCell ref="B308:C308"/>
    <mergeCell ref="B296:C296"/>
    <mergeCell ref="B297:C297"/>
    <mergeCell ref="B298:C298"/>
    <mergeCell ref="B299:C301"/>
    <mergeCell ref="D299:E299"/>
    <mergeCell ref="D300:E300"/>
    <mergeCell ref="D301:E301"/>
    <mergeCell ref="B315:C315"/>
    <mergeCell ref="B317:C317"/>
    <mergeCell ref="B318:C318"/>
    <mergeCell ref="B319:E319"/>
    <mergeCell ref="B320:G320"/>
    <mergeCell ref="B321:F321"/>
    <mergeCell ref="B309:C309"/>
    <mergeCell ref="B310:C310"/>
    <mergeCell ref="B311:C311"/>
    <mergeCell ref="B312:E312"/>
    <mergeCell ref="B313:G313"/>
    <mergeCell ref="B314:G314"/>
    <mergeCell ref="B328:G328"/>
    <mergeCell ref="B330:C330"/>
    <mergeCell ref="B332:C332"/>
    <mergeCell ref="B333:C333"/>
    <mergeCell ref="B334:C334"/>
    <mergeCell ref="B335:C335"/>
    <mergeCell ref="B322:E322"/>
    <mergeCell ref="B323:F323"/>
    <mergeCell ref="C324:E324"/>
    <mergeCell ref="C325:E325"/>
    <mergeCell ref="C326:G326"/>
    <mergeCell ref="B327:G327"/>
    <mergeCell ref="B343:C343"/>
    <mergeCell ref="B344:C344"/>
    <mergeCell ref="B345:C345"/>
    <mergeCell ref="B346:C346"/>
    <mergeCell ref="B347:C347"/>
    <mergeCell ref="B348:C348"/>
    <mergeCell ref="B336:C336"/>
    <mergeCell ref="B337:E337"/>
    <mergeCell ref="B338:G338"/>
    <mergeCell ref="B339:G339"/>
    <mergeCell ref="B340:C340"/>
    <mergeCell ref="B342:C342"/>
    <mergeCell ref="B355:G355"/>
    <mergeCell ref="B356:G356"/>
    <mergeCell ref="B357:C357"/>
    <mergeCell ref="B358:C358"/>
    <mergeCell ref="B360:C360"/>
    <mergeCell ref="B361:C361"/>
    <mergeCell ref="B349:C349"/>
    <mergeCell ref="B350:C350"/>
    <mergeCell ref="B351:C351"/>
    <mergeCell ref="B352:C354"/>
    <mergeCell ref="D352:E352"/>
    <mergeCell ref="D353:E353"/>
    <mergeCell ref="D354:E354"/>
    <mergeCell ref="B368:C368"/>
    <mergeCell ref="B370:C370"/>
    <mergeCell ref="B371:C371"/>
    <mergeCell ref="B372:E372"/>
    <mergeCell ref="B373:G373"/>
    <mergeCell ref="B374:F374"/>
    <mergeCell ref="B362:C362"/>
    <mergeCell ref="B363:C363"/>
    <mergeCell ref="B364:C364"/>
    <mergeCell ref="B365:E365"/>
    <mergeCell ref="B366:G366"/>
    <mergeCell ref="B367:G367"/>
    <mergeCell ref="B381:G381"/>
    <mergeCell ref="B383:C383"/>
    <mergeCell ref="B385:C385"/>
    <mergeCell ref="B386:C386"/>
    <mergeCell ref="B387:C387"/>
    <mergeCell ref="B388:C388"/>
    <mergeCell ref="B375:E375"/>
    <mergeCell ref="B376:F376"/>
    <mergeCell ref="C377:E377"/>
    <mergeCell ref="C378:E378"/>
    <mergeCell ref="C379:G379"/>
    <mergeCell ref="B380:G380"/>
    <mergeCell ref="B396:C396"/>
    <mergeCell ref="B397:C397"/>
    <mergeCell ref="B398:C398"/>
    <mergeCell ref="B399:C399"/>
    <mergeCell ref="B400:C400"/>
    <mergeCell ref="B401:C401"/>
    <mergeCell ref="B389:C389"/>
    <mergeCell ref="B390:E390"/>
    <mergeCell ref="B391:G391"/>
    <mergeCell ref="B392:G392"/>
    <mergeCell ref="B393:C393"/>
    <mergeCell ref="B395:C395"/>
    <mergeCell ref="B408:G408"/>
    <mergeCell ref="B409:G409"/>
    <mergeCell ref="B410:C410"/>
    <mergeCell ref="B411:C411"/>
    <mergeCell ref="B413:C413"/>
    <mergeCell ref="B414:C414"/>
    <mergeCell ref="B402:C402"/>
    <mergeCell ref="B403:C403"/>
    <mergeCell ref="B404:C404"/>
    <mergeCell ref="B405:C407"/>
    <mergeCell ref="D405:E405"/>
    <mergeCell ref="D406:E406"/>
    <mergeCell ref="D407:E407"/>
    <mergeCell ref="B421:C421"/>
    <mergeCell ref="B423:C423"/>
    <mergeCell ref="B424:C424"/>
    <mergeCell ref="B425:E425"/>
    <mergeCell ref="B426:G426"/>
    <mergeCell ref="B427:F427"/>
    <mergeCell ref="B415:C415"/>
    <mergeCell ref="B416:C416"/>
    <mergeCell ref="B417:C417"/>
    <mergeCell ref="B418:E418"/>
    <mergeCell ref="B419:G419"/>
    <mergeCell ref="B420:G420"/>
    <mergeCell ref="B434:G434"/>
    <mergeCell ref="B436:C436"/>
    <mergeCell ref="B438:C438"/>
    <mergeCell ref="B439:C439"/>
    <mergeCell ref="B440:C440"/>
    <mergeCell ref="B441:C441"/>
    <mergeCell ref="B428:E428"/>
    <mergeCell ref="B429:F429"/>
    <mergeCell ref="C430:E430"/>
    <mergeCell ref="C431:E431"/>
    <mergeCell ref="C432:G432"/>
    <mergeCell ref="B433:G433"/>
    <mergeCell ref="B449:C449"/>
    <mergeCell ref="B450:C450"/>
    <mergeCell ref="B451:C451"/>
    <mergeCell ref="B452:C452"/>
    <mergeCell ref="B453:C453"/>
    <mergeCell ref="B454:C454"/>
    <mergeCell ref="B442:C442"/>
    <mergeCell ref="B443:C443"/>
    <mergeCell ref="B444:E444"/>
    <mergeCell ref="B445:G445"/>
    <mergeCell ref="B446:G446"/>
    <mergeCell ref="B447:C447"/>
    <mergeCell ref="B461:G461"/>
    <mergeCell ref="B462:G462"/>
    <mergeCell ref="B463:C463"/>
    <mergeCell ref="B464:C464"/>
    <mergeCell ref="B466:C466"/>
    <mergeCell ref="B467:C467"/>
    <mergeCell ref="B455:C455"/>
    <mergeCell ref="B456:C456"/>
    <mergeCell ref="B457:C457"/>
    <mergeCell ref="B458:C460"/>
    <mergeCell ref="D458:E458"/>
    <mergeCell ref="D459:E459"/>
    <mergeCell ref="D460:E460"/>
    <mergeCell ref="B474:C474"/>
    <mergeCell ref="B476:C476"/>
    <mergeCell ref="B477:C477"/>
    <mergeCell ref="B478:E478"/>
    <mergeCell ref="B479:G479"/>
    <mergeCell ref="B480:F480"/>
    <mergeCell ref="B468:C468"/>
    <mergeCell ref="B469:C469"/>
    <mergeCell ref="B470:C470"/>
    <mergeCell ref="B471:E471"/>
    <mergeCell ref="B472:G472"/>
    <mergeCell ref="B473:G473"/>
    <mergeCell ref="B487:G487"/>
    <mergeCell ref="B489:C489"/>
    <mergeCell ref="B491:C491"/>
    <mergeCell ref="B492:C492"/>
    <mergeCell ref="B493:C493"/>
    <mergeCell ref="B494:C494"/>
    <mergeCell ref="B481:E481"/>
    <mergeCell ref="B482:F482"/>
    <mergeCell ref="C483:E483"/>
    <mergeCell ref="C484:E484"/>
    <mergeCell ref="C485:G485"/>
    <mergeCell ref="B486:G486"/>
    <mergeCell ref="B502:C502"/>
    <mergeCell ref="B503:C503"/>
    <mergeCell ref="B504:C504"/>
    <mergeCell ref="B505:C505"/>
    <mergeCell ref="B506:C506"/>
    <mergeCell ref="B507:C507"/>
    <mergeCell ref="B495:C495"/>
    <mergeCell ref="B496:C496"/>
    <mergeCell ref="B497:E497"/>
    <mergeCell ref="B498:G498"/>
    <mergeCell ref="B499:G499"/>
    <mergeCell ref="B500:C500"/>
    <mergeCell ref="B514:G514"/>
    <mergeCell ref="B515:G515"/>
    <mergeCell ref="B516:C516"/>
    <mergeCell ref="B517:C517"/>
    <mergeCell ref="B519:C519"/>
    <mergeCell ref="B520:C520"/>
    <mergeCell ref="B508:C508"/>
    <mergeCell ref="B509:C509"/>
    <mergeCell ref="B510:C510"/>
    <mergeCell ref="B511:C513"/>
    <mergeCell ref="D511:E511"/>
    <mergeCell ref="D512:E512"/>
    <mergeCell ref="D513:E513"/>
    <mergeCell ref="B527:C527"/>
    <mergeCell ref="B529:C529"/>
    <mergeCell ref="B530:C530"/>
    <mergeCell ref="B531:E531"/>
    <mergeCell ref="B532:G532"/>
    <mergeCell ref="B533:F533"/>
    <mergeCell ref="B521:C521"/>
    <mergeCell ref="B522:C522"/>
    <mergeCell ref="B523:C523"/>
    <mergeCell ref="B524:E524"/>
    <mergeCell ref="B525:G525"/>
    <mergeCell ref="B526:G526"/>
    <mergeCell ref="B540:G540"/>
    <mergeCell ref="B542:C542"/>
    <mergeCell ref="B544:C544"/>
    <mergeCell ref="B545:C545"/>
    <mergeCell ref="B546:C546"/>
    <mergeCell ref="B547:C547"/>
    <mergeCell ref="B534:E534"/>
    <mergeCell ref="B535:F535"/>
    <mergeCell ref="C536:E536"/>
    <mergeCell ref="C537:E537"/>
    <mergeCell ref="C538:G538"/>
    <mergeCell ref="B539:G539"/>
    <mergeCell ref="B555:C555"/>
    <mergeCell ref="B556:C556"/>
    <mergeCell ref="B557:C557"/>
    <mergeCell ref="B558:C558"/>
    <mergeCell ref="B559:C559"/>
    <mergeCell ref="B560:C560"/>
    <mergeCell ref="B548:C548"/>
    <mergeCell ref="B549:C549"/>
    <mergeCell ref="B550:E550"/>
    <mergeCell ref="B551:G551"/>
    <mergeCell ref="B552:G552"/>
    <mergeCell ref="B553:C553"/>
    <mergeCell ref="B567:G567"/>
    <mergeCell ref="B568:G568"/>
    <mergeCell ref="B569:C569"/>
    <mergeCell ref="B570:C570"/>
    <mergeCell ref="B572:C572"/>
    <mergeCell ref="B573:C573"/>
    <mergeCell ref="B561:C561"/>
    <mergeCell ref="B562:C562"/>
    <mergeCell ref="B563:C563"/>
    <mergeCell ref="B564:C566"/>
    <mergeCell ref="D564:E564"/>
    <mergeCell ref="D565:E565"/>
    <mergeCell ref="D566:E566"/>
    <mergeCell ref="B580:C580"/>
    <mergeCell ref="B582:C582"/>
    <mergeCell ref="B583:C583"/>
    <mergeCell ref="B584:E584"/>
    <mergeCell ref="B585:G585"/>
    <mergeCell ref="B586:F586"/>
    <mergeCell ref="B574:C574"/>
    <mergeCell ref="B575:C575"/>
    <mergeCell ref="B576:C576"/>
    <mergeCell ref="B577:E577"/>
    <mergeCell ref="B578:G578"/>
    <mergeCell ref="B579:G579"/>
    <mergeCell ref="B593:G593"/>
    <mergeCell ref="B595:C595"/>
    <mergeCell ref="B597:C597"/>
    <mergeCell ref="B598:C598"/>
    <mergeCell ref="B599:C599"/>
    <mergeCell ref="B600:C600"/>
    <mergeCell ref="B587:E587"/>
    <mergeCell ref="B588:F588"/>
    <mergeCell ref="C589:E589"/>
    <mergeCell ref="C590:E590"/>
    <mergeCell ref="C591:G591"/>
    <mergeCell ref="B592:G592"/>
    <mergeCell ref="B608:C608"/>
    <mergeCell ref="B609:C609"/>
    <mergeCell ref="B610:C610"/>
    <mergeCell ref="B611:C611"/>
    <mergeCell ref="B612:C612"/>
    <mergeCell ref="B613:C613"/>
    <mergeCell ref="B601:C601"/>
    <mergeCell ref="B602:C602"/>
    <mergeCell ref="B603:E603"/>
    <mergeCell ref="B604:G604"/>
    <mergeCell ref="B605:G605"/>
    <mergeCell ref="B606:C606"/>
    <mergeCell ref="B620:G620"/>
    <mergeCell ref="B621:G621"/>
    <mergeCell ref="B622:C622"/>
    <mergeCell ref="B623:C623"/>
    <mergeCell ref="B625:C625"/>
    <mergeCell ref="B626:C626"/>
    <mergeCell ref="B614:C614"/>
    <mergeCell ref="B615:C615"/>
    <mergeCell ref="B616:C616"/>
    <mergeCell ref="B617:C619"/>
    <mergeCell ref="D617:E617"/>
    <mergeCell ref="D618:E618"/>
    <mergeCell ref="D619:E619"/>
    <mergeCell ref="B633:C633"/>
    <mergeCell ref="B635:C635"/>
    <mergeCell ref="B636:C636"/>
    <mergeCell ref="B637:E637"/>
    <mergeCell ref="B638:G638"/>
    <mergeCell ref="B639:F639"/>
    <mergeCell ref="B627:C627"/>
    <mergeCell ref="B628:C628"/>
    <mergeCell ref="B629:C629"/>
    <mergeCell ref="B630:E630"/>
    <mergeCell ref="B631:G631"/>
    <mergeCell ref="B632:G632"/>
    <mergeCell ref="B646:G646"/>
    <mergeCell ref="B648:C648"/>
    <mergeCell ref="B650:C650"/>
    <mergeCell ref="B651:C651"/>
    <mergeCell ref="B652:C652"/>
    <mergeCell ref="B653:C653"/>
    <mergeCell ref="B640:E640"/>
    <mergeCell ref="B641:F641"/>
    <mergeCell ref="C642:E642"/>
    <mergeCell ref="C643:E643"/>
    <mergeCell ref="C644:G644"/>
    <mergeCell ref="B645:G645"/>
    <mergeCell ref="B661:C661"/>
    <mergeCell ref="B662:C662"/>
    <mergeCell ref="B663:C663"/>
    <mergeCell ref="B664:C664"/>
    <mergeCell ref="B665:C665"/>
    <mergeCell ref="B666:C666"/>
    <mergeCell ref="B654:C654"/>
    <mergeCell ref="B655:C655"/>
    <mergeCell ref="B656:E656"/>
    <mergeCell ref="B657:G657"/>
    <mergeCell ref="B658:G658"/>
    <mergeCell ref="B659:C659"/>
    <mergeCell ref="B673:G673"/>
    <mergeCell ref="B674:G674"/>
    <mergeCell ref="B675:C675"/>
    <mergeCell ref="B676:C676"/>
    <mergeCell ref="B678:C678"/>
    <mergeCell ref="B679:C679"/>
    <mergeCell ref="B667:C667"/>
    <mergeCell ref="B668:C668"/>
    <mergeCell ref="B669:C669"/>
    <mergeCell ref="B670:C672"/>
    <mergeCell ref="D670:E670"/>
    <mergeCell ref="D671:E671"/>
    <mergeCell ref="D672:E672"/>
    <mergeCell ref="B686:C686"/>
    <mergeCell ref="B688:C688"/>
    <mergeCell ref="B689:C689"/>
    <mergeCell ref="B690:E690"/>
    <mergeCell ref="B691:G691"/>
    <mergeCell ref="B692:F692"/>
    <mergeCell ref="B680:C680"/>
    <mergeCell ref="B681:C681"/>
    <mergeCell ref="B682:C682"/>
    <mergeCell ref="B683:E683"/>
    <mergeCell ref="B684:G684"/>
    <mergeCell ref="B685:G685"/>
    <mergeCell ref="B807:G807"/>
    <mergeCell ref="B809:C809"/>
    <mergeCell ref="B811:C811"/>
    <mergeCell ref="B812:C812"/>
    <mergeCell ref="B813:C813"/>
    <mergeCell ref="B814:C814"/>
    <mergeCell ref="B693:E693"/>
    <mergeCell ref="B694:F694"/>
    <mergeCell ref="C803:E803"/>
    <mergeCell ref="C804:E804"/>
    <mergeCell ref="C805:G805"/>
    <mergeCell ref="B806:G806"/>
    <mergeCell ref="C695:E695"/>
    <mergeCell ref="C696:E696"/>
    <mergeCell ref="B711:G711"/>
    <mergeCell ref="B712:C712"/>
    <mergeCell ref="B703:C703"/>
    <mergeCell ref="B704:C704"/>
    <mergeCell ref="B705:C705"/>
    <mergeCell ref="B706:C706"/>
    <mergeCell ref="C697:G697"/>
    <mergeCell ref="B698:G698"/>
    <mergeCell ref="B699:G699"/>
    <mergeCell ref="B701:C701"/>
    <mergeCell ref="B822:C822"/>
    <mergeCell ref="B823:C823"/>
    <mergeCell ref="B824:C824"/>
    <mergeCell ref="B825:C825"/>
    <mergeCell ref="B826:C826"/>
    <mergeCell ref="B827:C827"/>
    <mergeCell ref="B815:C815"/>
    <mergeCell ref="B816:C816"/>
    <mergeCell ref="B817:E817"/>
    <mergeCell ref="B818:G818"/>
    <mergeCell ref="B819:G819"/>
    <mergeCell ref="B820:C820"/>
    <mergeCell ref="B834:G834"/>
    <mergeCell ref="B835:G835"/>
    <mergeCell ref="B836:C836"/>
    <mergeCell ref="B837:C837"/>
    <mergeCell ref="B839:C839"/>
    <mergeCell ref="B840:C840"/>
    <mergeCell ref="B828:C828"/>
    <mergeCell ref="B829:C829"/>
    <mergeCell ref="B830:C830"/>
    <mergeCell ref="B831:C833"/>
    <mergeCell ref="D831:E831"/>
    <mergeCell ref="D832:E832"/>
    <mergeCell ref="D833:E833"/>
    <mergeCell ref="B847:C847"/>
    <mergeCell ref="B849:C849"/>
    <mergeCell ref="B850:C850"/>
    <mergeCell ref="B851:E851"/>
    <mergeCell ref="B852:G852"/>
    <mergeCell ref="B853:F853"/>
    <mergeCell ref="B841:C841"/>
    <mergeCell ref="B842:C842"/>
    <mergeCell ref="B843:C843"/>
    <mergeCell ref="B844:E844"/>
    <mergeCell ref="B845:G845"/>
    <mergeCell ref="B846:G846"/>
    <mergeCell ref="B862:G862"/>
    <mergeCell ref="B864:C864"/>
    <mergeCell ref="B866:C866"/>
    <mergeCell ref="B867:C867"/>
    <mergeCell ref="B868:C868"/>
    <mergeCell ref="B869:C869"/>
    <mergeCell ref="B854:E854"/>
    <mergeCell ref="B855:F855"/>
    <mergeCell ref="C858:E858"/>
    <mergeCell ref="C859:E859"/>
    <mergeCell ref="C860:G860"/>
    <mergeCell ref="B861:G861"/>
    <mergeCell ref="B877:C877"/>
    <mergeCell ref="B878:C878"/>
    <mergeCell ref="B879:C879"/>
    <mergeCell ref="B880:C880"/>
    <mergeCell ref="B881:C881"/>
    <mergeCell ref="B882:C882"/>
    <mergeCell ref="B870:C870"/>
    <mergeCell ref="B871:C871"/>
    <mergeCell ref="B872:E872"/>
    <mergeCell ref="B873:G873"/>
    <mergeCell ref="B874:G874"/>
    <mergeCell ref="B875:C875"/>
    <mergeCell ref="B889:G889"/>
    <mergeCell ref="B890:G890"/>
    <mergeCell ref="B891:C891"/>
    <mergeCell ref="B892:C892"/>
    <mergeCell ref="B894:C894"/>
    <mergeCell ref="B895:C895"/>
    <mergeCell ref="B883:C883"/>
    <mergeCell ref="B884:C884"/>
    <mergeCell ref="B885:C885"/>
    <mergeCell ref="B886:C888"/>
    <mergeCell ref="D886:E886"/>
    <mergeCell ref="D887:E887"/>
    <mergeCell ref="D888:E888"/>
    <mergeCell ref="B902:C902"/>
    <mergeCell ref="B904:C904"/>
    <mergeCell ref="B905:C905"/>
    <mergeCell ref="B906:E906"/>
    <mergeCell ref="B907:G907"/>
    <mergeCell ref="B908:F908"/>
    <mergeCell ref="B896:C896"/>
    <mergeCell ref="B897:C897"/>
    <mergeCell ref="B898:C898"/>
    <mergeCell ref="B899:E899"/>
    <mergeCell ref="B900:G900"/>
    <mergeCell ref="B901:G901"/>
    <mergeCell ref="B917:G917"/>
    <mergeCell ref="B919:C919"/>
    <mergeCell ref="B921:C921"/>
    <mergeCell ref="B922:C922"/>
    <mergeCell ref="B923:C923"/>
    <mergeCell ref="B924:C924"/>
    <mergeCell ref="B909:E909"/>
    <mergeCell ref="B910:F910"/>
    <mergeCell ref="C913:E913"/>
    <mergeCell ref="C914:E914"/>
    <mergeCell ref="C915:G915"/>
    <mergeCell ref="B916:G916"/>
    <mergeCell ref="B932:C932"/>
    <mergeCell ref="B933:C933"/>
    <mergeCell ref="B934:C934"/>
    <mergeCell ref="B935:C935"/>
    <mergeCell ref="B936:C936"/>
    <mergeCell ref="B937:C937"/>
    <mergeCell ref="B925:C925"/>
    <mergeCell ref="B926:C926"/>
    <mergeCell ref="B927:E927"/>
    <mergeCell ref="B928:G928"/>
    <mergeCell ref="B929:G929"/>
    <mergeCell ref="B930:C930"/>
    <mergeCell ref="B944:G944"/>
    <mergeCell ref="B945:G945"/>
    <mergeCell ref="B946:C946"/>
    <mergeCell ref="B947:C947"/>
    <mergeCell ref="B949:C949"/>
    <mergeCell ref="B950:C950"/>
    <mergeCell ref="B938:C938"/>
    <mergeCell ref="B939:C939"/>
    <mergeCell ref="B940:C940"/>
    <mergeCell ref="B941:C943"/>
    <mergeCell ref="D941:E941"/>
    <mergeCell ref="D942:E942"/>
    <mergeCell ref="D943:E943"/>
    <mergeCell ref="B957:C957"/>
    <mergeCell ref="B959:C959"/>
    <mergeCell ref="B960:C960"/>
    <mergeCell ref="B961:E961"/>
    <mergeCell ref="B962:G962"/>
    <mergeCell ref="B963:F963"/>
    <mergeCell ref="B951:C951"/>
    <mergeCell ref="B952:C952"/>
    <mergeCell ref="B953:C953"/>
    <mergeCell ref="B954:E954"/>
    <mergeCell ref="B955:G955"/>
    <mergeCell ref="B956:G956"/>
    <mergeCell ref="B972:G972"/>
    <mergeCell ref="B974:C974"/>
    <mergeCell ref="B976:C976"/>
    <mergeCell ref="B977:C977"/>
    <mergeCell ref="B978:C978"/>
    <mergeCell ref="B979:C979"/>
    <mergeCell ref="B964:E964"/>
    <mergeCell ref="B965:F965"/>
    <mergeCell ref="C968:E968"/>
    <mergeCell ref="C969:E969"/>
    <mergeCell ref="C970:G970"/>
    <mergeCell ref="B971:G971"/>
    <mergeCell ref="B987:C987"/>
    <mergeCell ref="B988:C988"/>
    <mergeCell ref="B989:C989"/>
    <mergeCell ref="B990:C990"/>
    <mergeCell ref="B991:C991"/>
    <mergeCell ref="B992:C992"/>
    <mergeCell ref="B980:C980"/>
    <mergeCell ref="B981:C981"/>
    <mergeCell ref="B982:E982"/>
    <mergeCell ref="B983:G983"/>
    <mergeCell ref="B984:G984"/>
    <mergeCell ref="B985:C985"/>
    <mergeCell ref="B999:G999"/>
    <mergeCell ref="B1000:G1000"/>
    <mergeCell ref="B1001:C1001"/>
    <mergeCell ref="B1002:C1002"/>
    <mergeCell ref="B1004:C1004"/>
    <mergeCell ref="B1005:C1005"/>
    <mergeCell ref="B993:C993"/>
    <mergeCell ref="B994:C994"/>
    <mergeCell ref="B995:C995"/>
    <mergeCell ref="B996:C998"/>
    <mergeCell ref="D996:E996"/>
    <mergeCell ref="D997:E997"/>
    <mergeCell ref="D998:E998"/>
    <mergeCell ref="B1012:C1012"/>
    <mergeCell ref="B1014:C1014"/>
    <mergeCell ref="B1015:C1015"/>
    <mergeCell ref="B1016:E1016"/>
    <mergeCell ref="B1017:G1017"/>
    <mergeCell ref="B1018:F1018"/>
    <mergeCell ref="B1006:C1006"/>
    <mergeCell ref="B1007:C1007"/>
    <mergeCell ref="B1008:C1008"/>
    <mergeCell ref="B1009:E1009"/>
    <mergeCell ref="B1010:G1010"/>
    <mergeCell ref="B1011:G1011"/>
    <mergeCell ref="B1027:G1027"/>
    <mergeCell ref="B1029:C1029"/>
    <mergeCell ref="B1031:C1031"/>
    <mergeCell ref="B1032:C1032"/>
    <mergeCell ref="B1033:C1033"/>
    <mergeCell ref="B1034:C1034"/>
    <mergeCell ref="B1019:E1019"/>
    <mergeCell ref="B1020:F1020"/>
    <mergeCell ref="C1023:E1023"/>
    <mergeCell ref="C1024:E1024"/>
    <mergeCell ref="C1025:G1025"/>
    <mergeCell ref="B1026:G1026"/>
    <mergeCell ref="B1042:C1042"/>
    <mergeCell ref="B1043:C1043"/>
    <mergeCell ref="B1044:C1044"/>
    <mergeCell ref="B1045:C1045"/>
    <mergeCell ref="B1046:C1046"/>
    <mergeCell ref="B1047:C1047"/>
    <mergeCell ref="B1035:C1035"/>
    <mergeCell ref="B1036:C1036"/>
    <mergeCell ref="B1037:E1037"/>
    <mergeCell ref="B1038:G1038"/>
    <mergeCell ref="B1039:G1039"/>
    <mergeCell ref="B1040:C1040"/>
    <mergeCell ref="B1054:G1054"/>
    <mergeCell ref="B1055:G1055"/>
    <mergeCell ref="B1056:C1056"/>
    <mergeCell ref="B1057:C1057"/>
    <mergeCell ref="B1059:C1059"/>
    <mergeCell ref="B1060:C1060"/>
    <mergeCell ref="B1048:C1048"/>
    <mergeCell ref="B1049:C1049"/>
    <mergeCell ref="B1050:C1050"/>
    <mergeCell ref="B1051:C1053"/>
    <mergeCell ref="D1051:E1051"/>
    <mergeCell ref="D1052:E1052"/>
    <mergeCell ref="D1053:E1053"/>
    <mergeCell ref="B1074:E1074"/>
    <mergeCell ref="B1075:F1075"/>
    <mergeCell ref="B1067:C1067"/>
    <mergeCell ref="B1069:C1069"/>
    <mergeCell ref="B1070:C1070"/>
    <mergeCell ref="B1071:E1071"/>
    <mergeCell ref="B1072:G1072"/>
    <mergeCell ref="B1073:F1073"/>
    <mergeCell ref="B1061:C1061"/>
    <mergeCell ref="B1062:C1062"/>
    <mergeCell ref="B1063:C1063"/>
    <mergeCell ref="B1064:E1064"/>
    <mergeCell ref="B1065:G1065"/>
    <mergeCell ref="B1066:G1066"/>
  </mergeCells>
  <phoneticPr fontId="0" type="noConversion"/>
  <hyperlinks>
    <hyperlink ref="H6" location="'ITEMS RESUMEN'!APARATOS_SANITARIOS" display="volver"/>
    <hyperlink ref="H32" location="'ITEMS RESUMEN'!APARATOS_SANITARIOS" display="volver"/>
    <hyperlink ref="H58" location="'ITEMS RESUMEN'!APARATOS_SANITARIOS" display="volver"/>
    <hyperlink ref="H85" location="'ITEMS RESUMEN'!APARATOS_SANITARIOS" display="volver"/>
    <hyperlink ref="H111" location="'ITEMS RESUMEN'!APARATOS_SANITARIOS" display="volver"/>
    <hyperlink ref="H138" location="'ITEMS RESUMEN'!APARATOS_SANITARIOS" display="volver"/>
    <hyperlink ref="H164" location="'ITEMS RESUMEN'!APARATOS_SANITARIOS" display="volver"/>
    <hyperlink ref="H191" location="'ITEMS RESUMEN'!APARATOS_SANITARIOS" display="volver"/>
    <hyperlink ref="H217" location="'ITEMS RESUMEN'!APARATOS_SANITARIOS" display="volver"/>
    <hyperlink ref="H244" location="'ITEMS RESUMEN'!APARATOS_SANITARIOS" display="volver"/>
    <hyperlink ref="H270" location="'ITEMS RESUMEN'!APARATOS_SANITARIOS" display="volver"/>
    <hyperlink ref="H297" location="'ITEMS RESUMEN'!APARATOS_SANITARIOS" display="volver"/>
    <hyperlink ref="H323" location="'ITEMS RESUMEN'!APARATOS_SANITARIOS" display="volver"/>
    <hyperlink ref="H350" location="'ITEMS RESUMEN'!APARATOS_SANITARIOS" display="volver"/>
    <hyperlink ref="H376" location="'ITEMS RESUMEN'!APARATOS_SANITARIOS" display="volver"/>
    <hyperlink ref="H403" location="'ITEMS RESUMEN'!APARATOS_SANITARIOS" display="volver"/>
    <hyperlink ref="H429" location="'ITEMS RESUMEN'!APARATOS_SANITARIOS" display="volver"/>
    <hyperlink ref="H456" location="'ITEMS RESUMEN'!APARATOS_SANITARIOS" display="volver"/>
    <hyperlink ref="H482" location="'ITEMS RESUMEN'!APARATOS_SANITARIOS" display="volver"/>
    <hyperlink ref="H509" location="'ITEMS RESUMEN'!APARATOS_SANITARIOS" display="volver"/>
    <hyperlink ref="H535" location="'ITEMS RESUMEN'!APARATOS_SANITARIOS" display="volver"/>
    <hyperlink ref="H562" location="'ITEMS RESUMEN'!APARATOS_SANITARIOS" display="volver"/>
    <hyperlink ref="H588" location="'ITEMS RESUMEN'!APARATOS_SANITARIOS" display="volver"/>
    <hyperlink ref="H615" location="'ITEMS RESUMEN'!APARATOS_SANITARIOS" display="volver"/>
    <hyperlink ref="H641" location="'ITEMS RESUMEN'!APARATOS_SANITARIOS" display="volver"/>
    <hyperlink ref="H668" location="'ITEMS RESUMEN'!APARATOS_SANITARIOS" display="volver"/>
    <hyperlink ref="H694" location="'ITEMS RESUMEN'!APARATOS_SANITARIOS" display="volver"/>
    <hyperlink ref="H721" location="'ITEMS RESUMEN'!APARATOS_SANITARIOS" display="volver"/>
    <hyperlink ref="H747" location="'ITEMS RESUMEN'!APARATOS_SANITARIOS" display="volver"/>
    <hyperlink ref="H774" location="'ITEMS RESUMEN'!APARATOS_SANITARIOS" display="volver"/>
    <hyperlink ref="H800" location="'ITEMS RESUMEN'!APARATOS_SANITARIOS" display="volver"/>
    <hyperlink ref="H829" location="'ITEMS RESUMEN'!APARATOS_SANITARIOS" display="volver"/>
    <hyperlink ref="H855" location="'ITEMS RESUMEN'!APARATOS_SANITARIOS" display="volver"/>
    <hyperlink ref="H884" location="'ITEMS RESUMEN'!APARATOS_SANITARIOS" display="volver"/>
    <hyperlink ref="H910" location="'ITEMS RESUMEN'!APARATOS_SANITARIOS" display="volver"/>
    <hyperlink ref="H939" location="'ITEMS RESUMEN'!APARATOS_SANITARIOS" display="volver"/>
    <hyperlink ref="H965" location="'ITEMS RESUMEN'!APARATOS_SANITARIOS" display="volver"/>
    <hyperlink ref="H994" location="'ITEMS RESUMEN'!APARATOS_SANITARIOS" display="volver"/>
    <hyperlink ref="H1020" location="'ITEMS RESUMEN'!APARATOS_SANITARIOS" display="volver"/>
    <hyperlink ref="H1049" location="'ITEMS RESUMEN'!APARATOS_SANITARIOS" display="volver"/>
    <hyperlink ref="H1075" location="'ITEMS RESUMEN'!APARATOS_SANITARIOS" display="volver"/>
  </hyperlinks>
  <printOptions horizontalCentered="1" verticalCentered="1"/>
  <pageMargins left="0" right="0" top="0" bottom="0" header="0" footer="0"/>
  <pageSetup scale="85" orientation="portrait" r:id="rId1"/>
  <headerFooter alignWithMargins="0"/>
  <rowBreaks count="19" manualBreakCount="19">
    <brk id="58" min="1" max="6" man="1"/>
    <brk id="111" min="1" max="6" man="1"/>
    <brk id="164" min="1" max="6" man="1"/>
    <brk id="217" min="1" max="6" man="1"/>
    <brk id="270" min="1" max="6" man="1"/>
    <brk id="323" min="1" max="6" man="1"/>
    <brk id="376" min="1" max="6" man="1"/>
    <brk id="429" min="1" max="6" man="1"/>
    <brk id="482" min="1" max="6" man="1"/>
    <brk id="535" min="1" max="6" man="1"/>
    <brk id="588" min="1" max="6" man="1"/>
    <brk id="641" min="1" max="6" man="1"/>
    <brk id="694" min="1" max="6" man="1"/>
    <brk id="747" min="1" max="6" man="1"/>
    <brk id="800" min="1" max="6" man="1"/>
    <brk id="855" min="1" max="6" man="1"/>
    <brk id="910" min="1" max="6" man="1"/>
    <brk id="965" min="1" max="6" man="1"/>
    <brk id="1020" min="1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3" enableFormatConditionsCalculation="0">
    <tabColor indexed="13"/>
  </sheetPr>
  <dimension ref="B1:J74"/>
  <sheetViews>
    <sheetView topLeftCell="A49" zoomScaleNormal="100" workbookViewId="0">
      <selection activeCell="C12" sqref="C12"/>
    </sheetView>
  </sheetViews>
  <sheetFormatPr baseColWidth="10" defaultRowHeight="14.25"/>
  <cols>
    <col min="1" max="1" width="11.42578125" style="680"/>
    <col min="2" max="2" width="12.7109375" style="173" customWidth="1"/>
    <col min="3" max="3" width="42" style="173" customWidth="1"/>
    <col min="4" max="4" width="16.140625" style="173" customWidth="1"/>
    <col min="5" max="5" width="10.5703125" style="680" hidden="1" customWidth="1"/>
    <col min="6" max="6" width="15.28515625" style="680" hidden="1" customWidth="1"/>
    <col min="7" max="7" width="14.140625" style="687" hidden="1" customWidth="1"/>
    <col min="8" max="16384" width="11.42578125" style="680"/>
  </cols>
  <sheetData>
    <row r="1" spans="2:7" ht="19.5" thickTop="1">
      <c r="B1" s="742" t="s">
        <v>1054</v>
      </c>
      <c r="C1" s="743"/>
      <c r="D1" s="744"/>
      <c r="E1" s="150"/>
      <c r="F1" s="150"/>
      <c r="G1" s="150"/>
    </row>
    <row r="2" spans="2:7" ht="18.75">
      <c r="B2" s="745" t="s">
        <v>1381</v>
      </c>
      <c r="C2" s="746"/>
      <c r="D2" s="747"/>
      <c r="E2" s="150"/>
      <c r="F2" s="150"/>
      <c r="G2" s="150"/>
    </row>
    <row r="3" spans="2:7" ht="18.75">
      <c r="B3" s="748"/>
      <c r="C3" s="749"/>
      <c r="D3" s="750"/>
      <c r="E3" s="151"/>
      <c r="F3" s="151"/>
      <c r="G3" s="151"/>
    </row>
    <row r="4" spans="2:7" ht="15.75">
      <c r="B4" s="751" t="s">
        <v>335</v>
      </c>
      <c r="C4" s="752"/>
      <c r="D4" s="753"/>
      <c r="E4" s="152"/>
      <c r="F4" s="152"/>
      <c r="G4" s="152"/>
    </row>
    <row r="5" spans="2:7" ht="15.75" thickBot="1">
      <c r="B5" s="714"/>
      <c r="C5" s="740"/>
      <c r="D5" s="741"/>
      <c r="E5" s="153"/>
      <c r="F5" s="153"/>
      <c r="G5" s="153"/>
    </row>
    <row r="6" spans="2:7" ht="16.5" thickTop="1" thickBot="1">
      <c r="B6" s="711" t="s">
        <v>837</v>
      </c>
      <c r="C6" s="712" t="s">
        <v>838</v>
      </c>
      <c r="D6" s="713" t="s">
        <v>1072</v>
      </c>
      <c r="E6" s="715" t="s">
        <v>1107</v>
      </c>
      <c r="F6" s="704" t="s">
        <v>1108</v>
      </c>
    </row>
    <row r="7" spans="2:7" thickTop="1" thickBot="1">
      <c r="B7" s="739" t="s">
        <v>841</v>
      </c>
      <c r="C7" s="739"/>
      <c r="D7" s="739"/>
    </row>
    <row r="8" spans="2:7" ht="15" thickTop="1">
      <c r="B8" s="716">
        <v>10101</v>
      </c>
      <c r="C8" s="195" t="s">
        <v>898</v>
      </c>
      <c r="D8" s="512">
        <f>ROUND(F8*(1+E8),0)</f>
        <v>1276</v>
      </c>
      <c r="E8" s="717">
        <v>0.16</v>
      </c>
      <c r="F8" s="718">
        <v>1100</v>
      </c>
    </row>
    <row r="9" spans="2:7">
      <c r="B9" s="685">
        <v>10102</v>
      </c>
      <c r="C9" s="171" t="s">
        <v>1673</v>
      </c>
      <c r="D9" s="185">
        <v>754</v>
      </c>
      <c r="E9" s="754" t="s">
        <v>1676</v>
      </c>
      <c r="F9" s="755"/>
      <c r="G9" s="719">
        <v>40087</v>
      </c>
    </row>
    <row r="10" spans="2:7">
      <c r="B10" s="685">
        <v>10103</v>
      </c>
      <c r="C10" s="171" t="s">
        <v>1674</v>
      </c>
      <c r="D10" s="185">
        <v>858</v>
      </c>
      <c r="E10" s="754" t="s">
        <v>1676</v>
      </c>
      <c r="F10" s="755"/>
      <c r="G10" s="719">
        <v>40087</v>
      </c>
    </row>
    <row r="11" spans="2:7">
      <c r="B11" s="685">
        <v>10104</v>
      </c>
      <c r="C11" s="720" t="s">
        <v>1095</v>
      </c>
      <c r="D11" s="185">
        <f t="shared" ref="D11:D52" si="0">ROUND(F11*(1+E11),0)</f>
        <v>464</v>
      </c>
      <c r="E11" s="717">
        <v>0.16</v>
      </c>
      <c r="F11" s="718">
        <v>400</v>
      </c>
    </row>
    <row r="12" spans="2:7">
      <c r="B12" s="685">
        <v>10105</v>
      </c>
      <c r="C12" s="720" t="s">
        <v>1094</v>
      </c>
      <c r="D12" s="185">
        <f t="shared" si="0"/>
        <v>464</v>
      </c>
      <c r="E12" s="717">
        <v>0.16</v>
      </c>
      <c r="F12" s="718">
        <v>400</v>
      </c>
    </row>
    <row r="13" spans="2:7">
      <c r="B13" s="685">
        <v>10106</v>
      </c>
      <c r="C13" s="171" t="s">
        <v>1086</v>
      </c>
      <c r="D13" s="185">
        <v>220</v>
      </c>
      <c r="E13" s="754" t="s">
        <v>1676</v>
      </c>
      <c r="F13" s="755"/>
      <c r="G13" s="719">
        <v>40087</v>
      </c>
    </row>
    <row r="14" spans="2:7">
      <c r="B14" s="685">
        <v>10107</v>
      </c>
      <c r="C14" s="171" t="s">
        <v>897</v>
      </c>
      <c r="D14" s="185">
        <f t="shared" si="0"/>
        <v>174</v>
      </c>
      <c r="E14" s="717">
        <v>0.16</v>
      </c>
      <c r="F14" s="718">
        <v>150</v>
      </c>
    </row>
    <row r="15" spans="2:7">
      <c r="B15" s="685">
        <v>10108</v>
      </c>
      <c r="C15" s="171" t="s">
        <v>1089</v>
      </c>
      <c r="D15" s="185">
        <f t="shared" si="0"/>
        <v>4640</v>
      </c>
      <c r="E15" s="717">
        <v>0.16</v>
      </c>
      <c r="F15" s="718">
        <v>4000</v>
      </c>
    </row>
    <row r="16" spans="2:7">
      <c r="B16" s="685">
        <v>10109</v>
      </c>
      <c r="C16" s="721" t="s">
        <v>1090</v>
      </c>
      <c r="D16" s="185">
        <f t="shared" si="0"/>
        <v>2320</v>
      </c>
      <c r="E16" s="717">
        <v>0.16</v>
      </c>
      <c r="F16" s="718">
        <v>2000</v>
      </c>
    </row>
    <row r="17" spans="2:7">
      <c r="B17" s="685">
        <v>10110</v>
      </c>
      <c r="C17" s="720" t="s">
        <v>1099</v>
      </c>
      <c r="D17" s="185">
        <f t="shared" si="0"/>
        <v>301600</v>
      </c>
      <c r="E17" s="717">
        <v>0.16</v>
      </c>
      <c r="F17" s="718">
        <v>260000</v>
      </c>
      <c r="G17" s="719">
        <v>40238</v>
      </c>
    </row>
    <row r="18" spans="2:7">
      <c r="B18" s="685">
        <v>10111</v>
      </c>
      <c r="C18" s="171" t="s">
        <v>1082</v>
      </c>
      <c r="D18" s="185">
        <f t="shared" si="0"/>
        <v>8120</v>
      </c>
      <c r="E18" s="717">
        <v>0.16</v>
      </c>
      <c r="F18" s="718">
        <v>7000</v>
      </c>
    </row>
    <row r="19" spans="2:7">
      <c r="B19" s="685">
        <v>10112</v>
      </c>
      <c r="C19" s="171" t="s">
        <v>1083</v>
      </c>
      <c r="D19" s="185">
        <f t="shared" si="0"/>
        <v>23200</v>
      </c>
      <c r="E19" s="717">
        <v>0.16</v>
      </c>
      <c r="F19" s="718">
        <v>20000</v>
      </c>
    </row>
    <row r="20" spans="2:7">
      <c r="B20" s="685">
        <v>10113</v>
      </c>
      <c r="C20" s="171" t="s">
        <v>593</v>
      </c>
      <c r="D20" s="185">
        <f t="shared" si="0"/>
        <v>348</v>
      </c>
      <c r="E20" s="717">
        <v>0.16</v>
      </c>
      <c r="F20" s="718">
        <v>300</v>
      </c>
    </row>
    <row r="21" spans="2:7">
      <c r="B21" s="685">
        <v>10114</v>
      </c>
      <c r="C21" s="171" t="s">
        <v>869</v>
      </c>
      <c r="D21" s="185">
        <f t="shared" si="0"/>
        <v>40600</v>
      </c>
      <c r="E21" s="717">
        <v>0.16</v>
      </c>
      <c r="F21" s="718">
        <v>35000</v>
      </c>
    </row>
    <row r="22" spans="2:7">
      <c r="B22" s="685">
        <v>10115</v>
      </c>
      <c r="C22" s="720" t="s">
        <v>1056</v>
      </c>
      <c r="D22" s="185">
        <f t="shared" si="0"/>
        <v>23200</v>
      </c>
      <c r="E22" s="717">
        <v>0.16</v>
      </c>
      <c r="F22" s="718">
        <v>20000</v>
      </c>
    </row>
    <row r="23" spans="2:7">
      <c r="B23" s="685">
        <v>10116</v>
      </c>
      <c r="C23" s="720" t="s">
        <v>1055</v>
      </c>
      <c r="D23" s="185">
        <v>58000</v>
      </c>
      <c r="E23" s="754" t="s">
        <v>1676</v>
      </c>
      <c r="F23" s="755"/>
      <c r="G23" s="719">
        <v>40087</v>
      </c>
    </row>
    <row r="24" spans="2:7">
      <c r="B24" s="685">
        <v>10117</v>
      </c>
      <c r="C24" s="171" t="s">
        <v>1050</v>
      </c>
      <c r="D24" s="185">
        <f t="shared" si="0"/>
        <v>52200</v>
      </c>
      <c r="E24" s="717">
        <v>0.16</v>
      </c>
      <c r="F24" s="718">
        <v>45000</v>
      </c>
    </row>
    <row r="25" spans="2:7">
      <c r="B25" s="685">
        <v>10118</v>
      </c>
      <c r="C25" s="171" t="s">
        <v>550</v>
      </c>
      <c r="D25" s="185">
        <v>50000</v>
      </c>
      <c r="E25" s="717"/>
      <c r="F25" s="718"/>
    </row>
    <row r="26" spans="2:7">
      <c r="B26" s="685">
        <v>10119</v>
      </c>
      <c r="C26" s="720" t="s">
        <v>1098</v>
      </c>
      <c r="D26" s="185">
        <f t="shared" si="0"/>
        <v>1278</v>
      </c>
      <c r="E26" s="717">
        <v>0.16</v>
      </c>
      <c r="F26" s="718">
        <v>1102</v>
      </c>
    </row>
    <row r="27" spans="2:7">
      <c r="B27" s="685">
        <v>10120</v>
      </c>
      <c r="C27" s="721" t="s">
        <v>1052</v>
      </c>
      <c r="D27" s="185">
        <f t="shared" si="0"/>
        <v>52200</v>
      </c>
      <c r="E27" s="717">
        <v>0.16</v>
      </c>
      <c r="F27" s="718">
        <v>45000</v>
      </c>
    </row>
    <row r="28" spans="2:7">
      <c r="B28" s="685">
        <v>10121</v>
      </c>
      <c r="C28" s="171" t="s">
        <v>1060</v>
      </c>
      <c r="D28" s="185">
        <f t="shared" si="0"/>
        <v>406</v>
      </c>
      <c r="E28" s="717">
        <v>0.16</v>
      </c>
      <c r="F28" s="718">
        <v>350</v>
      </c>
    </row>
    <row r="29" spans="2:7">
      <c r="B29" s="685">
        <v>10122</v>
      </c>
      <c r="C29" s="171" t="s">
        <v>1100</v>
      </c>
      <c r="D29" s="185">
        <f t="shared" si="0"/>
        <v>557</v>
      </c>
      <c r="E29" s="717">
        <v>0.16</v>
      </c>
      <c r="F29" s="718">
        <v>480</v>
      </c>
    </row>
    <row r="30" spans="2:7">
      <c r="B30" s="685">
        <v>10123</v>
      </c>
      <c r="C30" s="171" t="s">
        <v>896</v>
      </c>
      <c r="D30" s="185">
        <f t="shared" si="0"/>
        <v>603</v>
      </c>
      <c r="E30" s="717">
        <v>0.16</v>
      </c>
      <c r="F30" s="718">
        <v>520</v>
      </c>
    </row>
    <row r="31" spans="2:7">
      <c r="B31" s="685">
        <v>10124</v>
      </c>
      <c r="C31" s="171" t="s">
        <v>895</v>
      </c>
      <c r="D31" s="185">
        <f t="shared" si="0"/>
        <v>684</v>
      </c>
      <c r="E31" s="717">
        <v>0.16</v>
      </c>
      <c r="F31" s="718">
        <v>590</v>
      </c>
    </row>
    <row r="32" spans="2:7">
      <c r="B32" s="685">
        <v>10125</v>
      </c>
      <c r="C32" s="720" t="s">
        <v>1091</v>
      </c>
      <c r="D32" s="185">
        <f t="shared" si="0"/>
        <v>51040</v>
      </c>
      <c r="E32" s="717">
        <v>0.16</v>
      </c>
      <c r="F32" s="718">
        <v>44000</v>
      </c>
      <c r="G32" s="719">
        <v>40238</v>
      </c>
    </row>
    <row r="33" spans="2:7">
      <c r="B33" s="685">
        <v>10126</v>
      </c>
      <c r="C33" s="171" t="s">
        <v>1087</v>
      </c>
      <c r="D33" s="185">
        <f t="shared" si="0"/>
        <v>9280</v>
      </c>
      <c r="E33" s="717">
        <v>0.16</v>
      </c>
      <c r="F33" s="718">
        <v>8000</v>
      </c>
    </row>
    <row r="34" spans="2:7">
      <c r="B34" s="685">
        <v>10127</v>
      </c>
      <c r="C34" s="171" t="s">
        <v>1074</v>
      </c>
      <c r="D34" s="185">
        <f t="shared" si="0"/>
        <v>40600</v>
      </c>
      <c r="E34" s="717">
        <v>0.16</v>
      </c>
      <c r="F34" s="718">
        <v>35000</v>
      </c>
    </row>
    <row r="35" spans="2:7">
      <c r="B35" s="685">
        <v>10128</v>
      </c>
      <c r="C35" s="171" t="s">
        <v>1073</v>
      </c>
      <c r="D35" s="185">
        <f t="shared" si="0"/>
        <v>46400</v>
      </c>
      <c r="E35" s="717">
        <v>0.16</v>
      </c>
      <c r="F35" s="718">
        <v>40000</v>
      </c>
    </row>
    <row r="36" spans="2:7">
      <c r="B36" s="685">
        <v>10129</v>
      </c>
      <c r="C36" s="171" t="s">
        <v>1077</v>
      </c>
      <c r="D36" s="185">
        <f t="shared" si="0"/>
        <v>94</v>
      </c>
      <c r="E36" s="717">
        <v>0.16</v>
      </c>
      <c r="F36" s="718">
        <v>81</v>
      </c>
    </row>
    <row r="37" spans="2:7">
      <c r="B37" s="685">
        <v>10130</v>
      </c>
      <c r="C37" s="171" t="s">
        <v>1075</v>
      </c>
      <c r="D37" s="185">
        <v>290</v>
      </c>
      <c r="E37" s="754" t="s">
        <v>1676</v>
      </c>
      <c r="F37" s="755"/>
      <c r="G37" s="719">
        <v>40087</v>
      </c>
    </row>
    <row r="38" spans="2:7">
      <c r="B38" s="685">
        <v>10131</v>
      </c>
      <c r="C38" s="171" t="s">
        <v>1076</v>
      </c>
      <c r="D38" s="185">
        <v>290</v>
      </c>
      <c r="E38" s="754" t="s">
        <v>1676</v>
      </c>
      <c r="F38" s="755"/>
      <c r="G38" s="719">
        <v>40087</v>
      </c>
    </row>
    <row r="39" spans="2:7">
      <c r="B39" s="685">
        <v>10132</v>
      </c>
      <c r="C39" s="171" t="s">
        <v>893</v>
      </c>
      <c r="D39" s="185">
        <f t="shared" si="0"/>
        <v>1276</v>
      </c>
      <c r="E39" s="717">
        <v>0.16</v>
      </c>
      <c r="F39" s="718">
        <v>1100</v>
      </c>
    </row>
    <row r="40" spans="2:7">
      <c r="B40" s="685">
        <v>10133</v>
      </c>
      <c r="C40" s="171" t="s">
        <v>1081</v>
      </c>
      <c r="D40" s="185">
        <f t="shared" si="0"/>
        <v>1160</v>
      </c>
      <c r="E40" s="717">
        <v>0.16</v>
      </c>
      <c r="F40" s="718">
        <v>1000</v>
      </c>
    </row>
    <row r="41" spans="2:7">
      <c r="B41" s="685">
        <v>10134</v>
      </c>
      <c r="C41" s="171" t="s">
        <v>1080</v>
      </c>
      <c r="D41" s="185">
        <f t="shared" si="0"/>
        <v>1740</v>
      </c>
      <c r="E41" s="717">
        <v>0.16</v>
      </c>
      <c r="F41" s="718">
        <v>1500</v>
      </c>
    </row>
    <row r="42" spans="2:7">
      <c r="B42" s="685">
        <v>10135</v>
      </c>
      <c r="C42" s="720" t="s">
        <v>1093</v>
      </c>
      <c r="D42" s="185">
        <f t="shared" si="0"/>
        <v>1160</v>
      </c>
      <c r="E42" s="717">
        <v>0.16</v>
      </c>
      <c r="F42" s="718">
        <v>1000</v>
      </c>
    </row>
    <row r="43" spans="2:7">
      <c r="B43" s="685">
        <v>10136</v>
      </c>
      <c r="C43" s="720" t="s">
        <v>1057</v>
      </c>
      <c r="D43" s="185">
        <v>29000</v>
      </c>
      <c r="E43" s="754" t="s">
        <v>1676</v>
      </c>
      <c r="F43" s="755"/>
      <c r="G43" s="719">
        <v>40087</v>
      </c>
    </row>
    <row r="44" spans="2:7">
      <c r="B44" s="685">
        <v>10137</v>
      </c>
      <c r="C44" s="720" t="s">
        <v>1092</v>
      </c>
      <c r="D44" s="185">
        <f t="shared" si="0"/>
        <v>1160</v>
      </c>
      <c r="E44" s="717">
        <v>0.16</v>
      </c>
      <c r="F44" s="718">
        <v>1000</v>
      </c>
    </row>
    <row r="45" spans="2:7">
      <c r="B45" s="685">
        <v>10138</v>
      </c>
      <c r="C45" s="171" t="s">
        <v>1088</v>
      </c>
      <c r="D45" s="185">
        <f t="shared" si="0"/>
        <v>17400</v>
      </c>
      <c r="E45" s="717">
        <v>0.16</v>
      </c>
      <c r="F45" s="718">
        <v>15000</v>
      </c>
    </row>
    <row r="46" spans="2:7">
      <c r="B46" s="685">
        <v>10139</v>
      </c>
      <c r="C46" s="171" t="s">
        <v>894</v>
      </c>
      <c r="D46" s="185">
        <f t="shared" si="0"/>
        <v>186</v>
      </c>
      <c r="E46" s="717">
        <v>0.16</v>
      </c>
      <c r="F46" s="718">
        <v>160</v>
      </c>
    </row>
    <row r="47" spans="2:7">
      <c r="B47" s="685">
        <v>10140</v>
      </c>
      <c r="C47" s="720" t="s">
        <v>1675</v>
      </c>
      <c r="D47" s="185">
        <v>348</v>
      </c>
      <c r="E47" s="754" t="s">
        <v>1676</v>
      </c>
      <c r="F47" s="755"/>
      <c r="G47" s="719">
        <v>40087</v>
      </c>
    </row>
    <row r="48" spans="2:7">
      <c r="B48" s="685">
        <v>10141</v>
      </c>
      <c r="C48" s="171" t="s">
        <v>1084</v>
      </c>
      <c r="D48" s="185">
        <f t="shared" si="0"/>
        <v>23200</v>
      </c>
      <c r="E48" s="717">
        <v>0.16</v>
      </c>
      <c r="F48" s="718">
        <v>20000</v>
      </c>
    </row>
    <row r="49" spans="2:10">
      <c r="B49" s="685">
        <v>10142</v>
      </c>
      <c r="C49" s="171" t="s">
        <v>1085</v>
      </c>
      <c r="D49" s="185">
        <f t="shared" si="0"/>
        <v>34800</v>
      </c>
      <c r="E49" s="717">
        <v>0.16</v>
      </c>
      <c r="F49" s="718">
        <v>30000</v>
      </c>
    </row>
    <row r="50" spans="2:10">
      <c r="B50" s="685">
        <v>10143</v>
      </c>
      <c r="C50" s="171" t="s">
        <v>871</v>
      </c>
      <c r="D50" s="185">
        <v>75000</v>
      </c>
      <c r="E50" s="717"/>
      <c r="F50" s="718"/>
    </row>
    <row r="51" spans="2:10">
      <c r="B51" s="685">
        <v>10144</v>
      </c>
      <c r="C51" s="720" t="s">
        <v>1097</v>
      </c>
      <c r="D51" s="185">
        <f t="shared" si="0"/>
        <v>232</v>
      </c>
      <c r="E51" s="717">
        <v>0.16</v>
      </c>
      <c r="F51" s="718">
        <v>200</v>
      </c>
    </row>
    <row r="52" spans="2:10">
      <c r="B52" s="685">
        <v>10145</v>
      </c>
      <c r="C52" s="720" t="s">
        <v>1096</v>
      </c>
      <c r="D52" s="185">
        <f t="shared" si="0"/>
        <v>232</v>
      </c>
      <c r="E52" s="717">
        <v>0.16</v>
      </c>
      <c r="F52" s="718">
        <v>200</v>
      </c>
    </row>
    <row r="53" spans="2:10">
      <c r="B53" s="685">
        <v>10146</v>
      </c>
      <c r="C53" s="171" t="s">
        <v>872</v>
      </c>
      <c r="D53" s="185">
        <v>51040</v>
      </c>
      <c r="E53" s="754" t="s">
        <v>1676</v>
      </c>
      <c r="F53" s="755"/>
      <c r="G53" s="719">
        <v>40087</v>
      </c>
    </row>
    <row r="54" spans="2:10">
      <c r="B54" s="685">
        <v>10147</v>
      </c>
      <c r="C54" s="171" t="s">
        <v>892</v>
      </c>
      <c r="D54" s="185">
        <v>51040</v>
      </c>
      <c r="E54" s="754" t="s">
        <v>1676</v>
      </c>
      <c r="F54" s="755"/>
      <c r="G54" s="719">
        <v>40087</v>
      </c>
    </row>
    <row r="55" spans="2:10">
      <c r="B55" s="685">
        <v>10201</v>
      </c>
      <c r="C55" s="171" t="s">
        <v>877</v>
      </c>
      <c r="D55" s="185">
        <v>63000</v>
      </c>
      <c r="E55" s="717"/>
      <c r="F55" s="718"/>
      <c r="H55" s="699"/>
    </row>
    <row r="56" spans="2:10">
      <c r="B56" s="685">
        <v>10202</v>
      </c>
      <c r="C56" s="171" t="s">
        <v>888</v>
      </c>
      <c r="D56" s="185">
        <f t="shared" ref="D56:D65" si="1">ROUND(F56*(1+E56),0)</f>
        <v>603200</v>
      </c>
      <c r="E56" s="717">
        <v>0.16</v>
      </c>
      <c r="F56" s="718">
        <v>520000</v>
      </c>
      <c r="H56" s="191"/>
    </row>
    <row r="57" spans="2:10">
      <c r="B57" s="685">
        <v>10203</v>
      </c>
      <c r="C57" s="171" t="s">
        <v>899</v>
      </c>
      <c r="D57" s="185">
        <f t="shared" si="1"/>
        <v>649600</v>
      </c>
      <c r="E57" s="717">
        <v>0.16</v>
      </c>
      <c r="F57" s="718">
        <v>560000</v>
      </c>
      <c r="H57" s="191"/>
    </row>
    <row r="58" spans="2:10">
      <c r="B58" s="685">
        <v>10204</v>
      </c>
      <c r="C58" s="171" t="s">
        <v>900</v>
      </c>
      <c r="D58" s="185">
        <f t="shared" si="1"/>
        <v>78750</v>
      </c>
      <c r="E58" s="717">
        <v>0</v>
      </c>
      <c r="F58" s="718">
        <v>78750</v>
      </c>
      <c r="H58" s="191"/>
      <c r="J58" s="682"/>
    </row>
    <row r="59" spans="2:10">
      <c r="B59" s="685">
        <v>10205</v>
      </c>
      <c r="C59" s="171" t="s">
        <v>1488</v>
      </c>
      <c r="D59" s="185">
        <f t="shared" si="1"/>
        <v>135000</v>
      </c>
      <c r="E59" s="717">
        <v>0</v>
      </c>
      <c r="F59" s="718">
        <v>135000</v>
      </c>
      <c r="H59" s="191"/>
      <c r="J59" s="682"/>
    </row>
    <row r="60" spans="2:10">
      <c r="B60" s="685">
        <v>10206</v>
      </c>
      <c r="C60" s="171" t="s">
        <v>878</v>
      </c>
      <c r="D60" s="722">
        <f t="shared" si="1"/>
        <v>57800</v>
      </c>
      <c r="E60" s="717">
        <v>0</v>
      </c>
      <c r="F60" s="718">
        <v>57800</v>
      </c>
      <c r="H60" s="191"/>
      <c r="J60" s="682"/>
    </row>
    <row r="61" spans="2:10">
      <c r="B61" s="685">
        <v>10207</v>
      </c>
      <c r="C61" s="171" t="s">
        <v>889</v>
      </c>
      <c r="D61" s="722">
        <f t="shared" si="1"/>
        <v>417600</v>
      </c>
      <c r="E61" s="717">
        <v>0.16</v>
      </c>
      <c r="F61" s="718">
        <v>360000</v>
      </c>
      <c r="H61" s="191"/>
    </row>
    <row r="62" spans="2:10">
      <c r="B62" s="685">
        <v>10208</v>
      </c>
      <c r="C62" s="171" t="s">
        <v>1630</v>
      </c>
      <c r="D62" s="723">
        <f t="shared" si="1"/>
        <v>52500</v>
      </c>
      <c r="E62" s="724"/>
      <c r="F62" s="725">
        <v>52500</v>
      </c>
      <c r="G62" s="726"/>
      <c r="H62" s="727"/>
    </row>
    <row r="63" spans="2:10">
      <c r="B63" s="685">
        <v>10209</v>
      </c>
      <c r="C63" s="171" t="s">
        <v>1631</v>
      </c>
      <c r="D63" s="723">
        <f t="shared" si="1"/>
        <v>54600</v>
      </c>
      <c r="E63" s="728"/>
      <c r="F63" s="729">
        <v>54600</v>
      </c>
      <c r="G63" s="726"/>
      <c r="H63" s="730"/>
    </row>
    <row r="64" spans="2:10">
      <c r="B64" s="685">
        <v>10210</v>
      </c>
      <c r="C64" s="171" t="s">
        <v>877</v>
      </c>
      <c r="D64" s="723">
        <f t="shared" si="1"/>
        <v>135000</v>
      </c>
      <c r="E64" s="731"/>
      <c r="F64" s="729">
        <v>135000</v>
      </c>
      <c r="G64" s="726"/>
      <c r="H64" s="730"/>
    </row>
    <row r="65" spans="2:8">
      <c r="B65" s="685">
        <v>10211</v>
      </c>
      <c r="C65" s="171" t="s">
        <v>1632</v>
      </c>
      <c r="D65" s="723">
        <f t="shared" si="1"/>
        <v>135000</v>
      </c>
      <c r="E65" s="731"/>
      <c r="F65" s="729">
        <v>135000</v>
      </c>
      <c r="G65" s="726"/>
      <c r="H65" s="730"/>
    </row>
    <row r="66" spans="2:8">
      <c r="B66" s="685">
        <v>10212</v>
      </c>
      <c r="C66" s="171" t="s">
        <v>1656</v>
      </c>
      <c r="D66" s="723">
        <v>73800</v>
      </c>
      <c r="E66" s="754" t="s">
        <v>1676</v>
      </c>
      <c r="F66" s="755"/>
      <c r="G66" s="719">
        <v>40087</v>
      </c>
      <c r="H66" s="730"/>
    </row>
    <row r="67" spans="2:8">
      <c r="B67" s="685">
        <v>10213</v>
      </c>
      <c r="C67" s="171" t="s">
        <v>1671</v>
      </c>
      <c r="D67" s="723">
        <v>380</v>
      </c>
      <c r="E67" s="754" t="s">
        <v>1676</v>
      </c>
      <c r="F67" s="755"/>
      <c r="G67" s="719">
        <v>40087</v>
      </c>
      <c r="H67" s="730"/>
    </row>
    <row r="68" spans="2:8">
      <c r="B68" s="685">
        <v>10214</v>
      </c>
      <c r="C68" s="171" t="s">
        <v>1672</v>
      </c>
      <c r="D68" s="723">
        <v>350</v>
      </c>
      <c r="E68" s="754" t="s">
        <v>1676</v>
      </c>
      <c r="F68" s="755"/>
      <c r="G68" s="719">
        <v>40087</v>
      </c>
      <c r="H68" s="730"/>
    </row>
    <row r="69" spans="2:8">
      <c r="B69" s="685">
        <v>10215</v>
      </c>
      <c r="C69" s="171" t="s">
        <v>1697</v>
      </c>
      <c r="D69" s="723">
        <v>100000</v>
      </c>
      <c r="E69" s="756"/>
      <c r="F69" s="757"/>
      <c r="G69" s="732"/>
      <c r="H69" s="708"/>
    </row>
    <row r="70" spans="2:8">
      <c r="B70" s="685">
        <v>10216</v>
      </c>
      <c r="C70" s="171" t="s">
        <v>1701</v>
      </c>
      <c r="D70" s="709">
        <v>10000</v>
      </c>
      <c r="E70" s="733"/>
      <c r="F70" s="733"/>
      <c r="G70" s="734"/>
      <c r="H70" s="730"/>
    </row>
    <row r="71" spans="2:8">
      <c r="B71" s="685">
        <v>10217</v>
      </c>
      <c r="C71" s="171" t="s">
        <v>1707</v>
      </c>
      <c r="D71" s="709">
        <f>15000*8</f>
        <v>120000</v>
      </c>
      <c r="E71" s="733"/>
      <c r="F71" s="733"/>
      <c r="G71" s="734"/>
      <c r="H71" s="730"/>
    </row>
    <row r="72" spans="2:8">
      <c r="B72" s="735">
        <v>10218</v>
      </c>
      <c r="C72" s="171" t="s">
        <v>1712</v>
      </c>
      <c r="D72" s="709">
        <v>100000</v>
      </c>
      <c r="E72" s="733"/>
      <c r="F72" s="733"/>
      <c r="G72" s="734"/>
      <c r="H72" s="730"/>
    </row>
    <row r="73" spans="2:8" ht="15" thickBot="1">
      <c r="B73" s="689">
        <v>10219</v>
      </c>
      <c r="C73" s="172" t="s">
        <v>1718</v>
      </c>
      <c r="D73" s="710">
        <v>5000</v>
      </c>
      <c r="E73" s="733"/>
      <c r="F73" s="733"/>
      <c r="G73" s="734"/>
      <c r="H73" s="730"/>
    </row>
    <row r="74" spans="2:8" ht="15" thickTop="1">
      <c r="E74" s="733"/>
      <c r="F74" s="733"/>
      <c r="G74" s="734"/>
      <c r="H74" s="730"/>
    </row>
  </sheetData>
  <mergeCells count="20">
    <mergeCell ref="E38:F38"/>
    <mergeCell ref="E69:F69"/>
    <mergeCell ref="E43:F43"/>
    <mergeCell ref="E47:F47"/>
    <mergeCell ref="E53:F53"/>
    <mergeCell ref="E54:F54"/>
    <mergeCell ref="E67:F67"/>
    <mergeCell ref="E68:F68"/>
    <mergeCell ref="E66:F66"/>
    <mergeCell ref="E9:F9"/>
    <mergeCell ref="E10:F10"/>
    <mergeCell ref="E13:F13"/>
    <mergeCell ref="E23:F23"/>
    <mergeCell ref="E37:F37"/>
    <mergeCell ref="B7:D7"/>
    <mergeCell ref="C5:D5"/>
    <mergeCell ref="B1:D1"/>
    <mergeCell ref="B2:D2"/>
    <mergeCell ref="B3:D3"/>
    <mergeCell ref="B4:D4"/>
  </mergeCells>
  <phoneticPr fontId="0" type="noConversion"/>
  <printOptions horizontalCentered="1" verticalCentered="1"/>
  <pageMargins left="0" right="0" top="0" bottom="0" header="0" footer="0.39370078740157483"/>
  <pageSetup orientation="portrait" horizontalDpi="120" verticalDpi="144" r:id="rId1"/>
  <headerFooter alignWithMargins="0"/>
  <rowBreaks count="1" manualBreakCount="1">
    <brk id="41" min="1" max="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23" enableFormatConditionsCalculation="0">
    <tabColor indexed="10"/>
  </sheetPr>
  <dimension ref="A1:H1226"/>
  <sheetViews>
    <sheetView topLeftCell="A536" zoomScale="85" zoomScaleNormal="85" zoomScaleSheetLayoutView="85" workbookViewId="0">
      <selection activeCell="F559" sqref="F559"/>
    </sheetView>
  </sheetViews>
  <sheetFormatPr baseColWidth="10" defaultRowHeight="12.75"/>
  <cols>
    <col min="1" max="1" width="12.28515625" bestFit="1" customWidth="1"/>
    <col min="2" max="2" width="12.7109375" style="231" customWidth="1"/>
    <col min="3" max="3" width="30.28515625" customWidth="1"/>
    <col min="4" max="4" width="12.7109375" customWidth="1"/>
    <col min="5" max="5" width="13.7109375" customWidth="1"/>
    <col min="6" max="6" width="14.7109375" customWidth="1"/>
    <col min="7" max="7" width="16.7109375" customWidth="1"/>
  </cols>
  <sheetData>
    <row r="1" spans="1:8" ht="19.5" thickTop="1">
      <c r="A1" s="95"/>
      <c r="B1" s="225"/>
      <c r="C1" s="848" t="s">
        <v>1054</v>
      </c>
      <c r="D1" s="848"/>
      <c r="E1" s="848"/>
      <c r="F1" s="848"/>
      <c r="G1" s="849"/>
    </row>
    <row r="2" spans="1:8" ht="18.75">
      <c r="A2" s="95"/>
      <c r="B2" s="226"/>
      <c r="C2" s="780" t="s">
        <v>1381</v>
      </c>
      <c r="D2" s="780"/>
      <c r="E2" s="780"/>
      <c r="F2" s="780"/>
      <c r="G2" s="850"/>
    </row>
    <row r="3" spans="1:8" ht="18.75">
      <c r="A3" s="95"/>
      <c r="B3" s="226"/>
      <c r="C3" s="781"/>
      <c r="D3" s="781"/>
      <c r="E3" s="781"/>
      <c r="F3" s="781"/>
      <c r="G3" s="851"/>
    </row>
    <row r="4" spans="1:8" ht="15.75">
      <c r="A4" s="95"/>
      <c r="B4" s="881" t="s">
        <v>780</v>
      </c>
      <c r="C4" s="852"/>
      <c r="D4" s="852"/>
      <c r="E4" s="852"/>
      <c r="F4" s="852"/>
      <c r="G4" s="853"/>
    </row>
    <row r="5" spans="1:8" ht="15.75" thickBot="1">
      <c r="A5" s="95"/>
      <c r="B5" s="227"/>
      <c r="C5" s="856"/>
      <c r="D5" s="856"/>
      <c r="E5" s="856"/>
      <c r="F5" s="856"/>
      <c r="G5" s="857"/>
    </row>
    <row r="6" spans="1:8" ht="13.5" thickTop="1">
      <c r="A6" s="95"/>
      <c r="B6" s="225" t="s">
        <v>303</v>
      </c>
      <c r="C6" s="843"/>
      <c r="D6" s="843"/>
      <c r="E6" s="843"/>
      <c r="F6" s="92" t="s">
        <v>781</v>
      </c>
      <c r="G6" s="93" t="s">
        <v>831</v>
      </c>
      <c r="H6" s="505" t="s">
        <v>1670</v>
      </c>
    </row>
    <row r="7" spans="1:8">
      <c r="A7" s="95"/>
      <c r="B7" s="226" t="s">
        <v>834</v>
      </c>
      <c r="C7" s="844" t="s">
        <v>1518</v>
      </c>
      <c r="D7" s="844"/>
      <c r="E7" s="844"/>
      <c r="F7" s="15" t="s">
        <v>833</v>
      </c>
      <c r="G7" s="165" t="str">
        <f>'MANO DE OBRA'!D61</f>
        <v>Agosto de 2010</v>
      </c>
    </row>
    <row r="8" spans="1:8" ht="13.5" thickBot="1">
      <c r="A8" s="127"/>
      <c r="B8" s="228" t="s">
        <v>835</v>
      </c>
      <c r="C8" s="1001" t="s">
        <v>1519</v>
      </c>
      <c r="D8" s="1001"/>
      <c r="E8" s="1001"/>
      <c r="F8" s="1001"/>
      <c r="G8" s="1002"/>
    </row>
    <row r="9" spans="1:8" ht="14.25" thickTop="1" thickBot="1">
      <c r="A9" s="95"/>
      <c r="B9" s="986"/>
      <c r="C9" s="986"/>
      <c r="D9" s="986"/>
      <c r="E9" s="986"/>
      <c r="F9" s="986"/>
      <c r="G9" s="986"/>
    </row>
    <row r="10" spans="1:8" ht="13.5" thickTop="1">
      <c r="A10" s="95"/>
      <c r="B10" s="950" t="s">
        <v>304</v>
      </c>
      <c r="C10" s="951"/>
      <c r="D10" s="951"/>
      <c r="E10" s="951"/>
      <c r="F10" s="951"/>
      <c r="G10" s="952"/>
    </row>
    <row r="11" spans="1:8">
      <c r="A11" s="95"/>
      <c r="B11" s="229"/>
      <c r="C11" s="97"/>
      <c r="D11" s="98" t="s">
        <v>301</v>
      </c>
      <c r="E11" s="98" t="s">
        <v>1072</v>
      </c>
      <c r="F11" s="99" t="s">
        <v>839</v>
      </c>
      <c r="G11" s="107" t="s">
        <v>840</v>
      </c>
    </row>
    <row r="12" spans="1:8">
      <c r="A12" s="95"/>
      <c r="B12" s="982" t="s">
        <v>838</v>
      </c>
      <c r="C12" s="983"/>
      <c r="D12" s="100" t="s">
        <v>308</v>
      </c>
      <c r="E12" s="100" t="s">
        <v>305</v>
      </c>
      <c r="F12" s="101" t="s">
        <v>306</v>
      </c>
      <c r="G12" s="108" t="s">
        <v>310</v>
      </c>
    </row>
    <row r="13" spans="1:8">
      <c r="A13" s="95"/>
      <c r="B13" s="230"/>
      <c r="C13" s="102"/>
      <c r="D13" s="103"/>
      <c r="E13" s="103" t="s">
        <v>309</v>
      </c>
      <c r="F13" s="104" t="s">
        <v>307</v>
      </c>
      <c r="G13" s="109"/>
    </row>
    <row r="14" spans="1:8">
      <c r="A14" s="127"/>
      <c r="B14" s="841" t="str">
        <f>'MAQUINARIA Y EQUIPOS'!$C$28</f>
        <v>HERRAMIENTAS MENORES</v>
      </c>
      <c r="C14" s="842"/>
      <c r="D14" s="87">
        <v>1</v>
      </c>
      <c r="E14" s="82">
        <f>ROUND(G47*0.05,0)</f>
        <v>154</v>
      </c>
      <c r="F14" s="81">
        <v>1</v>
      </c>
      <c r="G14" s="110">
        <f>ROUND(D14*E14/F14,0)</f>
        <v>154</v>
      </c>
    </row>
    <row r="15" spans="1:8">
      <c r="A15" s="95"/>
      <c r="B15" s="854"/>
      <c r="C15" s="855"/>
      <c r="D15" s="37"/>
      <c r="E15" s="129"/>
      <c r="F15" s="83"/>
      <c r="G15" s="111"/>
    </row>
    <row r="16" spans="1:8">
      <c r="A16" s="95"/>
      <c r="B16" s="854"/>
      <c r="C16" s="855"/>
      <c r="D16" s="37"/>
      <c r="E16" s="129"/>
      <c r="F16" s="83"/>
      <c r="G16" s="111"/>
    </row>
    <row r="17" spans="1:8">
      <c r="A17" s="95"/>
      <c r="B17" s="854"/>
      <c r="C17" s="855"/>
      <c r="D17" s="89"/>
      <c r="E17" s="82"/>
      <c r="F17" s="83"/>
      <c r="G17" s="111"/>
    </row>
    <row r="18" spans="1:8">
      <c r="A18" s="95"/>
      <c r="B18" s="854" t="s">
        <v>841</v>
      </c>
      <c r="C18" s="855"/>
      <c r="D18" s="37"/>
      <c r="E18" s="82"/>
      <c r="F18" s="83"/>
      <c r="G18" s="111"/>
    </row>
    <row r="19" spans="1:8" ht="13.5" thickBot="1">
      <c r="A19" s="95"/>
      <c r="B19" s="942" t="s">
        <v>841</v>
      </c>
      <c r="C19" s="943"/>
      <c r="D19" s="77"/>
      <c r="E19" s="106"/>
      <c r="F19" s="86"/>
      <c r="G19" s="112"/>
    </row>
    <row r="20" spans="1:8" ht="14.25" thickTop="1" thickBot="1">
      <c r="A20" s="95"/>
      <c r="B20" s="946"/>
      <c r="C20" s="946"/>
      <c r="D20" s="946"/>
      <c r="E20" s="947"/>
      <c r="F20" s="119" t="s">
        <v>856</v>
      </c>
      <c r="G20" s="118">
        <f>SUM(G14:G19)</f>
        <v>154</v>
      </c>
    </row>
    <row r="21" spans="1:8" ht="14.25" thickTop="1" thickBot="1">
      <c r="A21" s="95"/>
      <c r="B21" s="970"/>
      <c r="C21" s="970"/>
      <c r="D21" s="970"/>
      <c r="E21" s="970"/>
      <c r="F21" s="970"/>
      <c r="G21" s="970"/>
    </row>
    <row r="22" spans="1:8" ht="13.5" thickTop="1">
      <c r="A22" s="95"/>
      <c r="B22" s="950" t="s">
        <v>311</v>
      </c>
      <c r="C22" s="951"/>
      <c r="D22" s="951"/>
      <c r="E22" s="951"/>
      <c r="F22" s="951"/>
      <c r="G22" s="952"/>
    </row>
    <row r="23" spans="1:8">
      <c r="A23" s="95"/>
      <c r="B23" s="978" t="s">
        <v>838</v>
      </c>
      <c r="C23" s="979"/>
      <c r="D23" s="98" t="s">
        <v>842</v>
      </c>
      <c r="E23" s="98" t="s">
        <v>853</v>
      </c>
      <c r="F23" s="99" t="s">
        <v>1047</v>
      </c>
      <c r="G23" s="107" t="s">
        <v>840</v>
      </c>
    </row>
    <row r="24" spans="1:8">
      <c r="A24" s="95"/>
      <c r="B24" s="230"/>
      <c r="C24" s="102"/>
      <c r="D24" s="100"/>
      <c r="E24" s="100" t="s">
        <v>312</v>
      </c>
      <c r="F24" s="101" t="s">
        <v>313</v>
      </c>
      <c r="G24" s="108" t="s">
        <v>314</v>
      </c>
    </row>
    <row r="25" spans="1:8">
      <c r="A25" s="123"/>
      <c r="B25" s="841" t="str">
        <f>MATERIALES2!$C$286</f>
        <v>PAPEL LIJA AGUA</v>
      </c>
      <c r="C25" s="842"/>
      <c r="D25" s="87" t="s">
        <v>865</v>
      </c>
      <c r="E25" s="81">
        <v>0.63</v>
      </c>
      <c r="F25" s="80">
        <f>MATERIALES2!$E$286</f>
        <v>1000</v>
      </c>
      <c r="G25" s="110">
        <f>ROUND(E25*F25,0)</f>
        <v>630</v>
      </c>
    </row>
    <row r="26" spans="1:8">
      <c r="A26" s="123"/>
      <c r="B26" s="854" t="str">
        <f>MATERIALES2!$C$269</f>
        <v>ANTICORROSIVO OXIDO DE HIERRO ROJO 310</v>
      </c>
      <c r="C26" s="855"/>
      <c r="D26" s="37" t="s">
        <v>556</v>
      </c>
      <c r="E26" s="83">
        <v>0.01</v>
      </c>
      <c r="F26" s="82">
        <f>MATERIALES2!$E$269</f>
        <v>31800</v>
      </c>
      <c r="G26" s="111">
        <f>ROUND(E26*F26,0)</f>
        <v>318</v>
      </c>
    </row>
    <row r="27" spans="1:8">
      <c r="A27" s="123"/>
      <c r="B27" s="854" t="str">
        <f>MATERIALES2!$C$293</f>
        <v>THINNER LIMPIADOR</v>
      </c>
      <c r="C27" s="855"/>
      <c r="D27" s="37" t="s">
        <v>556</v>
      </c>
      <c r="E27" s="83">
        <v>0.01</v>
      </c>
      <c r="F27" s="82">
        <f>MATERIALES2!$E$293</f>
        <v>15000</v>
      </c>
      <c r="G27" s="111">
        <f>ROUND(E27*F27,0)</f>
        <v>150</v>
      </c>
    </row>
    <row r="28" spans="1:8">
      <c r="A28" s="123"/>
      <c r="B28" s="854"/>
      <c r="C28" s="855"/>
      <c r="D28" s="37"/>
      <c r="E28" s="83"/>
      <c r="F28" s="82"/>
      <c r="G28" s="111"/>
    </row>
    <row r="29" spans="1:8">
      <c r="A29" s="95"/>
      <c r="B29" s="854"/>
      <c r="C29" s="855"/>
      <c r="D29" s="37"/>
      <c r="E29" s="83"/>
      <c r="F29" s="82"/>
      <c r="G29" s="111"/>
    </row>
    <row r="30" spans="1:8">
      <c r="A30" s="95"/>
      <c r="B30" s="854"/>
      <c r="C30" s="855"/>
      <c r="D30" s="37"/>
      <c r="E30" s="83"/>
      <c r="F30" s="82"/>
      <c r="G30" s="111"/>
    </row>
    <row r="31" spans="1:8">
      <c r="A31" s="95"/>
      <c r="B31" s="854"/>
      <c r="C31" s="855"/>
      <c r="D31" s="37"/>
      <c r="E31" s="83"/>
      <c r="F31" s="82"/>
      <c r="G31" s="111"/>
    </row>
    <row r="32" spans="1:8">
      <c r="A32" s="95"/>
      <c r="B32" s="938" t="s">
        <v>841</v>
      </c>
      <c r="C32" s="939"/>
      <c r="D32" s="53" t="s">
        <v>841</v>
      </c>
      <c r="E32" s="53"/>
      <c r="F32" s="82"/>
      <c r="G32" s="111"/>
      <c r="H32" s="505" t="s">
        <v>1670</v>
      </c>
    </row>
    <row r="33" spans="1:7" ht="13.5" thickBot="1">
      <c r="A33" s="95"/>
      <c r="B33" s="942" t="s">
        <v>841</v>
      </c>
      <c r="C33" s="943"/>
      <c r="D33" s="84" t="s">
        <v>841</v>
      </c>
      <c r="E33" s="84"/>
      <c r="F33" s="85"/>
      <c r="G33" s="112"/>
    </row>
    <row r="34" spans="1:7" ht="13.5" thickTop="1">
      <c r="A34" s="95"/>
      <c r="B34" s="946"/>
      <c r="C34" s="947"/>
      <c r="D34" s="801" t="s">
        <v>856</v>
      </c>
      <c r="E34" s="802"/>
      <c r="F34" s="9"/>
      <c r="G34" s="113">
        <f>SUM(G25:G33)</f>
        <v>1098</v>
      </c>
    </row>
    <row r="35" spans="1:7">
      <c r="A35" s="95"/>
      <c r="B35" s="948"/>
      <c r="C35" s="949"/>
      <c r="D35" s="801" t="s">
        <v>857</v>
      </c>
      <c r="E35" s="802"/>
      <c r="F35" s="79">
        <f>'MANO DE OBRA'!$D$60</f>
        <v>0.05</v>
      </c>
      <c r="G35" s="113">
        <f>ROUND(G34*F35,0)</f>
        <v>55</v>
      </c>
    </row>
    <row r="36" spans="1:7" ht="13.5" thickBot="1">
      <c r="A36" s="95"/>
      <c r="B36" s="948"/>
      <c r="C36" s="949"/>
      <c r="D36" s="803" t="s">
        <v>320</v>
      </c>
      <c r="E36" s="804"/>
      <c r="F36" s="114"/>
      <c r="G36" s="118">
        <f>+G34+G35</f>
        <v>1153</v>
      </c>
    </row>
    <row r="37" spans="1:7" ht="14.25" thickTop="1" thickBot="1">
      <c r="A37" s="95"/>
      <c r="B37" s="970"/>
      <c r="C37" s="970"/>
      <c r="D37" s="970"/>
      <c r="E37" s="970"/>
      <c r="F37" s="970"/>
      <c r="G37" s="970"/>
    </row>
    <row r="38" spans="1:7" ht="13.5" thickTop="1">
      <c r="A38" s="95"/>
      <c r="B38" s="950" t="s">
        <v>858</v>
      </c>
      <c r="C38" s="951"/>
      <c r="D38" s="951"/>
      <c r="E38" s="951"/>
      <c r="F38" s="951"/>
      <c r="G38" s="952"/>
    </row>
    <row r="39" spans="1:7">
      <c r="A39" s="95"/>
      <c r="B39" s="978"/>
      <c r="C39" s="979"/>
      <c r="D39" s="98" t="s">
        <v>301</v>
      </c>
      <c r="E39" s="98" t="s">
        <v>859</v>
      </c>
      <c r="F39" s="99" t="s">
        <v>839</v>
      </c>
      <c r="G39" s="107" t="s">
        <v>840</v>
      </c>
    </row>
    <row r="40" spans="1:7">
      <c r="A40" s="95"/>
      <c r="B40" s="982" t="s">
        <v>838</v>
      </c>
      <c r="C40" s="983"/>
      <c r="D40" s="100" t="s">
        <v>316</v>
      </c>
      <c r="E40" s="100" t="s">
        <v>315</v>
      </c>
      <c r="F40" s="101" t="s">
        <v>306</v>
      </c>
      <c r="G40" s="108" t="s">
        <v>319</v>
      </c>
    </row>
    <row r="41" spans="1:7">
      <c r="A41" s="95"/>
      <c r="B41" s="230"/>
      <c r="C41" s="102"/>
      <c r="D41" s="103"/>
      <c r="E41" s="103" t="s">
        <v>317</v>
      </c>
      <c r="F41" s="104" t="s">
        <v>318</v>
      </c>
      <c r="G41" s="109"/>
    </row>
    <row r="42" spans="1:7">
      <c r="A42" s="95"/>
      <c r="B42" s="841" t="str">
        <f>'MANO DE OBRA'!$B$12</f>
        <v>AYUDANTE CUAD. TIPO CC</v>
      </c>
      <c r="C42" s="842"/>
      <c r="D42" s="87">
        <v>1</v>
      </c>
      <c r="E42" s="80">
        <f>'MANO DE OBRA'!$E$12</f>
        <v>47255</v>
      </c>
      <c r="F42" s="81">
        <v>42.11</v>
      </c>
      <c r="G42" s="110">
        <f>ROUND(D42*E42/F42,0)</f>
        <v>1122</v>
      </c>
    </row>
    <row r="43" spans="1:7">
      <c r="A43" s="95"/>
      <c r="B43" s="854" t="str">
        <f>'MANO DE OBRA'!$B$17</f>
        <v>OFICIAL CUAD. TIPO CC</v>
      </c>
      <c r="C43" s="855"/>
      <c r="D43" s="37">
        <v>1</v>
      </c>
      <c r="E43" s="82">
        <f>'MANO DE OBRA'!$E$17</f>
        <v>82117</v>
      </c>
      <c r="F43" s="83">
        <v>42.11</v>
      </c>
      <c r="G43" s="111">
        <f>ROUND(D43*E43/F43,0)</f>
        <v>1950</v>
      </c>
    </row>
    <row r="44" spans="1:7">
      <c r="A44" s="95"/>
      <c r="B44" s="854"/>
      <c r="C44" s="855"/>
      <c r="D44" s="89"/>
      <c r="E44" s="82"/>
      <c r="F44" s="83"/>
      <c r="G44" s="111"/>
    </row>
    <row r="45" spans="1:7">
      <c r="A45" s="95"/>
      <c r="B45" s="854" t="s">
        <v>841</v>
      </c>
      <c r="C45" s="855"/>
      <c r="D45" s="37"/>
      <c r="E45" s="82"/>
      <c r="F45" s="83"/>
      <c r="G45" s="111"/>
    </row>
    <row r="46" spans="1:7" ht="13.5" thickBot="1">
      <c r="A46" s="95"/>
      <c r="B46" s="980" t="s">
        <v>841</v>
      </c>
      <c r="C46" s="981"/>
      <c r="D46" s="77"/>
      <c r="E46" s="82"/>
      <c r="F46" s="86"/>
      <c r="G46" s="112"/>
    </row>
    <row r="47" spans="1:7" ht="14.25" thickTop="1" thickBot="1">
      <c r="A47" s="95"/>
      <c r="B47" s="946"/>
      <c r="C47" s="946"/>
      <c r="D47" s="946"/>
      <c r="E47" s="947"/>
      <c r="F47" s="120" t="s">
        <v>856</v>
      </c>
      <c r="G47" s="118">
        <f>SUM(G42:G46)</f>
        <v>3072</v>
      </c>
    </row>
    <row r="48" spans="1:7" ht="14.25" thickTop="1" thickBot="1">
      <c r="A48" s="95"/>
      <c r="B48" s="970"/>
      <c r="C48" s="970"/>
      <c r="D48" s="970"/>
      <c r="E48" s="970"/>
      <c r="F48" s="970"/>
      <c r="G48" s="970"/>
    </row>
    <row r="49" spans="1:8" ht="13.5" thickTop="1">
      <c r="A49" s="95"/>
      <c r="B49" s="950" t="s">
        <v>321</v>
      </c>
      <c r="C49" s="951"/>
      <c r="D49" s="951"/>
      <c r="E49" s="951"/>
      <c r="F49" s="951"/>
      <c r="G49" s="952"/>
    </row>
    <row r="50" spans="1:8">
      <c r="A50" s="95"/>
      <c r="B50" s="978" t="s">
        <v>838</v>
      </c>
      <c r="C50" s="979"/>
      <c r="D50" s="98" t="s">
        <v>301</v>
      </c>
      <c r="E50" s="98" t="s">
        <v>297</v>
      </c>
      <c r="F50" s="99" t="s">
        <v>839</v>
      </c>
      <c r="G50" s="107" t="s">
        <v>840</v>
      </c>
    </row>
    <row r="51" spans="1:8">
      <c r="A51" s="95"/>
      <c r="B51" s="230"/>
      <c r="C51" s="102"/>
      <c r="D51" s="103" t="s">
        <v>322</v>
      </c>
      <c r="E51" s="103" t="s">
        <v>323</v>
      </c>
      <c r="F51" s="104" t="s">
        <v>324</v>
      </c>
      <c r="G51" s="109" t="s">
        <v>325</v>
      </c>
    </row>
    <row r="52" spans="1:8">
      <c r="A52" s="95"/>
      <c r="B52" s="841"/>
      <c r="C52" s="842"/>
      <c r="D52" s="96"/>
      <c r="E52" s="96"/>
      <c r="F52" s="96"/>
      <c r="G52" s="116"/>
    </row>
    <row r="53" spans="1:8" ht="13.5" thickBot="1">
      <c r="A53" s="95"/>
      <c r="B53" s="980" t="s">
        <v>841</v>
      </c>
      <c r="C53" s="981"/>
      <c r="D53" s="77"/>
      <c r="E53" s="82"/>
      <c r="F53" s="86"/>
      <c r="G53" s="112"/>
    </row>
    <row r="54" spans="1:8" ht="14.25" thickTop="1" thickBot="1">
      <c r="A54" s="95"/>
      <c r="B54" s="946"/>
      <c r="C54" s="946"/>
      <c r="D54" s="946"/>
      <c r="E54" s="947"/>
      <c r="F54" s="120" t="s">
        <v>856</v>
      </c>
      <c r="G54" s="118">
        <f>SUM(G49:G53)</f>
        <v>0</v>
      </c>
    </row>
    <row r="55" spans="1:8" ht="14.25" thickTop="1" thickBot="1">
      <c r="A55" s="95"/>
      <c r="B55" s="970"/>
      <c r="C55" s="970"/>
      <c r="D55" s="970"/>
      <c r="E55" s="970"/>
      <c r="F55" s="970"/>
      <c r="G55" s="943"/>
    </row>
    <row r="56" spans="1:8" ht="13.5" thickTop="1">
      <c r="A56" s="95"/>
      <c r="B56" s="950" t="s">
        <v>326</v>
      </c>
      <c r="C56" s="951"/>
      <c r="D56" s="951"/>
      <c r="E56" s="951"/>
      <c r="F56" s="971"/>
      <c r="G56" s="121">
        <f>+G20+G36+G47</f>
        <v>4379</v>
      </c>
    </row>
    <row r="57" spans="1:8">
      <c r="A57" s="95"/>
      <c r="B57" s="972" t="s">
        <v>861</v>
      </c>
      <c r="C57" s="973"/>
      <c r="D57" s="973"/>
      <c r="E57" s="974"/>
      <c r="F57" s="128">
        <f>'MANO DE OBRA'!$D$59</f>
        <v>0</v>
      </c>
      <c r="G57" s="122">
        <f>ROUND(G56*F57,0)</f>
        <v>0</v>
      </c>
    </row>
    <row r="58" spans="1:8" ht="13.5" thickBot="1">
      <c r="A58" s="95"/>
      <c r="B58" s="975" t="s">
        <v>1049</v>
      </c>
      <c r="C58" s="976"/>
      <c r="D58" s="976"/>
      <c r="E58" s="976"/>
      <c r="F58" s="977"/>
      <c r="G58" s="118">
        <f>ROUND(G56+G57,-2)</f>
        <v>4400</v>
      </c>
      <c r="H58" s="505" t="s">
        <v>1670</v>
      </c>
    </row>
    <row r="59" spans="1:8" ht="15" thickTop="1">
      <c r="A59" s="95"/>
      <c r="B59" s="225" t="s">
        <v>303</v>
      </c>
      <c r="C59" s="843"/>
      <c r="D59" s="843"/>
      <c r="E59" s="843"/>
      <c r="F59" s="92" t="s">
        <v>781</v>
      </c>
      <c r="G59" s="93" t="s">
        <v>1067</v>
      </c>
    </row>
    <row r="60" spans="1:8">
      <c r="A60" s="95"/>
      <c r="B60" s="226" t="s">
        <v>834</v>
      </c>
      <c r="C60" s="844" t="s">
        <v>1518</v>
      </c>
      <c r="D60" s="844"/>
      <c r="E60" s="844"/>
      <c r="F60" s="15" t="s">
        <v>833</v>
      </c>
      <c r="G60" s="165" t="str">
        <f>'MANO DE OBRA'!D61</f>
        <v>Agosto de 2010</v>
      </c>
    </row>
    <row r="61" spans="1:8" ht="13.5" thickBot="1">
      <c r="A61" s="127"/>
      <c r="B61" s="228" t="s">
        <v>835</v>
      </c>
      <c r="C61" s="1001" t="s">
        <v>1520</v>
      </c>
      <c r="D61" s="1001"/>
      <c r="E61" s="1001"/>
      <c r="F61" s="1001"/>
      <c r="G61" s="1002"/>
    </row>
    <row r="62" spans="1:8" ht="14.25" thickTop="1" thickBot="1">
      <c r="A62" s="95"/>
      <c r="B62" s="986"/>
      <c r="C62" s="986"/>
      <c r="D62" s="986"/>
      <c r="E62" s="986"/>
      <c r="F62" s="986"/>
      <c r="G62" s="986"/>
    </row>
    <row r="63" spans="1:8" ht="13.5" thickTop="1">
      <c r="A63" s="95"/>
      <c r="B63" s="950" t="s">
        <v>304</v>
      </c>
      <c r="C63" s="951"/>
      <c r="D63" s="951"/>
      <c r="E63" s="951"/>
      <c r="F63" s="951"/>
      <c r="G63" s="952"/>
    </row>
    <row r="64" spans="1:8">
      <c r="A64" s="95"/>
      <c r="B64" s="229"/>
      <c r="C64" s="97"/>
      <c r="D64" s="98" t="s">
        <v>301</v>
      </c>
      <c r="E64" s="98" t="s">
        <v>1072</v>
      </c>
      <c r="F64" s="99" t="s">
        <v>839</v>
      </c>
      <c r="G64" s="107" t="s">
        <v>840</v>
      </c>
    </row>
    <row r="65" spans="1:7">
      <c r="A65" s="95"/>
      <c r="B65" s="982" t="s">
        <v>838</v>
      </c>
      <c r="C65" s="983"/>
      <c r="D65" s="100" t="s">
        <v>308</v>
      </c>
      <c r="E65" s="100" t="s">
        <v>305</v>
      </c>
      <c r="F65" s="101" t="s">
        <v>306</v>
      </c>
      <c r="G65" s="108" t="s">
        <v>310</v>
      </c>
    </row>
    <row r="66" spans="1:7">
      <c r="A66" s="95"/>
      <c r="B66" s="230"/>
      <c r="C66" s="102"/>
      <c r="D66" s="103"/>
      <c r="E66" s="103" t="s">
        <v>309</v>
      </c>
      <c r="F66" s="104" t="s">
        <v>307</v>
      </c>
      <c r="G66" s="109"/>
    </row>
    <row r="67" spans="1:7">
      <c r="A67" s="127"/>
      <c r="B67" s="841" t="str">
        <f>'MAQUINARIA Y EQUIPOS'!$C$28</f>
        <v>HERRAMIENTAS MENORES</v>
      </c>
      <c r="C67" s="842"/>
      <c r="D67" s="87">
        <v>1</v>
      </c>
      <c r="E67" s="82">
        <f>ROUND(G100*0.05,0)</f>
        <v>267</v>
      </c>
      <c r="F67" s="81">
        <v>1</v>
      </c>
      <c r="G67" s="110">
        <f>ROUND(D67*E67/F67,0)</f>
        <v>267</v>
      </c>
    </row>
    <row r="68" spans="1:7">
      <c r="A68" s="95"/>
      <c r="B68" s="854"/>
      <c r="C68" s="855"/>
      <c r="D68" s="37"/>
      <c r="E68" s="129"/>
      <c r="F68" s="83"/>
      <c r="G68" s="111"/>
    </row>
    <row r="69" spans="1:7">
      <c r="A69" s="95"/>
      <c r="B69" s="854"/>
      <c r="C69" s="855"/>
      <c r="D69" s="37"/>
      <c r="E69" s="129"/>
      <c r="F69" s="83"/>
      <c r="G69" s="111"/>
    </row>
    <row r="70" spans="1:7">
      <c r="A70" s="95"/>
      <c r="B70" s="854"/>
      <c r="C70" s="855"/>
      <c r="D70" s="89"/>
      <c r="E70" s="82"/>
      <c r="F70" s="83"/>
      <c r="G70" s="111"/>
    </row>
    <row r="71" spans="1:7">
      <c r="A71" s="95"/>
      <c r="B71" s="854" t="s">
        <v>841</v>
      </c>
      <c r="C71" s="855"/>
      <c r="D71" s="37"/>
      <c r="E71" s="82"/>
      <c r="F71" s="83"/>
      <c r="G71" s="111"/>
    </row>
    <row r="72" spans="1:7" ht="13.5" thickBot="1">
      <c r="A72" s="95"/>
      <c r="B72" s="942" t="s">
        <v>841</v>
      </c>
      <c r="C72" s="943"/>
      <c r="D72" s="77"/>
      <c r="E72" s="106"/>
      <c r="F72" s="86"/>
      <c r="G72" s="112"/>
    </row>
    <row r="73" spans="1:7" ht="14.25" thickTop="1" thickBot="1">
      <c r="A73" s="95"/>
      <c r="B73" s="946"/>
      <c r="C73" s="946"/>
      <c r="D73" s="946"/>
      <c r="E73" s="947"/>
      <c r="F73" s="119" t="s">
        <v>856</v>
      </c>
      <c r="G73" s="118">
        <f>SUM(G67:G72)</f>
        <v>267</v>
      </c>
    </row>
    <row r="74" spans="1:7" ht="14.25" thickTop="1" thickBot="1">
      <c r="A74" s="95"/>
      <c r="B74" s="970"/>
      <c r="C74" s="970"/>
      <c r="D74" s="970"/>
      <c r="E74" s="970"/>
      <c r="F74" s="970"/>
      <c r="G74" s="970"/>
    </row>
    <row r="75" spans="1:7" ht="13.5" thickTop="1">
      <c r="A75" s="95"/>
      <c r="B75" s="950" t="s">
        <v>311</v>
      </c>
      <c r="C75" s="951"/>
      <c r="D75" s="951"/>
      <c r="E75" s="951"/>
      <c r="F75" s="951"/>
      <c r="G75" s="952"/>
    </row>
    <row r="76" spans="1:7">
      <c r="A76" s="95"/>
      <c r="B76" s="978" t="s">
        <v>838</v>
      </c>
      <c r="C76" s="979"/>
      <c r="D76" s="98" t="s">
        <v>842</v>
      </c>
      <c r="E76" s="98" t="s">
        <v>853</v>
      </c>
      <c r="F76" s="99" t="s">
        <v>1047</v>
      </c>
      <c r="G76" s="107" t="s">
        <v>840</v>
      </c>
    </row>
    <row r="77" spans="1:7">
      <c r="A77" s="95"/>
      <c r="B77" s="230"/>
      <c r="C77" s="102"/>
      <c r="D77" s="100"/>
      <c r="E77" s="100" t="s">
        <v>312</v>
      </c>
      <c r="F77" s="101" t="s">
        <v>313</v>
      </c>
      <c r="G77" s="108" t="s">
        <v>314</v>
      </c>
    </row>
    <row r="78" spans="1:7">
      <c r="A78" s="123"/>
      <c r="B78" s="841" t="str">
        <f>MATERIALES2!$C$286</f>
        <v>PAPEL LIJA AGUA</v>
      </c>
      <c r="C78" s="842"/>
      <c r="D78" s="87" t="s">
        <v>865</v>
      </c>
      <c r="E78" s="81">
        <v>1.05</v>
      </c>
      <c r="F78" s="80">
        <f>MATERIALES2!$E$286</f>
        <v>1000</v>
      </c>
      <c r="G78" s="110">
        <f>ROUND(E78*F78,0)</f>
        <v>1050</v>
      </c>
    </row>
    <row r="79" spans="1:7">
      <c r="A79" s="123"/>
      <c r="B79" s="854" t="str">
        <f>MATERIALES2!$C$269</f>
        <v>ANTICORROSIVO OXIDO DE HIERRO ROJO 310</v>
      </c>
      <c r="C79" s="855"/>
      <c r="D79" s="37" t="s">
        <v>556</v>
      </c>
      <c r="E79" s="83">
        <v>0.03</v>
      </c>
      <c r="F79" s="82">
        <f>MATERIALES2!$E$269</f>
        <v>31800</v>
      </c>
      <c r="G79" s="111">
        <f>ROUND(E79*F79,0)</f>
        <v>954</v>
      </c>
    </row>
    <row r="80" spans="1:7">
      <c r="A80" s="123"/>
      <c r="B80" s="854" t="str">
        <f>MATERIALES2!$C$293</f>
        <v>THINNER LIMPIADOR</v>
      </c>
      <c r="C80" s="855"/>
      <c r="D80" s="37" t="s">
        <v>556</v>
      </c>
      <c r="E80" s="83">
        <v>0.01</v>
      </c>
      <c r="F80" s="82">
        <f>MATERIALES2!$E$293</f>
        <v>15000</v>
      </c>
      <c r="G80" s="111">
        <f>ROUND(E80*F80,0)</f>
        <v>150</v>
      </c>
    </row>
    <row r="81" spans="1:8">
      <c r="A81" s="123"/>
      <c r="B81" s="854"/>
      <c r="C81" s="855"/>
      <c r="D81" s="37"/>
      <c r="E81" s="83"/>
      <c r="F81" s="82"/>
      <c r="G81" s="111"/>
    </row>
    <row r="82" spans="1:8">
      <c r="A82" s="95"/>
      <c r="B82" s="854"/>
      <c r="C82" s="855"/>
      <c r="D82" s="37"/>
      <c r="E82" s="83"/>
      <c r="F82" s="82"/>
      <c r="G82" s="111"/>
    </row>
    <row r="83" spans="1:8">
      <c r="A83" s="95"/>
      <c r="B83" s="854"/>
      <c r="C83" s="855"/>
      <c r="D83" s="37"/>
      <c r="E83" s="83"/>
      <c r="F83" s="82"/>
      <c r="G83" s="111"/>
    </row>
    <row r="84" spans="1:8">
      <c r="A84" s="95"/>
      <c r="B84" s="854"/>
      <c r="C84" s="855"/>
      <c r="D84" s="37"/>
      <c r="E84" s="83"/>
      <c r="F84" s="82"/>
      <c r="G84" s="111"/>
    </row>
    <row r="85" spans="1:8">
      <c r="A85" s="95"/>
      <c r="B85" s="938" t="s">
        <v>841</v>
      </c>
      <c r="C85" s="939"/>
      <c r="D85" s="53" t="s">
        <v>841</v>
      </c>
      <c r="E85" s="53"/>
      <c r="F85" s="82"/>
      <c r="G85" s="111"/>
      <c r="H85" s="505" t="s">
        <v>1670</v>
      </c>
    </row>
    <row r="86" spans="1:8" ht="13.5" thickBot="1">
      <c r="A86" s="95"/>
      <c r="B86" s="942" t="s">
        <v>841</v>
      </c>
      <c r="C86" s="943"/>
      <c r="D86" s="84" t="s">
        <v>841</v>
      </c>
      <c r="E86" s="84"/>
      <c r="F86" s="85"/>
      <c r="G86" s="112"/>
    </row>
    <row r="87" spans="1:8" ht="13.5" thickTop="1">
      <c r="A87" s="95"/>
      <c r="B87" s="946"/>
      <c r="C87" s="947"/>
      <c r="D87" s="801" t="s">
        <v>856</v>
      </c>
      <c r="E87" s="802"/>
      <c r="F87" s="9"/>
      <c r="G87" s="113">
        <f>SUM(G78:G86)</f>
        <v>2154</v>
      </c>
    </row>
    <row r="88" spans="1:8">
      <c r="A88" s="95"/>
      <c r="B88" s="948"/>
      <c r="C88" s="949"/>
      <c r="D88" s="801" t="s">
        <v>857</v>
      </c>
      <c r="E88" s="802"/>
      <c r="F88" s="79">
        <f>'MANO DE OBRA'!$D$60</f>
        <v>0.05</v>
      </c>
      <c r="G88" s="113">
        <f>ROUND(G87*F88,0)</f>
        <v>108</v>
      </c>
    </row>
    <row r="89" spans="1:8" ht="13.5" thickBot="1">
      <c r="A89" s="95"/>
      <c r="B89" s="948"/>
      <c r="C89" s="949"/>
      <c r="D89" s="803" t="s">
        <v>320</v>
      </c>
      <c r="E89" s="804"/>
      <c r="F89" s="114"/>
      <c r="G89" s="118">
        <f>+G87+G88</f>
        <v>2262</v>
      </c>
    </row>
    <row r="90" spans="1:8" ht="14.25" thickTop="1" thickBot="1">
      <c r="A90" s="95"/>
      <c r="B90" s="970"/>
      <c r="C90" s="970"/>
      <c r="D90" s="970"/>
      <c r="E90" s="970"/>
      <c r="F90" s="970"/>
      <c r="G90" s="970"/>
    </row>
    <row r="91" spans="1:8" ht="13.5" thickTop="1">
      <c r="A91" s="95"/>
      <c r="B91" s="950" t="s">
        <v>858</v>
      </c>
      <c r="C91" s="951"/>
      <c r="D91" s="951"/>
      <c r="E91" s="951"/>
      <c r="F91" s="951"/>
      <c r="G91" s="952"/>
    </row>
    <row r="92" spans="1:8">
      <c r="A92" s="95"/>
      <c r="B92" s="978"/>
      <c r="C92" s="979"/>
      <c r="D92" s="98" t="s">
        <v>301</v>
      </c>
      <c r="E92" s="98" t="s">
        <v>859</v>
      </c>
      <c r="F92" s="99" t="s">
        <v>839</v>
      </c>
      <c r="G92" s="107" t="s">
        <v>840</v>
      </c>
    </row>
    <row r="93" spans="1:8">
      <c r="A93" s="95"/>
      <c r="B93" s="982" t="s">
        <v>838</v>
      </c>
      <c r="C93" s="983"/>
      <c r="D93" s="100" t="s">
        <v>316</v>
      </c>
      <c r="E93" s="100" t="s">
        <v>315</v>
      </c>
      <c r="F93" s="101" t="s">
        <v>306</v>
      </c>
      <c r="G93" s="108" t="s">
        <v>319</v>
      </c>
    </row>
    <row r="94" spans="1:8">
      <c r="A94" s="95"/>
      <c r="B94" s="230"/>
      <c r="C94" s="102"/>
      <c r="D94" s="103"/>
      <c r="E94" s="103" t="s">
        <v>317</v>
      </c>
      <c r="F94" s="104" t="s">
        <v>318</v>
      </c>
      <c r="G94" s="109"/>
    </row>
    <row r="95" spans="1:8">
      <c r="A95" s="95"/>
      <c r="B95" s="841" t="str">
        <f>'MANO DE OBRA'!$B$12</f>
        <v>AYUDANTE CUAD. TIPO CC</v>
      </c>
      <c r="C95" s="842"/>
      <c r="D95" s="87">
        <v>1</v>
      </c>
      <c r="E95" s="80">
        <f>'MANO DE OBRA'!$E$12</f>
        <v>47255</v>
      </c>
      <c r="F95" s="81">
        <v>24.24</v>
      </c>
      <c r="G95" s="110">
        <f>ROUND(D95*E95/F95,0)</f>
        <v>1949</v>
      </c>
    </row>
    <row r="96" spans="1:8">
      <c r="A96" s="95"/>
      <c r="B96" s="854" t="str">
        <f>'MANO DE OBRA'!$B$17</f>
        <v>OFICIAL CUAD. TIPO CC</v>
      </c>
      <c r="C96" s="855"/>
      <c r="D96" s="37">
        <v>1</v>
      </c>
      <c r="E96" s="82">
        <f>'MANO DE OBRA'!$E$17</f>
        <v>82117</v>
      </c>
      <c r="F96" s="83">
        <v>24.24</v>
      </c>
      <c r="G96" s="111">
        <f>ROUND(D96*E96/F96,0)</f>
        <v>3388</v>
      </c>
    </row>
    <row r="97" spans="1:8">
      <c r="A97" s="95"/>
      <c r="B97" s="854"/>
      <c r="C97" s="855"/>
      <c r="D97" s="89"/>
      <c r="E97" s="82"/>
      <c r="F97" s="83"/>
      <c r="G97" s="111"/>
    </row>
    <row r="98" spans="1:8">
      <c r="A98" s="95"/>
      <c r="B98" s="854" t="s">
        <v>841</v>
      </c>
      <c r="C98" s="855"/>
      <c r="D98" s="37"/>
      <c r="E98" s="82"/>
      <c r="F98" s="83"/>
      <c r="G98" s="111"/>
    </row>
    <row r="99" spans="1:8" ht="13.5" thickBot="1">
      <c r="A99" s="95"/>
      <c r="B99" s="980" t="s">
        <v>841</v>
      </c>
      <c r="C99" s="981"/>
      <c r="D99" s="77"/>
      <c r="E99" s="82"/>
      <c r="F99" s="86"/>
      <c r="G99" s="112"/>
    </row>
    <row r="100" spans="1:8" ht="14.25" thickTop="1" thickBot="1">
      <c r="A100" s="95"/>
      <c r="B100" s="946"/>
      <c r="C100" s="946"/>
      <c r="D100" s="946"/>
      <c r="E100" s="947"/>
      <c r="F100" s="120" t="s">
        <v>856</v>
      </c>
      <c r="G100" s="118">
        <f>SUM(G95:G99)</f>
        <v>5337</v>
      </c>
    </row>
    <row r="101" spans="1:8" ht="14.25" thickTop="1" thickBot="1">
      <c r="A101" s="95"/>
      <c r="B101" s="970"/>
      <c r="C101" s="970"/>
      <c r="D101" s="970"/>
      <c r="E101" s="970"/>
      <c r="F101" s="970"/>
      <c r="G101" s="970"/>
    </row>
    <row r="102" spans="1:8" ht="13.5" thickTop="1">
      <c r="A102" s="95"/>
      <c r="B102" s="950" t="s">
        <v>321</v>
      </c>
      <c r="C102" s="951"/>
      <c r="D102" s="951"/>
      <c r="E102" s="951"/>
      <c r="F102" s="951"/>
      <c r="G102" s="952"/>
    </row>
    <row r="103" spans="1:8">
      <c r="A103" s="95"/>
      <c r="B103" s="978" t="s">
        <v>838</v>
      </c>
      <c r="C103" s="979"/>
      <c r="D103" s="98" t="s">
        <v>301</v>
      </c>
      <c r="E103" s="98" t="s">
        <v>297</v>
      </c>
      <c r="F103" s="99" t="s">
        <v>839</v>
      </c>
      <c r="G103" s="107" t="s">
        <v>840</v>
      </c>
    </row>
    <row r="104" spans="1:8">
      <c r="A104" s="95"/>
      <c r="B104" s="230"/>
      <c r="C104" s="102"/>
      <c r="D104" s="103" t="s">
        <v>322</v>
      </c>
      <c r="E104" s="103" t="s">
        <v>323</v>
      </c>
      <c r="F104" s="104" t="s">
        <v>324</v>
      </c>
      <c r="G104" s="109" t="s">
        <v>325</v>
      </c>
    </row>
    <row r="105" spans="1:8">
      <c r="A105" s="95"/>
      <c r="B105" s="841"/>
      <c r="C105" s="842"/>
      <c r="D105" s="96"/>
      <c r="E105" s="96"/>
      <c r="F105" s="96"/>
      <c r="G105" s="116"/>
    </row>
    <row r="106" spans="1:8" ht="13.5" thickBot="1">
      <c r="A106" s="95"/>
      <c r="B106" s="980" t="s">
        <v>841</v>
      </c>
      <c r="C106" s="981"/>
      <c r="D106" s="77"/>
      <c r="E106" s="82"/>
      <c r="F106" s="86"/>
      <c r="G106" s="112"/>
    </row>
    <row r="107" spans="1:8" ht="14.25" thickTop="1" thickBot="1">
      <c r="A107" s="95"/>
      <c r="B107" s="946"/>
      <c r="C107" s="946"/>
      <c r="D107" s="946"/>
      <c r="E107" s="947"/>
      <c r="F107" s="120" t="s">
        <v>856</v>
      </c>
      <c r="G107" s="118">
        <f>SUM(G102:G106)</f>
        <v>0</v>
      </c>
    </row>
    <row r="108" spans="1:8" ht="14.25" thickTop="1" thickBot="1">
      <c r="A108" s="95"/>
      <c r="B108" s="970"/>
      <c r="C108" s="970"/>
      <c r="D108" s="970"/>
      <c r="E108" s="970"/>
      <c r="F108" s="970"/>
      <c r="G108" s="943"/>
    </row>
    <row r="109" spans="1:8" ht="13.5" thickTop="1">
      <c r="A109" s="95"/>
      <c r="B109" s="950" t="s">
        <v>326</v>
      </c>
      <c r="C109" s="951"/>
      <c r="D109" s="951"/>
      <c r="E109" s="951"/>
      <c r="F109" s="971"/>
      <c r="G109" s="121">
        <f>+G73+G89+G100</f>
        <v>7866</v>
      </c>
    </row>
    <row r="110" spans="1:8">
      <c r="A110" s="95"/>
      <c r="B110" s="972" t="s">
        <v>861</v>
      </c>
      <c r="C110" s="973"/>
      <c r="D110" s="973"/>
      <c r="E110" s="974"/>
      <c r="F110" s="128">
        <f>'MANO DE OBRA'!$D$59</f>
        <v>0</v>
      </c>
      <c r="G110" s="122">
        <f>ROUND(G109*F110,0)</f>
        <v>0</v>
      </c>
    </row>
    <row r="111" spans="1:8" ht="13.5" thickBot="1">
      <c r="A111" s="95"/>
      <c r="B111" s="975" t="s">
        <v>1049</v>
      </c>
      <c r="C111" s="976"/>
      <c r="D111" s="976"/>
      <c r="E111" s="976"/>
      <c r="F111" s="977"/>
      <c r="G111" s="118">
        <f>ROUND(G109+G110,-2)</f>
        <v>7900</v>
      </c>
      <c r="H111" s="505" t="s">
        <v>1670</v>
      </c>
    </row>
    <row r="112" spans="1:8" ht="15" thickTop="1">
      <c r="A112" s="95"/>
      <c r="B112" s="225" t="s">
        <v>303</v>
      </c>
      <c r="C112" s="843"/>
      <c r="D112" s="843"/>
      <c r="E112" s="843"/>
      <c r="F112" s="92" t="s">
        <v>781</v>
      </c>
      <c r="G112" s="93" t="s">
        <v>1067</v>
      </c>
    </row>
    <row r="113" spans="1:7">
      <c r="A113" s="95"/>
      <c r="B113" s="226" t="s">
        <v>834</v>
      </c>
      <c r="C113" s="844" t="s">
        <v>1518</v>
      </c>
      <c r="D113" s="844"/>
      <c r="E113" s="844"/>
      <c r="F113" s="15" t="s">
        <v>833</v>
      </c>
      <c r="G113" s="165" t="str">
        <f>'MANO DE OBRA'!D61</f>
        <v>Agosto de 2010</v>
      </c>
    </row>
    <row r="114" spans="1:7" ht="13.5" thickBot="1">
      <c r="A114" s="127"/>
      <c r="B114" s="228" t="s">
        <v>835</v>
      </c>
      <c r="C114" s="1001" t="s">
        <v>1521</v>
      </c>
      <c r="D114" s="1001"/>
      <c r="E114" s="1001"/>
      <c r="F114" s="1001"/>
      <c r="G114" s="1002"/>
    </row>
    <row r="115" spans="1:7" ht="14.25" thickTop="1" thickBot="1">
      <c r="A115" s="95"/>
      <c r="B115" s="986"/>
      <c r="C115" s="986"/>
      <c r="D115" s="986"/>
      <c r="E115" s="986"/>
      <c r="F115" s="986"/>
      <c r="G115" s="986"/>
    </row>
    <row r="116" spans="1:7" ht="13.5" thickTop="1">
      <c r="A116" s="95"/>
      <c r="B116" s="950" t="s">
        <v>304</v>
      </c>
      <c r="C116" s="951"/>
      <c r="D116" s="951"/>
      <c r="E116" s="951"/>
      <c r="F116" s="951"/>
      <c r="G116" s="952"/>
    </row>
    <row r="117" spans="1:7">
      <c r="A117" s="95"/>
      <c r="B117" s="229"/>
      <c r="C117" s="97"/>
      <c r="D117" s="98" t="s">
        <v>301</v>
      </c>
      <c r="E117" s="98" t="s">
        <v>1072</v>
      </c>
      <c r="F117" s="99" t="s">
        <v>839</v>
      </c>
      <c r="G117" s="107" t="s">
        <v>840</v>
      </c>
    </row>
    <row r="118" spans="1:7">
      <c r="A118" s="95"/>
      <c r="B118" s="982" t="s">
        <v>838</v>
      </c>
      <c r="C118" s="983"/>
      <c r="D118" s="100" t="s">
        <v>308</v>
      </c>
      <c r="E118" s="100" t="s">
        <v>305</v>
      </c>
      <c r="F118" s="101" t="s">
        <v>306</v>
      </c>
      <c r="G118" s="108" t="s">
        <v>310</v>
      </c>
    </row>
    <row r="119" spans="1:7">
      <c r="A119" s="95"/>
      <c r="B119" s="230"/>
      <c r="C119" s="102"/>
      <c r="D119" s="103"/>
      <c r="E119" s="103" t="s">
        <v>309</v>
      </c>
      <c r="F119" s="104" t="s">
        <v>307</v>
      </c>
      <c r="G119" s="109"/>
    </row>
    <row r="120" spans="1:7">
      <c r="A120" s="127"/>
      <c r="B120" s="841" t="str">
        <f>'MAQUINARIA Y EQUIPOS'!$C$28</f>
        <v>HERRAMIENTAS MENORES</v>
      </c>
      <c r="C120" s="842"/>
      <c r="D120" s="87">
        <v>1</v>
      </c>
      <c r="E120" s="82">
        <f>ROUND(G153*0.05,0)</f>
        <v>146</v>
      </c>
      <c r="F120" s="81">
        <v>1</v>
      </c>
      <c r="G120" s="110">
        <f>ROUND(D120*E120/F120,0)</f>
        <v>146</v>
      </c>
    </row>
    <row r="121" spans="1:7">
      <c r="A121" s="95"/>
      <c r="B121" s="854" t="str">
        <f>'MAQUINARIA Y EQUIPOS'!$C$9</f>
        <v>ANDAMIO TUBULAR 1.50 m</v>
      </c>
      <c r="C121" s="855"/>
      <c r="D121" s="37">
        <v>4</v>
      </c>
      <c r="E121" s="129">
        <f>'MAQUINARIA Y EQUIPOS'!$D$9</f>
        <v>754</v>
      </c>
      <c r="F121" s="83">
        <f>F148</f>
        <v>44.44</v>
      </c>
      <c r="G121" s="111">
        <f>ROUND(D121*E121/F121,0)</f>
        <v>68</v>
      </c>
    </row>
    <row r="122" spans="1:7">
      <c r="A122" s="95"/>
      <c r="B122" s="854" t="str">
        <f>'MAQUINARIA Y EQUIPOS'!$C$47</f>
        <v>TABLONES 3m</v>
      </c>
      <c r="C122" s="855"/>
      <c r="D122" s="37">
        <v>2</v>
      </c>
      <c r="E122" s="129">
        <f>'MAQUINARIA Y EQUIPOS'!$D$47</f>
        <v>348</v>
      </c>
      <c r="F122" s="83">
        <f>F148</f>
        <v>44.44</v>
      </c>
      <c r="G122" s="111">
        <f>ROUND(D122*E122/F122,0)</f>
        <v>16</v>
      </c>
    </row>
    <row r="123" spans="1:7">
      <c r="A123" s="95"/>
      <c r="B123" s="854"/>
      <c r="C123" s="855"/>
      <c r="D123" s="89"/>
      <c r="E123" s="82"/>
      <c r="F123" s="83"/>
      <c r="G123" s="111"/>
    </row>
    <row r="124" spans="1:7">
      <c r="A124" s="95"/>
      <c r="B124" s="854" t="s">
        <v>841</v>
      </c>
      <c r="C124" s="855"/>
      <c r="D124" s="37"/>
      <c r="E124" s="82"/>
      <c r="F124" s="83"/>
      <c r="G124" s="111"/>
    </row>
    <row r="125" spans="1:7" ht="13.5" thickBot="1">
      <c r="A125" s="95"/>
      <c r="B125" s="942" t="s">
        <v>841</v>
      </c>
      <c r="C125" s="943"/>
      <c r="D125" s="77"/>
      <c r="E125" s="106"/>
      <c r="F125" s="86"/>
      <c r="G125" s="112"/>
    </row>
    <row r="126" spans="1:7" ht="14.25" thickTop="1" thickBot="1">
      <c r="A126" s="95"/>
      <c r="B126" s="946"/>
      <c r="C126" s="946"/>
      <c r="D126" s="946"/>
      <c r="E126" s="947"/>
      <c r="F126" s="119" t="s">
        <v>856</v>
      </c>
      <c r="G126" s="118">
        <f>SUM(G120:G125)</f>
        <v>230</v>
      </c>
    </row>
    <row r="127" spans="1:7" ht="14.25" thickTop="1" thickBot="1">
      <c r="A127" s="95"/>
      <c r="B127" s="970"/>
      <c r="C127" s="970"/>
      <c r="D127" s="970"/>
      <c r="E127" s="970"/>
      <c r="F127" s="970"/>
      <c r="G127" s="970"/>
    </row>
    <row r="128" spans="1:7" ht="13.5" thickTop="1">
      <c r="A128" s="95"/>
      <c r="B128" s="950" t="s">
        <v>311</v>
      </c>
      <c r="C128" s="951"/>
      <c r="D128" s="951"/>
      <c r="E128" s="951"/>
      <c r="F128" s="951"/>
      <c r="G128" s="952"/>
    </row>
    <row r="129" spans="1:8">
      <c r="A129" s="95"/>
      <c r="B129" s="978" t="s">
        <v>838</v>
      </c>
      <c r="C129" s="979"/>
      <c r="D129" s="98" t="s">
        <v>842</v>
      </c>
      <c r="E129" s="98" t="s">
        <v>853</v>
      </c>
      <c r="F129" s="99" t="s">
        <v>1047</v>
      </c>
      <c r="G129" s="107" t="s">
        <v>840</v>
      </c>
    </row>
    <row r="130" spans="1:8">
      <c r="A130" s="95"/>
      <c r="B130" s="230"/>
      <c r="C130" s="102"/>
      <c r="D130" s="100"/>
      <c r="E130" s="100" t="s">
        <v>312</v>
      </c>
      <c r="F130" s="101" t="s">
        <v>313</v>
      </c>
      <c r="G130" s="108" t="s">
        <v>314</v>
      </c>
    </row>
    <row r="131" spans="1:8">
      <c r="A131" s="123"/>
      <c r="B131" s="841" t="str">
        <f>MATERIALES2!$C$28</f>
        <v>AGUA</v>
      </c>
      <c r="C131" s="842"/>
      <c r="D131" s="87" t="s">
        <v>1071</v>
      </c>
      <c r="E131" s="81">
        <v>0.2</v>
      </c>
      <c r="F131" s="80">
        <f>MATERIALES2!$E$28</f>
        <v>50</v>
      </c>
      <c r="G131" s="110">
        <f>ROUND(E131*F131,0)</f>
        <v>10</v>
      </c>
    </row>
    <row r="132" spans="1:8">
      <c r="A132" s="123"/>
      <c r="B132" s="854" t="str">
        <f>MATERIALES2!$C$282</f>
        <v>PIGMENTO SOBRE GRANIPLAST PREPARADO</v>
      </c>
      <c r="C132" s="855"/>
      <c r="D132" s="37" t="s">
        <v>865</v>
      </c>
      <c r="E132" s="83">
        <v>0.15</v>
      </c>
      <c r="F132" s="82">
        <f>MATERIALES2!$E$282</f>
        <v>25000</v>
      </c>
      <c r="G132" s="111">
        <f>ROUND(E132*F132,0)</f>
        <v>3750</v>
      </c>
    </row>
    <row r="133" spans="1:8">
      <c r="A133" s="123"/>
      <c r="B133" s="854"/>
      <c r="C133" s="855"/>
      <c r="D133" s="37"/>
      <c r="E133" s="83"/>
      <c r="F133" s="82"/>
      <c r="G133" s="111"/>
    </row>
    <row r="134" spans="1:8">
      <c r="A134" s="123"/>
      <c r="B134" s="854"/>
      <c r="C134" s="855"/>
      <c r="D134" s="37"/>
      <c r="E134" s="83"/>
      <c r="F134" s="82"/>
      <c r="G134" s="111"/>
    </row>
    <row r="135" spans="1:8">
      <c r="A135" s="95"/>
      <c r="B135" s="854"/>
      <c r="C135" s="855"/>
      <c r="D135" s="37"/>
      <c r="E135" s="83"/>
      <c r="F135" s="82"/>
      <c r="G135" s="111"/>
    </row>
    <row r="136" spans="1:8">
      <c r="A136" s="95"/>
      <c r="B136" s="854"/>
      <c r="C136" s="855"/>
      <c r="D136" s="37"/>
      <c r="E136" s="83"/>
      <c r="F136" s="82"/>
      <c r="G136" s="111"/>
    </row>
    <row r="137" spans="1:8">
      <c r="A137" s="95"/>
      <c r="B137" s="854"/>
      <c r="C137" s="855"/>
      <c r="D137" s="37"/>
      <c r="E137" s="83"/>
      <c r="F137" s="82"/>
      <c r="G137" s="111"/>
    </row>
    <row r="138" spans="1:8">
      <c r="A138" s="95"/>
      <c r="B138" s="938" t="s">
        <v>841</v>
      </c>
      <c r="C138" s="939"/>
      <c r="D138" s="53" t="s">
        <v>841</v>
      </c>
      <c r="E138" s="53"/>
      <c r="F138" s="82"/>
      <c r="G138" s="111"/>
      <c r="H138" s="505" t="s">
        <v>1670</v>
      </c>
    </row>
    <row r="139" spans="1:8" ht="13.5" thickBot="1">
      <c r="A139" s="95"/>
      <c r="B139" s="942" t="s">
        <v>841</v>
      </c>
      <c r="C139" s="943"/>
      <c r="D139" s="84" t="s">
        <v>841</v>
      </c>
      <c r="E139" s="84"/>
      <c r="F139" s="85"/>
      <c r="G139" s="112"/>
    </row>
    <row r="140" spans="1:8" ht="13.5" thickTop="1">
      <c r="A140" s="95"/>
      <c r="B140" s="946"/>
      <c r="C140" s="947"/>
      <c r="D140" s="801" t="s">
        <v>856</v>
      </c>
      <c r="E140" s="802"/>
      <c r="F140" s="9"/>
      <c r="G140" s="113">
        <f>SUM(G131:G139)</f>
        <v>3760</v>
      </c>
    </row>
    <row r="141" spans="1:8">
      <c r="A141" s="95"/>
      <c r="B141" s="948"/>
      <c r="C141" s="949"/>
      <c r="D141" s="801" t="s">
        <v>857</v>
      </c>
      <c r="E141" s="802"/>
      <c r="F141" s="79">
        <f>'MANO DE OBRA'!$D$60</f>
        <v>0.05</v>
      </c>
      <c r="G141" s="113">
        <f>ROUND(G140*F141,0)</f>
        <v>188</v>
      </c>
    </row>
    <row r="142" spans="1:8" ht="13.5" thickBot="1">
      <c r="A142" s="95"/>
      <c r="B142" s="948"/>
      <c r="C142" s="949"/>
      <c r="D142" s="803" t="s">
        <v>320</v>
      </c>
      <c r="E142" s="804"/>
      <c r="F142" s="114"/>
      <c r="G142" s="118">
        <f>+G140+G141</f>
        <v>3948</v>
      </c>
    </row>
    <row r="143" spans="1:8" ht="14.25" thickTop="1" thickBot="1">
      <c r="A143" s="95"/>
      <c r="B143" s="970"/>
      <c r="C143" s="970"/>
      <c r="D143" s="970"/>
      <c r="E143" s="970"/>
      <c r="F143" s="970"/>
      <c r="G143" s="970"/>
    </row>
    <row r="144" spans="1:8" ht="13.5" thickTop="1">
      <c r="A144" s="95"/>
      <c r="B144" s="950" t="s">
        <v>858</v>
      </c>
      <c r="C144" s="951"/>
      <c r="D144" s="951"/>
      <c r="E144" s="951"/>
      <c r="F144" s="951"/>
      <c r="G144" s="952"/>
    </row>
    <row r="145" spans="1:7">
      <c r="A145" s="95"/>
      <c r="B145" s="978"/>
      <c r="C145" s="979"/>
      <c r="D145" s="98" t="s">
        <v>301</v>
      </c>
      <c r="E145" s="98" t="s">
        <v>859</v>
      </c>
      <c r="F145" s="99" t="s">
        <v>839</v>
      </c>
      <c r="G145" s="107" t="s">
        <v>840</v>
      </c>
    </row>
    <row r="146" spans="1:7">
      <c r="A146" s="95"/>
      <c r="B146" s="982" t="s">
        <v>838</v>
      </c>
      <c r="C146" s="983"/>
      <c r="D146" s="100" t="s">
        <v>316</v>
      </c>
      <c r="E146" s="100" t="s">
        <v>315</v>
      </c>
      <c r="F146" s="101" t="s">
        <v>306</v>
      </c>
      <c r="G146" s="108" t="s">
        <v>319</v>
      </c>
    </row>
    <row r="147" spans="1:7">
      <c r="A147" s="95"/>
      <c r="B147" s="230"/>
      <c r="C147" s="102"/>
      <c r="D147" s="103"/>
      <c r="E147" s="103" t="s">
        <v>317</v>
      </c>
      <c r="F147" s="104" t="s">
        <v>318</v>
      </c>
      <c r="G147" s="109"/>
    </row>
    <row r="148" spans="1:7">
      <c r="A148" s="95"/>
      <c r="B148" s="841" t="str">
        <f>'MANO DE OBRA'!$B$12</f>
        <v>AYUDANTE CUAD. TIPO CC</v>
      </c>
      <c r="C148" s="842"/>
      <c r="D148" s="87">
        <v>1</v>
      </c>
      <c r="E148" s="80">
        <f>'MANO DE OBRA'!$E$12</f>
        <v>47255</v>
      </c>
      <c r="F148" s="81">
        <v>44.44</v>
      </c>
      <c r="G148" s="110">
        <f>ROUND(D148*E148/F148,0)</f>
        <v>1063</v>
      </c>
    </row>
    <row r="149" spans="1:7">
      <c r="A149" s="95"/>
      <c r="B149" s="854" t="str">
        <f>'MANO DE OBRA'!$B$17</f>
        <v>OFICIAL CUAD. TIPO CC</v>
      </c>
      <c r="C149" s="855"/>
      <c r="D149" s="37">
        <v>1</v>
      </c>
      <c r="E149" s="82">
        <f>'MANO DE OBRA'!$E$17</f>
        <v>82117</v>
      </c>
      <c r="F149" s="83">
        <v>44.44</v>
      </c>
      <c r="G149" s="111">
        <f>ROUND(D149*E149/F149,0)</f>
        <v>1848</v>
      </c>
    </row>
    <row r="150" spans="1:7">
      <c r="A150" s="95"/>
      <c r="B150" s="854"/>
      <c r="C150" s="855"/>
      <c r="D150" s="89"/>
      <c r="E150" s="82"/>
      <c r="F150" s="83"/>
      <c r="G150" s="111"/>
    </row>
    <row r="151" spans="1:7">
      <c r="A151" s="95"/>
      <c r="B151" s="854" t="s">
        <v>841</v>
      </c>
      <c r="C151" s="855"/>
      <c r="D151" s="37"/>
      <c r="E151" s="82"/>
      <c r="F151" s="83"/>
      <c r="G151" s="111"/>
    </row>
    <row r="152" spans="1:7" ht="13.5" thickBot="1">
      <c r="A152" s="95"/>
      <c r="B152" s="980" t="s">
        <v>841</v>
      </c>
      <c r="C152" s="981"/>
      <c r="D152" s="77"/>
      <c r="E152" s="82"/>
      <c r="F152" s="86"/>
      <c r="G152" s="112"/>
    </row>
    <row r="153" spans="1:7" ht="14.25" thickTop="1" thickBot="1">
      <c r="A153" s="95"/>
      <c r="B153" s="946"/>
      <c r="C153" s="946"/>
      <c r="D153" s="946"/>
      <c r="E153" s="947"/>
      <c r="F153" s="120" t="s">
        <v>856</v>
      </c>
      <c r="G153" s="118">
        <f>SUM(G148:G152)</f>
        <v>2911</v>
      </c>
    </row>
    <row r="154" spans="1:7" ht="14.25" thickTop="1" thickBot="1">
      <c r="A154" s="95"/>
      <c r="B154" s="970"/>
      <c r="C154" s="970"/>
      <c r="D154" s="970"/>
      <c r="E154" s="970"/>
      <c r="F154" s="970"/>
      <c r="G154" s="970"/>
    </row>
    <row r="155" spans="1:7" ht="13.5" thickTop="1">
      <c r="A155" s="95"/>
      <c r="B155" s="950" t="s">
        <v>321</v>
      </c>
      <c r="C155" s="951"/>
      <c r="D155" s="951"/>
      <c r="E155" s="951"/>
      <c r="F155" s="951"/>
      <c r="G155" s="952"/>
    </row>
    <row r="156" spans="1:7">
      <c r="A156" s="95"/>
      <c r="B156" s="978" t="s">
        <v>838</v>
      </c>
      <c r="C156" s="979"/>
      <c r="D156" s="98" t="s">
        <v>301</v>
      </c>
      <c r="E156" s="98" t="s">
        <v>297</v>
      </c>
      <c r="F156" s="99" t="s">
        <v>839</v>
      </c>
      <c r="G156" s="107" t="s">
        <v>840</v>
      </c>
    </row>
    <row r="157" spans="1:7">
      <c r="A157" s="95"/>
      <c r="B157" s="230"/>
      <c r="C157" s="102"/>
      <c r="D157" s="103" t="s">
        <v>322</v>
      </c>
      <c r="E157" s="103" t="s">
        <v>323</v>
      </c>
      <c r="F157" s="104" t="s">
        <v>324</v>
      </c>
      <c r="G157" s="109" t="s">
        <v>325</v>
      </c>
    </row>
    <row r="158" spans="1:7">
      <c r="A158" s="95"/>
      <c r="B158" s="841"/>
      <c r="C158" s="842"/>
      <c r="D158" s="96"/>
      <c r="E158" s="96"/>
      <c r="F158" s="96"/>
      <c r="G158" s="116"/>
    </row>
    <row r="159" spans="1:7" ht="13.5" thickBot="1">
      <c r="A159" s="95"/>
      <c r="B159" s="980" t="s">
        <v>841</v>
      </c>
      <c r="C159" s="981"/>
      <c r="D159" s="77"/>
      <c r="E159" s="82"/>
      <c r="F159" s="86"/>
      <c r="G159" s="112"/>
    </row>
    <row r="160" spans="1:7" ht="14.25" thickTop="1" thickBot="1">
      <c r="A160" s="95"/>
      <c r="B160" s="946"/>
      <c r="C160" s="946"/>
      <c r="D160" s="946"/>
      <c r="E160" s="947"/>
      <c r="F160" s="120" t="s">
        <v>856</v>
      </c>
      <c r="G160" s="118">
        <f>SUM(G155:G159)</f>
        <v>0</v>
      </c>
    </row>
    <row r="161" spans="1:8" ht="14.25" thickTop="1" thickBot="1">
      <c r="A161" s="95"/>
      <c r="B161" s="970"/>
      <c r="C161" s="970"/>
      <c r="D161" s="970"/>
      <c r="E161" s="970"/>
      <c r="F161" s="970"/>
      <c r="G161" s="943"/>
    </row>
    <row r="162" spans="1:8" ht="13.5" thickTop="1">
      <c r="A162" s="95"/>
      <c r="B162" s="950" t="s">
        <v>326</v>
      </c>
      <c r="C162" s="951"/>
      <c r="D162" s="951"/>
      <c r="E162" s="951"/>
      <c r="F162" s="971"/>
      <c r="G162" s="121">
        <f>+G126+G142+G153</f>
        <v>7089</v>
      </c>
    </row>
    <row r="163" spans="1:8">
      <c r="A163" s="95"/>
      <c r="B163" s="972" t="s">
        <v>861</v>
      </c>
      <c r="C163" s="973"/>
      <c r="D163" s="973"/>
      <c r="E163" s="974"/>
      <c r="F163" s="128">
        <f>'MANO DE OBRA'!$D$59</f>
        <v>0</v>
      </c>
      <c r="G163" s="122">
        <f>ROUND(G162*F163,0)</f>
        <v>0</v>
      </c>
    </row>
    <row r="164" spans="1:8" ht="13.5" thickBot="1">
      <c r="A164" s="95"/>
      <c r="B164" s="975" t="s">
        <v>1049</v>
      </c>
      <c r="C164" s="976"/>
      <c r="D164" s="976"/>
      <c r="E164" s="976"/>
      <c r="F164" s="977"/>
      <c r="G164" s="118">
        <f>ROUND(G162+G163,-2)</f>
        <v>7100</v>
      </c>
      <c r="H164" s="505" t="s">
        <v>1670</v>
      </c>
    </row>
    <row r="165" spans="1:8" ht="13.5" thickTop="1">
      <c r="A165" s="95"/>
      <c r="B165" s="225" t="s">
        <v>303</v>
      </c>
      <c r="C165" s="843"/>
      <c r="D165" s="843"/>
      <c r="E165" s="843"/>
      <c r="F165" s="92" t="s">
        <v>781</v>
      </c>
      <c r="G165" s="93" t="s">
        <v>831</v>
      </c>
    </row>
    <row r="166" spans="1:8">
      <c r="A166" s="95"/>
      <c r="B166" s="226" t="s">
        <v>834</v>
      </c>
      <c r="C166" s="844" t="s">
        <v>1518</v>
      </c>
      <c r="D166" s="844"/>
      <c r="E166" s="844"/>
      <c r="F166" s="15" t="s">
        <v>833</v>
      </c>
      <c r="G166" s="165" t="str">
        <f>'MANO DE OBRA'!D61</f>
        <v>Agosto de 2010</v>
      </c>
    </row>
    <row r="167" spans="1:8" ht="13.5" thickBot="1">
      <c r="A167" s="127"/>
      <c r="B167" s="228" t="s">
        <v>835</v>
      </c>
      <c r="C167" s="1001" t="s">
        <v>1522</v>
      </c>
      <c r="D167" s="1001"/>
      <c r="E167" s="1001"/>
      <c r="F167" s="1001"/>
      <c r="G167" s="1002"/>
    </row>
    <row r="168" spans="1:8" ht="14.25" thickTop="1" thickBot="1">
      <c r="A168" s="95"/>
      <c r="B168" s="986"/>
      <c r="C168" s="986"/>
      <c r="D168" s="986"/>
      <c r="E168" s="986"/>
      <c r="F168" s="986"/>
      <c r="G168" s="986"/>
    </row>
    <row r="169" spans="1:8" ht="13.5" thickTop="1">
      <c r="A169" s="95"/>
      <c r="B169" s="950" t="s">
        <v>304</v>
      </c>
      <c r="C169" s="951"/>
      <c r="D169" s="951"/>
      <c r="E169" s="951"/>
      <c r="F169" s="951"/>
      <c r="G169" s="952"/>
    </row>
    <row r="170" spans="1:8">
      <c r="A170" s="95"/>
      <c r="B170" s="229"/>
      <c r="C170" s="97"/>
      <c r="D170" s="98" t="s">
        <v>301</v>
      </c>
      <c r="E170" s="98" t="s">
        <v>1072</v>
      </c>
      <c r="F170" s="99" t="s">
        <v>839</v>
      </c>
      <c r="G170" s="107" t="s">
        <v>840</v>
      </c>
    </row>
    <row r="171" spans="1:8">
      <c r="A171" s="95"/>
      <c r="B171" s="982" t="s">
        <v>838</v>
      </c>
      <c r="C171" s="983"/>
      <c r="D171" s="100" t="s">
        <v>308</v>
      </c>
      <c r="E171" s="100" t="s">
        <v>305</v>
      </c>
      <c r="F171" s="101" t="s">
        <v>306</v>
      </c>
      <c r="G171" s="108" t="s">
        <v>310</v>
      </c>
    </row>
    <row r="172" spans="1:8">
      <c r="A172" s="95"/>
      <c r="B172" s="230"/>
      <c r="C172" s="102"/>
      <c r="D172" s="103"/>
      <c r="E172" s="103" t="s">
        <v>309</v>
      </c>
      <c r="F172" s="104" t="s">
        <v>307</v>
      </c>
      <c r="G172" s="109"/>
    </row>
    <row r="173" spans="1:8">
      <c r="A173" s="127"/>
      <c r="B173" s="841" t="str">
        <f>'MAQUINARIA Y EQUIPOS'!$C$28</f>
        <v>HERRAMIENTAS MENORES</v>
      </c>
      <c r="C173" s="842"/>
      <c r="D173" s="87">
        <v>1</v>
      </c>
      <c r="E173" s="82">
        <f>ROUND(G206*0.05,0)</f>
        <v>162</v>
      </c>
      <c r="F173" s="81">
        <v>1</v>
      </c>
      <c r="G173" s="110">
        <f>ROUND(D173*E173/F173,0)</f>
        <v>162</v>
      </c>
    </row>
    <row r="174" spans="1:8">
      <c r="A174" s="95"/>
      <c r="B174" s="854"/>
      <c r="C174" s="855"/>
      <c r="D174" s="37"/>
      <c r="E174" s="129"/>
      <c r="F174" s="83"/>
      <c r="G174" s="111"/>
    </row>
    <row r="175" spans="1:8">
      <c r="A175" s="95"/>
      <c r="B175" s="854"/>
      <c r="C175" s="855"/>
      <c r="D175" s="37"/>
      <c r="E175" s="129"/>
      <c r="F175" s="83"/>
      <c r="G175" s="111"/>
    </row>
    <row r="176" spans="1:8">
      <c r="A176" s="95"/>
      <c r="B176" s="854"/>
      <c r="C176" s="855"/>
      <c r="D176" s="89"/>
      <c r="E176" s="82"/>
      <c r="F176" s="83"/>
      <c r="G176" s="111"/>
    </row>
    <row r="177" spans="1:8">
      <c r="A177" s="95"/>
      <c r="B177" s="854" t="s">
        <v>841</v>
      </c>
      <c r="C177" s="855"/>
      <c r="D177" s="37"/>
      <c r="E177" s="82"/>
      <c r="F177" s="83"/>
      <c r="G177" s="111"/>
    </row>
    <row r="178" spans="1:8" ht="13.5" thickBot="1">
      <c r="A178" s="95"/>
      <c r="B178" s="942" t="s">
        <v>841</v>
      </c>
      <c r="C178" s="943"/>
      <c r="D178" s="77"/>
      <c r="E178" s="106"/>
      <c r="F178" s="86"/>
      <c r="G178" s="112"/>
    </row>
    <row r="179" spans="1:8" ht="14.25" thickTop="1" thickBot="1">
      <c r="A179" s="95"/>
      <c r="B179" s="946"/>
      <c r="C179" s="946"/>
      <c r="D179" s="946"/>
      <c r="E179" s="947"/>
      <c r="F179" s="119" t="s">
        <v>856</v>
      </c>
      <c r="G179" s="118">
        <f>SUM(G173:G178)</f>
        <v>162</v>
      </c>
    </row>
    <row r="180" spans="1:8" ht="14.25" thickTop="1" thickBot="1">
      <c r="A180" s="95"/>
      <c r="B180" s="970"/>
      <c r="C180" s="970"/>
      <c r="D180" s="970"/>
      <c r="E180" s="970"/>
      <c r="F180" s="970"/>
      <c r="G180" s="970"/>
    </row>
    <row r="181" spans="1:8" ht="13.5" thickTop="1">
      <c r="A181" s="95"/>
      <c r="B181" s="950" t="s">
        <v>311</v>
      </c>
      <c r="C181" s="951"/>
      <c r="D181" s="951"/>
      <c r="E181" s="951"/>
      <c r="F181" s="951"/>
      <c r="G181" s="952"/>
    </row>
    <row r="182" spans="1:8">
      <c r="A182" s="95"/>
      <c r="B182" s="978" t="s">
        <v>838</v>
      </c>
      <c r="C182" s="979"/>
      <c r="D182" s="98" t="s">
        <v>842</v>
      </c>
      <c r="E182" s="98" t="s">
        <v>853</v>
      </c>
      <c r="F182" s="99" t="s">
        <v>1047</v>
      </c>
      <c r="G182" s="107" t="s">
        <v>840</v>
      </c>
    </row>
    <row r="183" spans="1:8">
      <c r="A183" s="95"/>
      <c r="B183" s="230"/>
      <c r="C183" s="102"/>
      <c r="D183" s="100"/>
      <c r="E183" s="100" t="s">
        <v>312</v>
      </c>
      <c r="F183" s="101" t="s">
        <v>313</v>
      </c>
      <c r="G183" s="108" t="s">
        <v>314</v>
      </c>
    </row>
    <row r="184" spans="1:8">
      <c r="A184" s="123"/>
      <c r="B184" s="841" t="str">
        <f>MATERIALES2!$C$286</f>
        <v>PAPEL LIJA AGUA</v>
      </c>
      <c r="C184" s="842"/>
      <c r="D184" s="87" t="s">
        <v>1071</v>
      </c>
      <c r="E184" s="81">
        <v>0.16</v>
      </c>
      <c r="F184" s="80">
        <f>MATERIALES2!$E$286</f>
        <v>1000</v>
      </c>
      <c r="G184" s="110">
        <f>ROUND(E184*F184,0)</f>
        <v>160</v>
      </c>
    </row>
    <row r="185" spans="1:8">
      <c r="A185" s="123"/>
      <c r="B185" s="854" t="str">
        <f>MATERIALES2!$C$284</f>
        <v>ESMALTE SINTETICO PINTULUX</v>
      </c>
      <c r="C185" s="855"/>
      <c r="D185" s="37" t="s">
        <v>556</v>
      </c>
      <c r="E185" s="83">
        <v>0.01</v>
      </c>
      <c r="F185" s="82">
        <f>MATERIALES2!$E$284</f>
        <v>54800</v>
      </c>
      <c r="G185" s="111">
        <f>ROUND(E185*F185,0)</f>
        <v>548</v>
      </c>
    </row>
    <row r="186" spans="1:8">
      <c r="A186" s="123"/>
      <c r="B186" s="854" t="str">
        <f>MATERIALES2!$C$293</f>
        <v>THINNER LIMPIADOR</v>
      </c>
      <c r="C186" s="855"/>
      <c r="D186" s="37" t="s">
        <v>556</v>
      </c>
      <c r="E186" s="83">
        <v>0.01</v>
      </c>
      <c r="F186" s="82">
        <f>MATERIALES2!$E$293</f>
        <v>15000</v>
      </c>
      <c r="G186" s="111">
        <f>ROUND(E186*F186,0)</f>
        <v>150</v>
      </c>
    </row>
    <row r="187" spans="1:8">
      <c r="A187" s="123"/>
      <c r="B187" s="854"/>
      <c r="C187" s="855"/>
      <c r="D187" s="37"/>
      <c r="E187" s="83"/>
      <c r="F187" s="82"/>
      <c r="G187" s="111"/>
    </row>
    <row r="188" spans="1:8">
      <c r="A188" s="95"/>
      <c r="B188" s="854"/>
      <c r="C188" s="855"/>
      <c r="D188" s="37"/>
      <c r="E188" s="83"/>
      <c r="F188" s="82"/>
      <c r="G188" s="111"/>
    </row>
    <row r="189" spans="1:8">
      <c r="A189" s="95"/>
      <c r="B189" s="854"/>
      <c r="C189" s="855"/>
      <c r="D189" s="37"/>
      <c r="E189" s="83"/>
      <c r="F189" s="82"/>
      <c r="G189" s="111"/>
    </row>
    <row r="190" spans="1:8">
      <c r="A190" s="95"/>
      <c r="B190" s="854"/>
      <c r="C190" s="855"/>
      <c r="D190" s="37"/>
      <c r="E190" s="83"/>
      <c r="F190" s="82"/>
      <c r="G190" s="111"/>
    </row>
    <row r="191" spans="1:8">
      <c r="A191" s="95"/>
      <c r="B191" s="938" t="s">
        <v>841</v>
      </c>
      <c r="C191" s="939"/>
      <c r="D191" s="53" t="s">
        <v>841</v>
      </c>
      <c r="E191" s="53"/>
      <c r="F191" s="82"/>
      <c r="G191" s="111"/>
      <c r="H191" s="505" t="s">
        <v>1670</v>
      </c>
    </row>
    <row r="192" spans="1:8" ht="13.5" thickBot="1">
      <c r="A192" s="95"/>
      <c r="B192" s="942" t="s">
        <v>841</v>
      </c>
      <c r="C192" s="943"/>
      <c r="D192" s="84" t="s">
        <v>841</v>
      </c>
      <c r="E192" s="84"/>
      <c r="F192" s="85"/>
      <c r="G192" s="112"/>
    </row>
    <row r="193" spans="1:7" ht="13.5" thickTop="1">
      <c r="A193" s="95"/>
      <c r="B193" s="946"/>
      <c r="C193" s="947"/>
      <c r="D193" s="801" t="s">
        <v>856</v>
      </c>
      <c r="E193" s="802"/>
      <c r="F193" s="9"/>
      <c r="G193" s="113">
        <f>SUM(G184:G192)</f>
        <v>858</v>
      </c>
    </row>
    <row r="194" spans="1:7">
      <c r="A194" s="95"/>
      <c r="B194" s="948"/>
      <c r="C194" s="949"/>
      <c r="D194" s="801" t="s">
        <v>857</v>
      </c>
      <c r="E194" s="802"/>
      <c r="F194" s="79">
        <f>'MANO DE OBRA'!$D$60</f>
        <v>0.05</v>
      </c>
      <c r="G194" s="113">
        <f>ROUND(G193*F194,0)</f>
        <v>43</v>
      </c>
    </row>
    <row r="195" spans="1:7" ht="13.5" thickBot="1">
      <c r="A195" s="95"/>
      <c r="B195" s="948"/>
      <c r="C195" s="949"/>
      <c r="D195" s="803" t="s">
        <v>320</v>
      </c>
      <c r="E195" s="804"/>
      <c r="F195" s="114"/>
      <c r="G195" s="118">
        <f>+G193+G194</f>
        <v>901</v>
      </c>
    </row>
    <row r="196" spans="1:7" ht="14.25" thickTop="1" thickBot="1">
      <c r="A196" s="95"/>
      <c r="B196" s="970"/>
      <c r="C196" s="970"/>
      <c r="D196" s="970"/>
      <c r="E196" s="970"/>
      <c r="F196" s="970"/>
      <c r="G196" s="970"/>
    </row>
    <row r="197" spans="1:7" ht="13.5" thickTop="1">
      <c r="A197" s="95"/>
      <c r="B197" s="950" t="s">
        <v>858</v>
      </c>
      <c r="C197" s="951"/>
      <c r="D197" s="951"/>
      <c r="E197" s="951"/>
      <c r="F197" s="951"/>
      <c r="G197" s="952"/>
    </row>
    <row r="198" spans="1:7">
      <c r="A198" s="95"/>
      <c r="B198" s="978"/>
      <c r="C198" s="979"/>
      <c r="D198" s="98" t="s">
        <v>301</v>
      </c>
      <c r="E198" s="98" t="s">
        <v>859</v>
      </c>
      <c r="F198" s="99" t="s">
        <v>839</v>
      </c>
      <c r="G198" s="107" t="s">
        <v>840</v>
      </c>
    </row>
    <row r="199" spans="1:7">
      <c r="A199" s="95"/>
      <c r="B199" s="982" t="s">
        <v>838</v>
      </c>
      <c r="C199" s="983"/>
      <c r="D199" s="100" t="s">
        <v>316</v>
      </c>
      <c r="E199" s="100" t="s">
        <v>315</v>
      </c>
      <c r="F199" s="101" t="s">
        <v>306</v>
      </c>
      <c r="G199" s="108" t="s">
        <v>319</v>
      </c>
    </row>
    <row r="200" spans="1:7">
      <c r="A200" s="95"/>
      <c r="B200" s="230"/>
      <c r="C200" s="102"/>
      <c r="D200" s="103"/>
      <c r="E200" s="103" t="s">
        <v>317</v>
      </c>
      <c r="F200" s="104" t="s">
        <v>318</v>
      </c>
      <c r="G200" s="109"/>
    </row>
    <row r="201" spans="1:7">
      <c r="A201" s="95"/>
      <c r="B201" s="841" t="str">
        <f>'MANO DE OBRA'!$B$12</f>
        <v>AYUDANTE CUAD. TIPO CC</v>
      </c>
      <c r="C201" s="842"/>
      <c r="D201" s="87">
        <v>1</v>
      </c>
      <c r="E201" s="80">
        <f>'MANO DE OBRA'!$E$12</f>
        <v>47255</v>
      </c>
      <c r="F201" s="81">
        <v>40</v>
      </c>
      <c r="G201" s="110">
        <f>ROUND(D201*E201/F201,0)</f>
        <v>1181</v>
      </c>
    </row>
    <row r="202" spans="1:7">
      <c r="A202" s="95"/>
      <c r="B202" s="854" t="str">
        <f>'MANO DE OBRA'!$B$17</f>
        <v>OFICIAL CUAD. TIPO CC</v>
      </c>
      <c r="C202" s="855"/>
      <c r="D202" s="37">
        <v>1</v>
      </c>
      <c r="E202" s="82">
        <f>'MANO DE OBRA'!$E$17</f>
        <v>82117</v>
      </c>
      <c r="F202" s="83">
        <v>40</v>
      </c>
      <c r="G202" s="111">
        <f>ROUND(D202*E202/F202,0)</f>
        <v>2053</v>
      </c>
    </row>
    <row r="203" spans="1:7">
      <c r="A203" s="95"/>
      <c r="B203" s="854"/>
      <c r="C203" s="855"/>
      <c r="D203" s="89"/>
      <c r="E203" s="82"/>
      <c r="F203" s="83"/>
      <c r="G203" s="111"/>
    </row>
    <row r="204" spans="1:7">
      <c r="A204" s="95"/>
      <c r="B204" s="854" t="s">
        <v>841</v>
      </c>
      <c r="C204" s="855"/>
      <c r="D204" s="37"/>
      <c r="E204" s="82"/>
      <c r="F204" s="83"/>
      <c r="G204" s="111"/>
    </row>
    <row r="205" spans="1:7" ht="13.5" thickBot="1">
      <c r="A205" s="95"/>
      <c r="B205" s="980" t="s">
        <v>841</v>
      </c>
      <c r="C205" s="981"/>
      <c r="D205" s="77"/>
      <c r="E205" s="82"/>
      <c r="F205" s="86"/>
      <c r="G205" s="112"/>
    </row>
    <row r="206" spans="1:7" ht="14.25" thickTop="1" thickBot="1">
      <c r="A206" s="95"/>
      <c r="B206" s="946"/>
      <c r="C206" s="946"/>
      <c r="D206" s="946"/>
      <c r="E206" s="947"/>
      <c r="F206" s="120" t="s">
        <v>856</v>
      </c>
      <c r="G206" s="118">
        <f>SUM(G201:G205)</f>
        <v>3234</v>
      </c>
    </row>
    <row r="207" spans="1:7" ht="14.25" thickTop="1" thickBot="1">
      <c r="A207" s="95"/>
      <c r="B207" s="970"/>
      <c r="C207" s="970"/>
      <c r="D207" s="970"/>
      <c r="E207" s="970"/>
      <c r="F207" s="970"/>
      <c r="G207" s="970"/>
    </row>
    <row r="208" spans="1:7" ht="13.5" thickTop="1">
      <c r="A208" s="95"/>
      <c r="B208" s="950" t="s">
        <v>321</v>
      </c>
      <c r="C208" s="951"/>
      <c r="D208" s="951"/>
      <c r="E208" s="951"/>
      <c r="F208" s="951"/>
      <c r="G208" s="952"/>
    </row>
    <row r="209" spans="1:8">
      <c r="A209" s="95"/>
      <c r="B209" s="978" t="s">
        <v>838</v>
      </c>
      <c r="C209" s="979"/>
      <c r="D209" s="98" t="s">
        <v>301</v>
      </c>
      <c r="E209" s="98" t="s">
        <v>297</v>
      </c>
      <c r="F209" s="99" t="s">
        <v>839</v>
      </c>
      <c r="G209" s="107" t="s">
        <v>840</v>
      </c>
    </row>
    <row r="210" spans="1:8">
      <c r="A210" s="95"/>
      <c r="B210" s="230"/>
      <c r="C210" s="102"/>
      <c r="D210" s="103" t="s">
        <v>322</v>
      </c>
      <c r="E210" s="103" t="s">
        <v>323</v>
      </c>
      <c r="F210" s="104" t="s">
        <v>324</v>
      </c>
      <c r="G210" s="109" t="s">
        <v>325</v>
      </c>
    </row>
    <row r="211" spans="1:8">
      <c r="A211" s="95"/>
      <c r="B211" s="841"/>
      <c r="C211" s="842"/>
      <c r="D211" s="96"/>
      <c r="E211" s="96"/>
      <c r="F211" s="96"/>
      <c r="G211" s="116"/>
    </row>
    <row r="212" spans="1:8" ht="13.5" thickBot="1">
      <c r="A212" s="95"/>
      <c r="B212" s="980" t="s">
        <v>841</v>
      </c>
      <c r="C212" s="981"/>
      <c r="D212" s="77"/>
      <c r="E212" s="82"/>
      <c r="F212" s="86"/>
      <c r="G212" s="112"/>
    </row>
    <row r="213" spans="1:8" ht="14.25" thickTop="1" thickBot="1">
      <c r="A213" s="95"/>
      <c r="B213" s="946"/>
      <c r="C213" s="946"/>
      <c r="D213" s="946"/>
      <c r="E213" s="947"/>
      <c r="F213" s="120" t="s">
        <v>856</v>
      </c>
      <c r="G213" s="118">
        <f>SUM(G208:G212)</f>
        <v>0</v>
      </c>
    </row>
    <row r="214" spans="1:8" ht="14.25" thickTop="1" thickBot="1">
      <c r="A214" s="95"/>
      <c r="B214" s="970"/>
      <c r="C214" s="970"/>
      <c r="D214" s="970"/>
      <c r="E214" s="970"/>
      <c r="F214" s="970"/>
      <c r="G214" s="943"/>
    </row>
    <row r="215" spans="1:8" ht="13.5" thickTop="1">
      <c r="A215" s="95"/>
      <c r="B215" s="950" t="s">
        <v>326</v>
      </c>
      <c r="C215" s="951"/>
      <c r="D215" s="951"/>
      <c r="E215" s="951"/>
      <c r="F215" s="971"/>
      <c r="G215" s="121">
        <f>+G179+G195+G206</f>
        <v>4297</v>
      </c>
    </row>
    <row r="216" spans="1:8">
      <c r="A216" s="95"/>
      <c r="B216" s="972" t="s">
        <v>861</v>
      </c>
      <c r="C216" s="973"/>
      <c r="D216" s="973"/>
      <c r="E216" s="974"/>
      <c r="F216" s="128">
        <f>'MANO DE OBRA'!$D$59</f>
        <v>0</v>
      </c>
      <c r="G216" s="122">
        <f>ROUND(G215*F216,0)</f>
        <v>0</v>
      </c>
    </row>
    <row r="217" spans="1:8" ht="13.5" thickBot="1">
      <c r="A217" s="95"/>
      <c r="B217" s="975" t="s">
        <v>1049</v>
      </c>
      <c r="C217" s="976"/>
      <c r="D217" s="976"/>
      <c r="E217" s="976"/>
      <c r="F217" s="977"/>
      <c r="G217" s="118">
        <f>ROUND(G215+G216,-2)</f>
        <v>4300</v>
      </c>
      <c r="H217" s="505" t="s">
        <v>1670</v>
      </c>
    </row>
    <row r="218" spans="1:8" ht="15" thickTop="1">
      <c r="A218" s="95"/>
      <c r="B218" s="225" t="s">
        <v>303</v>
      </c>
      <c r="C218" s="843"/>
      <c r="D218" s="843"/>
      <c r="E218" s="843"/>
      <c r="F218" s="92" t="s">
        <v>781</v>
      </c>
      <c r="G218" s="93" t="s">
        <v>1067</v>
      </c>
    </row>
    <row r="219" spans="1:8">
      <c r="A219" s="95"/>
      <c r="B219" s="226" t="s">
        <v>834</v>
      </c>
      <c r="C219" s="844" t="s">
        <v>1518</v>
      </c>
      <c r="D219" s="844"/>
      <c r="E219" s="844"/>
      <c r="F219" s="15" t="s">
        <v>833</v>
      </c>
      <c r="G219" s="165" t="str">
        <f>'MANO DE OBRA'!D61</f>
        <v>Agosto de 2010</v>
      </c>
    </row>
    <row r="220" spans="1:8" ht="13.5" thickBot="1">
      <c r="A220" s="127"/>
      <c r="B220" s="228" t="s">
        <v>835</v>
      </c>
      <c r="C220" s="1001" t="s">
        <v>1523</v>
      </c>
      <c r="D220" s="1001"/>
      <c r="E220" s="1001"/>
      <c r="F220" s="1001"/>
      <c r="G220" s="1002"/>
    </row>
    <row r="221" spans="1:8" ht="14.25" thickTop="1" thickBot="1">
      <c r="A221" s="95"/>
      <c r="B221" s="986"/>
      <c r="C221" s="986"/>
      <c r="D221" s="986"/>
      <c r="E221" s="986"/>
      <c r="F221" s="986"/>
      <c r="G221" s="986"/>
    </row>
    <row r="222" spans="1:8" ht="13.5" thickTop="1">
      <c r="A222" s="95"/>
      <c r="B222" s="950" t="s">
        <v>304</v>
      </c>
      <c r="C222" s="951"/>
      <c r="D222" s="951"/>
      <c r="E222" s="951"/>
      <c r="F222" s="951"/>
      <c r="G222" s="952"/>
    </row>
    <row r="223" spans="1:8">
      <c r="A223" s="95"/>
      <c r="B223" s="229"/>
      <c r="C223" s="97"/>
      <c r="D223" s="98" t="s">
        <v>301</v>
      </c>
      <c r="E223" s="98" t="s">
        <v>1072</v>
      </c>
      <c r="F223" s="99" t="s">
        <v>839</v>
      </c>
      <c r="G223" s="107" t="s">
        <v>840</v>
      </c>
    </row>
    <row r="224" spans="1:8">
      <c r="A224" s="95"/>
      <c r="B224" s="982" t="s">
        <v>838</v>
      </c>
      <c r="C224" s="983"/>
      <c r="D224" s="100" t="s">
        <v>308</v>
      </c>
      <c r="E224" s="100" t="s">
        <v>305</v>
      </c>
      <c r="F224" s="101" t="s">
        <v>306</v>
      </c>
      <c r="G224" s="108" t="s">
        <v>310</v>
      </c>
    </row>
    <row r="225" spans="1:7">
      <c r="A225" s="95"/>
      <c r="B225" s="230"/>
      <c r="C225" s="102"/>
      <c r="D225" s="103"/>
      <c r="E225" s="103" t="s">
        <v>309</v>
      </c>
      <c r="F225" s="104" t="s">
        <v>307</v>
      </c>
      <c r="G225" s="109"/>
    </row>
    <row r="226" spans="1:7">
      <c r="A226" s="127"/>
      <c r="B226" s="841" t="str">
        <f>'MAQUINARIA Y EQUIPOS'!$C$28</f>
        <v>HERRAMIENTAS MENORES</v>
      </c>
      <c r="C226" s="842"/>
      <c r="D226" s="87">
        <v>1</v>
      </c>
      <c r="E226" s="82">
        <f>ROUND(G259*0.05,0)</f>
        <v>267</v>
      </c>
      <c r="F226" s="81">
        <v>1</v>
      </c>
      <c r="G226" s="110">
        <f>ROUND(D226*E226/F226,0)</f>
        <v>267</v>
      </c>
    </row>
    <row r="227" spans="1:7">
      <c r="A227" s="95"/>
      <c r="B227" s="854"/>
      <c r="C227" s="855"/>
      <c r="D227" s="37"/>
      <c r="E227" s="129"/>
      <c r="F227" s="83"/>
      <c r="G227" s="111"/>
    </row>
    <row r="228" spans="1:7">
      <c r="A228" s="95"/>
      <c r="B228" s="854"/>
      <c r="C228" s="855"/>
      <c r="D228" s="37"/>
      <c r="E228" s="129"/>
      <c r="F228" s="83"/>
      <c r="G228" s="111"/>
    </row>
    <row r="229" spans="1:7">
      <c r="A229" s="95"/>
      <c r="B229" s="854"/>
      <c r="C229" s="855"/>
      <c r="D229" s="89"/>
      <c r="E229" s="82"/>
      <c r="F229" s="83"/>
      <c r="G229" s="111"/>
    </row>
    <row r="230" spans="1:7">
      <c r="A230" s="95"/>
      <c r="B230" s="854" t="s">
        <v>841</v>
      </c>
      <c r="C230" s="855"/>
      <c r="D230" s="37"/>
      <c r="E230" s="82"/>
      <c r="F230" s="83"/>
      <c r="G230" s="111"/>
    </row>
    <row r="231" spans="1:7" ht="13.5" thickBot="1">
      <c r="A231" s="95"/>
      <c r="B231" s="942" t="s">
        <v>841</v>
      </c>
      <c r="C231" s="943"/>
      <c r="D231" s="77"/>
      <c r="E231" s="106"/>
      <c r="F231" s="86"/>
      <c r="G231" s="112"/>
    </row>
    <row r="232" spans="1:7" ht="14.25" thickTop="1" thickBot="1">
      <c r="A232" s="95"/>
      <c r="B232" s="946"/>
      <c r="C232" s="946"/>
      <c r="D232" s="946"/>
      <c r="E232" s="947"/>
      <c r="F232" s="119" t="s">
        <v>856</v>
      </c>
      <c r="G232" s="118">
        <f>SUM(G226:G231)</f>
        <v>267</v>
      </c>
    </row>
    <row r="233" spans="1:7" ht="14.25" thickTop="1" thickBot="1">
      <c r="A233" s="95"/>
      <c r="B233" s="970"/>
      <c r="C233" s="970"/>
      <c r="D233" s="970"/>
      <c r="E233" s="970"/>
      <c r="F233" s="970"/>
      <c r="G233" s="970"/>
    </row>
    <row r="234" spans="1:7" ht="13.5" thickTop="1">
      <c r="A234" s="95"/>
      <c r="B234" s="950" t="s">
        <v>311</v>
      </c>
      <c r="C234" s="951"/>
      <c r="D234" s="951"/>
      <c r="E234" s="951"/>
      <c r="F234" s="951"/>
      <c r="G234" s="952"/>
    </row>
    <row r="235" spans="1:7">
      <c r="A235" s="95"/>
      <c r="B235" s="978" t="s">
        <v>838</v>
      </c>
      <c r="C235" s="979"/>
      <c r="D235" s="98" t="s">
        <v>842</v>
      </c>
      <c r="E235" s="98" t="s">
        <v>853</v>
      </c>
      <c r="F235" s="99" t="s">
        <v>1047</v>
      </c>
      <c r="G235" s="107" t="s">
        <v>840</v>
      </c>
    </row>
    <row r="236" spans="1:7">
      <c r="A236" s="95"/>
      <c r="B236" s="230"/>
      <c r="C236" s="102"/>
      <c r="D236" s="100"/>
      <c r="E236" s="100" t="s">
        <v>312</v>
      </c>
      <c r="F236" s="101" t="s">
        <v>313</v>
      </c>
      <c r="G236" s="108" t="s">
        <v>314</v>
      </c>
    </row>
    <row r="237" spans="1:7">
      <c r="A237" s="123"/>
      <c r="B237" s="841" t="str">
        <f>MATERIALES2!$C$286</f>
        <v>PAPEL LIJA AGUA</v>
      </c>
      <c r="C237" s="842"/>
      <c r="D237" s="87" t="s">
        <v>865</v>
      </c>
      <c r="E237" s="81">
        <v>1.05</v>
      </c>
      <c r="F237" s="80">
        <f>MATERIALES2!$E$286</f>
        <v>1000</v>
      </c>
      <c r="G237" s="110">
        <f>ROUND(E237*F237,0)</f>
        <v>1050</v>
      </c>
    </row>
    <row r="238" spans="1:7">
      <c r="A238" s="123"/>
      <c r="B238" s="854" t="str">
        <f>MATERIALES2!$C$284</f>
        <v>ESMALTE SINTETICO PINTULUX</v>
      </c>
      <c r="C238" s="855"/>
      <c r="D238" s="37" t="s">
        <v>556</v>
      </c>
      <c r="E238" s="83">
        <v>0.04</v>
      </c>
      <c r="F238" s="82">
        <f>MATERIALES2!$E$269</f>
        <v>31800</v>
      </c>
      <c r="G238" s="111">
        <f>ROUND(E238*F238,0)</f>
        <v>1272</v>
      </c>
    </row>
    <row r="239" spans="1:7">
      <c r="A239" s="123"/>
      <c r="B239" s="854" t="str">
        <f>MATERIALES2!$C$293</f>
        <v>THINNER LIMPIADOR</v>
      </c>
      <c r="C239" s="855"/>
      <c r="D239" s="37" t="s">
        <v>556</v>
      </c>
      <c r="E239" s="83">
        <v>0.03</v>
      </c>
      <c r="F239" s="82">
        <f>MATERIALES2!$E$293</f>
        <v>15000</v>
      </c>
      <c r="G239" s="111">
        <f>ROUND(E239*F239,0)</f>
        <v>450</v>
      </c>
    </row>
    <row r="240" spans="1:7">
      <c r="A240" s="123"/>
      <c r="B240" s="854"/>
      <c r="C240" s="855"/>
      <c r="D240" s="37"/>
      <c r="E240" s="83"/>
      <c r="F240" s="82"/>
      <c r="G240" s="111"/>
    </row>
    <row r="241" spans="1:8">
      <c r="A241" s="95"/>
      <c r="B241" s="854"/>
      <c r="C241" s="855"/>
      <c r="D241" s="37"/>
      <c r="E241" s="83"/>
      <c r="F241" s="82"/>
      <c r="G241" s="111"/>
    </row>
    <row r="242" spans="1:8">
      <c r="A242" s="95"/>
      <c r="B242" s="854"/>
      <c r="C242" s="855"/>
      <c r="D242" s="37"/>
      <c r="E242" s="83"/>
      <c r="F242" s="82"/>
      <c r="G242" s="111"/>
    </row>
    <row r="243" spans="1:8">
      <c r="A243" s="95"/>
      <c r="B243" s="854"/>
      <c r="C243" s="855"/>
      <c r="D243" s="37"/>
      <c r="E243" s="83"/>
      <c r="F243" s="82"/>
      <c r="G243" s="111"/>
    </row>
    <row r="244" spans="1:8">
      <c r="A244" s="95"/>
      <c r="B244" s="938" t="s">
        <v>841</v>
      </c>
      <c r="C244" s="939"/>
      <c r="D244" s="53" t="s">
        <v>841</v>
      </c>
      <c r="E244" s="53"/>
      <c r="F244" s="82"/>
      <c r="G244" s="111"/>
      <c r="H244" s="505" t="s">
        <v>1670</v>
      </c>
    </row>
    <row r="245" spans="1:8" ht="13.5" thickBot="1">
      <c r="A245" s="95"/>
      <c r="B245" s="942" t="s">
        <v>841</v>
      </c>
      <c r="C245" s="943"/>
      <c r="D245" s="84" t="s">
        <v>841</v>
      </c>
      <c r="E245" s="84"/>
      <c r="F245" s="85"/>
      <c r="G245" s="112"/>
    </row>
    <row r="246" spans="1:8" ht="13.5" thickTop="1">
      <c r="A246" s="95"/>
      <c r="B246" s="946"/>
      <c r="C246" s="947"/>
      <c r="D246" s="801" t="s">
        <v>856</v>
      </c>
      <c r="E246" s="802"/>
      <c r="F246" s="9"/>
      <c r="G246" s="113">
        <f>SUM(G237:G245)</f>
        <v>2772</v>
      </c>
    </row>
    <row r="247" spans="1:8">
      <c r="A247" s="95"/>
      <c r="B247" s="948"/>
      <c r="C247" s="949"/>
      <c r="D247" s="801" t="s">
        <v>857</v>
      </c>
      <c r="E247" s="802"/>
      <c r="F247" s="79">
        <f>'MANO DE OBRA'!$D$60</f>
        <v>0.05</v>
      </c>
      <c r="G247" s="113">
        <f>ROUND(G246*F247,0)</f>
        <v>139</v>
      </c>
    </row>
    <row r="248" spans="1:8" ht="13.5" thickBot="1">
      <c r="A248" s="95"/>
      <c r="B248" s="948"/>
      <c r="C248" s="949"/>
      <c r="D248" s="803" t="s">
        <v>320</v>
      </c>
      <c r="E248" s="804"/>
      <c r="F248" s="114"/>
      <c r="G248" s="118">
        <f>+G246+G247</f>
        <v>2911</v>
      </c>
    </row>
    <row r="249" spans="1:8" ht="14.25" thickTop="1" thickBot="1">
      <c r="A249" s="95"/>
      <c r="B249" s="970"/>
      <c r="C249" s="970"/>
      <c r="D249" s="970"/>
      <c r="E249" s="970"/>
      <c r="F249" s="970"/>
      <c r="G249" s="970"/>
    </row>
    <row r="250" spans="1:8" ht="13.5" thickTop="1">
      <c r="A250" s="95"/>
      <c r="B250" s="950" t="s">
        <v>858</v>
      </c>
      <c r="C250" s="951"/>
      <c r="D250" s="951"/>
      <c r="E250" s="951"/>
      <c r="F250" s="951"/>
      <c r="G250" s="952"/>
    </row>
    <row r="251" spans="1:8">
      <c r="A251" s="95"/>
      <c r="B251" s="978"/>
      <c r="C251" s="979"/>
      <c r="D251" s="98" t="s">
        <v>301</v>
      </c>
      <c r="E251" s="98" t="s">
        <v>859</v>
      </c>
      <c r="F251" s="99" t="s">
        <v>839</v>
      </c>
      <c r="G251" s="107" t="s">
        <v>840</v>
      </c>
    </row>
    <row r="252" spans="1:8">
      <c r="A252" s="95"/>
      <c r="B252" s="982" t="s">
        <v>838</v>
      </c>
      <c r="C252" s="983"/>
      <c r="D252" s="100" t="s">
        <v>316</v>
      </c>
      <c r="E252" s="100" t="s">
        <v>315</v>
      </c>
      <c r="F252" s="101" t="s">
        <v>306</v>
      </c>
      <c r="G252" s="108" t="s">
        <v>319</v>
      </c>
    </row>
    <row r="253" spans="1:8">
      <c r="A253" s="95"/>
      <c r="B253" s="230"/>
      <c r="C253" s="102"/>
      <c r="D253" s="103"/>
      <c r="E253" s="103" t="s">
        <v>317</v>
      </c>
      <c r="F253" s="104" t="s">
        <v>318</v>
      </c>
      <c r="G253" s="109"/>
    </row>
    <row r="254" spans="1:8">
      <c r="A254" s="95"/>
      <c r="B254" s="841" t="str">
        <f>'MANO DE OBRA'!$B$12</f>
        <v>AYUDANTE CUAD. TIPO CC</v>
      </c>
      <c r="C254" s="842"/>
      <c r="D254" s="87">
        <v>1</v>
      </c>
      <c r="E254" s="80">
        <f>'MANO DE OBRA'!$E$12</f>
        <v>47255</v>
      </c>
      <c r="F254" s="81">
        <v>24.24</v>
      </c>
      <c r="G254" s="110">
        <f>ROUND(D254*E254/F254,0)</f>
        <v>1949</v>
      </c>
    </row>
    <row r="255" spans="1:8">
      <c r="A255" s="95"/>
      <c r="B255" s="854" t="str">
        <f>'MANO DE OBRA'!$B$17</f>
        <v>OFICIAL CUAD. TIPO CC</v>
      </c>
      <c r="C255" s="855"/>
      <c r="D255" s="37">
        <v>1</v>
      </c>
      <c r="E255" s="82">
        <f>'MANO DE OBRA'!$E$17</f>
        <v>82117</v>
      </c>
      <c r="F255" s="83">
        <v>24.24</v>
      </c>
      <c r="G255" s="111">
        <f>ROUND(D255*E255/F255,0)</f>
        <v>3388</v>
      </c>
    </row>
    <row r="256" spans="1:8">
      <c r="A256" s="95"/>
      <c r="B256" s="854"/>
      <c r="C256" s="855"/>
      <c r="D256" s="89"/>
      <c r="E256" s="82"/>
      <c r="F256" s="83"/>
      <c r="G256" s="111"/>
    </row>
    <row r="257" spans="1:8">
      <c r="A257" s="95"/>
      <c r="B257" s="854" t="s">
        <v>841</v>
      </c>
      <c r="C257" s="855"/>
      <c r="D257" s="37"/>
      <c r="E257" s="82"/>
      <c r="F257" s="83"/>
      <c r="G257" s="111"/>
    </row>
    <row r="258" spans="1:8" ht="13.5" thickBot="1">
      <c r="A258" s="95"/>
      <c r="B258" s="980" t="s">
        <v>841</v>
      </c>
      <c r="C258" s="981"/>
      <c r="D258" s="77"/>
      <c r="E258" s="82"/>
      <c r="F258" s="86"/>
      <c r="G258" s="112"/>
    </row>
    <row r="259" spans="1:8" ht="14.25" thickTop="1" thickBot="1">
      <c r="A259" s="95"/>
      <c r="B259" s="946"/>
      <c r="C259" s="946"/>
      <c r="D259" s="946"/>
      <c r="E259" s="947"/>
      <c r="F259" s="120" t="s">
        <v>856</v>
      </c>
      <c r="G259" s="118">
        <f>SUM(G254:G258)</f>
        <v>5337</v>
      </c>
    </row>
    <row r="260" spans="1:8" ht="14.25" thickTop="1" thickBot="1">
      <c r="A260" s="95"/>
      <c r="B260" s="970"/>
      <c r="C260" s="970"/>
      <c r="D260" s="970"/>
      <c r="E260" s="970"/>
      <c r="F260" s="970"/>
      <c r="G260" s="970"/>
    </row>
    <row r="261" spans="1:8" ht="13.5" thickTop="1">
      <c r="A261" s="95"/>
      <c r="B261" s="950" t="s">
        <v>321</v>
      </c>
      <c r="C261" s="951"/>
      <c r="D261" s="951"/>
      <c r="E261" s="951"/>
      <c r="F261" s="951"/>
      <c r="G261" s="952"/>
    </row>
    <row r="262" spans="1:8">
      <c r="A262" s="95"/>
      <c r="B262" s="978" t="s">
        <v>838</v>
      </c>
      <c r="C262" s="979"/>
      <c r="D262" s="98" t="s">
        <v>301</v>
      </c>
      <c r="E262" s="98" t="s">
        <v>297</v>
      </c>
      <c r="F262" s="99" t="s">
        <v>839</v>
      </c>
      <c r="G262" s="107" t="s">
        <v>840</v>
      </c>
    </row>
    <row r="263" spans="1:8">
      <c r="A263" s="95"/>
      <c r="B263" s="230"/>
      <c r="C263" s="102"/>
      <c r="D263" s="103" t="s">
        <v>322</v>
      </c>
      <c r="E263" s="103" t="s">
        <v>323</v>
      </c>
      <c r="F263" s="104" t="s">
        <v>324</v>
      </c>
      <c r="G263" s="109" t="s">
        <v>325</v>
      </c>
    </row>
    <row r="264" spans="1:8">
      <c r="A264" s="95"/>
      <c r="B264" s="841"/>
      <c r="C264" s="842"/>
      <c r="D264" s="96"/>
      <c r="E264" s="96"/>
      <c r="F264" s="96"/>
      <c r="G264" s="116"/>
    </row>
    <row r="265" spans="1:8" ht="13.5" thickBot="1">
      <c r="A265" s="95"/>
      <c r="B265" s="980" t="s">
        <v>841</v>
      </c>
      <c r="C265" s="981"/>
      <c r="D265" s="77"/>
      <c r="E265" s="82"/>
      <c r="F265" s="86"/>
      <c r="G265" s="112"/>
    </row>
    <row r="266" spans="1:8" ht="14.25" thickTop="1" thickBot="1">
      <c r="A266" s="95"/>
      <c r="B266" s="946"/>
      <c r="C266" s="946"/>
      <c r="D266" s="946"/>
      <c r="E266" s="947"/>
      <c r="F266" s="120" t="s">
        <v>856</v>
      </c>
      <c r="G266" s="118">
        <f>SUM(G261:G265)</f>
        <v>0</v>
      </c>
    </row>
    <row r="267" spans="1:8" ht="14.25" thickTop="1" thickBot="1">
      <c r="A267" s="95"/>
      <c r="B267" s="970"/>
      <c r="C267" s="970"/>
      <c r="D267" s="970"/>
      <c r="E267" s="970"/>
      <c r="F267" s="970"/>
      <c r="G267" s="943"/>
    </row>
    <row r="268" spans="1:8" ht="13.5" thickTop="1">
      <c r="A268" s="95"/>
      <c r="B268" s="950" t="s">
        <v>326</v>
      </c>
      <c r="C268" s="951"/>
      <c r="D268" s="951"/>
      <c r="E268" s="951"/>
      <c r="F268" s="971"/>
      <c r="G268" s="121">
        <f>+G232+G248+G259</f>
        <v>8515</v>
      </c>
    </row>
    <row r="269" spans="1:8">
      <c r="A269" s="95"/>
      <c r="B269" s="972" t="s">
        <v>861</v>
      </c>
      <c r="C269" s="973"/>
      <c r="D269" s="973"/>
      <c r="E269" s="974"/>
      <c r="F269" s="128">
        <f>'MANO DE OBRA'!$D$59</f>
        <v>0</v>
      </c>
      <c r="G269" s="122">
        <f>ROUND(G268*F269,0)</f>
        <v>0</v>
      </c>
    </row>
    <row r="270" spans="1:8" ht="13.5" thickBot="1">
      <c r="A270" s="95"/>
      <c r="B270" s="975" t="s">
        <v>1049</v>
      </c>
      <c r="C270" s="976"/>
      <c r="D270" s="976"/>
      <c r="E270" s="976"/>
      <c r="F270" s="977"/>
      <c r="G270" s="118">
        <f>ROUND(G268+G269,-2)</f>
        <v>8500</v>
      </c>
      <c r="H270" s="505" t="s">
        <v>1670</v>
      </c>
    </row>
    <row r="271" spans="1:8" ht="15" thickTop="1">
      <c r="A271" s="95"/>
      <c r="B271" s="225" t="s">
        <v>303</v>
      </c>
      <c r="C271" s="843"/>
      <c r="D271" s="843"/>
      <c r="E271" s="843"/>
      <c r="F271" s="92" t="s">
        <v>781</v>
      </c>
      <c r="G271" s="93" t="s">
        <v>1067</v>
      </c>
    </row>
    <row r="272" spans="1:8">
      <c r="A272" s="95"/>
      <c r="B272" s="226" t="s">
        <v>834</v>
      </c>
      <c r="C272" s="844" t="s">
        <v>1518</v>
      </c>
      <c r="D272" s="844"/>
      <c r="E272" s="844"/>
      <c r="F272" s="15" t="s">
        <v>833</v>
      </c>
      <c r="G272" s="165" t="str">
        <f>'MANO DE OBRA'!D61</f>
        <v>Agosto de 2010</v>
      </c>
    </row>
    <row r="273" spans="1:7" ht="13.5" thickBot="1">
      <c r="A273" s="127"/>
      <c r="B273" s="228" t="s">
        <v>835</v>
      </c>
      <c r="C273" s="1001" t="s">
        <v>1524</v>
      </c>
      <c r="D273" s="1001"/>
      <c r="E273" s="1001"/>
      <c r="F273" s="1001"/>
      <c r="G273" s="1002"/>
    </row>
    <row r="274" spans="1:7" ht="14.25" thickTop="1" thickBot="1">
      <c r="A274" s="95"/>
      <c r="B274" s="986"/>
      <c r="C274" s="986"/>
      <c r="D274" s="986"/>
      <c r="E274" s="986"/>
      <c r="F274" s="986"/>
      <c r="G274" s="986"/>
    </row>
    <row r="275" spans="1:7" ht="13.5" thickTop="1">
      <c r="A275" s="95"/>
      <c r="B275" s="950" t="s">
        <v>304</v>
      </c>
      <c r="C275" s="951"/>
      <c r="D275" s="951"/>
      <c r="E275" s="951"/>
      <c r="F275" s="951"/>
      <c r="G275" s="952"/>
    </row>
    <row r="276" spans="1:7">
      <c r="A276" s="95"/>
      <c r="B276" s="229"/>
      <c r="C276" s="97"/>
      <c r="D276" s="98" t="s">
        <v>301</v>
      </c>
      <c r="E276" s="98" t="s">
        <v>1072</v>
      </c>
      <c r="F276" s="99" t="s">
        <v>839</v>
      </c>
      <c r="G276" s="107" t="s">
        <v>840</v>
      </c>
    </row>
    <row r="277" spans="1:7">
      <c r="A277" s="95"/>
      <c r="B277" s="982" t="s">
        <v>838</v>
      </c>
      <c r="C277" s="983"/>
      <c r="D277" s="100" t="s">
        <v>308</v>
      </c>
      <c r="E277" s="100" t="s">
        <v>305</v>
      </c>
      <c r="F277" s="101" t="s">
        <v>306</v>
      </c>
      <c r="G277" s="108" t="s">
        <v>310</v>
      </c>
    </row>
    <row r="278" spans="1:7">
      <c r="A278" s="95"/>
      <c r="B278" s="230"/>
      <c r="C278" s="102"/>
      <c r="D278" s="103"/>
      <c r="E278" s="103" t="s">
        <v>309</v>
      </c>
      <c r="F278" s="104" t="s">
        <v>307</v>
      </c>
      <c r="G278" s="109"/>
    </row>
    <row r="279" spans="1:7">
      <c r="A279" s="127"/>
      <c r="B279" s="841" t="str">
        <f>'MAQUINARIA Y EQUIPOS'!$C$28</f>
        <v>HERRAMIENTAS MENORES</v>
      </c>
      <c r="C279" s="842"/>
      <c r="D279" s="87">
        <v>1</v>
      </c>
      <c r="E279" s="82">
        <f>ROUND(G312*0.05,0)</f>
        <v>267</v>
      </c>
      <c r="F279" s="81">
        <v>1</v>
      </c>
      <c r="G279" s="110">
        <f>ROUND(D279*E279/F279,0)</f>
        <v>267</v>
      </c>
    </row>
    <row r="280" spans="1:7">
      <c r="A280" s="95"/>
      <c r="B280" s="854"/>
      <c r="C280" s="855"/>
      <c r="D280" s="37"/>
      <c r="E280" s="129"/>
      <c r="F280" s="83"/>
      <c r="G280" s="111"/>
    </row>
    <row r="281" spans="1:7">
      <c r="A281" s="95"/>
      <c r="B281" s="854"/>
      <c r="C281" s="855"/>
      <c r="D281" s="37"/>
      <c r="E281" s="129"/>
      <c r="F281" s="83"/>
      <c r="G281" s="111"/>
    </row>
    <row r="282" spans="1:7">
      <c r="A282" s="95"/>
      <c r="B282" s="854"/>
      <c r="C282" s="855"/>
      <c r="D282" s="89"/>
      <c r="E282" s="82"/>
      <c r="F282" s="83"/>
      <c r="G282" s="111"/>
    </row>
    <row r="283" spans="1:7">
      <c r="A283" s="95"/>
      <c r="B283" s="854" t="s">
        <v>841</v>
      </c>
      <c r="C283" s="855"/>
      <c r="D283" s="37"/>
      <c r="E283" s="82"/>
      <c r="F283" s="83"/>
      <c r="G283" s="111"/>
    </row>
    <row r="284" spans="1:7" ht="13.5" thickBot="1">
      <c r="A284" s="95"/>
      <c r="B284" s="942" t="s">
        <v>841</v>
      </c>
      <c r="C284" s="943"/>
      <c r="D284" s="77"/>
      <c r="E284" s="106"/>
      <c r="F284" s="86"/>
      <c r="G284" s="112"/>
    </row>
    <row r="285" spans="1:7" ht="14.25" thickTop="1" thickBot="1">
      <c r="A285" s="95"/>
      <c r="B285" s="946"/>
      <c r="C285" s="946"/>
      <c r="D285" s="946"/>
      <c r="E285" s="947"/>
      <c r="F285" s="119" t="s">
        <v>856</v>
      </c>
      <c r="G285" s="118">
        <f>SUM(G279:G284)</f>
        <v>267</v>
      </c>
    </row>
    <row r="286" spans="1:7" ht="14.25" thickTop="1" thickBot="1">
      <c r="A286" s="95"/>
      <c r="B286" s="970"/>
      <c r="C286" s="970"/>
      <c r="D286" s="970"/>
      <c r="E286" s="970"/>
      <c r="F286" s="970"/>
      <c r="G286" s="970"/>
    </row>
    <row r="287" spans="1:7" ht="13.5" thickTop="1">
      <c r="A287" s="95"/>
      <c r="B287" s="950" t="s">
        <v>311</v>
      </c>
      <c r="C287" s="951"/>
      <c r="D287" s="951"/>
      <c r="E287" s="951"/>
      <c r="F287" s="951"/>
      <c r="G287" s="952"/>
    </row>
    <row r="288" spans="1:7">
      <c r="A288" s="95"/>
      <c r="B288" s="978" t="s">
        <v>838</v>
      </c>
      <c r="C288" s="979"/>
      <c r="D288" s="98" t="s">
        <v>842</v>
      </c>
      <c r="E288" s="98" t="s">
        <v>853</v>
      </c>
      <c r="F288" s="99" t="s">
        <v>1047</v>
      </c>
      <c r="G288" s="107" t="s">
        <v>840</v>
      </c>
    </row>
    <row r="289" spans="1:8">
      <c r="A289" s="95"/>
      <c r="B289" s="230"/>
      <c r="C289" s="102"/>
      <c r="D289" s="100"/>
      <c r="E289" s="100" t="s">
        <v>312</v>
      </c>
      <c r="F289" s="101" t="s">
        <v>313</v>
      </c>
      <c r="G289" s="108" t="s">
        <v>314</v>
      </c>
    </row>
    <row r="290" spans="1:8">
      <c r="A290" s="123"/>
      <c r="B290" s="841" t="str">
        <f>MATERIALES2!$C$286</f>
        <v>PAPEL LIJA AGUA</v>
      </c>
      <c r="C290" s="842"/>
      <c r="D290" s="87" t="s">
        <v>865</v>
      </c>
      <c r="E290" s="81">
        <v>1.05</v>
      </c>
      <c r="F290" s="80">
        <f>MATERIALES2!$E$286</f>
        <v>1000</v>
      </c>
      <c r="G290" s="110">
        <f>ROUND(E290*F290,0)</f>
        <v>1050</v>
      </c>
    </row>
    <row r="291" spans="1:8">
      <c r="A291" s="123"/>
      <c r="B291" s="854" t="str">
        <f>MATERIALES2!$C$273</f>
        <v>BARNIZ TRANSPARENTE BRILLANTE</v>
      </c>
      <c r="C291" s="855"/>
      <c r="D291" s="37" t="s">
        <v>556</v>
      </c>
      <c r="E291" s="83">
        <v>0.04</v>
      </c>
      <c r="F291" s="82">
        <f>MATERIALES2!$E$273</f>
        <v>160909</v>
      </c>
      <c r="G291" s="111">
        <f>ROUND(E291*F291,0)</f>
        <v>6436</v>
      </c>
    </row>
    <row r="292" spans="1:8">
      <c r="A292" s="123"/>
      <c r="B292" s="854" t="str">
        <f>MATERIALES2!$C$292</f>
        <v>TAPAPOROS INCOLORO</v>
      </c>
      <c r="C292" s="855"/>
      <c r="D292" s="37" t="s">
        <v>556</v>
      </c>
      <c r="E292" s="83">
        <v>0.02</v>
      </c>
      <c r="F292" s="82">
        <f>MATERIALES2!$E$292</f>
        <v>22900</v>
      </c>
      <c r="G292" s="111">
        <f>ROUND(E292*F292,0)</f>
        <v>458</v>
      </c>
    </row>
    <row r="293" spans="1:8">
      <c r="A293" s="123"/>
      <c r="B293" s="854" t="str">
        <f>MATERIALES2!$C$293</f>
        <v>THINNER LIMPIADOR</v>
      </c>
      <c r="C293" s="855"/>
      <c r="D293" s="37" t="s">
        <v>556</v>
      </c>
      <c r="E293" s="83">
        <v>0.02</v>
      </c>
      <c r="F293" s="82">
        <f>MATERIALES2!$E$293</f>
        <v>15000</v>
      </c>
      <c r="G293" s="111">
        <f>ROUND(E293*F293,0)</f>
        <v>300</v>
      </c>
    </row>
    <row r="294" spans="1:8">
      <c r="A294" s="123"/>
      <c r="B294" s="854"/>
      <c r="C294" s="855"/>
      <c r="D294" s="37"/>
      <c r="E294" s="83"/>
      <c r="F294" s="82"/>
      <c r="G294" s="111"/>
    </row>
    <row r="295" spans="1:8">
      <c r="A295" s="123"/>
      <c r="B295" s="854"/>
      <c r="C295" s="855"/>
      <c r="D295" s="37"/>
      <c r="E295" s="83"/>
      <c r="F295" s="82"/>
      <c r="G295" s="111"/>
    </row>
    <row r="296" spans="1:8">
      <c r="A296" s="95"/>
      <c r="B296" s="854"/>
      <c r="C296" s="855"/>
      <c r="D296" s="37"/>
      <c r="E296" s="83"/>
      <c r="F296" s="82"/>
      <c r="G296" s="111"/>
      <c r="H296" s="505" t="s">
        <v>1670</v>
      </c>
    </row>
    <row r="297" spans="1:8">
      <c r="A297" s="95"/>
      <c r="B297" s="938" t="s">
        <v>841</v>
      </c>
      <c r="C297" s="939"/>
      <c r="D297" s="53" t="s">
        <v>841</v>
      </c>
      <c r="E297" s="53"/>
      <c r="F297" s="82"/>
      <c r="G297" s="111"/>
    </row>
    <row r="298" spans="1:8" ht="13.5" thickBot="1">
      <c r="A298" s="95"/>
      <c r="B298" s="942" t="s">
        <v>841</v>
      </c>
      <c r="C298" s="943"/>
      <c r="D298" s="84" t="s">
        <v>841</v>
      </c>
      <c r="E298" s="84"/>
      <c r="F298" s="85"/>
      <c r="G298" s="112"/>
    </row>
    <row r="299" spans="1:8" ht="13.5" thickTop="1">
      <c r="A299" s="95"/>
      <c r="B299" s="946"/>
      <c r="C299" s="947"/>
      <c r="D299" s="801" t="s">
        <v>856</v>
      </c>
      <c r="E299" s="802"/>
      <c r="F299" s="9"/>
      <c r="G299" s="113">
        <f>SUM(G290:G298)</f>
        <v>8244</v>
      </c>
    </row>
    <row r="300" spans="1:8">
      <c r="A300" s="95"/>
      <c r="B300" s="948"/>
      <c r="C300" s="949"/>
      <c r="D300" s="801" t="s">
        <v>857</v>
      </c>
      <c r="E300" s="802"/>
      <c r="F300" s="79">
        <f>'MANO DE OBRA'!$D$60</f>
        <v>0.05</v>
      </c>
      <c r="G300" s="113">
        <f>ROUND(G299*F300,0)</f>
        <v>412</v>
      </c>
    </row>
    <row r="301" spans="1:8" ht="13.5" thickBot="1">
      <c r="A301" s="95"/>
      <c r="B301" s="948"/>
      <c r="C301" s="949"/>
      <c r="D301" s="803" t="s">
        <v>320</v>
      </c>
      <c r="E301" s="804"/>
      <c r="F301" s="114"/>
      <c r="G301" s="118">
        <f>+G299+G300</f>
        <v>8656</v>
      </c>
    </row>
    <row r="302" spans="1:8" ht="14.25" thickTop="1" thickBot="1">
      <c r="A302" s="95"/>
      <c r="B302" s="970"/>
      <c r="C302" s="970"/>
      <c r="D302" s="970"/>
      <c r="E302" s="970"/>
      <c r="F302" s="970"/>
      <c r="G302" s="970"/>
    </row>
    <row r="303" spans="1:8" ht="13.5" thickTop="1">
      <c r="A303" s="95"/>
      <c r="B303" s="950" t="s">
        <v>858</v>
      </c>
      <c r="C303" s="951"/>
      <c r="D303" s="951"/>
      <c r="E303" s="951"/>
      <c r="F303" s="951"/>
      <c r="G303" s="952"/>
    </row>
    <row r="304" spans="1:8">
      <c r="A304" s="95"/>
      <c r="B304" s="978"/>
      <c r="C304" s="979"/>
      <c r="D304" s="98" t="s">
        <v>301</v>
      </c>
      <c r="E304" s="98" t="s">
        <v>859</v>
      </c>
      <c r="F304" s="99" t="s">
        <v>839</v>
      </c>
      <c r="G304" s="107" t="s">
        <v>840</v>
      </c>
    </row>
    <row r="305" spans="1:7">
      <c r="A305" s="95"/>
      <c r="B305" s="982" t="s">
        <v>838</v>
      </c>
      <c r="C305" s="983"/>
      <c r="D305" s="100" t="s">
        <v>316</v>
      </c>
      <c r="E305" s="100" t="s">
        <v>315</v>
      </c>
      <c r="F305" s="101" t="s">
        <v>306</v>
      </c>
      <c r="G305" s="108" t="s">
        <v>319</v>
      </c>
    </row>
    <row r="306" spans="1:7">
      <c r="A306" s="95"/>
      <c r="B306" s="230"/>
      <c r="C306" s="102"/>
      <c r="D306" s="103"/>
      <c r="E306" s="103" t="s">
        <v>317</v>
      </c>
      <c r="F306" s="104" t="s">
        <v>318</v>
      </c>
      <c r="G306" s="109"/>
    </row>
    <row r="307" spans="1:7">
      <c r="A307" s="95"/>
      <c r="B307" s="841" t="str">
        <f>'MANO DE OBRA'!$B$12</f>
        <v>AYUDANTE CUAD. TIPO CC</v>
      </c>
      <c r="C307" s="842"/>
      <c r="D307" s="87">
        <v>1</v>
      </c>
      <c r="E307" s="80">
        <f>'MANO DE OBRA'!$E$12</f>
        <v>47255</v>
      </c>
      <c r="F307" s="81">
        <v>24.24</v>
      </c>
      <c r="G307" s="110">
        <f>ROUND(D307*E307/F307,0)</f>
        <v>1949</v>
      </c>
    </row>
    <row r="308" spans="1:7">
      <c r="A308" s="95"/>
      <c r="B308" s="854" t="str">
        <f>'MANO DE OBRA'!$B$17</f>
        <v>OFICIAL CUAD. TIPO CC</v>
      </c>
      <c r="C308" s="855"/>
      <c r="D308" s="37">
        <v>1</v>
      </c>
      <c r="E308" s="82">
        <f>'MANO DE OBRA'!$E$17</f>
        <v>82117</v>
      </c>
      <c r="F308" s="83">
        <v>24.24</v>
      </c>
      <c r="G308" s="111">
        <f>ROUND(D308*E308/F308,0)</f>
        <v>3388</v>
      </c>
    </row>
    <row r="309" spans="1:7">
      <c r="A309" s="95"/>
      <c r="B309" s="854"/>
      <c r="C309" s="855"/>
      <c r="D309" s="89"/>
      <c r="E309" s="82"/>
      <c r="F309" s="83"/>
      <c r="G309" s="111"/>
    </row>
    <row r="310" spans="1:7">
      <c r="A310" s="95"/>
      <c r="B310" s="854" t="s">
        <v>841</v>
      </c>
      <c r="C310" s="855"/>
      <c r="D310" s="37"/>
      <c r="E310" s="82"/>
      <c r="F310" s="83"/>
      <c r="G310" s="111"/>
    </row>
    <row r="311" spans="1:7" ht="13.5" thickBot="1">
      <c r="A311" s="95"/>
      <c r="B311" s="980" t="s">
        <v>841</v>
      </c>
      <c r="C311" s="981"/>
      <c r="D311" s="77"/>
      <c r="E311" s="82"/>
      <c r="F311" s="86"/>
      <c r="G311" s="112"/>
    </row>
    <row r="312" spans="1:7" ht="14.25" thickTop="1" thickBot="1">
      <c r="A312" s="95"/>
      <c r="B312" s="946"/>
      <c r="C312" s="946"/>
      <c r="D312" s="946"/>
      <c r="E312" s="947"/>
      <c r="F312" s="120" t="s">
        <v>856</v>
      </c>
      <c r="G312" s="118">
        <f>SUM(G307:G311)</f>
        <v>5337</v>
      </c>
    </row>
    <row r="313" spans="1:7" ht="14.25" thickTop="1" thickBot="1">
      <c r="A313" s="95"/>
      <c r="B313" s="970"/>
      <c r="C313" s="970"/>
      <c r="D313" s="970"/>
      <c r="E313" s="970"/>
      <c r="F313" s="970"/>
      <c r="G313" s="970"/>
    </row>
    <row r="314" spans="1:7" ht="13.5" thickTop="1">
      <c r="A314" s="95"/>
      <c r="B314" s="950" t="s">
        <v>321</v>
      </c>
      <c r="C314" s="951"/>
      <c r="D314" s="951"/>
      <c r="E314" s="951"/>
      <c r="F314" s="951"/>
      <c r="G314" s="952"/>
    </row>
    <row r="315" spans="1:7">
      <c r="A315" s="95"/>
      <c r="B315" s="978" t="s">
        <v>838</v>
      </c>
      <c r="C315" s="979"/>
      <c r="D315" s="98" t="s">
        <v>301</v>
      </c>
      <c r="E315" s="98" t="s">
        <v>297</v>
      </c>
      <c r="F315" s="99" t="s">
        <v>839</v>
      </c>
      <c r="G315" s="107" t="s">
        <v>840</v>
      </c>
    </row>
    <row r="316" spans="1:7">
      <c r="A316" s="95"/>
      <c r="B316" s="230"/>
      <c r="C316" s="102"/>
      <c r="D316" s="103" t="s">
        <v>322</v>
      </c>
      <c r="E316" s="103" t="s">
        <v>323</v>
      </c>
      <c r="F316" s="104" t="s">
        <v>324</v>
      </c>
      <c r="G316" s="109" t="s">
        <v>325</v>
      </c>
    </row>
    <row r="317" spans="1:7">
      <c r="A317" s="95"/>
      <c r="B317" s="841"/>
      <c r="C317" s="842"/>
      <c r="D317" s="96"/>
      <c r="E317" s="96"/>
      <c r="F317" s="96"/>
      <c r="G317" s="116"/>
    </row>
    <row r="318" spans="1:7" ht="13.5" thickBot="1">
      <c r="A318" s="95"/>
      <c r="B318" s="980" t="s">
        <v>841</v>
      </c>
      <c r="C318" s="981"/>
      <c r="D318" s="77"/>
      <c r="E318" s="82"/>
      <c r="F318" s="86"/>
      <c r="G318" s="112"/>
    </row>
    <row r="319" spans="1:7" ht="14.25" thickTop="1" thickBot="1">
      <c r="A319" s="95"/>
      <c r="B319" s="946"/>
      <c r="C319" s="946"/>
      <c r="D319" s="946"/>
      <c r="E319" s="947"/>
      <c r="F319" s="120" t="s">
        <v>856</v>
      </c>
      <c r="G319" s="118">
        <f>SUM(G314:G318)</f>
        <v>0</v>
      </c>
    </row>
    <row r="320" spans="1:7" ht="14.25" thickTop="1" thickBot="1">
      <c r="A320" s="95"/>
      <c r="B320" s="970"/>
      <c r="C320" s="970"/>
      <c r="D320" s="970"/>
      <c r="E320" s="970"/>
      <c r="F320" s="970"/>
      <c r="G320" s="943"/>
    </row>
    <row r="321" spans="1:8" ht="13.5" thickTop="1">
      <c r="A321" s="95"/>
      <c r="B321" s="950" t="s">
        <v>326</v>
      </c>
      <c r="C321" s="951"/>
      <c r="D321" s="951"/>
      <c r="E321" s="951"/>
      <c r="F321" s="971"/>
      <c r="G321" s="121">
        <f>+G285+G301+G312</f>
        <v>14260</v>
      </c>
    </row>
    <row r="322" spans="1:8">
      <c r="A322" s="95"/>
      <c r="B322" s="972" t="s">
        <v>861</v>
      </c>
      <c r="C322" s="973"/>
      <c r="D322" s="973"/>
      <c r="E322" s="974"/>
      <c r="F322" s="128">
        <f>'MANO DE OBRA'!$D$59</f>
        <v>0</v>
      </c>
      <c r="G322" s="122">
        <f>ROUND(G321*F322,0)</f>
        <v>0</v>
      </c>
    </row>
    <row r="323" spans="1:8" ht="13.5" thickBot="1">
      <c r="A323" s="95"/>
      <c r="B323" s="975" t="s">
        <v>1049</v>
      </c>
      <c r="C323" s="976"/>
      <c r="D323" s="976"/>
      <c r="E323" s="976"/>
      <c r="F323" s="977"/>
      <c r="G323" s="118">
        <f>ROUND(G321+G322,-2)</f>
        <v>14300</v>
      </c>
      <c r="H323" s="505" t="s">
        <v>1670</v>
      </c>
    </row>
    <row r="324" spans="1:8" ht="13.5" thickTop="1">
      <c r="A324" s="95"/>
      <c r="B324" s="225" t="s">
        <v>303</v>
      </c>
      <c r="C324" s="843"/>
      <c r="D324" s="843"/>
      <c r="E324" s="843"/>
      <c r="F324" s="92" t="s">
        <v>781</v>
      </c>
      <c r="G324" s="93" t="s">
        <v>831</v>
      </c>
    </row>
    <row r="325" spans="1:8">
      <c r="A325" s="95"/>
      <c r="B325" s="226" t="s">
        <v>834</v>
      </c>
      <c r="C325" s="844" t="s">
        <v>1518</v>
      </c>
      <c r="D325" s="844"/>
      <c r="E325" s="844"/>
      <c r="F325" s="15" t="s">
        <v>833</v>
      </c>
      <c r="G325" s="165" t="str">
        <f>'MANO DE OBRA'!D61</f>
        <v>Agosto de 2010</v>
      </c>
    </row>
    <row r="326" spans="1:8" ht="13.5" thickBot="1">
      <c r="A326" s="127"/>
      <c r="B326" s="228" t="s">
        <v>835</v>
      </c>
      <c r="C326" s="1001" t="s">
        <v>1525</v>
      </c>
      <c r="D326" s="1001"/>
      <c r="E326" s="1001"/>
      <c r="F326" s="1001"/>
      <c r="G326" s="1002"/>
    </row>
    <row r="327" spans="1:8" ht="14.25" thickTop="1" thickBot="1">
      <c r="A327" s="95"/>
      <c r="B327" s="986"/>
      <c r="C327" s="986"/>
      <c r="D327" s="986"/>
      <c r="E327" s="986"/>
      <c r="F327" s="986"/>
      <c r="G327" s="986"/>
    </row>
    <row r="328" spans="1:8" ht="13.5" thickTop="1">
      <c r="A328" s="95"/>
      <c r="B328" s="950" t="s">
        <v>304</v>
      </c>
      <c r="C328" s="951"/>
      <c r="D328" s="951"/>
      <c r="E328" s="951"/>
      <c r="F328" s="951"/>
      <c r="G328" s="952"/>
    </row>
    <row r="329" spans="1:8">
      <c r="A329" s="95"/>
      <c r="B329" s="229"/>
      <c r="C329" s="97"/>
      <c r="D329" s="98" t="s">
        <v>301</v>
      </c>
      <c r="E329" s="98" t="s">
        <v>1072</v>
      </c>
      <c r="F329" s="99" t="s">
        <v>839</v>
      </c>
      <c r="G329" s="107" t="s">
        <v>840</v>
      </c>
    </row>
    <row r="330" spans="1:8">
      <c r="A330" s="95"/>
      <c r="B330" s="982" t="s">
        <v>838</v>
      </c>
      <c r="C330" s="983"/>
      <c r="D330" s="100" t="s">
        <v>308</v>
      </c>
      <c r="E330" s="100" t="s">
        <v>305</v>
      </c>
      <c r="F330" s="101" t="s">
        <v>306</v>
      </c>
      <c r="G330" s="108" t="s">
        <v>310</v>
      </c>
    </row>
    <row r="331" spans="1:8">
      <c r="A331" s="95"/>
      <c r="B331" s="230"/>
      <c r="C331" s="102"/>
      <c r="D331" s="103"/>
      <c r="E331" s="103" t="s">
        <v>309</v>
      </c>
      <c r="F331" s="104" t="s">
        <v>307</v>
      </c>
      <c r="G331" s="109"/>
    </row>
    <row r="332" spans="1:8">
      <c r="A332" s="127"/>
      <c r="B332" s="841" t="str">
        <f>'MAQUINARIA Y EQUIPOS'!$C$28</f>
        <v>HERRAMIENTAS MENORES</v>
      </c>
      <c r="C332" s="842"/>
      <c r="D332" s="87">
        <v>1</v>
      </c>
      <c r="E332" s="82">
        <f>ROUND(G365*0.05,0)</f>
        <v>57</v>
      </c>
      <c r="F332" s="81">
        <v>1</v>
      </c>
      <c r="G332" s="110">
        <f>ROUND(D332*E332/F332,0)</f>
        <v>57</v>
      </c>
    </row>
    <row r="333" spans="1:8">
      <c r="A333" s="95"/>
      <c r="B333" s="854"/>
      <c r="C333" s="855"/>
      <c r="D333" s="37"/>
      <c r="E333" s="129"/>
      <c r="F333" s="83"/>
      <c r="G333" s="111"/>
    </row>
    <row r="334" spans="1:8">
      <c r="A334" s="95"/>
      <c r="B334" s="854"/>
      <c r="C334" s="855"/>
      <c r="D334" s="37"/>
      <c r="E334" s="129"/>
      <c r="F334" s="83"/>
      <c r="G334" s="111"/>
    </row>
    <row r="335" spans="1:8">
      <c r="A335" s="95"/>
      <c r="B335" s="854"/>
      <c r="C335" s="855"/>
      <c r="D335" s="89"/>
      <c r="E335" s="82"/>
      <c r="F335" s="83"/>
      <c r="G335" s="111"/>
    </row>
    <row r="336" spans="1:8">
      <c r="A336" s="95"/>
      <c r="B336" s="854" t="s">
        <v>841</v>
      </c>
      <c r="C336" s="855"/>
      <c r="D336" s="37"/>
      <c r="E336" s="82"/>
      <c r="F336" s="83"/>
      <c r="G336" s="111"/>
    </row>
    <row r="337" spans="1:8" ht="13.5" thickBot="1">
      <c r="A337" s="95"/>
      <c r="B337" s="942" t="s">
        <v>841</v>
      </c>
      <c r="C337" s="943"/>
      <c r="D337" s="77"/>
      <c r="E337" s="106"/>
      <c r="F337" s="86"/>
      <c r="G337" s="112"/>
    </row>
    <row r="338" spans="1:8" ht="14.25" thickTop="1" thickBot="1">
      <c r="A338" s="95"/>
      <c r="B338" s="946"/>
      <c r="C338" s="946"/>
      <c r="D338" s="946"/>
      <c r="E338" s="947"/>
      <c r="F338" s="119" t="s">
        <v>856</v>
      </c>
      <c r="G338" s="118">
        <f>SUM(G332:G337)</f>
        <v>57</v>
      </c>
    </row>
    <row r="339" spans="1:8" ht="14.25" thickTop="1" thickBot="1">
      <c r="A339" s="95"/>
      <c r="B339" s="970"/>
      <c r="C339" s="970"/>
      <c r="D339" s="970"/>
      <c r="E339" s="970"/>
      <c r="F339" s="970"/>
      <c r="G339" s="970"/>
    </row>
    <row r="340" spans="1:8" ht="13.5" thickTop="1">
      <c r="A340" s="95"/>
      <c r="B340" s="950" t="s">
        <v>311</v>
      </c>
      <c r="C340" s="951"/>
      <c r="D340" s="951"/>
      <c r="E340" s="951"/>
      <c r="F340" s="951"/>
      <c r="G340" s="952"/>
    </row>
    <row r="341" spans="1:8">
      <c r="A341" s="95"/>
      <c r="B341" s="978" t="s">
        <v>838</v>
      </c>
      <c r="C341" s="979"/>
      <c r="D341" s="98" t="s">
        <v>842</v>
      </c>
      <c r="E341" s="98" t="s">
        <v>853</v>
      </c>
      <c r="F341" s="99" t="s">
        <v>1047</v>
      </c>
      <c r="G341" s="107" t="s">
        <v>840</v>
      </c>
    </row>
    <row r="342" spans="1:8">
      <c r="A342" s="95"/>
      <c r="B342" s="230"/>
      <c r="C342" s="102"/>
      <c r="D342" s="100"/>
      <c r="E342" s="100" t="s">
        <v>312</v>
      </c>
      <c r="F342" s="101" t="s">
        <v>313</v>
      </c>
      <c r="G342" s="108" t="s">
        <v>314</v>
      </c>
    </row>
    <row r="343" spans="1:8">
      <c r="A343" s="123"/>
      <c r="B343" s="841" t="str">
        <f>MATERIALES2!$C$286</f>
        <v>PAPEL LIJA AGUA</v>
      </c>
      <c r="C343" s="842"/>
      <c r="D343" s="87" t="s">
        <v>865</v>
      </c>
      <c r="E343" s="81">
        <v>0.16</v>
      </c>
      <c r="F343" s="80">
        <f>MATERIALES2!$E$286</f>
        <v>1000</v>
      </c>
      <c r="G343" s="110">
        <f>ROUND(E343*F343,0)</f>
        <v>160</v>
      </c>
    </row>
    <row r="344" spans="1:8">
      <c r="A344" s="123"/>
      <c r="B344" s="854" t="str">
        <f>MATERIALES2!$C$273</f>
        <v>BARNIZ TRANSPARENTE BRILLANTE</v>
      </c>
      <c r="C344" s="855"/>
      <c r="D344" s="37" t="s">
        <v>556</v>
      </c>
      <c r="E344" s="83">
        <v>0.01</v>
      </c>
      <c r="F344" s="82">
        <f>MATERIALES2!$E$273</f>
        <v>160909</v>
      </c>
      <c r="G344" s="111">
        <f>ROUND(E344*F344,0)</f>
        <v>1609</v>
      </c>
    </row>
    <row r="345" spans="1:8">
      <c r="A345" s="123"/>
      <c r="B345" s="854" t="str">
        <f>MATERIALES2!$C$292</f>
        <v>TAPAPOROS INCOLORO</v>
      </c>
      <c r="C345" s="855"/>
      <c r="D345" s="37" t="s">
        <v>556</v>
      </c>
      <c r="E345" s="83">
        <v>0.01</v>
      </c>
      <c r="F345" s="82">
        <f>MATERIALES2!$E$292</f>
        <v>22900</v>
      </c>
      <c r="G345" s="111">
        <f>ROUND(E345*F345,0)</f>
        <v>229</v>
      </c>
    </row>
    <row r="346" spans="1:8">
      <c r="A346" s="123"/>
      <c r="B346" s="854" t="str">
        <f>MATERIALES2!$C$293</f>
        <v>THINNER LIMPIADOR</v>
      </c>
      <c r="C346" s="855"/>
      <c r="D346" s="37" t="s">
        <v>556</v>
      </c>
      <c r="E346" s="83">
        <v>0.01</v>
      </c>
      <c r="F346" s="82">
        <f>MATERIALES2!$E$293</f>
        <v>15000</v>
      </c>
      <c r="G346" s="111">
        <f>ROUND(E346*F346,0)</f>
        <v>150</v>
      </c>
    </row>
    <row r="347" spans="1:8">
      <c r="A347" s="123"/>
      <c r="B347" s="854"/>
      <c r="C347" s="855"/>
      <c r="D347" s="37"/>
      <c r="E347" s="83"/>
      <c r="F347" s="82"/>
      <c r="G347" s="111"/>
    </row>
    <row r="348" spans="1:8">
      <c r="A348" s="123"/>
      <c r="B348" s="854"/>
      <c r="C348" s="855"/>
      <c r="D348" s="37"/>
      <c r="E348" s="83"/>
      <c r="F348" s="82"/>
      <c r="G348" s="111"/>
    </row>
    <row r="349" spans="1:8">
      <c r="A349" s="95"/>
      <c r="B349" s="854"/>
      <c r="C349" s="855"/>
      <c r="D349" s="37"/>
      <c r="E349" s="83"/>
      <c r="F349" s="82"/>
      <c r="G349" s="111"/>
      <c r="H349" s="505" t="s">
        <v>1670</v>
      </c>
    </row>
    <row r="350" spans="1:8">
      <c r="A350" s="95"/>
      <c r="B350" s="938" t="s">
        <v>841</v>
      </c>
      <c r="C350" s="939"/>
      <c r="D350" s="53" t="s">
        <v>841</v>
      </c>
      <c r="E350" s="53"/>
      <c r="F350" s="82"/>
      <c r="G350" s="111"/>
    </row>
    <row r="351" spans="1:8" ht="13.5" thickBot="1">
      <c r="A351" s="95"/>
      <c r="B351" s="942" t="s">
        <v>841</v>
      </c>
      <c r="C351" s="943"/>
      <c r="D351" s="84" t="s">
        <v>841</v>
      </c>
      <c r="E351" s="84"/>
      <c r="F351" s="85"/>
      <c r="G351" s="112"/>
    </row>
    <row r="352" spans="1:8" ht="13.5" thickTop="1">
      <c r="A352" s="95"/>
      <c r="B352" s="946"/>
      <c r="C352" s="947"/>
      <c r="D352" s="801" t="s">
        <v>856</v>
      </c>
      <c r="E352" s="802"/>
      <c r="F352" s="9"/>
      <c r="G352" s="113">
        <f>SUM(G343:G351)</f>
        <v>2148</v>
      </c>
    </row>
    <row r="353" spans="1:7">
      <c r="A353" s="95"/>
      <c r="B353" s="948"/>
      <c r="C353" s="949"/>
      <c r="D353" s="801" t="s">
        <v>857</v>
      </c>
      <c r="E353" s="802"/>
      <c r="F353" s="79">
        <f>'MANO DE OBRA'!$D$60</f>
        <v>0.05</v>
      </c>
      <c r="G353" s="113">
        <f>ROUND(G352*F353,0)</f>
        <v>107</v>
      </c>
    </row>
    <row r="354" spans="1:7" ht="13.5" thickBot="1">
      <c r="A354" s="95"/>
      <c r="B354" s="948"/>
      <c r="C354" s="949"/>
      <c r="D354" s="803" t="s">
        <v>320</v>
      </c>
      <c r="E354" s="804"/>
      <c r="F354" s="114"/>
      <c r="G354" s="118">
        <f>+G352+G353</f>
        <v>2255</v>
      </c>
    </row>
    <row r="355" spans="1:7" ht="14.25" thickTop="1" thickBot="1">
      <c r="A355" s="95"/>
      <c r="B355" s="970"/>
      <c r="C355" s="970"/>
      <c r="D355" s="970"/>
      <c r="E355" s="970"/>
      <c r="F355" s="970"/>
      <c r="G355" s="970"/>
    </row>
    <row r="356" spans="1:7" ht="13.5" thickTop="1">
      <c r="A356" s="95"/>
      <c r="B356" s="950" t="s">
        <v>858</v>
      </c>
      <c r="C356" s="951"/>
      <c r="D356" s="951"/>
      <c r="E356" s="951"/>
      <c r="F356" s="951"/>
      <c r="G356" s="952"/>
    </row>
    <row r="357" spans="1:7">
      <c r="A357" s="95"/>
      <c r="B357" s="978"/>
      <c r="C357" s="979"/>
      <c r="D357" s="98" t="s">
        <v>301</v>
      </c>
      <c r="E357" s="98" t="s">
        <v>859</v>
      </c>
      <c r="F357" s="99" t="s">
        <v>839</v>
      </c>
      <c r="G357" s="107" t="s">
        <v>840</v>
      </c>
    </row>
    <row r="358" spans="1:7">
      <c r="A358" s="95"/>
      <c r="B358" s="982" t="s">
        <v>838</v>
      </c>
      <c r="C358" s="983"/>
      <c r="D358" s="100" t="s">
        <v>316</v>
      </c>
      <c r="E358" s="100" t="s">
        <v>315</v>
      </c>
      <c r="F358" s="101" t="s">
        <v>306</v>
      </c>
      <c r="G358" s="108" t="s">
        <v>319</v>
      </c>
    </row>
    <row r="359" spans="1:7">
      <c r="A359" s="95"/>
      <c r="B359" s="230"/>
      <c r="C359" s="102"/>
      <c r="D359" s="103"/>
      <c r="E359" s="103" t="s">
        <v>317</v>
      </c>
      <c r="F359" s="104" t="s">
        <v>318</v>
      </c>
      <c r="G359" s="109"/>
    </row>
    <row r="360" spans="1:7">
      <c r="A360" s="95"/>
      <c r="B360" s="841" t="str">
        <f>'MANO DE OBRA'!$B$12</f>
        <v>AYUDANTE CUAD. TIPO CC</v>
      </c>
      <c r="C360" s="842"/>
      <c r="D360" s="87">
        <v>1</v>
      </c>
      <c r="E360" s="80">
        <f>'MANO DE OBRA'!$E$12</f>
        <v>47255</v>
      </c>
      <c r="F360" s="81">
        <v>114.29</v>
      </c>
      <c r="G360" s="110">
        <f>ROUND(D360*E360/F360,0)</f>
        <v>413</v>
      </c>
    </row>
    <row r="361" spans="1:7">
      <c r="A361" s="95"/>
      <c r="B361" s="854" t="str">
        <f>'MANO DE OBRA'!$B$17</f>
        <v>OFICIAL CUAD. TIPO CC</v>
      </c>
      <c r="C361" s="855"/>
      <c r="D361" s="37">
        <v>1</v>
      </c>
      <c r="E361" s="82">
        <f>'MANO DE OBRA'!$E$17</f>
        <v>82117</v>
      </c>
      <c r="F361" s="83">
        <v>114.29</v>
      </c>
      <c r="G361" s="111">
        <f>ROUND(D361*E361/F361,0)</f>
        <v>718</v>
      </c>
    </row>
    <row r="362" spans="1:7">
      <c r="A362" s="95"/>
      <c r="B362" s="854"/>
      <c r="C362" s="855"/>
      <c r="D362" s="89"/>
      <c r="E362" s="82"/>
      <c r="F362" s="83"/>
      <c r="G362" s="111"/>
    </row>
    <row r="363" spans="1:7">
      <c r="A363" s="95"/>
      <c r="B363" s="854" t="s">
        <v>841</v>
      </c>
      <c r="C363" s="855"/>
      <c r="D363" s="37"/>
      <c r="E363" s="82"/>
      <c r="F363" s="83"/>
      <c r="G363" s="111"/>
    </row>
    <row r="364" spans="1:7" ht="13.5" thickBot="1">
      <c r="A364" s="95"/>
      <c r="B364" s="980" t="s">
        <v>841</v>
      </c>
      <c r="C364" s="981"/>
      <c r="D364" s="77"/>
      <c r="E364" s="82"/>
      <c r="F364" s="86"/>
      <c r="G364" s="112"/>
    </row>
    <row r="365" spans="1:7" ht="14.25" thickTop="1" thickBot="1">
      <c r="A365" s="95"/>
      <c r="B365" s="946"/>
      <c r="C365" s="946"/>
      <c r="D365" s="946"/>
      <c r="E365" s="947"/>
      <c r="F365" s="120" t="s">
        <v>856</v>
      </c>
      <c r="G365" s="118">
        <f>SUM(G360:G364)</f>
        <v>1131</v>
      </c>
    </row>
    <row r="366" spans="1:7" ht="14.25" thickTop="1" thickBot="1">
      <c r="A366" s="95"/>
      <c r="B366" s="970"/>
      <c r="C366" s="970"/>
      <c r="D366" s="970"/>
      <c r="E366" s="970"/>
      <c r="F366" s="970"/>
      <c r="G366" s="970"/>
    </row>
    <row r="367" spans="1:7" ht="13.5" thickTop="1">
      <c r="A367" s="95"/>
      <c r="B367" s="950" t="s">
        <v>321</v>
      </c>
      <c r="C367" s="951"/>
      <c r="D367" s="951"/>
      <c r="E367" s="951"/>
      <c r="F367" s="951"/>
      <c r="G367" s="952"/>
    </row>
    <row r="368" spans="1:7">
      <c r="A368" s="95"/>
      <c r="B368" s="978" t="s">
        <v>838</v>
      </c>
      <c r="C368" s="979"/>
      <c r="D368" s="98" t="s">
        <v>301</v>
      </c>
      <c r="E368" s="98" t="s">
        <v>297</v>
      </c>
      <c r="F368" s="99" t="s">
        <v>839</v>
      </c>
      <c r="G368" s="107" t="s">
        <v>840</v>
      </c>
    </row>
    <row r="369" spans="1:8">
      <c r="A369" s="95"/>
      <c r="B369" s="230"/>
      <c r="C369" s="102"/>
      <c r="D369" s="103" t="s">
        <v>322</v>
      </c>
      <c r="E369" s="103" t="s">
        <v>323</v>
      </c>
      <c r="F369" s="104" t="s">
        <v>324</v>
      </c>
      <c r="G369" s="109" t="s">
        <v>325</v>
      </c>
    </row>
    <row r="370" spans="1:8">
      <c r="A370" s="95"/>
      <c r="B370" s="841"/>
      <c r="C370" s="842"/>
      <c r="D370" s="96"/>
      <c r="E370" s="96"/>
      <c r="F370" s="96"/>
      <c r="G370" s="116"/>
    </row>
    <row r="371" spans="1:8" ht="13.5" thickBot="1">
      <c r="A371" s="95"/>
      <c r="B371" s="980" t="s">
        <v>841</v>
      </c>
      <c r="C371" s="981"/>
      <c r="D371" s="77"/>
      <c r="E371" s="82"/>
      <c r="F371" s="86"/>
      <c r="G371" s="112"/>
    </row>
    <row r="372" spans="1:8" ht="14.25" thickTop="1" thickBot="1">
      <c r="A372" s="95"/>
      <c r="B372" s="946"/>
      <c r="C372" s="946"/>
      <c r="D372" s="946"/>
      <c r="E372" s="947"/>
      <c r="F372" s="120" t="s">
        <v>856</v>
      </c>
      <c r="G372" s="118">
        <f>SUM(G367:G371)</f>
        <v>0</v>
      </c>
    </row>
    <row r="373" spans="1:8" ht="14.25" thickTop="1" thickBot="1">
      <c r="A373" s="95"/>
      <c r="B373" s="970"/>
      <c r="C373" s="970"/>
      <c r="D373" s="970"/>
      <c r="E373" s="970"/>
      <c r="F373" s="970"/>
      <c r="G373" s="943"/>
    </row>
    <row r="374" spans="1:8" ht="13.5" thickTop="1">
      <c r="A374" s="95"/>
      <c r="B374" s="950" t="s">
        <v>326</v>
      </c>
      <c r="C374" s="951"/>
      <c r="D374" s="951"/>
      <c r="E374" s="951"/>
      <c r="F374" s="971"/>
      <c r="G374" s="121">
        <f>+G338+G354+G365</f>
        <v>3443</v>
      </c>
    </row>
    <row r="375" spans="1:8">
      <c r="A375" s="95"/>
      <c r="B375" s="972" t="s">
        <v>861</v>
      </c>
      <c r="C375" s="973"/>
      <c r="D375" s="973"/>
      <c r="E375" s="974"/>
      <c r="F375" s="128">
        <f>'MANO DE OBRA'!$D$59</f>
        <v>0</v>
      </c>
      <c r="G375" s="122">
        <f>ROUND(G374*F375,0)</f>
        <v>0</v>
      </c>
    </row>
    <row r="376" spans="1:8" ht="13.5" thickBot="1">
      <c r="A376" s="95"/>
      <c r="B376" s="975" t="s">
        <v>1049</v>
      </c>
      <c r="C376" s="976"/>
      <c r="D376" s="976"/>
      <c r="E376" s="976"/>
      <c r="F376" s="977"/>
      <c r="G376" s="118">
        <f>ROUND(G374+G375,-2)</f>
        <v>3400</v>
      </c>
      <c r="H376" s="505" t="s">
        <v>1670</v>
      </c>
    </row>
    <row r="377" spans="1:8" ht="13.5" thickTop="1">
      <c r="A377" s="95"/>
      <c r="B377" s="225" t="s">
        <v>303</v>
      </c>
      <c r="C377" s="843"/>
      <c r="D377" s="843"/>
      <c r="E377" s="843"/>
      <c r="F377" s="92" t="s">
        <v>781</v>
      </c>
      <c r="G377" s="93" t="s">
        <v>831</v>
      </c>
    </row>
    <row r="378" spans="1:8">
      <c r="A378" s="95"/>
      <c r="B378" s="226" t="s">
        <v>834</v>
      </c>
      <c r="C378" s="844" t="s">
        <v>1518</v>
      </c>
      <c r="D378" s="844"/>
      <c r="E378" s="844"/>
      <c r="F378" s="15" t="s">
        <v>833</v>
      </c>
      <c r="G378" s="165" t="str">
        <f>'MANO DE OBRA'!D61</f>
        <v>Agosto de 2010</v>
      </c>
    </row>
    <row r="379" spans="1:8" ht="13.5" thickBot="1">
      <c r="A379" s="127"/>
      <c r="B379" s="228" t="s">
        <v>835</v>
      </c>
      <c r="C379" s="1001" t="s">
        <v>1526</v>
      </c>
      <c r="D379" s="1001"/>
      <c r="E379" s="1001"/>
      <c r="F379" s="1001"/>
      <c r="G379" s="1002"/>
    </row>
    <row r="380" spans="1:8" ht="14.25" thickTop="1" thickBot="1">
      <c r="A380" s="95"/>
      <c r="B380" s="986"/>
      <c r="C380" s="986"/>
      <c r="D380" s="986"/>
      <c r="E380" s="986"/>
      <c r="F380" s="986"/>
      <c r="G380" s="986"/>
    </row>
    <row r="381" spans="1:8" ht="13.5" thickTop="1">
      <c r="A381" s="95"/>
      <c r="B381" s="950" t="s">
        <v>304</v>
      </c>
      <c r="C381" s="951"/>
      <c r="D381" s="951"/>
      <c r="E381" s="951"/>
      <c r="F381" s="951"/>
      <c r="G381" s="952"/>
    </row>
    <row r="382" spans="1:8">
      <c r="A382" s="95"/>
      <c r="B382" s="229"/>
      <c r="C382" s="97"/>
      <c r="D382" s="98" t="s">
        <v>301</v>
      </c>
      <c r="E382" s="98" t="s">
        <v>1072</v>
      </c>
      <c r="F382" s="99" t="s">
        <v>839</v>
      </c>
      <c r="G382" s="107" t="s">
        <v>840</v>
      </c>
    </row>
    <row r="383" spans="1:8">
      <c r="A383" s="95"/>
      <c r="B383" s="982" t="s">
        <v>838</v>
      </c>
      <c r="C383" s="983"/>
      <c r="D383" s="100" t="s">
        <v>308</v>
      </c>
      <c r="E383" s="100" t="s">
        <v>305</v>
      </c>
      <c r="F383" s="101" t="s">
        <v>306</v>
      </c>
      <c r="G383" s="108" t="s">
        <v>310</v>
      </c>
    </row>
    <row r="384" spans="1:8">
      <c r="A384" s="95"/>
      <c r="B384" s="230"/>
      <c r="C384" s="102"/>
      <c r="D384" s="103"/>
      <c r="E384" s="103" t="s">
        <v>309</v>
      </c>
      <c r="F384" s="104" t="s">
        <v>307</v>
      </c>
      <c r="G384" s="109"/>
    </row>
    <row r="385" spans="1:7">
      <c r="A385" s="127"/>
      <c r="B385" s="841" t="str">
        <f>'MAQUINARIA Y EQUIPOS'!$C$28</f>
        <v>HERRAMIENTAS MENORES</v>
      </c>
      <c r="C385" s="842"/>
      <c r="D385" s="87">
        <v>1</v>
      </c>
      <c r="E385" s="82">
        <f>ROUND(G418*0.05,0)</f>
        <v>137</v>
      </c>
      <c r="F385" s="81">
        <v>1</v>
      </c>
      <c r="G385" s="110">
        <f>ROUND(D385*E385/F385,0)</f>
        <v>137</v>
      </c>
    </row>
    <row r="386" spans="1:7">
      <c r="A386" s="95"/>
      <c r="B386" s="854"/>
      <c r="C386" s="855"/>
      <c r="D386" s="37"/>
      <c r="E386" s="129"/>
      <c r="F386" s="83"/>
      <c r="G386" s="111"/>
    </row>
    <row r="387" spans="1:7">
      <c r="A387" s="95"/>
      <c r="B387" s="854"/>
      <c r="C387" s="855"/>
      <c r="D387" s="37"/>
      <c r="E387" s="129"/>
      <c r="F387" s="83"/>
      <c r="G387" s="111"/>
    </row>
    <row r="388" spans="1:7">
      <c r="A388" s="95"/>
      <c r="B388" s="854"/>
      <c r="C388" s="855"/>
      <c r="D388" s="89"/>
      <c r="E388" s="82"/>
      <c r="F388" s="83"/>
      <c r="G388" s="111"/>
    </row>
    <row r="389" spans="1:7">
      <c r="A389" s="95"/>
      <c r="B389" s="854" t="s">
        <v>841</v>
      </c>
      <c r="C389" s="855"/>
      <c r="D389" s="37"/>
      <c r="E389" s="82"/>
      <c r="F389" s="83"/>
      <c r="G389" s="111"/>
    </row>
    <row r="390" spans="1:7" ht="13.5" thickBot="1">
      <c r="A390" s="95"/>
      <c r="B390" s="942" t="s">
        <v>841</v>
      </c>
      <c r="C390" s="943"/>
      <c r="D390" s="77"/>
      <c r="E390" s="106"/>
      <c r="F390" s="86"/>
      <c r="G390" s="112"/>
    </row>
    <row r="391" spans="1:7" ht="14.25" thickTop="1" thickBot="1">
      <c r="A391" s="95"/>
      <c r="B391" s="946"/>
      <c r="C391" s="946"/>
      <c r="D391" s="946"/>
      <c r="E391" s="947"/>
      <c r="F391" s="119" t="s">
        <v>856</v>
      </c>
      <c r="G391" s="118">
        <f>SUM(G385:G390)</f>
        <v>137</v>
      </c>
    </row>
    <row r="392" spans="1:7" ht="14.25" thickTop="1" thickBot="1">
      <c r="A392" s="95"/>
      <c r="B392" s="970"/>
      <c r="C392" s="970"/>
      <c r="D392" s="970"/>
      <c r="E392" s="970"/>
      <c r="F392" s="970"/>
      <c r="G392" s="970"/>
    </row>
    <row r="393" spans="1:7" ht="13.5" thickTop="1">
      <c r="A393" s="95"/>
      <c r="B393" s="950" t="s">
        <v>311</v>
      </c>
      <c r="C393" s="951"/>
      <c r="D393" s="951"/>
      <c r="E393" s="951"/>
      <c r="F393" s="951"/>
      <c r="G393" s="952"/>
    </row>
    <row r="394" spans="1:7">
      <c r="A394" s="95"/>
      <c r="B394" s="978" t="s">
        <v>838</v>
      </c>
      <c r="C394" s="979"/>
      <c r="D394" s="98" t="s">
        <v>842</v>
      </c>
      <c r="E394" s="98" t="s">
        <v>853</v>
      </c>
      <c r="F394" s="99" t="s">
        <v>1047</v>
      </c>
      <c r="G394" s="107" t="s">
        <v>840</v>
      </c>
    </row>
    <row r="395" spans="1:7">
      <c r="A395" s="95"/>
      <c r="B395" s="230"/>
      <c r="C395" s="102"/>
      <c r="D395" s="100"/>
      <c r="E395" s="100" t="s">
        <v>312</v>
      </c>
      <c r="F395" s="101" t="s">
        <v>313</v>
      </c>
      <c r="G395" s="108" t="s">
        <v>314</v>
      </c>
    </row>
    <row r="396" spans="1:7">
      <c r="A396" s="123"/>
      <c r="B396" s="841" t="str">
        <f>MATERIALES2!$C$286</f>
        <v>PAPEL LIJA AGUA</v>
      </c>
      <c r="C396" s="842"/>
      <c r="D396" s="87" t="s">
        <v>865</v>
      </c>
      <c r="E396" s="81">
        <v>0.6</v>
      </c>
      <c r="F396" s="80">
        <f>MATERIALES2!$E$286</f>
        <v>1000</v>
      </c>
      <c r="G396" s="110">
        <f>ROUND(E396*F396,0)</f>
        <v>600</v>
      </c>
    </row>
    <row r="397" spans="1:7">
      <c r="A397" s="123"/>
      <c r="B397" s="854" t="str">
        <f>MATERIALES2!$C$273</f>
        <v>BARNIZ TRANSPARENTE BRILLANTE</v>
      </c>
      <c r="C397" s="855"/>
      <c r="D397" s="37" t="s">
        <v>556</v>
      </c>
      <c r="E397" s="83">
        <v>0.02</v>
      </c>
      <c r="F397" s="82">
        <f>MATERIALES2!$E$273</f>
        <v>160909</v>
      </c>
      <c r="G397" s="111">
        <f>ROUND(E397*F397,0)</f>
        <v>3218</v>
      </c>
    </row>
    <row r="398" spans="1:7">
      <c r="A398" s="123"/>
      <c r="B398" s="854" t="str">
        <f>MATERIALES2!$C$293</f>
        <v>THINNER LIMPIADOR</v>
      </c>
      <c r="C398" s="855"/>
      <c r="D398" s="37" t="s">
        <v>556</v>
      </c>
      <c r="E398" s="83">
        <v>0.02</v>
      </c>
      <c r="F398" s="82">
        <f>MATERIALES2!$E$293</f>
        <v>15000</v>
      </c>
      <c r="G398" s="111">
        <f>ROUND(E398*F398,0)</f>
        <v>300</v>
      </c>
    </row>
    <row r="399" spans="1:7">
      <c r="A399" s="123"/>
      <c r="B399" s="854"/>
      <c r="C399" s="855"/>
      <c r="D399" s="37"/>
      <c r="E399" s="83"/>
      <c r="F399" s="82"/>
      <c r="G399" s="111"/>
    </row>
    <row r="400" spans="1:7">
      <c r="A400" s="123"/>
      <c r="B400" s="854"/>
      <c r="C400" s="855"/>
      <c r="D400" s="37"/>
      <c r="E400" s="83"/>
      <c r="F400" s="82"/>
      <c r="G400" s="111"/>
    </row>
    <row r="401" spans="1:8">
      <c r="A401" s="123"/>
      <c r="B401" s="854"/>
      <c r="C401" s="855"/>
      <c r="D401" s="37"/>
      <c r="E401" s="83"/>
      <c r="F401" s="82"/>
      <c r="G401" s="111"/>
    </row>
    <row r="402" spans="1:8">
      <c r="A402" s="95"/>
      <c r="B402" s="854"/>
      <c r="C402" s="855"/>
      <c r="D402" s="37"/>
      <c r="E402" s="83"/>
      <c r="F402" s="82"/>
      <c r="G402" s="111"/>
      <c r="H402" s="505" t="s">
        <v>1670</v>
      </c>
    </row>
    <row r="403" spans="1:8">
      <c r="A403" s="95"/>
      <c r="B403" s="938" t="s">
        <v>841</v>
      </c>
      <c r="C403" s="939"/>
      <c r="D403" s="53" t="s">
        <v>841</v>
      </c>
      <c r="E403" s="53"/>
      <c r="F403" s="82"/>
      <c r="G403" s="111"/>
    </row>
    <row r="404" spans="1:8" ht="13.5" thickBot="1">
      <c r="A404" s="95"/>
      <c r="B404" s="942" t="s">
        <v>841</v>
      </c>
      <c r="C404" s="943"/>
      <c r="D404" s="84" t="s">
        <v>841</v>
      </c>
      <c r="E404" s="84"/>
      <c r="F404" s="85"/>
      <c r="G404" s="112"/>
    </row>
    <row r="405" spans="1:8" ht="13.5" thickTop="1">
      <c r="A405" s="95"/>
      <c r="B405" s="946"/>
      <c r="C405" s="947"/>
      <c r="D405" s="801" t="s">
        <v>856</v>
      </c>
      <c r="E405" s="802"/>
      <c r="F405" s="9"/>
      <c r="G405" s="113">
        <f>SUM(G396:G404)</f>
        <v>4118</v>
      </c>
    </row>
    <row r="406" spans="1:8">
      <c r="A406" s="95"/>
      <c r="B406" s="948"/>
      <c r="C406" s="949"/>
      <c r="D406" s="801" t="s">
        <v>857</v>
      </c>
      <c r="E406" s="802"/>
      <c r="F406" s="79">
        <f>'MANO DE OBRA'!$D$60</f>
        <v>0.05</v>
      </c>
      <c r="G406" s="113">
        <f>ROUND(G405*F406,0)</f>
        <v>206</v>
      </c>
    </row>
    <row r="407" spans="1:8" ht="13.5" thickBot="1">
      <c r="A407" s="95"/>
      <c r="B407" s="948"/>
      <c r="C407" s="949"/>
      <c r="D407" s="803" t="s">
        <v>320</v>
      </c>
      <c r="E407" s="804"/>
      <c r="F407" s="114"/>
      <c r="G407" s="118">
        <f>+G405+G406</f>
        <v>4324</v>
      </c>
    </row>
    <row r="408" spans="1:8" ht="14.25" thickTop="1" thickBot="1">
      <c r="A408" s="95"/>
      <c r="B408" s="970"/>
      <c r="C408" s="970"/>
      <c r="D408" s="970"/>
      <c r="E408" s="970"/>
      <c r="F408" s="970"/>
      <c r="G408" s="970"/>
    </row>
    <row r="409" spans="1:8" ht="13.5" thickTop="1">
      <c r="A409" s="95"/>
      <c r="B409" s="950" t="s">
        <v>858</v>
      </c>
      <c r="C409" s="951"/>
      <c r="D409" s="951"/>
      <c r="E409" s="951"/>
      <c r="F409" s="951"/>
      <c r="G409" s="952"/>
    </row>
    <row r="410" spans="1:8">
      <c r="A410" s="95"/>
      <c r="B410" s="978"/>
      <c r="C410" s="979"/>
      <c r="D410" s="98" t="s">
        <v>301</v>
      </c>
      <c r="E410" s="98" t="s">
        <v>859</v>
      </c>
      <c r="F410" s="99" t="s">
        <v>839</v>
      </c>
      <c r="G410" s="107" t="s">
        <v>840</v>
      </c>
    </row>
    <row r="411" spans="1:8">
      <c r="A411" s="95"/>
      <c r="B411" s="982" t="s">
        <v>838</v>
      </c>
      <c r="C411" s="983"/>
      <c r="D411" s="100" t="s">
        <v>316</v>
      </c>
      <c r="E411" s="100" t="s">
        <v>315</v>
      </c>
      <c r="F411" s="101" t="s">
        <v>306</v>
      </c>
      <c r="G411" s="108" t="s">
        <v>319</v>
      </c>
    </row>
    <row r="412" spans="1:8">
      <c r="A412" s="95"/>
      <c r="B412" s="230"/>
      <c r="C412" s="102"/>
      <c r="D412" s="103"/>
      <c r="E412" s="103" t="s">
        <v>317</v>
      </c>
      <c r="F412" s="104" t="s">
        <v>318</v>
      </c>
      <c r="G412" s="109"/>
    </row>
    <row r="413" spans="1:8">
      <c r="A413" s="95"/>
      <c r="B413" s="841" t="str">
        <f>'MANO DE OBRA'!$B$12</f>
        <v>AYUDANTE CUAD. TIPO CC</v>
      </c>
      <c r="C413" s="842"/>
      <c r="D413" s="87">
        <v>1</v>
      </c>
      <c r="E413" s="80">
        <f>'MANO DE OBRA'!$E$12</f>
        <v>47255</v>
      </c>
      <c r="F413" s="81">
        <v>47.06</v>
      </c>
      <c r="G413" s="110">
        <f>ROUND(D413*E413/F413,0)</f>
        <v>1004</v>
      </c>
    </row>
    <row r="414" spans="1:8">
      <c r="A414" s="95"/>
      <c r="B414" s="854" t="str">
        <f>'MANO DE OBRA'!$B$17</f>
        <v>OFICIAL CUAD. TIPO CC</v>
      </c>
      <c r="C414" s="855"/>
      <c r="D414" s="37">
        <v>1</v>
      </c>
      <c r="E414" s="82">
        <f>'MANO DE OBRA'!$E$17</f>
        <v>82117</v>
      </c>
      <c r="F414" s="83">
        <v>47.06</v>
      </c>
      <c r="G414" s="111">
        <f>ROUND(D414*E414/F414,0)</f>
        <v>1745</v>
      </c>
    </row>
    <row r="415" spans="1:8">
      <c r="A415" s="95"/>
      <c r="B415" s="854"/>
      <c r="C415" s="855"/>
      <c r="D415" s="89"/>
      <c r="E415" s="82"/>
      <c r="F415" s="83"/>
      <c r="G415" s="111"/>
    </row>
    <row r="416" spans="1:8">
      <c r="A416" s="95"/>
      <c r="B416" s="854" t="s">
        <v>841</v>
      </c>
      <c r="C416" s="855"/>
      <c r="D416" s="37"/>
      <c r="E416" s="82"/>
      <c r="F416" s="83"/>
      <c r="G416" s="111"/>
    </row>
    <row r="417" spans="1:8" ht="13.5" thickBot="1">
      <c r="A417" s="95"/>
      <c r="B417" s="980" t="s">
        <v>841</v>
      </c>
      <c r="C417" s="981"/>
      <c r="D417" s="77"/>
      <c r="E417" s="82"/>
      <c r="F417" s="86"/>
      <c r="G417" s="112"/>
    </row>
    <row r="418" spans="1:8" ht="14.25" thickTop="1" thickBot="1">
      <c r="A418" s="95"/>
      <c r="B418" s="946"/>
      <c r="C418" s="946"/>
      <c r="D418" s="946"/>
      <c r="E418" s="947"/>
      <c r="F418" s="120" t="s">
        <v>856</v>
      </c>
      <c r="G418" s="118">
        <f>SUM(G413:G417)</f>
        <v>2749</v>
      </c>
    </row>
    <row r="419" spans="1:8" ht="14.25" thickTop="1" thickBot="1">
      <c r="A419" s="95"/>
      <c r="B419" s="970"/>
      <c r="C419" s="970"/>
      <c r="D419" s="970"/>
      <c r="E419" s="970"/>
      <c r="F419" s="970"/>
      <c r="G419" s="970"/>
    </row>
    <row r="420" spans="1:8" ht="13.5" thickTop="1">
      <c r="A420" s="95"/>
      <c r="B420" s="950" t="s">
        <v>321</v>
      </c>
      <c r="C420" s="951"/>
      <c r="D420" s="951"/>
      <c r="E420" s="951"/>
      <c r="F420" s="951"/>
      <c r="G420" s="952"/>
    </row>
    <row r="421" spans="1:8">
      <c r="A421" s="95"/>
      <c r="B421" s="978" t="s">
        <v>838</v>
      </c>
      <c r="C421" s="979"/>
      <c r="D421" s="98" t="s">
        <v>301</v>
      </c>
      <c r="E421" s="98" t="s">
        <v>297</v>
      </c>
      <c r="F421" s="99" t="s">
        <v>839</v>
      </c>
      <c r="G421" s="107" t="s">
        <v>840</v>
      </c>
    </row>
    <row r="422" spans="1:8">
      <c r="A422" s="95"/>
      <c r="B422" s="230"/>
      <c r="C422" s="102"/>
      <c r="D422" s="103" t="s">
        <v>322</v>
      </c>
      <c r="E422" s="103" t="s">
        <v>323</v>
      </c>
      <c r="F422" s="104" t="s">
        <v>324</v>
      </c>
      <c r="G422" s="109" t="s">
        <v>325</v>
      </c>
    </row>
    <row r="423" spans="1:8">
      <c r="A423" s="95"/>
      <c r="B423" s="841"/>
      <c r="C423" s="842"/>
      <c r="D423" s="96"/>
      <c r="E423" s="96"/>
      <c r="F423" s="96"/>
      <c r="G423" s="116"/>
    </row>
    <row r="424" spans="1:8" ht="13.5" thickBot="1">
      <c r="A424" s="95"/>
      <c r="B424" s="980" t="s">
        <v>841</v>
      </c>
      <c r="C424" s="981"/>
      <c r="D424" s="77"/>
      <c r="E424" s="82"/>
      <c r="F424" s="86"/>
      <c r="G424" s="112"/>
    </row>
    <row r="425" spans="1:8" ht="14.25" thickTop="1" thickBot="1">
      <c r="A425" s="95"/>
      <c r="B425" s="946"/>
      <c r="C425" s="946"/>
      <c r="D425" s="946"/>
      <c r="E425" s="947"/>
      <c r="F425" s="120" t="s">
        <v>856</v>
      </c>
      <c r="G425" s="118">
        <f>SUM(G420:G424)</f>
        <v>0</v>
      </c>
    </row>
    <row r="426" spans="1:8" ht="14.25" thickTop="1" thickBot="1">
      <c r="A426" s="95"/>
      <c r="B426" s="970"/>
      <c r="C426" s="970"/>
      <c r="D426" s="970"/>
      <c r="E426" s="970"/>
      <c r="F426" s="970"/>
      <c r="G426" s="943"/>
    </row>
    <row r="427" spans="1:8" ht="13.5" thickTop="1">
      <c r="A427" s="95"/>
      <c r="B427" s="950" t="s">
        <v>326</v>
      </c>
      <c r="C427" s="951"/>
      <c r="D427" s="951"/>
      <c r="E427" s="951"/>
      <c r="F427" s="971"/>
      <c r="G427" s="121">
        <f>+G391+G407+G418</f>
        <v>7210</v>
      </c>
    </row>
    <row r="428" spans="1:8">
      <c r="A428" s="95"/>
      <c r="B428" s="972" t="s">
        <v>861</v>
      </c>
      <c r="C428" s="973"/>
      <c r="D428" s="973"/>
      <c r="E428" s="974"/>
      <c r="F428" s="128">
        <f>'MANO DE OBRA'!$D$59</f>
        <v>0</v>
      </c>
      <c r="G428" s="122">
        <f>ROUND(G427*F428,0)</f>
        <v>0</v>
      </c>
    </row>
    <row r="429" spans="1:8" ht="13.5" thickBot="1">
      <c r="A429" s="95"/>
      <c r="B429" s="975" t="s">
        <v>1049</v>
      </c>
      <c r="C429" s="976"/>
      <c r="D429" s="976"/>
      <c r="E429" s="976"/>
      <c r="F429" s="977"/>
      <c r="G429" s="118">
        <f>ROUND(G427+G428,-2)</f>
        <v>7200</v>
      </c>
      <c r="H429" s="505" t="s">
        <v>1670</v>
      </c>
    </row>
    <row r="430" spans="1:8" ht="13.5" thickTop="1">
      <c r="A430" s="95"/>
      <c r="B430" s="225" t="s">
        <v>303</v>
      </c>
      <c r="C430" s="843"/>
      <c r="D430" s="843"/>
      <c r="E430" s="843"/>
      <c r="F430" s="92" t="s">
        <v>781</v>
      </c>
      <c r="G430" s="93" t="s">
        <v>831</v>
      </c>
    </row>
    <row r="431" spans="1:8">
      <c r="A431" s="95"/>
      <c r="B431" s="226" t="s">
        <v>834</v>
      </c>
      <c r="C431" s="844" t="s">
        <v>1518</v>
      </c>
      <c r="D431" s="844"/>
      <c r="E431" s="844"/>
      <c r="F431" s="15" t="s">
        <v>833</v>
      </c>
      <c r="G431" s="165" t="str">
        <f>'MANO DE OBRA'!D61</f>
        <v>Agosto de 2010</v>
      </c>
    </row>
    <row r="432" spans="1:8" ht="13.5" thickBot="1">
      <c r="A432" s="127"/>
      <c r="B432" s="228" t="s">
        <v>835</v>
      </c>
      <c r="C432" s="1001" t="s">
        <v>1527</v>
      </c>
      <c r="D432" s="1001"/>
      <c r="E432" s="1001"/>
      <c r="F432" s="1001"/>
      <c r="G432" s="1002"/>
    </row>
    <row r="433" spans="1:7" ht="14.25" thickTop="1" thickBot="1">
      <c r="A433" s="95"/>
      <c r="B433" s="986"/>
      <c r="C433" s="986"/>
      <c r="D433" s="986"/>
      <c r="E433" s="986"/>
      <c r="F433" s="986"/>
      <c r="G433" s="986"/>
    </row>
    <row r="434" spans="1:7" ht="13.5" thickTop="1">
      <c r="A434" s="95"/>
      <c r="B434" s="950" t="s">
        <v>304</v>
      </c>
      <c r="C434" s="951"/>
      <c r="D434" s="951"/>
      <c r="E434" s="951"/>
      <c r="F434" s="951"/>
      <c r="G434" s="952"/>
    </row>
    <row r="435" spans="1:7">
      <c r="A435" s="95"/>
      <c r="B435" s="229"/>
      <c r="C435" s="97"/>
      <c r="D435" s="98" t="s">
        <v>301</v>
      </c>
      <c r="E435" s="98" t="s">
        <v>1072</v>
      </c>
      <c r="F435" s="99" t="s">
        <v>839</v>
      </c>
      <c r="G435" s="107" t="s">
        <v>840</v>
      </c>
    </row>
    <row r="436" spans="1:7">
      <c r="A436" s="95"/>
      <c r="B436" s="982" t="s">
        <v>838</v>
      </c>
      <c r="C436" s="983"/>
      <c r="D436" s="100" t="s">
        <v>308</v>
      </c>
      <c r="E436" s="100" t="s">
        <v>305</v>
      </c>
      <c r="F436" s="101" t="s">
        <v>306</v>
      </c>
      <c r="G436" s="108" t="s">
        <v>310</v>
      </c>
    </row>
    <row r="437" spans="1:7">
      <c r="A437" s="95"/>
      <c r="B437" s="230"/>
      <c r="C437" s="102"/>
      <c r="D437" s="103"/>
      <c r="E437" s="103" t="s">
        <v>309</v>
      </c>
      <c r="F437" s="104" t="s">
        <v>307</v>
      </c>
      <c r="G437" s="109"/>
    </row>
    <row r="438" spans="1:7">
      <c r="A438" s="127"/>
      <c r="B438" s="841" t="str">
        <f>'MAQUINARIA Y EQUIPOS'!$C$28</f>
        <v>HERRAMIENTAS MENORES</v>
      </c>
      <c r="C438" s="842"/>
      <c r="D438" s="87">
        <v>1</v>
      </c>
      <c r="E438" s="82">
        <f>ROUND(G471*0.05,0)</f>
        <v>137</v>
      </c>
      <c r="F438" s="81">
        <v>1</v>
      </c>
      <c r="G438" s="110">
        <f>ROUND(D438*E438/F438,0)</f>
        <v>137</v>
      </c>
    </row>
    <row r="439" spans="1:7">
      <c r="A439" s="95"/>
      <c r="B439" s="854"/>
      <c r="C439" s="855"/>
      <c r="D439" s="37"/>
      <c r="E439" s="129"/>
      <c r="F439" s="83"/>
      <c r="G439" s="111"/>
    </row>
    <row r="440" spans="1:7">
      <c r="A440" s="95"/>
      <c r="B440" s="854"/>
      <c r="C440" s="855"/>
      <c r="D440" s="37"/>
      <c r="E440" s="129"/>
      <c r="F440" s="83"/>
      <c r="G440" s="111"/>
    </row>
    <row r="441" spans="1:7">
      <c r="A441" s="95"/>
      <c r="B441" s="854"/>
      <c r="C441" s="855"/>
      <c r="D441" s="89"/>
      <c r="E441" s="82"/>
      <c r="F441" s="83"/>
      <c r="G441" s="111"/>
    </row>
    <row r="442" spans="1:7">
      <c r="A442" s="95"/>
      <c r="B442" s="854" t="s">
        <v>841</v>
      </c>
      <c r="C442" s="855"/>
      <c r="D442" s="37"/>
      <c r="E442" s="82"/>
      <c r="F442" s="83"/>
      <c r="G442" s="111"/>
    </row>
    <row r="443" spans="1:7" ht="13.5" thickBot="1">
      <c r="A443" s="95"/>
      <c r="B443" s="942" t="s">
        <v>841</v>
      </c>
      <c r="C443" s="943"/>
      <c r="D443" s="77"/>
      <c r="E443" s="106"/>
      <c r="F443" s="86"/>
      <c r="G443" s="112"/>
    </row>
    <row r="444" spans="1:7" ht="14.25" thickTop="1" thickBot="1">
      <c r="A444" s="95"/>
      <c r="B444" s="946"/>
      <c r="C444" s="946"/>
      <c r="D444" s="946"/>
      <c r="E444" s="947"/>
      <c r="F444" s="119" t="s">
        <v>856</v>
      </c>
      <c r="G444" s="118">
        <f>SUM(G438:G443)</f>
        <v>137</v>
      </c>
    </row>
    <row r="445" spans="1:7" ht="14.25" thickTop="1" thickBot="1">
      <c r="A445" s="95"/>
      <c r="B445" s="970"/>
      <c r="C445" s="970"/>
      <c r="D445" s="970"/>
      <c r="E445" s="970"/>
      <c r="F445" s="970"/>
      <c r="G445" s="970"/>
    </row>
    <row r="446" spans="1:7" ht="13.5" thickTop="1">
      <c r="A446" s="95"/>
      <c r="B446" s="950" t="s">
        <v>311</v>
      </c>
      <c r="C446" s="951"/>
      <c r="D446" s="951"/>
      <c r="E446" s="951"/>
      <c r="F446" s="951"/>
      <c r="G446" s="952"/>
    </row>
    <row r="447" spans="1:7">
      <c r="A447" s="95"/>
      <c r="B447" s="978" t="s">
        <v>838</v>
      </c>
      <c r="C447" s="979"/>
      <c r="D447" s="98" t="s">
        <v>842</v>
      </c>
      <c r="E447" s="98" t="s">
        <v>853</v>
      </c>
      <c r="F447" s="99" t="s">
        <v>1047</v>
      </c>
      <c r="G447" s="107" t="s">
        <v>840</v>
      </c>
    </row>
    <row r="448" spans="1:7">
      <c r="A448" s="95"/>
      <c r="B448" s="230"/>
      <c r="C448" s="102"/>
      <c r="D448" s="100"/>
      <c r="E448" s="100" t="s">
        <v>312</v>
      </c>
      <c r="F448" s="101" t="s">
        <v>313</v>
      </c>
      <c r="G448" s="108" t="s">
        <v>314</v>
      </c>
    </row>
    <row r="449" spans="1:8">
      <c r="A449" s="123"/>
      <c r="B449" s="841" t="str">
        <f>MATERIALES2!$C$286</f>
        <v>PAPEL LIJA AGUA</v>
      </c>
      <c r="C449" s="842"/>
      <c r="D449" s="87" t="s">
        <v>865</v>
      </c>
      <c r="E449" s="81">
        <v>0.6</v>
      </c>
      <c r="F449" s="80">
        <f>MATERIALES2!$E$286</f>
        <v>1000</v>
      </c>
      <c r="G449" s="110">
        <f>ROUND(E449*F449,0)</f>
        <v>600</v>
      </c>
    </row>
    <row r="450" spans="1:8">
      <c r="A450" s="123"/>
      <c r="B450" s="854" t="str">
        <f>MATERIALES2!$C$273</f>
        <v>BARNIZ TRANSPARENTE BRILLANTE</v>
      </c>
      <c r="C450" s="855"/>
      <c r="D450" s="37" t="s">
        <v>556</v>
      </c>
      <c r="E450" s="83">
        <v>0.02</v>
      </c>
      <c r="F450" s="82">
        <f>MATERIALES2!$E$273</f>
        <v>160909</v>
      </c>
      <c r="G450" s="111">
        <f>ROUND(E450*F450,0)</f>
        <v>3218</v>
      </c>
    </row>
    <row r="451" spans="1:8">
      <c r="A451" s="123"/>
      <c r="B451" s="854" t="str">
        <f>MATERIALES2!$C$292</f>
        <v>TAPAPOROS INCOLORO</v>
      </c>
      <c r="C451" s="855"/>
      <c r="D451" s="37" t="s">
        <v>556</v>
      </c>
      <c r="E451" s="83">
        <v>0.01</v>
      </c>
      <c r="F451" s="82">
        <f>MATERIALES2!$E$292</f>
        <v>22900</v>
      </c>
      <c r="G451" s="111">
        <f>ROUND(E451*F451,0)</f>
        <v>229</v>
      </c>
    </row>
    <row r="452" spans="1:8">
      <c r="A452" s="123"/>
      <c r="B452" s="854" t="str">
        <f>MATERIALES2!$C$293</f>
        <v>THINNER LIMPIADOR</v>
      </c>
      <c r="C452" s="855"/>
      <c r="D452" s="37" t="s">
        <v>556</v>
      </c>
      <c r="E452" s="83">
        <v>0.01</v>
      </c>
      <c r="F452" s="82">
        <f>MATERIALES2!$E$293</f>
        <v>15000</v>
      </c>
      <c r="G452" s="111">
        <f>ROUND(E452*F452,0)</f>
        <v>150</v>
      </c>
    </row>
    <row r="453" spans="1:8">
      <c r="A453" s="123"/>
      <c r="B453" s="854"/>
      <c r="C453" s="855"/>
      <c r="D453" s="37"/>
      <c r="E453" s="83"/>
      <c r="F453" s="82"/>
      <c r="G453" s="111"/>
    </row>
    <row r="454" spans="1:8">
      <c r="A454" s="123"/>
      <c r="B454" s="854"/>
      <c r="C454" s="855"/>
      <c r="D454" s="37"/>
      <c r="E454" s="83"/>
      <c r="F454" s="82"/>
      <c r="G454" s="111"/>
    </row>
    <row r="455" spans="1:8">
      <c r="A455" s="95"/>
      <c r="B455" s="854"/>
      <c r="C455" s="855"/>
      <c r="D455" s="37"/>
      <c r="E455" s="83"/>
      <c r="F455" s="82"/>
      <c r="G455" s="111"/>
      <c r="H455" s="505" t="s">
        <v>1670</v>
      </c>
    </row>
    <row r="456" spans="1:8">
      <c r="A456" s="95"/>
      <c r="B456" s="938" t="s">
        <v>841</v>
      </c>
      <c r="C456" s="939"/>
      <c r="D456" s="53" t="s">
        <v>841</v>
      </c>
      <c r="E456" s="53"/>
      <c r="F456" s="82"/>
      <c r="G456" s="111"/>
    </row>
    <row r="457" spans="1:8" ht="13.5" thickBot="1">
      <c r="A457" s="95"/>
      <c r="B457" s="942" t="s">
        <v>841</v>
      </c>
      <c r="C457" s="943"/>
      <c r="D457" s="84" t="s">
        <v>841</v>
      </c>
      <c r="E457" s="84"/>
      <c r="F457" s="85"/>
      <c r="G457" s="112"/>
    </row>
    <row r="458" spans="1:8" ht="13.5" thickTop="1">
      <c r="A458" s="95"/>
      <c r="B458" s="946"/>
      <c r="C458" s="947"/>
      <c r="D458" s="801" t="s">
        <v>856</v>
      </c>
      <c r="E458" s="802"/>
      <c r="F458" s="9"/>
      <c r="G458" s="113">
        <f>SUM(G449:G457)</f>
        <v>4197</v>
      </c>
    </row>
    <row r="459" spans="1:8">
      <c r="A459" s="95"/>
      <c r="B459" s="948"/>
      <c r="C459" s="949"/>
      <c r="D459" s="801" t="s">
        <v>857</v>
      </c>
      <c r="E459" s="802"/>
      <c r="F459" s="79">
        <f>'MANO DE OBRA'!$D$60</f>
        <v>0.05</v>
      </c>
      <c r="G459" s="113">
        <f>ROUND(G458*F459,0)</f>
        <v>210</v>
      </c>
    </row>
    <row r="460" spans="1:8" ht="13.5" thickBot="1">
      <c r="A460" s="95"/>
      <c r="B460" s="948"/>
      <c r="C460" s="949"/>
      <c r="D460" s="803" t="s">
        <v>320</v>
      </c>
      <c r="E460" s="804"/>
      <c r="F460" s="114"/>
      <c r="G460" s="118">
        <f>+G458+G459</f>
        <v>4407</v>
      </c>
    </row>
    <row r="461" spans="1:8" ht="14.25" thickTop="1" thickBot="1">
      <c r="A461" s="95"/>
      <c r="B461" s="970"/>
      <c r="C461" s="970"/>
      <c r="D461" s="970"/>
      <c r="E461" s="970"/>
      <c r="F461" s="970"/>
      <c r="G461" s="970"/>
    </row>
    <row r="462" spans="1:8" ht="13.5" thickTop="1">
      <c r="A462" s="95"/>
      <c r="B462" s="950" t="s">
        <v>858</v>
      </c>
      <c r="C462" s="951"/>
      <c r="D462" s="951"/>
      <c r="E462" s="951"/>
      <c r="F462" s="951"/>
      <c r="G462" s="952"/>
    </row>
    <row r="463" spans="1:8">
      <c r="A463" s="95"/>
      <c r="B463" s="978"/>
      <c r="C463" s="979"/>
      <c r="D463" s="98" t="s">
        <v>301</v>
      </c>
      <c r="E463" s="98" t="s">
        <v>859</v>
      </c>
      <c r="F463" s="99" t="s">
        <v>839</v>
      </c>
      <c r="G463" s="107" t="s">
        <v>840</v>
      </c>
    </row>
    <row r="464" spans="1:8">
      <c r="A464" s="95"/>
      <c r="B464" s="982" t="s">
        <v>838</v>
      </c>
      <c r="C464" s="983"/>
      <c r="D464" s="100" t="s">
        <v>316</v>
      </c>
      <c r="E464" s="100" t="s">
        <v>315</v>
      </c>
      <c r="F464" s="101" t="s">
        <v>306</v>
      </c>
      <c r="G464" s="108" t="s">
        <v>319</v>
      </c>
    </row>
    <row r="465" spans="1:7">
      <c r="A465" s="95"/>
      <c r="B465" s="230"/>
      <c r="C465" s="102"/>
      <c r="D465" s="103"/>
      <c r="E465" s="103" t="s">
        <v>317</v>
      </c>
      <c r="F465" s="104" t="s">
        <v>318</v>
      </c>
      <c r="G465" s="109"/>
    </row>
    <row r="466" spans="1:7">
      <c r="A466" s="95"/>
      <c r="B466" s="841" t="str">
        <f>'MANO DE OBRA'!$B$12</f>
        <v>AYUDANTE CUAD. TIPO CC</v>
      </c>
      <c r="C466" s="842"/>
      <c r="D466" s="87">
        <v>1</v>
      </c>
      <c r="E466" s="80">
        <f>'MANO DE OBRA'!$E$12</f>
        <v>47255</v>
      </c>
      <c r="F466" s="81">
        <v>47.06</v>
      </c>
      <c r="G466" s="110">
        <f>ROUND(D466*E466/F466,0)</f>
        <v>1004</v>
      </c>
    </row>
    <row r="467" spans="1:7">
      <c r="A467" s="95"/>
      <c r="B467" s="854" t="str">
        <f>'MANO DE OBRA'!$B$17</f>
        <v>OFICIAL CUAD. TIPO CC</v>
      </c>
      <c r="C467" s="855"/>
      <c r="D467" s="37">
        <v>1</v>
      </c>
      <c r="E467" s="82">
        <f>'MANO DE OBRA'!$E$17</f>
        <v>82117</v>
      </c>
      <c r="F467" s="83">
        <v>47.06</v>
      </c>
      <c r="G467" s="111">
        <f>ROUND(D467*E467/F467,0)</f>
        <v>1745</v>
      </c>
    </row>
    <row r="468" spans="1:7">
      <c r="A468" s="95"/>
      <c r="B468" s="854"/>
      <c r="C468" s="855"/>
      <c r="D468" s="89"/>
      <c r="E468" s="82"/>
      <c r="F468" s="83"/>
      <c r="G468" s="111"/>
    </row>
    <row r="469" spans="1:7">
      <c r="A469" s="95"/>
      <c r="B469" s="854" t="s">
        <v>841</v>
      </c>
      <c r="C469" s="855"/>
      <c r="D469" s="37"/>
      <c r="E469" s="82"/>
      <c r="F469" s="83"/>
      <c r="G469" s="111"/>
    </row>
    <row r="470" spans="1:7" ht="13.5" thickBot="1">
      <c r="A470" s="95"/>
      <c r="B470" s="980" t="s">
        <v>841</v>
      </c>
      <c r="C470" s="981"/>
      <c r="D470" s="77"/>
      <c r="E470" s="82"/>
      <c r="F470" s="86"/>
      <c r="G470" s="112"/>
    </row>
    <row r="471" spans="1:7" ht="14.25" thickTop="1" thickBot="1">
      <c r="A471" s="95"/>
      <c r="B471" s="946"/>
      <c r="C471" s="946"/>
      <c r="D471" s="946"/>
      <c r="E471" s="947"/>
      <c r="F471" s="120" t="s">
        <v>856</v>
      </c>
      <c r="G471" s="118">
        <f>SUM(G466:G470)</f>
        <v>2749</v>
      </c>
    </row>
    <row r="472" spans="1:7" ht="14.25" thickTop="1" thickBot="1">
      <c r="A472" s="95"/>
      <c r="B472" s="970"/>
      <c r="C472" s="970"/>
      <c r="D472" s="970"/>
      <c r="E472" s="970"/>
      <c r="F472" s="970"/>
      <c r="G472" s="970"/>
    </row>
    <row r="473" spans="1:7" ht="13.5" thickTop="1">
      <c r="A473" s="95"/>
      <c r="B473" s="950" t="s">
        <v>321</v>
      </c>
      <c r="C473" s="951"/>
      <c r="D473" s="951"/>
      <c r="E473" s="951"/>
      <c r="F473" s="951"/>
      <c r="G473" s="952"/>
    </row>
    <row r="474" spans="1:7">
      <c r="A474" s="95"/>
      <c r="B474" s="978" t="s">
        <v>838</v>
      </c>
      <c r="C474" s="979"/>
      <c r="D474" s="98" t="s">
        <v>301</v>
      </c>
      <c r="E474" s="98" t="s">
        <v>297</v>
      </c>
      <c r="F474" s="99" t="s">
        <v>839</v>
      </c>
      <c r="G474" s="107" t="s">
        <v>840</v>
      </c>
    </row>
    <row r="475" spans="1:7">
      <c r="A475" s="95"/>
      <c r="B475" s="230"/>
      <c r="C475" s="102"/>
      <c r="D475" s="103" t="s">
        <v>322</v>
      </c>
      <c r="E475" s="103" t="s">
        <v>323</v>
      </c>
      <c r="F475" s="104" t="s">
        <v>324</v>
      </c>
      <c r="G475" s="109" t="s">
        <v>325</v>
      </c>
    </row>
    <row r="476" spans="1:7">
      <c r="A476" s="95"/>
      <c r="B476" s="841"/>
      <c r="C476" s="842"/>
      <c r="D476" s="96"/>
      <c r="E476" s="96"/>
      <c r="F476" s="96"/>
      <c r="G476" s="116"/>
    </row>
    <row r="477" spans="1:7" ht="13.5" thickBot="1">
      <c r="A477" s="95"/>
      <c r="B477" s="980" t="s">
        <v>841</v>
      </c>
      <c r="C477" s="981"/>
      <c r="D477" s="77"/>
      <c r="E477" s="82"/>
      <c r="F477" s="86"/>
      <c r="G477" s="112"/>
    </row>
    <row r="478" spans="1:7" ht="14.25" thickTop="1" thickBot="1">
      <c r="A478" s="95"/>
      <c r="B478" s="946"/>
      <c r="C478" s="946"/>
      <c r="D478" s="946"/>
      <c r="E478" s="947"/>
      <c r="F478" s="120" t="s">
        <v>856</v>
      </c>
      <c r="G478" s="118">
        <f>SUM(G473:G477)</f>
        <v>0</v>
      </c>
    </row>
    <row r="479" spans="1:7" ht="14.25" thickTop="1" thickBot="1">
      <c r="A479" s="95"/>
      <c r="B479" s="970"/>
      <c r="C479" s="970"/>
      <c r="D479" s="970"/>
      <c r="E479" s="970"/>
      <c r="F479" s="970"/>
      <c r="G479" s="943"/>
    </row>
    <row r="480" spans="1:7" ht="13.5" thickTop="1">
      <c r="A480" s="95"/>
      <c r="B480" s="950" t="s">
        <v>326</v>
      </c>
      <c r="C480" s="951"/>
      <c r="D480" s="951"/>
      <c r="E480" s="951"/>
      <c r="F480" s="971"/>
      <c r="G480" s="121">
        <f>+G444+G460+G471</f>
        <v>7293</v>
      </c>
    </row>
    <row r="481" spans="1:8">
      <c r="A481" s="95"/>
      <c r="B481" s="972" t="s">
        <v>861</v>
      </c>
      <c r="C481" s="973"/>
      <c r="D481" s="973"/>
      <c r="E481" s="974"/>
      <c r="F481" s="128">
        <f>'MANO DE OBRA'!$D$59</f>
        <v>0</v>
      </c>
      <c r="G481" s="122">
        <f>ROUND(G480*F481,0)</f>
        <v>0</v>
      </c>
    </row>
    <row r="482" spans="1:8" ht="13.5" thickBot="1">
      <c r="A482" s="95"/>
      <c r="B482" s="975" t="s">
        <v>1049</v>
      </c>
      <c r="C482" s="976"/>
      <c r="D482" s="976"/>
      <c r="E482" s="976"/>
      <c r="F482" s="977"/>
      <c r="G482" s="118">
        <f>ROUND(G480+G481,-2)</f>
        <v>7300</v>
      </c>
      <c r="H482" s="505" t="s">
        <v>1670</v>
      </c>
    </row>
    <row r="483" spans="1:8" ht="15" thickTop="1">
      <c r="A483" s="95"/>
      <c r="B483" s="225" t="s">
        <v>303</v>
      </c>
      <c r="C483" s="843"/>
      <c r="D483" s="843"/>
      <c r="E483" s="843"/>
      <c r="F483" s="92" t="s">
        <v>781</v>
      </c>
      <c r="G483" s="93" t="s">
        <v>1067</v>
      </c>
    </row>
    <row r="484" spans="1:8">
      <c r="A484" s="95"/>
      <c r="B484" s="226" t="s">
        <v>834</v>
      </c>
      <c r="C484" s="844" t="s">
        <v>1518</v>
      </c>
      <c r="D484" s="844"/>
      <c r="E484" s="844"/>
      <c r="F484" s="15" t="s">
        <v>833</v>
      </c>
      <c r="G484" s="165" t="str">
        <f>'MANO DE OBRA'!D61</f>
        <v>Agosto de 2010</v>
      </c>
    </row>
    <row r="485" spans="1:8" ht="13.5" thickBot="1">
      <c r="A485" s="127"/>
      <c r="B485" s="228" t="s">
        <v>835</v>
      </c>
      <c r="C485" s="845" t="s">
        <v>1528</v>
      </c>
      <c r="D485" s="845"/>
      <c r="E485" s="845"/>
      <c r="F485" s="845"/>
      <c r="G485" s="846"/>
    </row>
    <row r="486" spans="1:8" ht="14.25" thickTop="1" thickBot="1">
      <c r="A486" s="95"/>
      <c r="B486" s="986"/>
      <c r="C486" s="986"/>
      <c r="D486" s="986"/>
      <c r="E486" s="986"/>
      <c r="F486" s="986"/>
      <c r="G486" s="986"/>
    </row>
    <row r="487" spans="1:8" ht="13.5" thickTop="1">
      <c r="A487" s="95"/>
      <c r="B487" s="950" t="s">
        <v>304</v>
      </c>
      <c r="C487" s="951"/>
      <c r="D487" s="951"/>
      <c r="E487" s="951"/>
      <c r="F487" s="951"/>
      <c r="G487" s="952"/>
    </row>
    <row r="488" spans="1:8">
      <c r="A488" s="95"/>
      <c r="B488" s="229"/>
      <c r="C488" s="97"/>
      <c r="D488" s="98" t="s">
        <v>301</v>
      </c>
      <c r="E488" s="98" t="s">
        <v>1072</v>
      </c>
      <c r="F488" s="99" t="s">
        <v>839</v>
      </c>
      <c r="G488" s="107" t="s">
        <v>840</v>
      </c>
    </row>
    <row r="489" spans="1:8">
      <c r="A489" s="95"/>
      <c r="B489" s="982" t="s">
        <v>838</v>
      </c>
      <c r="C489" s="983"/>
      <c r="D489" s="100" t="s">
        <v>308</v>
      </c>
      <c r="E489" s="100" t="s">
        <v>305</v>
      </c>
      <c r="F489" s="101" t="s">
        <v>306</v>
      </c>
      <c r="G489" s="108" t="s">
        <v>310</v>
      </c>
    </row>
    <row r="490" spans="1:8">
      <c r="A490" s="95"/>
      <c r="B490" s="230"/>
      <c r="C490" s="102"/>
      <c r="D490" s="103"/>
      <c r="E490" s="103" t="s">
        <v>309</v>
      </c>
      <c r="F490" s="104" t="s">
        <v>307</v>
      </c>
      <c r="G490" s="109"/>
    </row>
    <row r="491" spans="1:8">
      <c r="A491" s="127"/>
      <c r="B491" s="841" t="str">
        <f>'MAQUINARIA Y EQUIPOS'!$C$28</f>
        <v>HERRAMIENTAS MENORES</v>
      </c>
      <c r="C491" s="842"/>
      <c r="D491" s="87">
        <v>1</v>
      </c>
      <c r="E491" s="82">
        <f>ROUND(G524*0.05,0)</f>
        <v>162</v>
      </c>
      <c r="F491" s="81">
        <v>1</v>
      </c>
      <c r="G491" s="110">
        <f>ROUND(D491*E491/F491,0)</f>
        <v>162</v>
      </c>
    </row>
    <row r="492" spans="1:8">
      <c r="A492" s="95"/>
      <c r="B492" s="854" t="str">
        <f>'MAQUINARIA Y EQUIPOS'!$C$9</f>
        <v>ANDAMIO TUBULAR 1.50 m</v>
      </c>
      <c r="C492" s="855"/>
      <c r="D492" s="37">
        <v>4</v>
      </c>
      <c r="E492" s="129">
        <f>'MAQUINARIA Y EQUIPOS'!$D$9</f>
        <v>754</v>
      </c>
      <c r="F492" s="83">
        <f>F519</f>
        <v>40</v>
      </c>
      <c r="G492" s="111">
        <f>ROUND(D492*E492/F492,0)</f>
        <v>75</v>
      </c>
    </row>
    <row r="493" spans="1:8">
      <c r="A493" s="95"/>
      <c r="B493" s="854" t="str">
        <f>'MAQUINARIA Y EQUIPOS'!$C$47</f>
        <v>TABLONES 3m</v>
      </c>
      <c r="C493" s="855"/>
      <c r="D493" s="37">
        <v>2</v>
      </c>
      <c r="E493" s="129">
        <f>'MAQUINARIA Y EQUIPOS'!$D$47</f>
        <v>348</v>
      </c>
      <c r="F493" s="83">
        <f>F519</f>
        <v>40</v>
      </c>
      <c r="G493" s="111">
        <f>ROUND(D493*E493/F493,0)</f>
        <v>17</v>
      </c>
    </row>
    <row r="494" spans="1:8">
      <c r="A494" s="95"/>
      <c r="B494" s="854"/>
      <c r="C494" s="855"/>
      <c r="D494" s="89"/>
      <c r="E494" s="82"/>
      <c r="F494" s="83"/>
      <c r="G494" s="111"/>
    </row>
    <row r="495" spans="1:8">
      <c r="A495" s="95"/>
      <c r="B495" s="854" t="s">
        <v>841</v>
      </c>
      <c r="C495" s="855"/>
      <c r="D495" s="37"/>
      <c r="E495" s="82"/>
      <c r="F495" s="83"/>
      <c r="G495" s="111"/>
    </row>
    <row r="496" spans="1:8" ht="13.5" thickBot="1">
      <c r="A496" s="95"/>
      <c r="B496" s="942" t="s">
        <v>841</v>
      </c>
      <c r="C496" s="943"/>
      <c r="D496" s="77"/>
      <c r="E496" s="106"/>
      <c r="F496" s="86"/>
      <c r="G496" s="112"/>
    </row>
    <row r="497" spans="1:8" ht="14.25" thickTop="1" thickBot="1">
      <c r="A497" s="95"/>
      <c r="B497" s="946"/>
      <c r="C497" s="946"/>
      <c r="D497" s="946"/>
      <c r="E497" s="947"/>
      <c r="F497" s="119" t="s">
        <v>856</v>
      </c>
      <c r="G497" s="118">
        <f>SUM(G491:G496)</f>
        <v>254</v>
      </c>
    </row>
    <row r="498" spans="1:8" ht="14.25" thickTop="1" thickBot="1">
      <c r="A498" s="95"/>
      <c r="B498" s="970"/>
      <c r="C498" s="970"/>
      <c r="D498" s="970"/>
      <c r="E498" s="970"/>
      <c r="F498" s="970"/>
      <c r="G498" s="970"/>
    </row>
    <row r="499" spans="1:8" ht="13.5" thickTop="1">
      <c r="A499" s="95"/>
      <c r="B499" s="950" t="s">
        <v>311</v>
      </c>
      <c r="C499" s="951"/>
      <c r="D499" s="951"/>
      <c r="E499" s="951"/>
      <c r="F499" s="951"/>
      <c r="G499" s="952"/>
    </row>
    <row r="500" spans="1:8">
      <c r="A500" s="95"/>
      <c r="B500" s="978" t="s">
        <v>838</v>
      </c>
      <c r="C500" s="979"/>
      <c r="D500" s="98" t="s">
        <v>842</v>
      </c>
      <c r="E500" s="98" t="s">
        <v>853</v>
      </c>
      <c r="F500" s="99" t="s">
        <v>1047</v>
      </c>
      <c r="G500" s="107" t="s">
        <v>840</v>
      </c>
    </row>
    <row r="501" spans="1:8">
      <c r="A501" s="95"/>
      <c r="B501" s="230"/>
      <c r="C501" s="102"/>
      <c r="D501" s="100"/>
      <c r="E501" s="100" t="s">
        <v>312</v>
      </c>
      <c r="F501" s="101" t="s">
        <v>313</v>
      </c>
      <c r="G501" s="108" t="s">
        <v>314</v>
      </c>
    </row>
    <row r="502" spans="1:8">
      <c r="A502" s="123"/>
      <c r="B502" s="841" t="str">
        <f>MATERIALES2!$C$286</f>
        <v>PAPEL LIJA AGUA</v>
      </c>
      <c r="C502" s="842"/>
      <c r="D502" s="87" t="s">
        <v>865</v>
      </c>
      <c r="E502" s="81">
        <v>0.02</v>
      </c>
      <c r="F502" s="80">
        <f>MATERIALES2!$E$286</f>
        <v>1000</v>
      </c>
      <c r="G502" s="110">
        <f>ROUND(E502*F502,0)</f>
        <v>20</v>
      </c>
    </row>
    <row r="503" spans="1:8">
      <c r="A503" s="123"/>
      <c r="B503" s="854" t="str">
        <f>MATERIALES2!$C$11</f>
        <v>CAOLIN 25 KG</v>
      </c>
      <c r="C503" s="855"/>
      <c r="D503" s="37" t="s">
        <v>903</v>
      </c>
      <c r="E503" s="83">
        <v>0.04</v>
      </c>
      <c r="F503" s="82">
        <f>MATERIALES2!$E$11</f>
        <v>4414</v>
      </c>
      <c r="G503" s="111">
        <f>ROUND(E503*F503,0)</f>
        <v>177</v>
      </c>
    </row>
    <row r="504" spans="1:8">
      <c r="A504" s="123"/>
      <c r="B504" s="854" t="str">
        <f>MATERIALES2!$C$13</f>
        <v>CEMENTO GRIS</v>
      </c>
      <c r="C504" s="855"/>
      <c r="D504" s="37" t="s">
        <v>925</v>
      </c>
      <c r="E504" s="83">
        <v>0.3</v>
      </c>
      <c r="F504" s="82">
        <f>MATERIALES2!$E$13</f>
        <v>420</v>
      </c>
      <c r="G504" s="111">
        <f>ROUND(E504*F504,0)</f>
        <v>126</v>
      </c>
    </row>
    <row r="505" spans="1:8">
      <c r="A505" s="123"/>
      <c r="B505" s="854" t="str">
        <f>MATERIALES2!$C$16</f>
        <v>YESO 25 KG</v>
      </c>
      <c r="C505" s="855"/>
      <c r="D505" s="37" t="s">
        <v>903</v>
      </c>
      <c r="E505" s="83">
        <v>0.03</v>
      </c>
      <c r="F505" s="82">
        <f>MATERIALES2!$E$16</f>
        <v>14500</v>
      </c>
      <c r="G505" s="111">
        <f>ROUND(E505*F505,0)</f>
        <v>435</v>
      </c>
    </row>
    <row r="506" spans="1:8">
      <c r="A506" s="123"/>
      <c r="B506" s="854" t="str">
        <f>MATERIALES2!$C$28</f>
        <v>AGUA</v>
      </c>
      <c r="C506" s="855"/>
      <c r="D506" s="37" t="s">
        <v>1071</v>
      </c>
      <c r="E506" s="83">
        <v>3</v>
      </c>
      <c r="F506" s="82">
        <f>MATERIALES2!$E$28</f>
        <v>50</v>
      </c>
      <c r="G506" s="111">
        <f>ROUND(E506*F506,0)</f>
        <v>150</v>
      </c>
    </row>
    <row r="507" spans="1:8">
      <c r="A507" s="95"/>
      <c r="B507" s="854"/>
      <c r="C507" s="855"/>
      <c r="D507" s="37"/>
      <c r="E507" s="83"/>
      <c r="F507" s="82"/>
      <c r="G507" s="111"/>
    </row>
    <row r="508" spans="1:8">
      <c r="A508" s="95"/>
      <c r="B508" s="854"/>
      <c r="C508" s="855"/>
      <c r="D508" s="37"/>
      <c r="E508" s="83"/>
      <c r="F508" s="82"/>
      <c r="G508" s="111"/>
      <c r="H508" s="505" t="s">
        <v>1670</v>
      </c>
    </row>
    <row r="509" spans="1:8">
      <c r="A509" s="95"/>
      <c r="B509" s="938" t="s">
        <v>841</v>
      </c>
      <c r="C509" s="939"/>
      <c r="D509" s="53" t="s">
        <v>841</v>
      </c>
      <c r="E509" s="53"/>
      <c r="F509" s="82"/>
      <c r="G509" s="111"/>
    </row>
    <row r="510" spans="1:8" ht="13.5" thickBot="1">
      <c r="A510" s="95"/>
      <c r="B510" s="942" t="s">
        <v>841</v>
      </c>
      <c r="C510" s="943"/>
      <c r="D510" s="84" t="s">
        <v>841</v>
      </c>
      <c r="E510" s="84"/>
      <c r="F510" s="85"/>
      <c r="G510" s="112"/>
    </row>
    <row r="511" spans="1:8" ht="13.5" thickTop="1">
      <c r="A511" s="95"/>
      <c r="B511" s="946"/>
      <c r="C511" s="947"/>
      <c r="D511" s="801" t="s">
        <v>856</v>
      </c>
      <c r="E511" s="802"/>
      <c r="F511" s="9"/>
      <c r="G511" s="113">
        <f>SUM(G502:G510)</f>
        <v>908</v>
      </c>
    </row>
    <row r="512" spans="1:8">
      <c r="A512" s="95"/>
      <c r="B512" s="948"/>
      <c r="C512" s="949"/>
      <c r="D512" s="801" t="s">
        <v>857</v>
      </c>
      <c r="E512" s="802"/>
      <c r="F512" s="79">
        <f>'MANO DE OBRA'!$D$60</f>
        <v>0.05</v>
      </c>
      <c r="G512" s="113">
        <f>ROUND(G511*F512,0)</f>
        <v>45</v>
      </c>
    </row>
    <row r="513" spans="1:7" ht="13.5" thickBot="1">
      <c r="A513" s="95"/>
      <c r="B513" s="948"/>
      <c r="C513" s="949"/>
      <c r="D513" s="803" t="s">
        <v>320</v>
      </c>
      <c r="E513" s="804"/>
      <c r="F513" s="114"/>
      <c r="G513" s="118">
        <f>+G511+G512</f>
        <v>953</v>
      </c>
    </row>
    <row r="514" spans="1:7" ht="14.25" thickTop="1" thickBot="1">
      <c r="A514" s="95"/>
      <c r="B514" s="970"/>
      <c r="C514" s="970"/>
      <c r="D514" s="970"/>
      <c r="E514" s="970"/>
      <c r="F514" s="970"/>
      <c r="G514" s="970"/>
    </row>
    <row r="515" spans="1:7" ht="13.5" thickTop="1">
      <c r="A515" s="95"/>
      <c r="B515" s="950" t="s">
        <v>858</v>
      </c>
      <c r="C515" s="951"/>
      <c r="D515" s="951"/>
      <c r="E515" s="951"/>
      <c r="F515" s="951"/>
      <c r="G515" s="952"/>
    </row>
    <row r="516" spans="1:7">
      <c r="A516" s="95"/>
      <c r="B516" s="978"/>
      <c r="C516" s="979"/>
      <c r="D516" s="98" t="s">
        <v>301</v>
      </c>
      <c r="E516" s="98" t="s">
        <v>859</v>
      </c>
      <c r="F516" s="99" t="s">
        <v>839</v>
      </c>
      <c r="G516" s="107" t="s">
        <v>840</v>
      </c>
    </row>
    <row r="517" spans="1:7">
      <c r="A517" s="95"/>
      <c r="B517" s="982" t="s">
        <v>838</v>
      </c>
      <c r="C517" s="983"/>
      <c r="D517" s="100" t="s">
        <v>316</v>
      </c>
      <c r="E517" s="100" t="s">
        <v>315</v>
      </c>
      <c r="F517" s="101" t="s">
        <v>306</v>
      </c>
      <c r="G517" s="108" t="s">
        <v>319</v>
      </c>
    </row>
    <row r="518" spans="1:7">
      <c r="A518" s="95"/>
      <c r="B518" s="230"/>
      <c r="C518" s="102"/>
      <c r="D518" s="103"/>
      <c r="E518" s="103" t="s">
        <v>317</v>
      </c>
      <c r="F518" s="104" t="s">
        <v>318</v>
      </c>
      <c r="G518" s="109"/>
    </row>
    <row r="519" spans="1:7">
      <c r="A519" s="95"/>
      <c r="B519" s="841" t="str">
        <f>'MANO DE OBRA'!$B$12</f>
        <v>AYUDANTE CUAD. TIPO CC</v>
      </c>
      <c r="C519" s="842"/>
      <c r="D519" s="87">
        <v>1</v>
      </c>
      <c r="E519" s="80">
        <f>'MANO DE OBRA'!$E$12</f>
        <v>47255</v>
      </c>
      <c r="F519" s="81">
        <v>40</v>
      </c>
      <c r="G519" s="110">
        <f>ROUND(D519*E519/F519,0)</f>
        <v>1181</v>
      </c>
    </row>
    <row r="520" spans="1:7">
      <c r="A520" s="95"/>
      <c r="B520" s="854" t="str">
        <f>'MANO DE OBRA'!$B$17</f>
        <v>OFICIAL CUAD. TIPO CC</v>
      </c>
      <c r="C520" s="855"/>
      <c r="D520" s="37">
        <v>1</v>
      </c>
      <c r="E520" s="82">
        <f>'MANO DE OBRA'!$E$17</f>
        <v>82117</v>
      </c>
      <c r="F520" s="83">
        <v>40</v>
      </c>
      <c r="G520" s="111">
        <f>ROUND(D520*E520/F520,0)</f>
        <v>2053</v>
      </c>
    </row>
    <row r="521" spans="1:7">
      <c r="A521" s="95"/>
      <c r="B521" s="854"/>
      <c r="C521" s="855"/>
      <c r="D521" s="89"/>
      <c r="E521" s="82"/>
      <c r="F521" s="83"/>
      <c r="G521" s="111"/>
    </row>
    <row r="522" spans="1:7">
      <c r="A522" s="95"/>
      <c r="B522" s="854" t="s">
        <v>841</v>
      </c>
      <c r="C522" s="855"/>
      <c r="D522" s="37"/>
      <c r="E522" s="82"/>
      <c r="F522" s="83"/>
      <c r="G522" s="111"/>
    </row>
    <row r="523" spans="1:7" ht="13.5" thickBot="1">
      <c r="A523" s="95"/>
      <c r="B523" s="980" t="s">
        <v>841</v>
      </c>
      <c r="C523" s="981"/>
      <c r="D523" s="77"/>
      <c r="E523" s="82"/>
      <c r="F523" s="86"/>
      <c r="G523" s="112"/>
    </row>
    <row r="524" spans="1:7" ht="14.25" thickTop="1" thickBot="1">
      <c r="A524" s="95"/>
      <c r="B524" s="946"/>
      <c r="C524" s="946"/>
      <c r="D524" s="946"/>
      <c r="E524" s="947"/>
      <c r="F524" s="120" t="s">
        <v>856</v>
      </c>
      <c r="G524" s="118">
        <f>SUM(G519:G523)</f>
        <v>3234</v>
      </c>
    </row>
    <row r="525" spans="1:7" ht="14.25" thickTop="1" thickBot="1">
      <c r="A525" s="95"/>
      <c r="B525" s="970"/>
      <c r="C525" s="970"/>
      <c r="D525" s="970"/>
      <c r="E525" s="970"/>
      <c r="F525" s="970"/>
      <c r="G525" s="970"/>
    </row>
    <row r="526" spans="1:7" ht="13.5" thickTop="1">
      <c r="A526" s="95"/>
      <c r="B526" s="950" t="s">
        <v>321</v>
      </c>
      <c r="C526" s="951"/>
      <c r="D526" s="951"/>
      <c r="E526" s="951"/>
      <c r="F526" s="951"/>
      <c r="G526" s="952"/>
    </row>
    <row r="527" spans="1:7">
      <c r="A527" s="95"/>
      <c r="B527" s="978" t="s">
        <v>838</v>
      </c>
      <c r="C527" s="979"/>
      <c r="D527" s="98" t="s">
        <v>301</v>
      </c>
      <c r="E527" s="98" t="s">
        <v>297</v>
      </c>
      <c r="F527" s="99" t="s">
        <v>839</v>
      </c>
      <c r="G527" s="107" t="s">
        <v>840</v>
      </c>
    </row>
    <row r="528" spans="1:7">
      <c r="A528" s="95"/>
      <c r="B528" s="230"/>
      <c r="C528" s="102"/>
      <c r="D528" s="103" t="s">
        <v>322</v>
      </c>
      <c r="E528" s="103" t="s">
        <v>323</v>
      </c>
      <c r="F528" s="104" t="s">
        <v>324</v>
      </c>
      <c r="G528" s="109" t="s">
        <v>325</v>
      </c>
    </row>
    <row r="529" spans="1:8">
      <c r="A529" s="95"/>
      <c r="B529" s="841"/>
      <c r="C529" s="842"/>
      <c r="D529" s="96"/>
      <c r="E529" s="96"/>
      <c r="F529" s="96"/>
      <c r="G529" s="116"/>
    </row>
    <row r="530" spans="1:8" ht="13.5" thickBot="1">
      <c r="A530" s="95"/>
      <c r="B530" s="980" t="s">
        <v>841</v>
      </c>
      <c r="C530" s="981"/>
      <c r="D530" s="77"/>
      <c r="E530" s="82"/>
      <c r="F530" s="86"/>
      <c r="G530" s="112"/>
    </row>
    <row r="531" spans="1:8" ht="14.25" thickTop="1" thickBot="1">
      <c r="A531" s="95"/>
      <c r="B531" s="946"/>
      <c r="C531" s="946"/>
      <c r="D531" s="946"/>
      <c r="E531" s="947"/>
      <c r="F531" s="120" t="s">
        <v>856</v>
      </c>
      <c r="G531" s="118">
        <f>SUM(G526:G530)</f>
        <v>0</v>
      </c>
    </row>
    <row r="532" spans="1:8" ht="14.25" thickTop="1" thickBot="1">
      <c r="A532" s="95"/>
      <c r="B532" s="970"/>
      <c r="C532" s="970"/>
      <c r="D532" s="970"/>
      <c r="E532" s="970"/>
      <c r="F532" s="970"/>
      <c r="G532" s="943"/>
    </row>
    <row r="533" spans="1:8" ht="13.5" thickTop="1">
      <c r="A533" s="95"/>
      <c r="B533" s="950" t="s">
        <v>326</v>
      </c>
      <c r="C533" s="951"/>
      <c r="D533" s="951"/>
      <c r="E533" s="951"/>
      <c r="F533" s="971"/>
      <c r="G533" s="121">
        <f>+G497+G513+G524</f>
        <v>4441</v>
      </c>
    </row>
    <row r="534" spans="1:8">
      <c r="A534" s="95"/>
      <c r="B534" s="972" t="s">
        <v>861</v>
      </c>
      <c r="C534" s="973"/>
      <c r="D534" s="973"/>
      <c r="E534" s="974"/>
      <c r="F534" s="128">
        <f>'MANO DE OBRA'!$D$59</f>
        <v>0</v>
      </c>
      <c r="G534" s="122">
        <f>ROUND(G533*F534,0)</f>
        <v>0</v>
      </c>
    </row>
    <row r="535" spans="1:8" ht="13.5" thickBot="1">
      <c r="A535" s="95"/>
      <c r="B535" s="975" t="s">
        <v>1049</v>
      </c>
      <c r="C535" s="976"/>
      <c r="D535" s="976"/>
      <c r="E535" s="976"/>
      <c r="F535" s="977"/>
      <c r="G535" s="118">
        <f>ROUND(G533+G534,-2)</f>
        <v>4400</v>
      </c>
      <c r="H535" s="505" t="s">
        <v>1670</v>
      </c>
    </row>
    <row r="536" spans="1:8" ht="15" thickTop="1">
      <c r="A536" s="95"/>
      <c r="B536" s="225" t="s">
        <v>303</v>
      </c>
      <c r="C536" s="843"/>
      <c r="D536" s="843"/>
      <c r="E536" s="843"/>
      <c r="F536" s="92" t="s">
        <v>781</v>
      </c>
      <c r="G536" s="93" t="s">
        <v>1067</v>
      </c>
    </row>
    <row r="537" spans="1:8">
      <c r="A537" s="95"/>
      <c r="B537" s="226" t="s">
        <v>834</v>
      </c>
      <c r="C537" s="844" t="s">
        <v>1518</v>
      </c>
      <c r="D537" s="844"/>
      <c r="E537" s="844"/>
      <c r="F537" s="15" t="s">
        <v>833</v>
      </c>
      <c r="G537" s="165" t="str">
        <f>'MANO DE OBRA'!D61</f>
        <v>Agosto de 2010</v>
      </c>
    </row>
    <row r="538" spans="1:8" ht="13.5" thickBot="1">
      <c r="A538" s="127"/>
      <c r="B538" s="228" t="s">
        <v>835</v>
      </c>
      <c r="C538" s="1053" t="s">
        <v>1529</v>
      </c>
      <c r="D538" s="1053"/>
      <c r="E538" s="1053"/>
      <c r="F538" s="1053"/>
      <c r="G538" s="1054"/>
    </row>
    <row r="539" spans="1:8" ht="14.25" thickTop="1" thickBot="1">
      <c r="A539" s="95"/>
      <c r="B539" s="986"/>
      <c r="C539" s="986"/>
      <c r="D539" s="986"/>
      <c r="E539" s="986"/>
      <c r="F539" s="986"/>
      <c r="G539" s="986"/>
    </row>
    <row r="540" spans="1:8" ht="13.5" thickTop="1">
      <c r="A540" s="95"/>
      <c r="B540" s="950" t="s">
        <v>304</v>
      </c>
      <c r="C540" s="951"/>
      <c r="D540" s="951"/>
      <c r="E540" s="951"/>
      <c r="F540" s="951"/>
      <c r="G540" s="952"/>
    </row>
    <row r="541" spans="1:8">
      <c r="A541" s="95"/>
      <c r="B541" s="229"/>
      <c r="C541" s="97"/>
      <c r="D541" s="98" t="s">
        <v>301</v>
      </c>
      <c r="E541" s="98" t="s">
        <v>1072</v>
      </c>
      <c r="F541" s="99" t="s">
        <v>839</v>
      </c>
      <c r="G541" s="107" t="s">
        <v>840</v>
      </c>
    </row>
    <row r="542" spans="1:8">
      <c r="A542" s="95"/>
      <c r="B542" s="982" t="s">
        <v>838</v>
      </c>
      <c r="C542" s="983"/>
      <c r="D542" s="100" t="s">
        <v>308</v>
      </c>
      <c r="E542" s="100" t="s">
        <v>305</v>
      </c>
      <c r="F542" s="101" t="s">
        <v>306</v>
      </c>
      <c r="G542" s="108" t="s">
        <v>310</v>
      </c>
    </row>
    <row r="543" spans="1:8">
      <c r="A543" s="95"/>
      <c r="B543" s="230"/>
      <c r="C543" s="102"/>
      <c r="D543" s="103"/>
      <c r="E543" s="103" t="s">
        <v>309</v>
      </c>
      <c r="F543" s="104" t="s">
        <v>307</v>
      </c>
      <c r="G543" s="109"/>
    </row>
    <row r="544" spans="1:8">
      <c r="A544" s="127"/>
      <c r="B544" s="841" t="str">
        <f>'MAQUINARIA Y EQUIPOS'!$C$28</f>
        <v>HERRAMIENTAS MENORES</v>
      </c>
      <c r="C544" s="842"/>
      <c r="D544" s="87">
        <v>1</v>
      </c>
      <c r="E544" s="82">
        <f>ROUND(G577*0.05,0)</f>
        <v>202</v>
      </c>
      <c r="F544" s="81">
        <v>1</v>
      </c>
      <c r="G544" s="110">
        <f>ROUND(D544*E544/F544,0)</f>
        <v>202</v>
      </c>
    </row>
    <row r="545" spans="1:7">
      <c r="A545" s="95"/>
      <c r="B545" s="854" t="str">
        <f>'MAQUINARIA Y EQUIPOS'!$C$9</f>
        <v>ANDAMIO TUBULAR 1.50 m</v>
      </c>
      <c r="C545" s="855"/>
      <c r="D545" s="37">
        <v>4</v>
      </c>
      <c r="E545" s="129">
        <f>'MAQUINARIA Y EQUIPOS'!$D$9</f>
        <v>754</v>
      </c>
      <c r="F545" s="83">
        <f>F572</f>
        <v>32</v>
      </c>
      <c r="G545" s="111">
        <f>ROUND(D545*E545/F545,0)</f>
        <v>94</v>
      </c>
    </row>
    <row r="546" spans="1:7">
      <c r="A546" s="95"/>
      <c r="B546" s="854" t="str">
        <f>'MAQUINARIA Y EQUIPOS'!$C$47</f>
        <v>TABLONES 3m</v>
      </c>
      <c r="C546" s="855"/>
      <c r="D546" s="37">
        <v>2</v>
      </c>
      <c r="E546" s="129">
        <f>'MAQUINARIA Y EQUIPOS'!$D$47</f>
        <v>348</v>
      </c>
      <c r="F546" s="83">
        <f>F572</f>
        <v>32</v>
      </c>
      <c r="G546" s="111">
        <f>ROUND(D546*E546/F546,0)</f>
        <v>22</v>
      </c>
    </row>
    <row r="547" spans="1:7">
      <c r="A547" s="95"/>
      <c r="B547" s="854"/>
      <c r="C547" s="855"/>
      <c r="D547" s="89"/>
      <c r="E547" s="82"/>
      <c r="F547" s="83"/>
      <c r="G547" s="111"/>
    </row>
    <row r="548" spans="1:7">
      <c r="A548" s="95"/>
      <c r="B548" s="854" t="s">
        <v>841</v>
      </c>
      <c r="C548" s="855"/>
      <c r="D548" s="37"/>
      <c r="E548" s="82"/>
      <c r="F548" s="83"/>
      <c r="G548" s="111"/>
    </row>
    <row r="549" spans="1:7" ht="13.5" thickBot="1">
      <c r="A549" s="95"/>
      <c r="B549" s="942" t="s">
        <v>841</v>
      </c>
      <c r="C549" s="943"/>
      <c r="D549" s="77"/>
      <c r="E549" s="106"/>
      <c r="F549" s="86"/>
      <c r="G549" s="112"/>
    </row>
    <row r="550" spans="1:7" ht="14.25" thickTop="1" thickBot="1">
      <c r="A550" s="95"/>
      <c r="B550" s="946"/>
      <c r="C550" s="946"/>
      <c r="D550" s="946"/>
      <c r="E550" s="947"/>
      <c r="F550" s="119" t="s">
        <v>856</v>
      </c>
      <c r="G550" s="118">
        <f>SUM(G544:G549)</f>
        <v>318</v>
      </c>
    </row>
    <row r="551" spans="1:7" ht="14.25" thickTop="1" thickBot="1">
      <c r="A551" s="95"/>
      <c r="B551" s="970"/>
      <c r="C551" s="970"/>
      <c r="D551" s="970"/>
      <c r="E551" s="970"/>
      <c r="F551" s="970"/>
      <c r="G551" s="970"/>
    </row>
    <row r="552" spans="1:7" ht="13.5" thickTop="1">
      <c r="A552" s="95"/>
      <c r="B552" s="950" t="s">
        <v>311</v>
      </c>
      <c r="C552" s="951"/>
      <c r="D552" s="951"/>
      <c r="E552" s="951"/>
      <c r="F552" s="951"/>
      <c r="G552" s="952"/>
    </row>
    <row r="553" spans="1:7">
      <c r="A553" s="95"/>
      <c r="B553" s="978" t="s">
        <v>838</v>
      </c>
      <c r="C553" s="979"/>
      <c r="D553" s="98" t="s">
        <v>842</v>
      </c>
      <c r="E553" s="98" t="s">
        <v>853</v>
      </c>
      <c r="F553" s="99" t="s">
        <v>1047</v>
      </c>
      <c r="G553" s="107" t="s">
        <v>840</v>
      </c>
    </row>
    <row r="554" spans="1:7">
      <c r="A554" s="95"/>
      <c r="B554" s="230"/>
      <c r="C554" s="102"/>
      <c r="D554" s="100"/>
      <c r="E554" s="100" t="s">
        <v>312</v>
      </c>
      <c r="F554" s="101" t="s">
        <v>313</v>
      </c>
      <c r="G554" s="108" t="s">
        <v>314</v>
      </c>
    </row>
    <row r="555" spans="1:7">
      <c r="A555" s="123"/>
      <c r="B555" s="841" t="str">
        <f>MATERIALES2!$C$286</f>
        <v>PAPEL LIJA AGUA</v>
      </c>
      <c r="C555" s="842"/>
      <c r="D555" s="87" t="s">
        <v>865</v>
      </c>
      <c r="E555" s="81">
        <v>0.02</v>
      </c>
      <c r="F555" s="80">
        <f>MATERIALES2!$E$286</f>
        <v>1000</v>
      </c>
      <c r="G555" s="110">
        <f t="shared" ref="G555:G560" si="0">ROUND(E555*F555,0)</f>
        <v>20</v>
      </c>
    </row>
    <row r="556" spans="1:7">
      <c r="A556" s="123"/>
      <c r="B556" s="854" t="str">
        <f>MATERIALES2!$C$11</f>
        <v>CAOLIN 25 KG</v>
      </c>
      <c r="C556" s="855"/>
      <c r="D556" s="37" t="s">
        <v>903</v>
      </c>
      <c r="E556" s="83">
        <v>0.04</v>
      </c>
      <c r="F556" s="82">
        <f>MATERIALES2!$E$11</f>
        <v>4414</v>
      </c>
      <c r="G556" s="111">
        <f t="shared" si="0"/>
        <v>177</v>
      </c>
    </row>
    <row r="557" spans="1:7">
      <c r="A557" s="123"/>
      <c r="B557" s="854" t="str">
        <f>MATERIALES2!$C$13</f>
        <v>CEMENTO GRIS</v>
      </c>
      <c r="C557" s="855"/>
      <c r="D557" s="37" t="s">
        <v>925</v>
      </c>
      <c r="E557" s="83">
        <v>0.25</v>
      </c>
      <c r="F557" s="82">
        <f>MATERIALES2!$E$13</f>
        <v>420</v>
      </c>
      <c r="G557" s="111">
        <f t="shared" si="0"/>
        <v>105</v>
      </c>
    </row>
    <row r="558" spans="1:7">
      <c r="A558" s="123"/>
      <c r="B558" s="854" t="str">
        <f>MATERIALES2!$C$16</f>
        <v>YESO 25 KG</v>
      </c>
      <c r="C558" s="855"/>
      <c r="D558" s="37" t="s">
        <v>903</v>
      </c>
      <c r="E558" s="83">
        <v>0.02</v>
      </c>
      <c r="F558" s="82">
        <f>MATERIALES2!$E$16</f>
        <v>14500</v>
      </c>
      <c r="G558" s="111">
        <f t="shared" si="0"/>
        <v>290</v>
      </c>
    </row>
    <row r="559" spans="1:7">
      <c r="A559" s="123"/>
      <c r="B559" s="854" t="str">
        <f>MATERIALES2!$C$28</f>
        <v>AGUA</v>
      </c>
      <c r="C559" s="855"/>
      <c r="D559" s="37" t="s">
        <v>1071</v>
      </c>
      <c r="E559" s="83">
        <v>3</v>
      </c>
      <c r="F559" s="82">
        <f>MATERIALES2!$E$28</f>
        <v>50</v>
      </c>
      <c r="G559" s="111">
        <f t="shared" si="0"/>
        <v>150</v>
      </c>
    </row>
    <row r="560" spans="1:7">
      <c r="A560" s="95"/>
      <c r="B560" s="854" t="str">
        <f>MATERIALES2!$C$295</f>
        <v>VINILTEX PINTUCO</v>
      </c>
      <c r="C560" s="855"/>
      <c r="D560" s="37" t="s">
        <v>556</v>
      </c>
      <c r="E560" s="83">
        <v>0.05</v>
      </c>
      <c r="F560" s="82">
        <f>MATERIALES2!$E$295</f>
        <v>55000</v>
      </c>
      <c r="G560" s="111">
        <f t="shared" si="0"/>
        <v>2750</v>
      </c>
    </row>
    <row r="561" spans="1:8">
      <c r="A561" s="95"/>
      <c r="B561" s="854"/>
      <c r="C561" s="855"/>
      <c r="D561" s="37"/>
      <c r="E561" s="83"/>
      <c r="F561" s="82"/>
      <c r="G561" s="111"/>
      <c r="H561" s="505" t="s">
        <v>1670</v>
      </c>
    </row>
    <row r="562" spans="1:8">
      <c r="A562" s="95"/>
      <c r="B562" s="938" t="s">
        <v>841</v>
      </c>
      <c r="C562" s="939"/>
      <c r="D562" s="53" t="s">
        <v>841</v>
      </c>
      <c r="E562" s="53"/>
      <c r="F562" s="82"/>
      <c r="G562" s="111"/>
    </row>
    <row r="563" spans="1:8" ht="13.5" thickBot="1">
      <c r="A563" s="95"/>
      <c r="B563" s="942" t="s">
        <v>841</v>
      </c>
      <c r="C563" s="943"/>
      <c r="D563" s="84" t="s">
        <v>841</v>
      </c>
      <c r="E563" s="84"/>
      <c r="F563" s="85"/>
      <c r="G563" s="112"/>
    </row>
    <row r="564" spans="1:8" ht="13.5" thickTop="1">
      <c r="A564" s="95"/>
      <c r="B564" s="946"/>
      <c r="C564" s="947"/>
      <c r="D564" s="801" t="s">
        <v>856</v>
      </c>
      <c r="E564" s="802"/>
      <c r="F564" s="9"/>
      <c r="G564" s="113">
        <f>SUM(G555:G563)</f>
        <v>3492</v>
      </c>
    </row>
    <row r="565" spans="1:8">
      <c r="A565" s="95"/>
      <c r="B565" s="948"/>
      <c r="C565" s="949"/>
      <c r="D565" s="801" t="s">
        <v>857</v>
      </c>
      <c r="E565" s="802"/>
      <c r="F565" s="79">
        <f>'MANO DE OBRA'!$D$60</f>
        <v>0.05</v>
      </c>
      <c r="G565" s="113">
        <f>ROUND(G564*F565,0)</f>
        <v>175</v>
      </c>
    </row>
    <row r="566" spans="1:8" ht="13.5" thickBot="1">
      <c r="A566" s="95"/>
      <c r="B566" s="948"/>
      <c r="C566" s="949"/>
      <c r="D566" s="803" t="s">
        <v>320</v>
      </c>
      <c r="E566" s="804"/>
      <c r="F566" s="114"/>
      <c r="G566" s="118">
        <f>+G564+G565</f>
        <v>3667</v>
      </c>
    </row>
    <row r="567" spans="1:8" ht="14.25" thickTop="1" thickBot="1">
      <c r="A567" s="95"/>
      <c r="B567" s="970"/>
      <c r="C567" s="970"/>
      <c r="D567" s="970"/>
      <c r="E567" s="970"/>
      <c r="F567" s="970"/>
      <c r="G567" s="970"/>
    </row>
    <row r="568" spans="1:8" ht="13.5" thickTop="1">
      <c r="A568" s="95"/>
      <c r="B568" s="950" t="s">
        <v>858</v>
      </c>
      <c r="C568" s="951"/>
      <c r="D568" s="951"/>
      <c r="E568" s="951"/>
      <c r="F568" s="951"/>
      <c r="G568" s="952"/>
    </row>
    <row r="569" spans="1:8">
      <c r="A569" s="95"/>
      <c r="B569" s="978"/>
      <c r="C569" s="979"/>
      <c r="D569" s="98" t="s">
        <v>301</v>
      </c>
      <c r="E569" s="98" t="s">
        <v>859</v>
      </c>
      <c r="F569" s="99" t="s">
        <v>839</v>
      </c>
      <c r="G569" s="107" t="s">
        <v>840</v>
      </c>
    </row>
    <row r="570" spans="1:8">
      <c r="A570" s="95"/>
      <c r="B570" s="982" t="s">
        <v>838</v>
      </c>
      <c r="C570" s="983"/>
      <c r="D570" s="100" t="s">
        <v>316</v>
      </c>
      <c r="E570" s="100" t="s">
        <v>315</v>
      </c>
      <c r="F570" s="101" t="s">
        <v>306</v>
      </c>
      <c r="G570" s="108" t="s">
        <v>319</v>
      </c>
    </row>
    <row r="571" spans="1:8">
      <c r="A571" s="95"/>
      <c r="B571" s="230"/>
      <c r="C571" s="102"/>
      <c r="D571" s="103"/>
      <c r="E571" s="103" t="s">
        <v>317</v>
      </c>
      <c r="F571" s="104" t="s">
        <v>318</v>
      </c>
      <c r="G571" s="109"/>
    </row>
    <row r="572" spans="1:8">
      <c r="A572" s="95"/>
      <c r="B572" s="841" t="str">
        <f>'MANO DE OBRA'!$B$12</f>
        <v>AYUDANTE CUAD. TIPO CC</v>
      </c>
      <c r="C572" s="842"/>
      <c r="D572" s="87">
        <v>1</v>
      </c>
      <c r="E572" s="80">
        <f>'MANO DE OBRA'!$E$12</f>
        <v>47255</v>
      </c>
      <c r="F572" s="81">
        <v>32</v>
      </c>
      <c r="G572" s="110">
        <f>ROUND(D572*E572/F572,0)</f>
        <v>1477</v>
      </c>
    </row>
    <row r="573" spans="1:8">
      <c r="A573" s="95"/>
      <c r="B573" s="854" t="str">
        <f>'MANO DE OBRA'!$B$17</f>
        <v>OFICIAL CUAD. TIPO CC</v>
      </c>
      <c r="C573" s="855"/>
      <c r="D573" s="37">
        <v>1</v>
      </c>
      <c r="E573" s="82">
        <f>'MANO DE OBRA'!$E$17</f>
        <v>82117</v>
      </c>
      <c r="F573" s="83">
        <v>32</v>
      </c>
      <c r="G573" s="111">
        <f>ROUND(D573*E573/F573,0)</f>
        <v>2566</v>
      </c>
    </row>
    <row r="574" spans="1:8">
      <c r="A574" s="95"/>
      <c r="B574" s="854"/>
      <c r="C574" s="855"/>
      <c r="D574" s="89"/>
      <c r="E574" s="82"/>
      <c r="F574" s="83"/>
      <c r="G574" s="111"/>
    </row>
    <row r="575" spans="1:8">
      <c r="A575" s="95"/>
      <c r="B575" s="854" t="s">
        <v>841</v>
      </c>
      <c r="C575" s="855"/>
      <c r="D575" s="37"/>
      <c r="E575" s="82"/>
      <c r="F575" s="83"/>
      <c r="G575" s="111"/>
    </row>
    <row r="576" spans="1:8" ht="13.5" thickBot="1">
      <c r="A576" s="95"/>
      <c r="B576" s="980" t="s">
        <v>841</v>
      </c>
      <c r="C576" s="981"/>
      <c r="D576" s="77"/>
      <c r="E576" s="82"/>
      <c r="F576" s="86"/>
      <c r="G576" s="112"/>
    </row>
    <row r="577" spans="1:8" ht="14.25" thickTop="1" thickBot="1">
      <c r="A577" s="95"/>
      <c r="B577" s="946"/>
      <c r="C577" s="946"/>
      <c r="D577" s="946"/>
      <c r="E577" s="947"/>
      <c r="F577" s="120" t="s">
        <v>856</v>
      </c>
      <c r="G577" s="118">
        <f>SUM(G572:G576)</f>
        <v>4043</v>
      </c>
    </row>
    <row r="578" spans="1:8" ht="14.25" thickTop="1" thickBot="1">
      <c r="A578" s="95"/>
      <c r="B578" s="970"/>
      <c r="C578" s="970"/>
      <c r="D578" s="970"/>
      <c r="E578" s="970"/>
      <c r="F578" s="970"/>
      <c r="G578" s="970"/>
    </row>
    <row r="579" spans="1:8" ht="13.5" thickTop="1">
      <c r="A579" s="95"/>
      <c r="B579" s="950" t="s">
        <v>321</v>
      </c>
      <c r="C579" s="951"/>
      <c r="D579" s="951"/>
      <c r="E579" s="951"/>
      <c r="F579" s="951"/>
      <c r="G579" s="952"/>
    </row>
    <row r="580" spans="1:8">
      <c r="A580" s="95"/>
      <c r="B580" s="978" t="s">
        <v>838</v>
      </c>
      <c r="C580" s="979"/>
      <c r="D580" s="98" t="s">
        <v>301</v>
      </c>
      <c r="E580" s="98" t="s">
        <v>297</v>
      </c>
      <c r="F580" s="99" t="s">
        <v>839</v>
      </c>
      <c r="G580" s="107" t="s">
        <v>840</v>
      </c>
    </row>
    <row r="581" spans="1:8">
      <c r="A581" s="95"/>
      <c r="B581" s="230"/>
      <c r="C581" s="102"/>
      <c r="D581" s="103" t="s">
        <v>322</v>
      </c>
      <c r="E581" s="103" t="s">
        <v>323</v>
      </c>
      <c r="F581" s="104" t="s">
        <v>324</v>
      </c>
      <c r="G581" s="109" t="s">
        <v>325</v>
      </c>
    </row>
    <row r="582" spans="1:8">
      <c r="A582" s="95"/>
      <c r="B582" s="841"/>
      <c r="C582" s="842"/>
      <c r="D582" s="96"/>
      <c r="E582" s="96"/>
      <c r="F582" s="96"/>
      <c r="G582" s="116"/>
    </row>
    <row r="583" spans="1:8" ht="13.5" thickBot="1">
      <c r="A583" s="95"/>
      <c r="B583" s="980" t="s">
        <v>841</v>
      </c>
      <c r="C583" s="981"/>
      <c r="D583" s="77"/>
      <c r="E583" s="82"/>
      <c r="F583" s="86"/>
      <c r="G583" s="112"/>
    </row>
    <row r="584" spans="1:8" ht="14.25" thickTop="1" thickBot="1">
      <c r="A584" s="95"/>
      <c r="B584" s="946"/>
      <c r="C584" s="946"/>
      <c r="D584" s="946"/>
      <c r="E584" s="947"/>
      <c r="F584" s="120" t="s">
        <v>856</v>
      </c>
      <c r="G584" s="118">
        <f>SUM(G579:G583)</f>
        <v>0</v>
      </c>
    </row>
    <row r="585" spans="1:8" ht="14.25" thickTop="1" thickBot="1">
      <c r="A585" s="95"/>
      <c r="B585" s="970"/>
      <c r="C585" s="970"/>
      <c r="D585" s="970"/>
      <c r="E585" s="970"/>
      <c r="F585" s="970"/>
      <c r="G585" s="943"/>
    </row>
    <row r="586" spans="1:8" ht="13.5" thickTop="1">
      <c r="A586" s="95"/>
      <c r="B586" s="950" t="s">
        <v>326</v>
      </c>
      <c r="C586" s="951"/>
      <c r="D586" s="951"/>
      <c r="E586" s="951"/>
      <c r="F586" s="971"/>
      <c r="G586" s="121">
        <f>+G550+G566+G577</f>
        <v>8028</v>
      </c>
    </row>
    <row r="587" spans="1:8">
      <c r="A587" s="95"/>
      <c r="B587" s="972" t="s">
        <v>861</v>
      </c>
      <c r="C587" s="973"/>
      <c r="D587" s="973"/>
      <c r="E587" s="974"/>
      <c r="F587" s="128">
        <f>'MANO DE OBRA'!$D$59</f>
        <v>0</v>
      </c>
      <c r="G587" s="122">
        <f>ROUND(G586*F587,0)</f>
        <v>0</v>
      </c>
    </row>
    <row r="588" spans="1:8" ht="13.5" thickBot="1">
      <c r="A588" s="95"/>
      <c r="B588" s="975" t="s">
        <v>1049</v>
      </c>
      <c r="C588" s="976"/>
      <c r="D588" s="976"/>
      <c r="E588" s="976"/>
      <c r="F588" s="977"/>
      <c r="G588" s="118">
        <f>ROUND(G586+G587,-2)</f>
        <v>8000</v>
      </c>
      <c r="H588" s="505" t="s">
        <v>1670</v>
      </c>
    </row>
    <row r="589" spans="1:8" ht="13.5" thickTop="1">
      <c r="A589" s="95"/>
      <c r="B589" s="225" t="s">
        <v>303</v>
      </c>
      <c r="C589" s="843"/>
      <c r="D589" s="843"/>
      <c r="E589" s="843"/>
      <c r="F589" s="92" t="s">
        <v>781</v>
      </c>
      <c r="G589" s="93" t="s">
        <v>831</v>
      </c>
    </row>
    <row r="590" spans="1:8">
      <c r="A590" s="95"/>
      <c r="B590" s="226" t="s">
        <v>834</v>
      </c>
      <c r="C590" s="844" t="s">
        <v>1518</v>
      </c>
      <c r="D590" s="844"/>
      <c r="E590" s="844"/>
      <c r="F590" s="15" t="s">
        <v>833</v>
      </c>
      <c r="G590" s="165" t="str">
        <f>'MANO DE OBRA'!D61</f>
        <v>Agosto de 2010</v>
      </c>
    </row>
    <row r="591" spans="1:8" ht="13.5" thickBot="1">
      <c r="A591" s="127"/>
      <c r="B591" s="228" t="s">
        <v>835</v>
      </c>
      <c r="C591" s="845" t="s">
        <v>1418</v>
      </c>
      <c r="D591" s="845"/>
      <c r="E591" s="845"/>
      <c r="F591" s="845"/>
      <c r="G591" s="846"/>
    </row>
    <row r="592" spans="1:8" ht="14.25" thickTop="1" thickBot="1">
      <c r="A592" s="95"/>
      <c r="B592" s="986"/>
      <c r="C592" s="986"/>
      <c r="D592" s="986"/>
      <c r="E592" s="986"/>
      <c r="F592" s="986"/>
      <c r="G592" s="986"/>
    </row>
    <row r="593" spans="1:7" ht="13.5" thickTop="1">
      <c r="A593" s="95"/>
      <c r="B593" s="950" t="s">
        <v>304</v>
      </c>
      <c r="C593" s="951"/>
      <c r="D593" s="951"/>
      <c r="E593" s="951"/>
      <c r="F593" s="951"/>
      <c r="G593" s="952"/>
    </row>
    <row r="594" spans="1:7">
      <c r="A594" s="95"/>
      <c r="B594" s="229"/>
      <c r="C594" s="97"/>
      <c r="D594" s="98" t="s">
        <v>301</v>
      </c>
      <c r="E594" s="98" t="s">
        <v>1072</v>
      </c>
      <c r="F594" s="99" t="s">
        <v>839</v>
      </c>
      <c r="G594" s="107" t="s">
        <v>840</v>
      </c>
    </row>
    <row r="595" spans="1:7">
      <c r="A595" s="95"/>
      <c r="B595" s="982" t="s">
        <v>838</v>
      </c>
      <c r="C595" s="983"/>
      <c r="D595" s="100" t="s">
        <v>308</v>
      </c>
      <c r="E595" s="100" t="s">
        <v>305</v>
      </c>
      <c r="F595" s="101" t="s">
        <v>306</v>
      </c>
      <c r="G595" s="108" t="s">
        <v>310</v>
      </c>
    </row>
    <row r="596" spans="1:7">
      <c r="A596" s="95"/>
      <c r="B596" s="230"/>
      <c r="C596" s="102"/>
      <c r="D596" s="103"/>
      <c r="E596" s="103" t="s">
        <v>309</v>
      </c>
      <c r="F596" s="104" t="s">
        <v>307</v>
      </c>
      <c r="G596" s="109"/>
    </row>
    <row r="597" spans="1:7">
      <c r="A597" s="127"/>
      <c r="B597" s="841" t="str">
        <f>'MAQUINARIA Y EQUIPOS'!$C$28</f>
        <v>HERRAMIENTAS MENORES</v>
      </c>
      <c r="C597" s="842"/>
      <c r="D597" s="87">
        <v>1</v>
      </c>
      <c r="E597" s="82">
        <f>ROUND(G630*0.05,0)</f>
        <v>129</v>
      </c>
      <c r="F597" s="81">
        <v>1</v>
      </c>
      <c r="G597" s="110">
        <f>ROUND(D597*E597/F597,0)</f>
        <v>129</v>
      </c>
    </row>
    <row r="598" spans="1:7">
      <c r="A598" s="95"/>
      <c r="B598" s="854" t="str">
        <f>'MAQUINARIA Y EQUIPOS'!$C$9</f>
        <v>ANDAMIO TUBULAR 1.50 m</v>
      </c>
      <c r="C598" s="855"/>
      <c r="D598" s="37">
        <v>4</v>
      </c>
      <c r="E598" s="129">
        <f>'MAQUINARIA Y EQUIPOS'!$D$9</f>
        <v>754</v>
      </c>
      <c r="F598" s="83">
        <f>F625</f>
        <v>50</v>
      </c>
      <c r="G598" s="111">
        <f>ROUND(D598*E598/F598,0)</f>
        <v>60</v>
      </c>
    </row>
    <row r="599" spans="1:7">
      <c r="A599" s="95"/>
      <c r="B599" s="854" t="str">
        <f>'MAQUINARIA Y EQUIPOS'!$C$47</f>
        <v>TABLONES 3m</v>
      </c>
      <c r="C599" s="855"/>
      <c r="D599" s="37">
        <v>2</v>
      </c>
      <c r="E599" s="129">
        <f>'MAQUINARIA Y EQUIPOS'!$D$47</f>
        <v>348</v>
      </c>
      <c r="F599" s="83">
        <f>F625</f>
        <v>50</v>
      </c>
      <c r="G599" s="111">
        <f>ROUND(D599*E599/F599,0)</f>
        <v>14</v>
      </c>
    </row>
    <row r="600" spans="1:7">
      <c r="A600" s="95"/>
      <c r="B600" s="854"/>
      <c r="C600" s="855"/>
      <c r="D600" s="89"/>
      <c r="E600" s="82"/>
      <c r="F600" s="83"/>
      <c r="G600" s="111"/>
    </row>
    <row r="601" spans="1:7">
      <c r="A601" s="95"/>
      <c r="B601" s="854" t="s">
        <v>841</v>
      </c>
      <c r="C601" s="855"/>
      <c r="D601" s="37"/>
      <c r="E601" s="82"/>
      <c r="F601" s="83"/>
      <c r="G601" s="111"/>
    </row>
    <row r="602" spans="1:7" ht="13.5" thickBot="1">
      <c r="A602" s="95"/>
      <c r="B602" s="942" t="s">
        <v>841</v>
      </c>
      <c r="C602" s="943"/>
      <c r="D602" s="77"/>
      <c r="E602" s="106"/>
      <c r="F602" s="86"/>
      <c r="G602" s="112"/>
    </row>
    <row r="603" spans="1:7" ht="14.25" thickTop="1" thickBot="1">
      <c r="A603" s="95"/>
      <c r="B603" s="946"/>
      <c r="C603" s="946"/>
      <c r="D603" s="946"/>
      <c r="E603" s="947"/>
      <c r="F603" s="119" t="s">
        <v>856</v>
      </c>
      <c r="G603" s="118">
        <f>SUM(G597:G602)</f>
        <v>203</v>
      </c>
    </row>
    <row r="604" spans="1:7" ht="14.25" thickTop="1" thickBot="1">
      <c r="A604" s="95"/>
      <c r="B604" s="970"/>
      <c r="C604" s="970"/>
      <c r="D604" s="970"/>
      <c r="E604" s="970"/>
      <c r="F604" s="970"/>
      <c r="G604" s="970"/>
    </row>
    <row r="605" spans="1:7" ht="13.5" thickTop="1">
      <c r="A605" s="95"/>
      <c r="B605" s="950" t="s">
        <v>311</v>
      </c>
      <c r="C605" s="951"/>
      <c r="D605" s="951"/>
      <c r="E605" s="951"/>
      <c r="F605" s="951"/>
      <c r="G605" s="952"/>
    </row>
    <row r="606" spans="1:7">
      <c r="A606" s="95"/>
      <c r="B606" s="978" t="s">
        <v>838</v>
      </c>
      <c r="C606" s="979"/>
      <c r="D606" s="98" t="s">
        <v>842</v>
      </c>
      <c r="E606" s="98" t="s">
        <v>853</v>
      </c>
      <c r="F606" s="99" t="s">
        <v>1047</v>
      </c>
      <c r="G606" s="107" t="s">
        <v>840</v>
      </c>
    </row>
    <row r="607" spans="1:7">
      <c r="A607" s="95"/>
      <c r="B607" s="230"/>
      <c r="C607" s="102"/>
      <c r="D607" s="100"/>
      <c r="E607" s="100" t="s">
        <v>312</v>
      </c>
      <c r="F607" s="101" t="s">
        <v>313</v>
      </c>
      <c r="G607" s="108" t="s">
        <v>314</v>
      </c>
    </row>
    <row r="608" spans="1:7">
      <c r="A608" s="123"/>
      <c r="B608" s="841" t="str">
        <f>MATERIALES2!$C$286</f>
        <v>PAPEL LIJA AGUA</v>
      </c>
      <c r="C608" s="842"/>
      <c r="D608" s="87" t="s">
        <v>865</v>
      </c>
      <c r="E608" s="81">
        <v>0.02</v>
      </c>
      <c r="F608" s="80">
        <f>MATERIALES2!$E$286</f>
        <v>1000</v>
      </c>
      <c r="G608" s="110">
        <f>ROUND(E608*F608,0)</f>
        <v>20</v>
      </c>
    </row>
    <row r="609" spans="1:8">
      <c r="A609" s="123"/>
      <c r="B609" s="854" t="str">
        <f>MATERIALES2!$C$11</f>
        <v>CAOLIN 25 KG</v>
      </c>
      <c r="C609" s="855"/>
      <c r="D609" s="37" t="s">
        <v>903</v>
      </c>
      <c r="E609" s="83">
        <v>0.01</v>
      </c>
      <c r="F609" s="82">
        <f>MATERIALES2!$E$11</f>
        <v>4414</v>
      </c>
      <c r="G609" s="111">
        <f>ROUND(E609*F609,0)</f>
        <v>44</v>
      </c>
    </row>
    <row r="610" spans="1:8">
      <c r="A610" s="123"/>
      <c r="B610" s="854" t="str">
        <f>MATERIALES2!$C$13</f>
        <v>CEMENTO GRIS</v>
      </c>
      <c r="C610" s="855"/>
      <c r="D610" s="37" t="s">
        <v>925</v>
      </c>
      <c r="E610" s="83">
        <v>0.1</v>
      </c>
      <c r="F610" s="82">
        <f>MATERIALES2!$E$13</f>
        <v>420</v>
      </c>
      <c r="G610" s="111">
        <f>ROUND(E610*F610,0)</f>
        <v>42</v>
      </c>
    </row>
    <row r="611" spans="1:8">
      <c r="A611" s="123"/>
      <c r="B611" s="854" t="str">
        <f>MATERIALES2!$C$16</f>
        <v>YESO 25 KG</v>
      </c>
      <c r="C611" s="855"/>
      <c r="D611" s="37" t="s">
        <v>903</v>
      </c>
      <c r="E611" s="83">
        <v>0.01</v>
      </c>
      <c r="F611" s="82">
        <f>MATERIALES2!$E$16</f>
        <v>14500</v>
      </c>
      <c r="G611" s="111">
        <f>ROUND(E611*F611,0)</f>
        <v>145</v>
      </c>
    </row>
    <row r="612" spans="1:8">
      <c r="A612" s="123"/>
      <c r="B612" s="854" t="str">
        <f>MATERIALES2!$C$28</f>
        <v>AGUA</v>
      </c>
      <c r="C612" s="855"/>
      <c r="D612" s="37" t="s">
        <v>1071</v>
      </c>
      <c r="E612" s="83">
        <v>1</v>
      </c>
      <c r="F612" s="82">
        <f>MATERIALES2!$E$28</f>
        <v>50</v>
      </c>
      <c r="G612" s="111">
        <f>ROUND(E612*F612,0)</f>
        <v>50</v>
      </c>
    </row>
    <row r="613" spans="1:8">
      <c r="A613" s="95"/>
      <c r="B613" s="854"/>
      <c r="C613" s="855"/>
      <c r="D613" s="37"/>
      <c r="E613" s="83"/>
      <c r="F613" s="82"/>
      <c r="G613" s="111"/>
    </row>
    <row r="614" spans="1:8">
      <c r="A614" s="95"/>
      <c r="B614" s="854"/>
      <c r="C614" s="855"/>
      <c r="D614" s="37"/>
      <c r="E614" s="83"/>
      <c r="F614" s="82"/>
      <c r="G614" s="111"/>
      <c r="H614" s="505" t="s">
        <v>1670</v>
      </c>
    </row>
    <row r="615" spans="1:8">
      <c r="A615" s="95"/>
      <c r="B615" s="938" t="s">
        <v>841</v>
      </c>
      <c r="C615" s="939"/>
      <c r="D615" s="53" t="s">
        <v>841</v>
      </c>
      <c r="E615" s="53"/>
      <c r="F615" s="82"/>
      <c r="G615" s="111"/>
    </row>
    <row r="616" spans="1:8" ht="13.5" thickBot="1">
      <c r="A616" s="95"/>
      <c r="B616" s="942" t="s">
        <v>841</v>
      </c>
      <c r="C616" s="943"/>
      <c r="D616" s="84" t="s">
        <v>841</v>
      </c>
      <c r="E616" s="84"/>
      <c r="F616" s="85"/>
      <c r="G616" s="112"/>
    </row>
    <row r="617" spans="1:8" ht="13.5" thickTop="1">
      <c r="A617" s="95"/>
      <c r="B617" s="946"/>
      <c r="C617" s="947"/>
      <c r="D617" s="801" t="s">
        <v>856</v>
      </c>
      <c r="E617" s="802"/>
      <c r="F617" s="9"/>
      <c r="G617" s="113">
        <f>SUM(G608:G616)</f>
        <v>301</v>
      </c>
    </row>
    <row r="618" spans="1:8">
      <c r="A618" s="95"/>
      <c r="B618" s="948"/>
      <c r="C618" s="949"/>
      <c r="D618" s="801" t="s">
        <v>857</v>
      </c>
      <c r="E618" s="802"/>
      <c r="F618" s="79">
        <f>'MANO DE OBRA'!$D$60</f>
        <v>0.05</v>
      </c>
      <c r="G618" s="113">
        <f>ROUND(G617*F618,0)</f>
        <v>15</v>
      </c>
    </row>
    <row r="619" spans="1:8" ht="13.5" thickBot="1">
      <c r="A619" s="95"/>
      <c r="B619" s="948"/>
      <c r="C619" s="949"/>
      <c r="D619" s="803" t="s">
        <v>320</v>
      </c>
      <c r="E619" s="804"/>
      <c r="F619" s="114"/>
      <c r="G619" s="118">
        <f>+G617+G618</f>
        <v>316</v>
      </c>
    </row>
    <row r="620" spans="1:8" ht="14.25" thickTop="1" thickBot="1">
      <c r="A620" s="95"/>
      <c r="B620" s="970"/>
      <c r="C620" s="970"/>
      <c r="D620" s="970"/>
      <c r="E620" s="970"/>
      <c r="F620" s="970"/>
      <c r="G620" s="970"/>
    </row>
    <row r="621" spans="1:8" ht="13.5" thickTop="1">
      <c r="A621" s="95"/>
      <c r="B621" s="950" t="s">
        <v>858</v>
      </c>
      <c r="C621" s="951"/>
      <c r="D621" s="951"/>
      <c r="E621" s="951"/>
      <c r="F621" s="951"/>
      <c r="G621" s="952"/>
    </row>
    <row r="622" spans="1:8">
      <c r="A622" s="95"/>
      <c r="B622" s="978"/>
      <c r="C622" s="979"/>
      <c r="D622" s="98" t="s">
        <v>301</v>
      </c>
      <c r="E622" s="98" t="s">
        <v>859</v>
      </c>
      <c r="F622" s="99" t="s">
        <v>839</v>
      </c>
      <c r="G622" s="107" t="s">
        <v>840</v>
      </c>
    </row>
    <row r="623" spans="1:8">
      <c r="A623" s="95"/>
      <c r="B623" s="982" t="s">
        <v>838</v>
      </c>
      <c r="C623" s="983"/>
      <c r="D623" s="100" t="s">
        <v>316</v>
      </c>
      <c r="E623" s="100" t="s">
        <v>315</v>
      </c>
      <c r="F623" s="101" t="s">
        <v>306</v>
      </c>
      <c r="G623" s="108" t="s">
        <v>319</v>
      </c>
    </row>
    <row r="624" spans="1:8">
      <c r="A624" s="95"/>
      <c r="B624" s="230"/>
      <c r="C624" s="102"/>
      <c r="D624" s="103"/>
      <c r="E624" s="103" t="s">
        <v>317</v>
      </c>
      <c r="F624" s="104" t="s">
        <v>318</v>
      </c>
      <c r="G624" s="109"/>
    </row>
    <row r="625" spans="1:7">
      <c r="A625" s="95"/>
      <c r="B625" s="841" t="str">
        <f>'MANO DE OBRA'!$B$12</f>
        <v>AYUDANTE CUAD. TIPO CC</v>
      </c>
      <c r="C625" s="842"/>
      <c r="D625" s="87">
        <v>1</v>
      </c>
      <c r="E625" s="80">
        <f>'MANO DE OBRA'!$E$12</f>
        <v>47255</v>
      </c>
      <c r="F625" s="81">
        <v>50</v>
      </c>
      <c r="G625" s="110">
        <f>ROUND(D625*E625/F625,0)</f>
        <v>945</v>
      </c>
    </row>
    <row r="626" spans="1:7">
      <c r="A626" s="95"/>
      <c r="B626" s="854" t="str">
        <f>'MANO DE OBRA'!$B$17</f>
        <v>OFICIAL CUAD. TIPO CC</v>
      </c>
      <c r="C626" s="855"/>
      <c r="D626" s="37">
        <v>1</v>
      </c>
      <c r="E626" s="82">
        <f>'MANO DE OBRA'!$E$17</f>
        <v>82117</v>
      </c>
      <c r="F626" s="83">
        <v>50</v>
      </c>
      <c r="G626" s="111">
        <f>ROUND(D626*E626/F626,0)</f>
        <v>1642</v>
      </c>
    </row>
    <row r="627" spans="1:7">
      <c r="A627" s="95"/>
      <c r="B627" s="854"/>
      <c r="C627" s="855"/>
      <c r="D627" s="89"/>
      <c r="E627" s="82"/>
      <c r="F627" s="83"/>
      <c r="G627" s="111"/>
    </row>
    <row r="628" spans="1:7">
      <c r="A628" s="95"/>
      <c r="B628" s="854" t="s">
        <v>841</v>
      </c>
      <c r="C628" s="855"/>
      <c r="D628" s="37"/>
      <c r="E628" s="82"/>
      <c r="F628" s="83"/>
      <c r="G628" s="111"/>
    </row>
    <row r="629" spans="1:7" ht="13.5" thickBot="1">
      <c r="A629" s="95"/>
      <c r="B629" s="980" t="s">
        <v>841</v>
      </c>
      <c r="C629" s="981"/>
      <c r="D629" s="77"/>
      <c r="E629" s="82"/>
      <c r="F629" s="86"/>
      <c r="G629" s="112"/>
    </row>
    <row r="630" spans="1:7" ht="14.25" thickTop="1" thickBot="1">
      <c r="A630" s="95"/>
      <c r="B630" s="946"/>
      <c r="C630" s="946"/>
      <c r="D630" s="946"/>
      <c r="E630" s="947"/>
      <c r="F630" s="120" t="s">
        <v>856</v>
      </c>
      <c r="G630" s="118">
        <f>SUM(G625:G629)</f>
        <v>2587</v>
      </c>
    </row>
    <row r="631" spans="1:7" ht="14.25" thickTop="1" thickBot="1">
      <c r="A631" s="95"/>
      <c r="B631" s="970"/>
      <c r="C631" s="970"/>
      <c r="D631" s="970"/>
      <c r="E631" s="970"/>
      <c r="F631" s="970"/>
      <c r="G631" s="970"/>
    </row>
    <row r="632" spans="1:7" ht="13.5" thickTop="1">
      <c r="A632" s="95"/>
      <c r="B632" s="950" t="s">
        <v>321</v>
      </c>
      <c r="C632" s="951"/>
      <c r="D632" s="951"/>
      <c r="E632" s="951"/>
      <c r="F632" s="951"/>
      <c r="G632" s="952"/>
    </row>
    <row r="633" spans="1:7">
      <c r="A633" s="95"/>
      <c r="B633" s="978" t="s">
        <v>838</v>
      </c>
      <c r="C633" s="979"/>
      <c r="D633" s="98" t="s">
        <v>301</v>
      </c>
      <c r="E633" s="98" t="s">
        <v>297</v>
      </c>
      <c r="F633" s="99" t="s">
        <v>839</v>
      </c>
      <c r="G633" s="107" t="s">
        <v>840</v>
      </c>
    </row>
    <row r="634" spans="1:7">
      <c r="A634" s="95"/>
      <c r="B634" s="230"/>
      <c r="C634" s="102"/>
      <c r="D634" s="103" t="s">
        <v>322</v>
      </c>
      <c r="E634" s="103" t="s">
        <v>323</v>
      </c>
      <c r="F634" s="104" t="s">
        <v>324</v>
      </c>
      <c r="G634" s="109" t="s">
        <v>325</v>
      </c>
    </row>
    <row r="635" spans="1:7">
      <c r="A635" s="95"/>
      <c r="B635" s="841"/>
      <c r="C635" s="842"/>
      <c r="D635" s="96"/>
      <c r="E635" s="96"/>
      <c r="F635" s="96"/>
      <c r="G635" s="116"/>
    </row>
    <row r="636" spans="1:7" ht="13.5" thickBot="1">
      <c r="A636" s="95"/>
      <c r="B636" s="980" t="s">
        <v>841</v>
      </c>
      <c r="C636" s="981"/>
      <c r="D636" s="77"/>
      <c r="E636" s="82"/>
      <c r="F636" s="86"/>
      <c r="G636" s="112"/>
    </row>
    <row r="637" spans="1:7" ht="14.25" thickTop="1" thickBot="1">
      <c r="A637" s="95"/>
      <c r="B637" s="946"/>
      <c r="C637" s="946"/>
      <c r="D637" s="946"/>
      <c r="E637" s="947"/>
      <c r="F637" s="120" t="s">
        <v>856</v>
      </c>
      <c r="G637" s="118">
        <f>SUM(G632:G636)</f>
        <v>0</v>
      </c>
    </row>
    <row r="638" spans="1:7" ht="14.25" thickTop="1" thickBot="1">
      <c r="A638" s="95"/>
      <c r="B638" s="970"/>
      <c r="C638" s="970"/>
      <c r="D638" s="970"/>
      <c r="E638" s="970"/>
      <c r="F638" s="970"/>
      <c r="G638" s="943"/>
    </row>
    <row r="639" spans="1:7" ht="13.5" thickTop="1">
      <c r="A639" s="95"/>
      <c r="B639" s="950" t="s">
        <v>326</v>
      </c>
      <c r="C639" s="951"/>
      <c r="D639" s="951"/>
      <c r="E639" s="951"/>
      <c r="F639" s="971"/>
      <c r="G639" s="121">
        <f>+G603+G619+G630</f>
        <v>3106</v>
      </c>
    </row>
    <row r="640" spans="1:7">
      <c r="A640" s="95"/>
      <c r="B640" s="972" t="s">
        <v>861</v>
      </c>
      <c r="C640" s="973"/>
      <c r="D640" s="973"/>
      <c r="E640" s="974"/>
      <c r="F640" s="128">
        <f>'MANO DE OBRA'!$D$59</f>
        <v>0</v>
      </c>
      <c r="G640" s="122">
        <f>ROUND(G639*F640,0)</f>
        <v>0</v>
      </c>
    </row>
    <row r="641" spans="1:8" ht="13.5" thickBot="1">
      <c r="A641" s="95"/>
      <c r="B641" s="975" t="s">
        <v>1049</v>
      </c>
      <c r="C641" s="976"/>
      <c r="D641" s="976"/>
      <c r="E641" s="976"/>
      <c r="F641" s="977"/>
      <c r="G641" s="118">
        <f>ROUND(G639+G640,-2)</f>
        <v>3100</v>
      </c>
      <c r="H641" s="505" t="s">
        <v>1670</v>
      </c>
    </row>
    <row r="642" spans="1:8" ht="15" thickTop="1">
      <c r="A642" s="95"/>
      <c r="B642" s="225" t="s">
        <v>303</v>
      </c>
      <c r="C642" s="843"/>
      <c r="D642" s="843"/>
      <c r="E642" s="843"/>
      <c r="F642" s="92" t="s">
        <v>781</v>
      </c>
      <c r="G642" s="93" t="s">
        <v>1067</v>
      </c>
    </row>
    <row r="643" spans="1:8">
      <c r="A643" s="95"/>
      <c r="B643" s="226" t="s">
        <v>834</v>
      </c>
      <c r="C643" s="844" t="s">
        <v>1518</v>
      </c>
      <c r="D643" s="844"/>
      <c r="E643" s="844"/>
      <c r="F643" s="15" t="s">
        <v>833</v>
      </c>
      <c r="G643" s="165" t="str">
        <f>'MANO DE OBRA'!D61</f>
        <v>Agosto de 2010</v>
      </c>
    </row>
    <row r="644" spans="1:8" ht="13.5" thickBot="1">
      <c r="A644" s="127"/>
      <c r="B644" s="228" t="s">
        <v>835</v>
      </c>
      <c r="C644" s="1001" t="s">
        <v>1530</v>
      </c>
      <c r="D644" s="1001"/>
      <c r="E644" s="1001"/>
      <c r="F644" s="1001"/>
      <c r="G644" s="1002"/>
    </row>
    <row r="645" spans="1:8" ht="14.25" thickTop="1" thickBot="1">
      <c r="A645" s="95"/>
      <c r="B645" s="986"/>
      <c r="C645" s="986"/>
      <c r="D645" s="986"/>
      <c r="E645" s="986"/>
      <c r="F645" s="986"/>
      <c r="G645" s="986"/>
    </row>
    <row r="646" spans="1:8" ht="13.5" thickTop="1">
      <c r="A646" s="95"/>
      <c r="B646" s="950" t="s">
        <v>304</v>
      </c>
      <c r="C646" s="951"/>
      <c r="D646" s="951"/>
      <c r="E646" s="951"/>
      <c r="F646" s="951"/>
      <c r="G646" s="952"/>
    </row>
    <row r="647" spans="1:8">
      <c r="A647" s="95"/>
      <c r="B647" s="229"/>
      <c r="C647" s="97"/>
      <c r="D647" s="98" t="s">
        <v>301</v>
      </c>
      <c r="E647" s="98" t="s">
        <v>1072</v>
      </c>
      <c r="F647" s="99" t="s">
        <v>839</v>
      </c>
      <c r="G647" s="107" t="s">
        <v>840</v>
      </c>
    </row>
    <row r="648" spans="1:8">
      <c r="A648" s="95"/>
      <c r="B648" s="982" t="s">
        <v>838</v>
      </c>
      <c r="C648" s="983"/>
      <c r="D648" s="100" t="s">
        <v>308</v>
      </c>
      <c r="E648" s="100" t="s">
        <v>305</v>
      </c>
      <c r="F648" s="101" t="s">
        <v>306</v>
      </c>
      <c r="G648" s="108" t="s">
        <v>310</v>
      </c>
    </row>
    <row r="649" spans="1:8">
      <c r="A649" s="95"/>
      <c r="B649" s="230"/>
      <c r="C649" s="102"/>
      <c r="D649" s="103"/>
      <c r="E649" s="103" t="s">
        <v>309</v>
      </c>
      <c r="F649" s="104" t="s">
        <v>307</v>
      </c>
      <c r="G649" s="109"/>
    </row>
    <row r="650" spans="1:8">
      <c r="A650" s="127"/>
      <c r="B650" s="841" t="str">
        <f>'MAQUINARIA Y EQUIPOS'!$C$28</f>
        <v>HERRAMIENTAS MENORES</v>
      </c>
      <c r="C650" s="842"/>
      <c r="D650" s="87">
        <v>1</v>
      </c>
      <c r="E650" s="82">
        <f>ROUND(G683*0.05,0)</f>
        <v>129</v>
      </c>
      <c r="F650" s="81">
        <v>1</v>
      </c>
      <c r="G650" s="110">
        <f>ROUND(D650*E650/F650,0)</f>
        <v>129</v>
      </c>
    </row>
    <row r="651" spans="1:8">
      <c r="A651" s="95"/>
      <c r="B651" s="854" t="str">
        <f>'MAQUINARIA Y EQUIPOS'!$C$9</f>
        <v>ANDAMIO TUBULAR 1.50 m</v>
      </c>
      <c r="C651" s="855"/>
      <c r="D651" s="37">
        <v>4</v>
      </c>
      <c r="E651" s="129">
        <f>'MAQUINARIA Y EQUIPOS'!$D$9</f>
        <v>754</v>
      </c>
      <c r="F651" s="83">
        <f>F678</f>
        <v>50</v>
      </c>
      <c r="G651" s="111">
        <f>ROUND(D651*E651/F651,0)</f>
        <v>60</v>
      </c>
    </row>
    <row r="652" spans="1:8">
      <c r="A652" s="95"/>
      <c r="B652" s="854" t="str">
        <f>'MAQUINARIA Y EQUIPOS'!$C$47</f>
        <v>TABLONES 3m</v>
      </c>
      <c r="C652" s="855"/>
      <c r="D652" s="37">
        <v>2</v>
      </c>
      <c r="E652" s="129">
        <f>'MAQUINARIA Y EQUIPOS'!$D$47</f>
        <v>348</v>
      </c>
      <c r="F652" s="83">
        <f>F678</f>
        <v>50</v>
      </c>
      <c r="G652" s="111">
        <f>ROUND(D652*E652/F652,0)</f>
        <v>14</v>
      </c>
    </row>
    <row r="653" spans="1:8">
      <c r="A653" s="95"/>
      <c r="B653" s="854"/>
      <c r="C653" s="855"/>
      <c r="D653" s="89"/>
      <c r="E653" s="82"/>
      <c r="F653" s="83"/>
      <c r="G653" s="111"/>
    </row>
    <row r="654" spans="1:8">
      <c r="A654" s="95"/>
      <c r="B654" s="854" t="s">
        <v>841</v>
      </c>
      <c r="C654" s="855"/>
      <c r="D654" s="37"/>
      <c r="E654" s="82"/>
      <c r="F654" s="83"/>
      <c r="G654" s="111"/>
    </row>
    <row r="655" spans="1:8" ht="13.5" thickBot="1">
      <c r="A655" s="95"/>
      <c r="B655" s="942" t="s">
        <v>841</v>
      </c>
      <c r="C655" s="943"/>
      <c r="D655" s="77"/>
      <c r="E655" s="106"/>
      <c r="F655" s="86"/>
      <c r="G655" s="112"/>
    </row>
    <row r="656" spans="1:8" ht="14.25" thickTop="1" thickBot="1">
      <c r="A656" s="95"/>
      <c r="B656" s="946"/>
      <c r="C656" s="946"/>
      <c r="D656" s="946"/>
      <c r="E656" s="947"/>
      <c r="F656" s="119" t="s">
        <v>856</v>
      </c>
      <c r="G656" s="118">
        <f>SUM(G650:G655)</f>
        <v>203</v>
      </c>
    </row>
    <row r="657" spans="1:8" ht="14.25" thickTop="1" thickBot="1">
      <c r="A657" s="95"/>
      <c r="B657" s="970"/>
      <c r="C657" s="970"/>
      <c r="D657" s="970"/>
      <c r="E657" s="970"/>
      <c r="F657" s="970"/>
      <c r="G657" s="970"/>
    </row>
    <row r="658" spans="1:8" ht="13.5" thickTop="1">
      <c r="A658" s="95"/>
      <c r="B658" s="950" t="s">
        <v>311</v>
      </c>
      <c r="C658" s="951"/>
      <c r="D658" s="951"/>
      <c r="E658" s="951"/>
      <c r="F658" s="951"/>
      <c r="G658" s="952"/>
    </row>
    <row r="659" spans="1:8">
      <c r="A659" s="95"/>
      <c r="B659" s="978" t="s">
        <v>838</v>
      </c>
      <c r="C659" s="979"/>
      <c r="D659" s="98" t="s">
        <v>842</v>
      </c>
      <c r="E659" s="98" t="s">
        <v>853</v>
      </c>
      <c r="F659" s="99" t="s">
        <v>1047</v>
      </c>
      <c r="G659" s="107" t="s">
        <v>840</v>
      </c>
    </row>
    <row r="660" spans="1:8">
      <c r="A660" s="95"/>
      <c r="B660" s="230"/>
      <c r="C660" s="102"/>
      <c r="D660" s="100"/>
      <c r="E660" s="100" t="s">
        <v>312</v>
      </c>
      <c r="F660" s="101" t="s">
        <v>313</v>
      </c>
      <c r="G660" s="108" t="s">
        <v>314</v>
      </c>
    </row>
    <row r="661" spans="1:8">
      <c r="A661" s="123"/>
      <c r="B661" s="841" t="str">
        <f>MATERIALES2!$C$28</f>
        <v>AGUA</v>
      </c>
      <c r="C661" s="842"/>
      <c r="D661" s="87" t="s">
        <v>1071</v>
      </c>
      <c r="E661" s="81">
        <v>0.16</v>
      </c>
      <c r="F661" s="80">
        <f>MATERIALES2!$E$28</f>
        <v>50</v>
      </c>
      <c r="G661" s="110">
        <f>ROUND(E661*F661,0)</f>
        <v>8</v>
      </c>
    </row>
    <row r="662" spans="1:8">
      <c r="A662" s="123"/>
      <c r="B662" s="854" t="str">
        <f>MATERIALES2!$C$14</f>
        <v>MARMOLINA 65 KG</v>
      </c>
      <c r="C662" s="855"/>
      <c r="D662" s="37" t="s">
        <v>903</v>
      </c>
      <c r="E662" s="83">
        <v>0.19</v>
      </c>
      <c r="F662" s="82">
        <f>MATERIALES2!$E$14</f>
        <v>8895</v>
      </c>
      <c r="G662" s="111">
        <f>ROUND(E662*F662,0)</f>
        <v>1690</v>
      </c>
    </row>
    <row r="663" spans="1:8">
      <c r="A663" s="123"/>
      <c r="B663" s="854" t="str">
        <f>MATERIALES2!$C$282</f>
        <v>PIGMENTO SOBRE GRANIPLAST PREPARADO</v>
      </c>
      <c r="C663" s="855"/>
      <c r="D663" s="37" t="s">
        <v>903</v>
      </c>
      <c r="E663" s="141">
        <v>0.04</v>
      </c>
      <c r="F663" s="82">
        <f>MATERIALES2!$E$282</f>
        <v>25000</v>
      </c>
      <c r="G663" s="111">
        <f>ROUND(E663*F663,0)</f>
        <v>1000</v>
      </c>
    </row>
    <row r="664" spans="1:8">
      <c r="A664" s="123"/>
      <c r="B664" s="854" t="str">
        <f>MATERIALES2!$C$12</f>
        <v>CEMENTO BLANCO</v>
      </c>
      <c r="C664" s="855"/>
      <c r="D664" s="37" t="s">
        <v>925</v>
      </c>
      <c r="E664" s="83">
        <v>1.05</v>
      </c>
      <c r="F664" s="82">
        <f>MATERIALES2!$E$12</f>
        <v>750</v>
      </c>
      <c r="G664" s="111">
        <f>ROUND(E664*F664,0)</f>
        <v>788</v>
      </c>
    </row>
    <row r="665" spans="1:8">
      <c r="A665" s="123"/>
      <c r="B665" s="854"/>
      <c r="C665" s="855"/>
      <c r="D665" s="37"/>
      <c r="E665" s="83"/>
      <c r="F665" s="82"/>
      <c r="G665" s="111"/>
    </row>
    <row r="666" spans="1:8">
      <c r="A666" s="95"/>
      <c r="B666" s="854"/>
      <c r="C666" s="855"/>
      <c r="D666" s="37"/>
      <c r="E666" s="83"/>
      <c r="F666" s="82"/>
      <c r="G666" s="111"/>
    </row>
    <row r="667" spans="1:8">
      <c r="A667" s="95"/>
      <c r="B667" s="854"/>
      <c r="C667" s="855"/>
      <c r="D667" s="37"/>
      <c r="E667" s="83"/>
      <c r="F667" s="82"/>
      <c r="G667" s="111"/>
      <c r="H667" s="505" t="s">
        <v>1670</v>
      </c>
    </row>
    <row r="668" spans="1:8">
      <c r="A668" s="95"/>
      <c r="B668" s="938" t="s">
        <v>841</v>
      </c>
      <c r="C668" s="939"/>
      <c r="D668" s="53" t="s">
        <v>841</v>
      </c>
      <c r="E668" s="53"/>
      <c r="F668" s="82"/>
      <c r="G668" s="111"/>
    </row>
    <row r="669" spans="1:8" ht="13.5" thickBot="1">
      <c r="A669" s="95"/>
      <c r="B669" s="942" t="s">
        <v>841</v>
      </c>
      <c r="C669" s="943"/>
      <c r="D669" s="84" t="s">
        <v>841</v>
      </c>
      <c r="E669" s="84"/>
      <c r="F669" s="85"/>
      <c r="G669" s="112"/>
    </row>
    <row r="670" spans="1:8" ht="13.5" thickTop="1">
      <c r="A670" s="95"/>
      <c r="B670" s="946"/>
      <c r="C670" s="947"/>
      <c r="D670" s="801" t="s">
        <v>856</v>
      </c>
      <c r="E670" s="802"/>
      <c r="F670" s="9"/>
      <c r="G670" s="113">
        <f>SUM(G661:G669)</f>
        <v>3486</v>
      </c>
    </row>
    <row r="671" spans="1:8">
      <c r="A671" s="95"/>
      <c r="B671" s="948"/>
      <c r="C671" s="949"/>
      <c r="D671" s="801" t="s">
        <v>857</v>
      </c>
      <c r="E671" s="802"/>
      <c r="F671" s="79">
        <f>'MANO DE OBRA'!$D$60</f>
        <v>0.05</v>
      </c>
      <c r="G671" s="113">
        <f>ROUND(G670*F671,0)</f>
        <v>174</v>
      </c>
    </row>
    <row r="672" spans="1:8" ht="13.5" thickBot="1">
      <c r="A672" s="95"/>
      <c r="B672" s="948"/>
      <c r="C672" s="949"/>
      <c r="D672" s="803" t="s">
        <v>320</v>
      </c>
      <c r="E672" s="804"/>
      <c r="F672" s="114"/>
      <c r="G672" s="118">
        <f>+G670+G671</f>
        <v>3660</v>
      </c>
    </row>
    <row r="673" spans="1:7" ht="14.25" thickTop="1" thickBot="1">
      <c r="A673" s="95"/>
      <c r="B673" s="970"/>
      <c r="C673" s="970"/>
      <c r="D673" s="970"/>
      <c r="E673" s="970"/>
      <c r="F673" s="970"/>
      <c r="G673" s="970"/>
    </row>
    <row r="674" spans="1:7" ht="13.5" thickTop="1">
      <c r="A674" s="95"/>
      <c r="B674" s="950" t="s">
        <v>858</v>
      </c>
      <c r="C674" s="951"/>
      <c r="D674" s="951"/>
      <c r="E674" s="951"/>
      <c r="F674" s="951"/>
      <c r="G674" s="952"/>
    </row>
    <row r="675" spans="1:7">
      <c r="A675" s="95"/>
      <c r="B675" s="978"/>
      <c r="C675" s="979"/>
      <c r="D675" s="98" t="s">
        <v>301</v>
      </c>
      <c r="E675" s="98" t="s">
        <v>859</v>
      </c>
      <c r="F675" s="99" t="s">
        <v>839</v>
      </c>
      <c r="G675" s="107" t="s">
        <v>840</v>
      </c>
    </row>
    <row r="676" spans="1:7">
      <c r="A676" s="95"/>
      <c r="B676" s="982" t="s">
        <v>838</v>
      </c>
      <c r="C676" s="983"/>
      <c r="D676" s="100" t="s">
        <v>316</v>
      </c>
      <c r="E676" s="100" t="s">
        <v>315</v>
      </c>
      <c r="F676" s="101" t="s">
        <v>306</v>
      </c>
      <c r="G676" s="108" t="s">
        <v>319</v>
      </c>
    </row>
    <row r="677" spans="1:7">
      <c r="A677" s="95"/>
      <c r="B677" s="230"/>
      <c r="C677" s="102"/>
      <c r="D677" s="103"/>
      <c r="E677" s="103" t="s">
        <v>317</v>
      </c>
      <c r="F677" s="104" t="s">
        <v>318</v>
      </c>
      <c r="G677" s="109"/>
    </row>
    <row r="678" spans="1:7">
      <c r="A678" s="95"/>
      <c r="B678" s="841" t="str">
        <f>'MANO DE OBRA'!$B$12</f>
        <v>AYUDANTE CUAD. TIPO CC</v>
      </c>
      <c r="C678" s="842"/>
      <c r="D678" s="87">
        <v>1</v>
      </c>
      <c r="E678" s="80">
        <f>'MANO DE OBRA'!$E$12</f>
        <v>47255</v>
      </c>
      <c r="F678" s="81">
        <v>50</v>
      </c>
      <c r="G678" s="110">
        <f>ROUND(D678*E678/F678,0)</f>
        <v>945</v>
      </c>
    </row>
    <row r="679" spans="1:7">
      <c r="A679" s="95"/>
      <c r="B679" s="854" t="str">
        <f>'MANO DE OBRA'!$B$17</f>
        <v>OFICIAL CUAD. TIPO CC</v>
      </c>
      <c r="C679" s="855"/>
      <c r="D679" s="37">
        <v>1</v>
      </c>
      <c r="E679" s="82">
        <f>'MANO DE OBRA'!$E$17</f>
        <v>82117</v>
      </c>
      <c r="F679" s="83">
        <v>50</v>
      </c>
      <c r="G679" s="111">
        <f>ROUND(D679*E679/F679,0)</f>
        <v>1642</v>
      </c>
    </row>
    <row r="680" spans="1:7">
      <c r="A680" s="95"/>
      <c r="B680" s="854"/>
      <c r="C680" s="855"/>
      <c r="D680" s="89"/>
      <c r="E680" s="82"/>
      <c r="F680" s="83"/>
      <c r="G680" s="111"/>
    </row>
    <row r="681" spans="1:7">
      <c r="A681" s="95"/>
      <c r="B681" s="854" t="s">
        <v>841</v>
      </c>
      <c r="C681" s="855"/>
      <c r="D681" s="37"/>
      <c r="E681" s="82"/>
      <c r="F681" s="83"/>
      <c r="G681" s="111"/>
    </row>
    <row r="682" spans="1:7" ht="13.5" thickBot="1">
      <c r="A682" s="95"/>
      <c r="B682" s="980" t="s">
        <v>841</v>
      </c>
      <c r="C682" s="981"/>
      <c r="D682" s="77"/>
      <c r="E682" s="82"/>
      <c r="F682" s="86"/>
      <c r="G682" s="112"/>
    </row>
    <row r="683" spans="1:7" ht="14.25" thickTop="1" thickBot="1">
      <c r="A683" s="95"/>
      <c r="B683" s="946"/>
      <c r="C683" s="946"/>
      <c r="D683" s="946"/>
      <c r="E683" s="947"/>
      <c r="F683" s="120" t="s">
        <v>856</v>
      </c>
      <c r="G683" s="118">
        <f>SUM(G678:G682)</f>
        <v>2587</v>
      </c>
    </row>
    <row r="684" spans="1:7" ht="14.25" thickTop="1" thickBot="1">
      <c r="A684" s="95"/>
      <c r="B684" s="970"/>
      <c r="C684" s="970"/>
      <c r="D684" s="970"/>
      <c r="E684" s="970"/>
      <c r="F684" s="970"/>
      <c r="G684" s="970"/>
    </row>
    <row r="685" spans="1:7" ht="13.5" thickTop="1">
      <c r="A685" s="95"/>
      <c r="B685" s="950" t="s">
        <v>321</v>
      </c>
      <c r="C685" s="951"/>
      <c r="D685" s="951"/>
      <c r="E685" s="951"/>
      <c r="F685" s="951"/>
      <c r="G685" s="952"/>
    </row>
    <row r="686" spans="1:7">
      <c r="A686" s="95"/>
      <c r="B686" s="978" t="s">
        <v>838</v>
      </c>
      <c r="C686" s="979"/>
      <c r="D686" s="98" t="s">
        <v>301</v>
      </c>
      <c r="E686" s="98" t="s">
        <v>297</v>
      </c>
      <c r="F686" s="99" t="s">
        <v>839</v>
      </c>
      <c r="G686" s="107" t="s">
        <v>840</v>
      </c>
    </row>
    <row r="687" spans="1:7">
      <c r="A687" s="95"/>
      <c r="B687" s="230"/>
      <c r="C687" s="102"/>
      <c r="D687" s="103" t="s">
        <v>322</v>
      </c>
      <c r="E687" s="103" t="s">
        <v>323</v>
      </c>
      <c r="F687" s="104" t="s">
        <v>324</v>
      </c>
      <c r="G687" s="109" t="s">
        <v>325</v>
      </c>
    </row>
    <row r="688" spans="1:7">
      <c r="A688" s="95"/>
      <c r="B688" s="841"/>
      <c r="C688" s="842"/>
      <c r="D688" s="96"/>
      <c r="E688" s="96"/>
      <c r="F688" s="96"/>
      <c r="G688" s="116"/>
    </row>
    <row r="689" spans="1:8" ht="13.5" thickBot="1">
      <c r="A689" s="95"/>
      <c r="B689" s="980" t="s">
        <v>841</v>
      </c>
      <c r="C689" s="981"/>
      <c r="D689" s="77"/>
      <c r="E689" s="82"/>
      <c r="F689" s="86"/>
      <c r="G689" s="112"/>
    </row>
    <row r="690" spans="1:8" ht="14.25" thickTop="1" thickBot="1">
      <c r="A690" s="95"/>
      <c r="B690" s="946"/>
      <c r="C690" s="946"/>
      <c r="D690" s="946"/>
      <c r="E690" s="947"/>
      <c r="F690" s="120" t="s">
        <v>856</v>
      </c>
      <c r="G690" s="118">
        <f>SUM(G685:G689)</f>
        <v>0</v>
      </c>
    </row>
    <row r="691" spans="1:8" ht="14.25" thickTop="1" thickBot="1">
      <c r="A691" s="95"/>
      <c r="B691" s="970"/>
      <c r="C691" s="970"/>
      <c r="D691" s="970"/>
      <c r="E691" s="970"/>
      <c r="F691" s="970"/>
      <c r="G691" s="943"/>
    </row>
    <row r="692" spans="1:8" ht="13.5" thickTop="1">
      <c r="A692" s="95"/>
      <c r="B692" s="950" t="s">
        <v>326</v>
      </c>
      <c r="C692" s="951"/>
      <c r="D692" s="951"/>
      <c r="E692" s="951"/>
      <c r="F692" s="971"/>
      <c r="G692" s="121">
        <f>+G656+G672+G683</f>
        <v>6450</v>
      </c>
    </row>
    <row r="693" spans="1:8">
      <c r="A693" s="95"/>
      <c r="B693" s="972" t="s">
        <v>861</v>
      </c>
      <c r="C693" s="973"/>
      <c r="D693" s="973"/>
      <c r="E693" s="974"/>
      <c r="F693" s="128">
        <f>'MANO DE OBRA'!$D$59</f>
        <v>0</v>
      </c>
      <c r="G693" s="122">
        <f>ROUND(G692*F693,0)</f>
        <v>0</v>
      </c>
    </row>
    <row r="694" spans="1:8" ht="13.5" thickBot="1">
      <c r="A694" s="95"/>
      <c r="B694" s="975" t="s">
        <v>1049</v>
      </c>
      <c r="C694" s="976"/>
      <c r="D694" s="976"/>
      <c r="E694" s="976"/>
      <c r="F694" s="977"/>
      <c r="G694" s="118">
        <f>ROUND(G692+G693,-2)</f>
        <v>6500</v>
      </c>
      <c r="H694" s="505" t="s">
        <v>1670</v>
      </c>
    </row>
    <row r="695" spans="1:8" ht="15" thickTop="1">
      <c r="A695" s="95"/>
      <c r="B695" s="225" t="s">
        <v>303</v>
      </c>
      <c r="C695" s="843"/>
      <c r="D695" s="843"/>
      <c r="E695" s="843"/>
      <c r="F695" s="92" t="s">
        <v>781</v>
      </c>
      <c r="G695" s="93" t="s">
        <v>1067</v>
      </c>
    </row>
    <row r="696" spans="1:8">
      <c r="A696" s="95"/>
      <c r="B696" s="226" t="s">
        <v>834</v>
      </c>
      <c r="C696" s="844" t="s">
        <v>1518</v>
      </c>
      <c r="D696" s="844"/>
      <c r="E696" s="844"/>
      <c r="F696" s="15" t="s">
        <v>833</v>
      </c>
      <c r="G696" s="165" t="str">
        <f>'MANO DE OBRA'!D61</f>
        <v>Agosto de 2010</v>
      </c>
    </row>
    <row r="697" spans="1:8" ht="13.5" thickBot="1">
      <c r="A697" s="127"/>
      <c r="B697" s="228" t="s">
        <v>835</v>
      </c>
      <c r="C697" s="1001" t="s">
        <v>1531</v>
      </c>
      <c r="D697" s="1001"/>
      <c r="E697" s="1001"/>
      <c r="F697" s="1001"/>
      <c r="G697" s="1002"/>
    </row>
    <row r="698" spans="1:8" ht="14.25" thickTop="1" thickBot="1">
      <c r="A698" s="95"/>
      <c r="B698" s="986"/>
      <c r="C698" s="986"/>
      <c r="D698" s="986"/>
      <c r="E698" s="986"/>
      <c r="F698" s="986"/>
      <c r="G698" s="986"/>
    </row>
    <row r="699" spans="1:8" ht="13.5" thickTop="1">
      <c r="A699" s="95"/>
      <c r="B699" s="950" t="s">
        <v>304</v>
      </c>
      <c r="C699" s="951"/>
      <c r="D699" s="951"/>
      <c r="E699" s="951"/>
      <c r="F699" s="951"/>
      <c r="G699" s="952"/>
    </row>
    <row r="700" spans="1:8">
      <c r="A700" s="95"/>
      <c r="B700" s="229"/>
      <c r="C700" s="97"/>
      <c r="D700" s="98" t="s">
        <v>301</v>
      </c>
      <c r="E700" s="98" t="s">
        <v>1072</v>
      </c>
      <c r="F700" s="99" t="s">
        <v>839</v>
      </c>
      <c r="G700" s="107" t="s">
        <v>840</v>
      </c>
    </row>
    <row r="701" spans="1:8">
      <c r="A701" s="95"/>
      <c r="B701" s="982" t="s">
        <v>838</v>
      </c>
      <c r="C701" s="983"/>
      <c r="D701" s="100" t="s">
        <v>308</v>
      </c>
      <c r="E701" s="100" t="s">
        <v>305</v>
      </c>
      <c r="F701" s="101" t="s">
        <v>306</v>
      </c>
      <c r="G701" s="108" t="s">
        <v>310</v>
      </c>
    </row>
    <row r="702" spans="1:8">
      <c r="A702" s="95"/>
      <c r="B702" s="230"/>
      <c r="C702" s="102"/>
      <c r="D702" s="103"/>
      <c r="E702" s="103" t="s">
        <v>309</v>
      </c>
      <c r="F702" s="104" t="s">
        <v>307</v>
      </c>
      <c r="G702" s="109"/>
    </row>
    <row r="703" spans="1:8">
      <c r="A703" s="127"/>
      <c r="B703" s="841" t="str">
        <f>'MAQUINARIA Y EQUIPOS'!$C$28</f>
        <v>HERRAMIENTAS MENORES</v>
      </c>
      <c r="C703" s="842"/>
      <c r="D703" s="87">
        <v>1</v>
      </c>
      <c r="E703" s="82">
        <f>ROUND(G736*0.05,0)</f>
        <v>105</v>
      </c>
      <c r="F703" s="81">
        <v>1</v>
      </c>
      <c r="G703" s="110">
        <f>ROUND(D703*E703/F703,0)</f>
        <v>105</v>
      </c>
    </row>
    <row r="704" spans="1:8">
      <c r="A704" s="95"/>
      <c r="B704" s="854" t="str">
        <f>'MAQUINARIA Y EQUIPOS'!$C$9</f>
        <v>ANDAMIO TUBULAR 1.50 m</v>
      </c>
      <c r="C704" s="855"/>
      <c r="D704" s="37">
        <v>4</v>
      </c>
      <c r="E704" s="129">
        <f>'MAQUINARIA Y EQUIPOS'!$D$9</f>
        <v>754</v>
      </c>
      <c r="F704" s="83">
        <f>F731</f>
        <v>61.54</v>
      </c>
      <c r="G704" s="111">
        <f>ROUND(D704*E704/F704,0)</f>
        <v>49</v>
      </c>
    </row>
    <row r="705" spans="1:8">
      <c r="A705" s="95"/>
      <c r="B705" s="854" t="str">
        <f>'MAQUINARIA Y EQUIPOS'!$C$47</f>
        <v>TABLONES 3m</v>
      </c>
      <c r="C705" s="855"/>
      <c r="D705" s="37">
        <v>2</v>
      </c>
      <c r="E705" s="129">
        <f>'MAQUINARIA Y EQUIPOS'!$D$47</f>
        <v>348</v>
      </c>
      <c r="F705" s="83">
        <f>F731</f>
        <v>61.54</v>
      </c>
      <c r="G705" s="111">
        <f>ROUND(D705*E705/F705,0)</f>
        <v>11</v>
      </c>
    </row>
    <row r="706" spans="1:8">
      <c r="A706" s="95"/>
      <c r="B706" s="854"/>
      <c r="C706" s="855"/>
      <c r="D706" s="89"/>
      <c r="E706" s="82"/>
      <c r="F706" s="83"/>
      <c r="G706" s="111"/>
    </row>
    <row r="707" spans="1:8">
      <c r="A707" s="95"/>
      <c r="B707" s="854" t="s">
        <v>841</v>
      </c>
      <c r="C707" s="855"/>
      <c r="D707" s="37"/>
      <c r="E707" s="82"/>
      <c r="F707" s="83"/>
      <c r="G707" s="111"/>
    </row>
    <row r="708" spans="1:8" ht="13.5" thickBot="1">
      <c r="A708" s="95"/>
      <c r="B708" s="942" t="s">
        <v>841</v>
      </c>
      <c r="C708" s="943"/>
      <c r="D708" s="77"/>
      <c r="E708" s="106"/>
      <c r="F708" s="86"/>
      <c r="G708" s="112"/>
    </row>
    <row r="709" spans="1:8" ht="14.25" thickTop="1" thickBot="1">
      <c r="A709" s="95"/>
      <c r="B709" s="946"/>
      <c r="C709" s="946"/>
      <c r="D709" s="946"/>
      <c r="E709" s="947"/>
      <c r="F709" s="119" t="s">
        <v>856</v>
      </c>
      <c r="G709" s="118">
        <f>SUM(G703:G708)</f>
        <v>165</v>
      </c>
    </row>
    <row r="710" spans="1:8" ht="14.25" thickTop="1" thickBot="1">
      <c r="A710" s="95"/>
      <c r="B710" s="970"/>
      <c r="C710" s="970"/>
      <c r="D710" s="970"/>
      <c r="E710" s="970"/>
      <c r="F710" s="970"/>
      <c r="G710" s="970"/>
    </row>
    <row r="711" spans="1:8" ht="13.5" thickTop="1">
      <c r="A711" s="95"/>
      <c r="B711" s="950" t="s">
        <v>311</v>
      </c>
      <c r="C711" s="951"/>
      <c r="D711" s="951"/>
      <c r="E711" s="951"/>
      <c r="F711" s="951"/>
      <c r="G711" s="952"/>
    </row>
    <row r="712" spans="1:8">
      <c r="A712" s="95"/>
      <c r="B712" s="978" t="s">
        <v>838</v>
      </c>
      <c r="C712" s="979"/>
      <c r="D712" s="98" t="s">
        <v>842</v>
      </c>
      <c r="E712" s="98" t="s">
        <v>853</v>
      </c>
      <c r="F712" s="99" t="s">
        <v>1047</v>
      </c>
      <c r="G712" s="107" t="s">
        <v>840</v>
      </c>
    </row>
    <row r="713" spans="1:8">
      <c r="A713" s="95"/>
      <c r="B713" s="230"/>
      <c r="C713" s="102"/>
      <c r="D713" s="100"/>
      <c r="E713" s="100" t="s">
        <v>312</v>
      </c>
      <c r="F713" s="101" t="s">
        <v>313</v>
      </c>
      <c r="G713" s="108" t="s">
        <v>314</v>
      </c>
    </row>
    <row r="714" spans="1:8">
      <c r="A714" s="123"/>
      <c r="B714" s="841" t="str">
        <f>MATERIALES2!$C$295</f>
        <v>VINILTEX PINTUCO</v>
      </c>
      <c r="C714" s="842"/>
      <c r="D714" s="87" t="s">
        <v>556</v>
      </c>
      <c r="E714" s="81">
        <v>0.04</v>
      </c>
      <c r="F714" s="80">
        <f>MATERIALES2!$E$295</f>
        <v>55000</v>
      </c>
      <c r="G714" s="110">
        <f>ROUND(E714*F714,0)</f>
        <v>2200</v>
      </c>
    </row>
    <row r="715" spans="1:8">
      <c r="A715" s="123"/>
      <c r="B715" s="854"/>
      <c r="C715" s="855"/>
      <c r="D715" s="37"/>
      <c r="E715" s="83"/>
      <c r="F715" s="82"/>
      <c r="G715" s="111"/>
    </row>
    <row r="716" spans="1:8">
      <c r="A716" s="123"/>
      <c r="B716" s="854"/>
      <c r="C716" s="855"/>
      <c r="D716" s="37"/>
      <c r="E716" s="141"/>
      <c r="F716" s="82"/>
      <c r="G716" s="111"/>
    </row>
    <row r="717" spans="1:8">
      <c r="A717" s="123"/>
      <c r="B717" s="854"/>
      <c r="C717" s="855"/>
      <c r="D717" s="37"/>
      <c r="E717" s="83"/>
      <c r="F717" s="82"/>
      <c r="G717" s="111"/>
    </row>
    <row r="718" spans="1:8">
      <c r="A718" s="123"/>
      <c r="B718" s="854"/>
      <c r="C718" s="855"/>
      <c r="D718" s="37"/>
      <c r="E718" s="83"/>
      <c r="F718" s="82"/>
      <c r="G718" s="111"/>
    </row>
    <row r="719" spans="1:8">
      <c r="A719" s="95"/>
      <c r="B719" s="854"/>
      <c r="C719" s="855"/>
      <c r="D719" s="37"/>
      <c r="E719" s="83"/>
      <c r="F719" s="82"/>
      <c r="G719" s="111"/>
    </row>
    <row r="720" spans="1:8">
      <c r="A720" s="95"/>
      <c r="B720" s="854"/>
      <c r="C720" s="855"/>
      <c r="D720" s="37"/>
      <c r="E720" s="83"/>
      <c r="F720" s="82"/>
      <c r="G720" s="111"/>
      <c r="H720" s="505" t="s">
        <v>1670</v>
      </c>
    </row>
    <row r="721" spans="1:7">
      <c r="A721" s="95"/>
      <c r="B721" s="938" t="s">
        <v>841</v>
      </c>
      <c r="C721" s="939"/>
      <c r="D721" s="53" t="s">
        <v>841</v>
      </c>
      <c r="E721" s="53"/>
      <c r="F721" s="82"/>
      <c r="G721" s="111"/>
    </row>
    <row r="722" spans="1:7" ht="13.5" thickBot="1">
      <c r="A722" s="95"/>
      <c r="B722" s="942" t="s">
        <v>841</v>
      </c>
      <c r="C722" s="943"/>
      <c r="D722" s="84" t="s">
        <v>841</v>
      </c>
      <c r="E722" s="84"/>
      <c r="F722" s="85"/>
      <c r="G722" s="112"/>
    </row>
    <row r="723" spans="1:7" ht="13.5" thickTop="1">
      <c r="A723" s="95"/>
      <c r="B723" s="946"/>
      <c r="C723" s="947"/>
      <c r="D723" s="801" t="s">
        <v>856</v>
      </c>
      <c r="E723" s="802"/>
      <c r="F723" s="9"/>
      <c r="G723" s="113">
        <f>SUM(G714:G722)</f>
        <v>2200</v>
      </c>
    </row>
    <row r="724" spans="1:7">
      <c r="A724" s="95"/>
      <c r="B724" s="948"/>
      <c r="C724" s="949"/>
      <c r="D724" s="801" t="s">
        <v>857</v>
      </c>
      <c r="E724" s="802"/>
      <c r="F724" s="79">
        <f>'MANO DE OBRA'!$D$60</f>
        <v>0.05</v>
      </c>
      <c r="G724" s="113">
        <f>ROUND(G723*F724,0)</f>
        <v>110</v>
      </c>
    </row>
    <row r="725" spans="1:7" ht="13.5" thickBot="1">
      <c r="A725" s="95"/>
      <c r="B725" s="948"/>
      <c r="C725" s="949"/>
      <c r="D725" s="803" t="s">
        <v>320</v>
      </c>
      <c r="E725" s="804"/>
      <c r="F725" s="114"/>
      <c r="G725" s="118">
        <f>+G723+G724</f>
        <v>2310</v>
      </c>
    </row>
    <row r="726" spans="1:7" ht="14.25" thickTop="1" thickBot="1">
      <c r="A726" s="95"/>
      <c r="B726" s="970"/>
      <c r="C726" s="970"/>
      <c r="D726" s="970"/>
      <c r="E726" s="970"/>
      <c r="F726" s="970"/>
      <c r="G726" s="970"/>
    </row>
    <row r="727" spans="1:7" ht="13.5" thickTop="1">
      <c r="A727" s="95"/>
      <c r="B727" s="950" t="s">
        <v>858</v>
      </c>
      <c r="C727" s="951"/>
      <c r="D727" s="951"/>
      <c r="E727" s="951"/>
      <c r="F727" s="951"/>
      <c r="G727" s="952"/>
    </row>
    <row r="728" spans="1:7">
      <c r="A728" s="95"/>
      <c r="B728" s="978"/>
      <c r="C728" s="979"/>
      <c r="D728" s="98" t="s">
        <v>301</v>
      </c>
      <c r="E728" s="98" t="s">
        <v>859</v>
      </c>
      <c r="F728" s="99" t="s">
        <v>839</v>
      </c>
      <c r="G728" s="107" t="s">
        <v>840</v>
      </c>
    </row>
    <row r="729" spans="1:7">
      <c r="A729" s="95"/>
      <c r="B729" s="982" t="s">
        <v>838</v>
      </c>
      <c r="C729" s="983"/>
      <c r="D729" s="100" t="s">
        <v>316</v>
      </c>
      <c r="E729" s="100" t="s">
        <v>315</v>
      </c>
      <c r="F729" s="101" t="s">
        <v>306</v>
      </c>
      <c r="G729" s="108" t="s">
        <v>319</v>
      </c>
    </row>
    <row r="730" spans="1:7">
      <c r="A730" s="95"/>
      <c r="B730" s="230"/>
      <c r="C730" s="102"/>
      <c r="D730" s="103"/>
      <c r="E730" s="103" t="s">
        <v>317</v>
      </c>
      <c r="F730" s="104" t="s">
        <v>318</v>
      </c>
      <c r="G730" s="109"/>
    </row>
    <row r="731" spans="1:7">
      <c r="A731" s="95"/>
      <c r="B731" s="841" t="str">
        <f>'MANO DE OBRA'!$B$12</f>
        <v>AYUDANTE CUAD. TIPO CC</v>
      </c>
      <c r="C731" s="842"/>
      <c r="D731" s="87">
        <v>1</v>
      </c>
      <c r="E731" s="80">
        <f>'MANO DE OBRA'!$E$12</f>
        <v>47255</v>
      </c>
      <c r="F731" s="81">
        <v>61.54</v>
      </c>
      <c r="G731" s="110">
        <f>ROUND(D731*E731/F731,0)</f>
        <v>768</v>
      </c>
    </row>
    <row r="732" spans="1:7">
      <c r="A732" s="95"/>
      <c r="B732" s="854" t="str">
        <f>'MANO DE OBRA'!$B$17</f>
        <v>OFICIAL CUAD. TIPO CC</v>
      </c>
      <c r="C732" s="855"/>
      <c r="D732" s="37">
        <v>1</v>
      </c>
      <c r="E732" s="82">
        <f>'MANO DE OBRA'!$E$17</f>
        <v>82117</v>
      </c>
      <c r="F732" s="83">
        <v>61.54</v>
      </c>
      <c r="G732" s="111">
        <f>ROUND(D732*E732/F732,0)</f>
        <v>1334</v>
      </c>
    </row>
    <row r="733" spans="1:7">
      <c r="A733" s="95"/>
      <c r="B733" s="854"/>
      <c r="C733" s="855"/>
      <c r="D733" s="89"/>
      <c r="E733" s="82"/>
      <c r="F733" s="83"/>
      <c r="G733" s="111"/>
    </row>
    <row r="734" spans="1:7">
      <c r="A734" s="95"/>
      <c r="B734" s="854" t="s">
        <v>841</v>
      </c>
      <c r="C734" s="855"/>
      <c r="D734" s="37"/>
      <c r="E734" s="82"/>
      <c r="F734" s="83"/>
      <c r="G734" s="111"/>
    </row>
    <row r="735" spans="1:7" ht="13.5" thickBot="1">
      <c r="A735" s="95"/>
      <c r="B735" s="980" t="s">
        <v>841</v>
      </c>
      <c r="C735" s="981"/>
      <c r="D735" s="77"/>
      <c r="E735" s="82"/>
      <c r="F735" s="86"/>
      <c r="G735" s="112"/>
    </row>
    <row r="736" spans="1:7" ht="14.25" thickTop="1" thickBot="1">
      <c r="A736" s="95"/>
      <c r="B736" s="946"/>
      <c r="C736" s="946"/>
      <c r="D736" s="946"/>
      <c r="E736" s="947"/>
      <c r="F736" s="120" t="s">
        <v>856</v>
      </c>
      <c r="G736" s="118">
        <f>SUM(G731:G735)</f>
        <v>2102</v>
      </c>
    </row>
    <row r="737" spans="1:8" ht="14.25" thickTop="1" thickBot="1">
      <c r="A737" s="95"/>
      <c r="B737" s="970"/>
      <c r="C737" s="970"/>
      <c r="D737" s="970"/>
      <c r="E737" s="970"/>
      <c r="F737" s="970"/>
      <c r="G737" s="970"/>
    </row>
    <row r="738" spans="1:8" ht="13.5" thickTop="1">
      <c r="A738" s="95"/>
      <c r="B738" s="950" t="s">
        <v>321</v>
      </c>
      <c r="C738" s="951"/>
      <c r="D738" s="951"/>
      <c r="E738" s="951"/>
      <c r="F738" s="951"/>
      <c r="G738" s="952"/>
    </row>
    <row r="739" spans="1:8">
      <c r="A739" s="95"/>
      <c r="B739" s="978" t="s">
        <v>838</v>
      </c>
      <c r="C739" s="979"/>
      <c r="D739" s="98" t="s">
        <v>301</v>
      </c>
      <c r="E739" s="98" t="s">
        <v>297</v>
      </c>
      <c r="F739" s="99" t="s">
        <v>839</v>
      </c>
      <c r="G739" s="107" t="s">
        <v>840</v>
      </c>
    </row>
    <row r="740" spans="1:8">
      <c r="A740" s="95"/>
      <c r="B740" s="230"/>
      <c r="C740" s="102"/>
      <c r="D740" s="103" t="s">
        <v>322</v>
      </c>
      <c r="E740" s="103" t="s">
        <v>323</v>
      </c>
      <c r="F740" s="104" t="s">
        <v>324</v>
      </c>
      <c r="G740" s="109" t="s">
        <v>325</v>
      </c>
    </row>
    <row r="741" spans="1:8">
      <c r="A741" s="95"/>
      <c r="B741" s="841"/>
      <c r="C741" s="842"/>
      <c r="D741" s="96"/>
      <c r="E741" s="96"/>
      <c r="F741" s="96"/>
      <c r="G741" s="116"/>
    </row>
    <row r="742" spans="1:8" ht="13.5" thickBot="1">
      <c r="A742" s="95"/>
      <c r="B742" s="980" t="s">
        <v>841</v>
      </c>
      <c r="C742" s="981"/>
      <c r="D742" s="77"/>
      <c r="E742" s="82"/>
      <c r="F742" s="86"/>
      <c r="G742" s="112"/>
    </row>
    <row r="743" spans="1:8" ht="14.25" thickTop="1" thickBot="1">
      <c r="A743" s="95"/>
      <c r="B743" s="946"/>
      <c r="C743" s="946"/>
      <c r="D743" s="946"/>
      <c r="E743" s="947"/>
      <c r="F743" s="120" t="s">
        <v>856</v>
      </c>
      <c r="G743" s="118">
        <f>SUM(G738:G742)</f>
        <v>0</v>
      </c>
    </row>
    <row r="744" spans="1:8" ht="14.25" thickTop="1" thickBot="1">
      <c r="A744" s="95"/>
      <c r="B744" s="970"/>
      <c r="C744" s="970"/>
      <c r="D744" s="970"/>
      <c r="E744" s="970"/>
      <c r="F744" s="970"/>
      <c r="G744" s="943"/>
    </row>
    <row r="745" spans="1:8" ht="13.5" thickTop="1">
      <c r="A745" s="95"/>
      <c r="B745" s="950" t="s">
        <v>326</v>
      </c>
      <c r="C745" s="951"/>
      <c r="D745" s="951"/>
      <c r="E745" s="951"/>
      <c r="F745" s="971"/>
      <c r="G745" s="121">
        <f>+G709+G725+G736</f>
        <v>4577</v>
      </c>
    </row>
    <row r="746" spans="1:8">
      <c r="A746" s="95"/>
      <c r="B746" s="972" t="s">
        <v>861</v>
      </c>
      <c r="C746" s="973"/>
      <c r="D746" s="973"/>
      <c r="E746" s="974"/>
      <c r="F746" s="128">
        <f>'MANO DE OBRA'!$D$59</f>
        <v>0</v>
      </c>
      <c r="G746" s="122">
        <f>ROUND(G745*F746,0)</f>
        <v>0</v>
      </c>
    </row>
    <row r="747" spans="1:8" ht="13.5" thickBot="1">
      <c r="A747" s="95"/>
      <c r="B747" s="975" t="s">
        <v>1049</v>
      </c>
      <c r="C747" s="976"/>
      <c r="D747" s="976"/>
      <c r="E747" s="976"/>
      <c r="F747" s="977"/>
      <c r="G747" s="118">
        <f>ROUND(G745+G746,-2)</f>
        <v>4600</v>
      </c>
      <c r="H747" s="505" t="s">
        <v>1670</v>
      </c>
    </row>
    <row r="748" spans="1:8" ht="15" thickTop="1">
      <c r="A748" s="95"/>
      <c r="B748" s="225" t="s">
        <v>303</v>
      </c>
      <c r="C748" s="843"/>
      <c r="D748" s="843"/>
      <c r="E748" s="843"/>
      <c r="F748" s="92" t="s">
        <v>781</v>
      </c>
      <c r="G748" s="93" t="s">
        <v>1067</v>
      </c>
    </row>
    <row r="749" spans="1:8">
      <c r="A749" s="95"/>
      <c r="B749" s="226" t="s">
        <v>834</v>
      </c>
      <c r="C749" s="844" t="s">
        <v>409</v>
      </c>
      <c r="D749" s="844"/>
      <c r="E749" s="844"/>
      <c r="F749" s="15" t="s">
        <v>833</v>
      </c>
      <c r="G749" s="165" t="str">
        <f>'MANO DE OBRA'!D61</f>
        <v>Agosto de 2010</v>
      </c>
    </row>
    <row r="750" spans="1:8" ht="13.5" thickBot="1">
      <c r="A750" s="127"/>
      <c r="B750" s="228" t="s">
        <v>835</v>
      </c>
      <c r="C750" s="845" t="s">
        <v>1532</v>
      </c>
      <c r="D750" s="845"/>
      <c r="E750" s="845"/>
      <c r="F750" s="845"/>
      <c r="G750" s="846"/>
    </row>
    <row r="751" spans="1:8" ht="14.25" thickTop="1" thickBot="1">
      <c r="A751" s="95"/>
      <c r="B751" s="986"/>
      <c r="C751" s="986"/>
      <c r="D751" s="986"/>
      <c r="E751" s="986"/>
      <c r="F751" s="986"/>
      <c r="G751" s="986"/>
    </row>
    <row r="752" spans="1:8" ht="13.5" thickTop="1">
      <c r="A752" s="95"/>
      <c r="B752" s="950" t="s">
        <v>304</v>
      </c>
      <c r="C752" s="951"/>
      <c r="D752" s="951"/>
      <c r="E752" s="951"/>
      <c r="F752" s="951"/>
      <c r="G752" s="952"/>
    </row>
    <row r="753" spans="1:7">
      <c r="A753" s="95"/>
      <c r="B753" s="229"/>
      <c r="C753" s="97"/>
      <c r="D753" s="98" t="s">
        <v>301</v>
      </c>
      <c r="E753" s="98" t="s">
        <v>1072</v>
      </c>
      <c r="F753" s="99" t="s">
        <v>839</v>
      </c>
      <c r="G753" s="107" t="s">
        <v>840</v>
      </c>
    </row>
    <row r="754" spans="1:7">
      <c r="A754" s="95"/>
      <c r="B754" s="982" t="s">
        <v>838</v>
      </c>
      <c r="C754" s="983"/>
      <c r="D754" s="100" t="s">
        <v>308</v>
      </c>
      <c r="E754" s="100" t="s">
        <v>305</v>
      </c>
      <c r="F754" s="101" t="s">
        <v>306</v>
      </c>
      <c r="G754" s="108" t="s">
        <v>310</v>
      </c>
    </row>
    <row r="755" spans="1:7">
      <c r="A755" s="95"/>
      <c r="B755" s="230"/>
      <c r="C755" s="102"/>
      <c r="D755" s="103"/>
      <c r="E755" s="103" t="s">
        <v>309</v>
      </c>
      <c r="F755" s="104" t="s">
        <v>307</v>
      </c>
      <c r="G755" s="109"/>
    </row>
    <row r="756" spans="1:7">
      <c r="A756" s="127"/>
      <c r="B756" s="841" t="str">
        <f>'MAQUINARIA Y EQUIPOS'!$C$28</f>
        <v>HERRAMIENTAS MENORES</v>
      </c>
      <c r="C756" s="842"/>
      <c r="D756" s="87">
        <v>1</v>
      </c>
      <c r="E756" s="82">
        <f>ROUND(G789*0.05,0)</f>
        <v>118</v>
      </c>
      <c r="F756" s="81">
        <v>1</v>
      </c>
      <c r="G756" s="110">
        <f>ROUND(D756*E756/F756,0)</f>
        <v>118</v>
      </c>
    </row>
    <row r="757" spans="1:7">
      <c r="A757" s="95"/>
      <c r="B757" s="854" t="str">
        <f>'MAQUINARIA Y EQUIPOS'!$C$9</f>
        <v>ANDAMIO TUBULAR 1.50 m</v>
      </c>
      <c r="C757" s="855"/>
      <c r="D757" s="37">
        <v>4</v>
      </c>
      <c r="E757" s="129">
        <f>'MAQUINARIA Y EQUIPOS'!$D$9</f>
        <v>754</v>
      </c>
      <c r="F757" s="83">
        <f>F784</f>
        <v>55</v>
      </c>
      <c r="G757" s="111">
        <f>ROUND(D757*E757/F757,0)</f>
        <v>55</v>
      </c>
    </row>
    <row r="758" spans="1:7">
      <c r="A758" s="95"/>
      <c r="B758" s="854" t="str">
        <f>'MAQUINARIA Y EQUIPOS'!$C$47</f>
        <v>TABLONES 3m</v>
      </c>
      <c r="C758" s="855"/>
      <c r="D758" s="37">
        <v>2</v>
      </c>
      <c r="E758" s="129">
        <f>'MAQUINARIA Y EQUIPOS'!$D$47</f>
        <v>348</v>
      </c>
      <c r="F758" s="83">
        <f>F784</f>
        <v>55</v>
      </c>
      <c r="G758" s="111">
        <f>ROUND(D758*E758/F758,0)</f>
        <v>13</v>
      </c>
    </row>
    <row r="759" spans="1:7">
      <c r="A759" s="95"/>
      <c r="B759" s="854"/>
      <c r="C759" s="855"/>
      <c r="D759" s="89"/>
      <c r="E759" s="82"/>
      <c r="F759" s="83"/>
      <c r="G759" s="111"/>
    </row>
    <row r="760" spans="1:7">
      <c r="A760" s="95"/>
      <c r="B760" s="854" t="s">
        <v>841</v>
      </c>
      <c r="C760" s="855"/>
      <c r="D760" s="37"/>
      <c r="E760" s="82"/>
      <c r="F760" s="83"/>
      <c r="G760" s="111"/>
    </row>
    <row r="761" spans="1:7" ht="13.5" thickBot="1">
      <c r="A761" s="95"/>
      <c r="B761" s="942" t="s">
        <v>841</v>
      </c>
      <c r="C761" s="943"/>
      <c r="D761" s="77"/>
      <c r="E761" s="106"/>
      <c r="F761" s="86"/>
      <c r="G761" s="112"/>
    </row>
    <row r="762" spans="1:7" ht="14.25" thickTop="1" thickBot="1">
      <c r="A762" s="95"/>
      <c r="B762" s="946"/>
      <c r="C762" s="946"/>
      <c r="D762" s="946"/>
      <c r="E762" s="947"/>
      <c r="F762" s="119" t="s">
        <v>856</v>
      </c>
      <c r="G762" s="118">
        <f>SUM(G756:G761)</f>
        <v>186</v>
      </c>
    </row>
    <row r="763" spans="1:7" ht="14.25" thickTop="1" thickBot="1">
      <c r="A763" s="95"/>
      <c r="B763" s="970"/>
      <c r="C763" s="970"/>
      <c r="D763" s="970"/>
      <c r="E763" s="970"/>
      <c r="F763" s="970"/>
      <c r="G763" s="970"/>
    </row>
    <row r="764" spans="1:7" ht="13.5" thickTop="1">
      <c r="A764" s="95"/>
      <c r="B764" s="950" t="s">
        <v>311</v>
      </c>
      <c r="C764" s="951"/>
      <c r="D764" s="951"/>
      <c r="E764" s="951"/>
      <c r="F764" s="951"/>
      <c r="G764" s="952"/>
    </row>
    <row r="765" spans="1:7">
      <c r="A765" s="95"/>
      <c r="B765" s="978" t="s">
        <v>838</v>
      </c>
      <c r="C765" s="979"/>
      <c r="D765" s="98" t="s">
        <v>842</v>
      </c>
      <c r="E765" s="98" t="s">
        <v>853</v>
      </c>
      <c r="F765" s="99" t="s">
        <v>1047</v>
      </c>
      <c r="G765" s="107" t="s">
        <v>840</v>
      </c>
    </row>
    <row r="766" spans="1:7">
      <c r="A766" s="95"/>
      <c r="B766" s="230"/>
      <c r="C766" s="102"/>
      <c r="D766" s="100"/>
      <c r="E766" s="100" t="s">
        <v>312</v>
      </c>
      <c r="F766" s="101" t="s">
        <v>313</v>
      </c>
      <c r="G766" s="108" t="s">
        <v>314</v>
      </c>
    </row>
    <row r="767" spans="1:7">
      <c r="A767" s="123"/>
      <c r="B767" s="841" t="str">
        <f>MATERIALES2!$C$15</f>
        <v>PLASTIESTUCO</v>
      </c>
      <c r="C767" s="842"/>
      <c r="D767" s="87" t="s">
        <v>925</v>
      </c>
      <c r="E767" s="81">
        <v>2.8</v>
      </c>
      <c r="F767" s="80">
        <f>MATERIALES2!$E$15</f>
        <v>1000</v>
      </c>
      <c r="G767" s="110">
        <f>ROUND(E767*F767,0)</f>
        <v>2800</v>
      </c>
    </row>
    <row r="768" spans="1:7">
      <c r="A768" s="123"/>
      <c r="B768" s="854" t="str">
        <f>MATERIALES2!$C$286</f>
        <v>PAPEL LIJA AGUA</v>
      </c>
      <c r="C768" s="855"/>
      <c r="D768" s="37" t="s">
        <v>865</v>
      </c>
      <c r="E768" s="83">
        <v>0.63</v>
      </c>
      <c r="F768" s="82">
        <f>MATERIALES2!$E$286</f>
        <v>1000</v>
      </c>
      <c r="G768" s="111">
        <f>ROUND(E768*F768,0)</f>
        <v>630</v>
      </c>
    </row>
    <row r="769" spans="1:8">
      <c r="A769" s="123"/>
      <c r="B769" s="854"/>
      <c r="C769" s="855"/>
      <c r="D769" s="37"/>
      <c r="E769" s="141"/>
      <c r="F769" s="82"/>
      <c r="G769" s="111"/>
    </row>
    <row r="770" spans="1:8">
      <c r="A770" s="123"/>
      <c r="B770" s="854"/>
      <c r="C770" s="855"/>
      <c r="D770" s="37"/>
      <c r="E770" s="83"/>
      <c r="F770" s="82"/>
      <c r="G770" s="111"/>
    </row>
    <row r="771" spans="1:8">
      <c r="A771" s="123"/>
      <c r="B771" s="854"/>
      <c r="C771" s="855"/>
      <c r="D771" s="37"/>
      <c r="E771" s="83"/>
      <c r="F771" s="82"/>
      <c r="G771" s="111"/>
    </row>
    <row r="772" spans="1:8">
      <c r="A772" s="95"/>
      <c r="B772" s="854"/>
      <c r="C772" s="855"/>
      <c r="D772" s="37"/>
      <c r="E772" s="83"/>
      <c r="F772" s="82"/>
      <c r="G772" s="111"/>
    </row>
    <row r="773" spans="1:8">
      <c r="A773" s="95"/>
      <c r="B773" s="854"/>
      <c r="C773" s="855"/>
      <c r="D773" s="37"/>
      <c r="E773" s="83"/>
      <c r="F773" s="82"/>
      <c r="G773" s="111"/>
      <c r="H773" s="505" t="s">
        <v>1670</v>
      </c>
    </row>
    <row r="774" spans="1:8">
      <c r="A774" s="95"/>
      <c r="B774" s="938" t="s">
        <v>841</v>
      </c>
      <c r="C774" s="939"/>
      <c r="D774" s="53" t="s">
        <v>841</v>
      </c>
      <c r="E774" s="53"/>
      <c r="F774" s="82"/>
      <c r="G774" s="111"/>
    </row>
    <row r="775" spans="1:8" ht="13.5" thickBot="1">
      <c r="A775" s="95"/>
      <c r="B775" s="942" t="s">
        <v>841</v>
      </c>
      <c r="C775" s="943"/>
      <c r="D775" s="84" t="s">
        <v>841</v>
      </c>
      <c r="E775" s="84"/>
      <c r="F775" s="85"/>
      <c r="G775" s="112"/>
    </row>
    <row r="776" spans="1:8" ht="13.5" thickTop="1">
      <c r="A776" s="95"/>
      <c r="B776" s="946"/>
      <c r="C776" s="947"/>
      <c r="D776" s="801" t="s">
        <v>856</v>
      </c>
      <c r="E776" s="802"/>
      <c r="F776" s="9"/>
      <c r="G776" s="113">
        <f>SUM(G767:G775)</f>
        <v>3430</v>
      </c>
    </row>
    <row r="777" spans="1:8">
      <c r="A777" s="95"/>
      <c r="B777" s="948"/>
      <c r="C777" s="949"/>
      <c r="D777" s="801" t="s">
        <v>857</v>
      </c>
      <c r="E777" s="802"/>
      <c r="F777" s="79">
        <f>'MANO DE OBRA'!$D$60</f>
        <v>0.05</v>
      </c>
      <c r="G777" s="113">
        <f>ROUND(G776*F777,0)</f>
        <v>172</v>
      </c>
    </row>
    <row r="778" spans="1:8" ht="13.5" thickBot="1">
      <c r="A778" s="95"/>
      <c r="B778" s="948"/>
      <c r="C778" s="949"/>
      <c r="D778" s="803" t="s">
        <v>320</v>
      </c>
      <c r="E778" s="804"/>
      <c r="F778" s="114"/>
      <c r="G778" s="118">
        <f>+G776+G777</f>
        <v>3602</v>
      </c>
    </row>
    <row r="779" spans="1:8" ht="14.25" thickTop="1" thickBot="1">
      <c r="A779" s="95"/>
      <c r="B779" s="970"/>
      <c r="C779" s="970"/>
      <c r="D779" s="970"/>
      <c r="E779" s="970"/>
      <c r="F779" s="970"/>
      <c r="G779" s="970"/>
    </row>
    <row r="780" spans="1:8" ht="13.5" thickTop="1">
      <c r="A780" s="95"/>
      <c r="B780" s="950" t="s">
        <v>858</v>
      </c>
      <c r="C780" s="951"/>
      <c r="D780" s="951"/>
      <c r="E780" s="951"/>
      <c r="F780" s="951"/>
      <c r="G780" s="952"/>
    </row>
    <row r="781" spans="1:8">
      <c r="A781" s="95"/>
      <c r="B781" s="978"/>
      <c r="C781" s="979"/>
      <c r="D781" s="98" t="s">
        <v>301</v>
      </c>
      <c r="E781" s="98" t="s">
        <v>859</v>
      </c>
      <c r="F781" s="99" t="s">
        <v>839</v>
      </c>
      <c r="G781" s="107" t="s">
        <v>840</v>
      </c>
    </row>
    <row r="782" spans="1:8">
      <c r="A782" s="95"/>
      <c r="B782" s="982" t="s">
        <v>838</v>
      </c>
      <c r="C782" s="983"/>
      <c r="D782" s="100" t="s">
        <v>316</v>
      </c>
      <c r="E782" s="100" t="s">
        <v>315</v>
      </c>
      <c r="F782" s="101" t="s">
        <v>306</v>
      </c>
      <c r="G782" s="108" t="s">
        <v>319</v>
      </c>
    </row>
    <row r="783" spans="1:8">
      <c r="A783" s="95"/>
      <c r="B783" s="230"/>
      <c r="C783" s="102"/>
      <c r="D783" s="103"/>
      <c r="E783" s="103" t="s">
        <v>317</v>
      </c>
      <c r="F783" s="104" t="s">
        <v>318</v>
      </c>
      <c r="G783" s="109"/>
    </row>
    <row r="784" spans="1:8">
      <c r="A784" s="95"/>
      <c r="B784" s="841" t="str">
        <f>'MANO DE OBRA'!$B$12</f>
        <v>AYUDANTE CUAD. TIPO CC</v>
      </c>
      <c r="C784" s="842"/>
      <c r="D784" s="87">
        <v>1</v>
      </c>
      <c r="E784" s="80">
        <f>'MANO DE OBRA'!$E$12</f>
        <v>47255</v>
      </c>
      <c r="F784" s="81">
        <v>55</v>
      </c>
      <c r="G784" s="110">
        <f>ROUND(D784*E784/F784,0)</f>
        <v>859</v>
      </c>
    </row>
    <row r="785" spans="1:8">
      <c r="A785" s="95"/>
      <c r="B785" s="854" t="str">
        <f>'MANO DE OBRA'!$B$17</f>
        <v>OFICIAL CUAD. TIPO CC</v>
      </c>
      <c r="C785" s="855"/>
      <c r="D785" s="37">
        <v>1</v>
      </c>
      <c r="E785" s="82">
        <f>'MANO DE OBRA'!$E$17</f>
        <v>82117</v>
      </c>
      <c r="F785" s="83">
        <v>55</v>
      </c>
      <c r="G785" s="111">
        <f>ROUND(D785*E785/F785,0)</f>
        <v>1493</v>
      </c>
    </row>
    <row r="786" spans="1:8">
      <c r="A786" s="95"/>
      <c r="B786" s="854"/>
      <c r="C786" s="855"/>
      <c r="D786" s="89"/>
      <c r="E786" s="82"/>
      <c r="F786" s="83"/>
      <c r="G786" s="111"/>
    </row>
    <row r="787" spans="1:8">
      <c r="A787" s="95"/>
      <c r="B787" s="854" t="s">
        <v>841</v>
      </c>
      <c r="C787" s="855"/>
      <c r="D787" s="37"/>
      <c r="E787" s="82"/>
      <c r="F787" s="83"/>
      <c r="G787" s="111"/>
    </row>
    <row r="788" spans="1:8" ht="13.5" thickBot="1">
      <c r="A788" s="95"/>
      <c r="B788" s="980" t="s">
        <v>841</v>
      </c>
      <c r="C788" s="981"/>
      <c r="D788" s="77"/>
      <c r="E788" s="82"/>
      <c r="F788" s="86"/>
      <c r="G788" s="112"/>
    </row>
    <row r="789" spans="1:8" ht="14.25" thickTop="1" thickBot="1">
      <c r="A789" s="95"/>
      <c r="B789" s="946"/>
      <c r="C789" s="946"/>
      <c r="D789" s="946"/>
      <c r="E789" s="947"/>
      <c r="F789" s="120" t="s">
        <v>856</v>
      </c>
      <c r="G789" s="118">
        <f>SUM(G784:G788)</f>
        <v>2352</v>
      </c>
    </row>
    <row r="790" spans="1:8" ht="14.25" thickTop="1" thickBot="1">
      <c r="A790" s="95"/>
      <c r="B790" s="970"/>
      <c r="C790" s="970"/>
      <c r="D790" s="970"/>
      <c r="E790" s="970"/>
      <c r="F790" s="970"/>
      <c r="G790" s="970"/>
    </row>
    <row r="791" spans="1:8" ht="13.5" thickTop="1">
      <c r="A791" s="95"/>
      <c r="B791" s="950" t="s">
        <v>321</v>
      </c>
      <c r="C791" s="951"/>
      <c r="D791" s="951"/>
      <c r="E791" s="951"/>
      <c r="F791" s="951"/>
      <c r="G791" s="952"/>
    </row>
    <row r="792" spans="1:8">
      <c r="A792" s="95"/>
      <c r="B792" s="978" t="s">
        <v>838</v>
      </c>
      <c r="C792" s="979"/>
      <c r="D792" s="98" t="s">
        <v>301</v>
      </c>
      <c r="E792" s="98" t="s">
        <v>297</v>
      </c>
      <c r="F792" s="99" t="s">
        <v>839</v>
      </c>
      <c r="G792" s="107" t="s">
        <v>840</v>
      </c>
    </row>
    <row r="793" spans="1:8">
      <c r="A793" s="95"/>
      <c r="B793" s="230"/>
      <c r="C793" s="102"/>
      <c r="D793" s="103" t="s">
        <v>322</v>
      </c>
      <c r="E793" s="103" t="s">
        <v>323</v>
      </c>
      <c r="F793" s="104" t="s">
        <v>324</v>
      </c>
      <c r="G793" s="109" t="s">
        <v>325</v>
      </c>
    </row>
    <row r="794" spans="1:8">
      <c r="A794" s="95"/>
      <c r="B794" s="841"/>
      <c r="C794" s="842"/>
      <c r="D794" s="96"/>
      <c r="E794" s="96"/>
      <c r="F794" s="96"/>
      <c r="G794" s="116"/>
    </row>
    <row r="795" spans="1:8" ht="13.5" thickBot="1">
      <c r="A795" s="95"/>
      <c r="B795" s="980" t="s">
        <v>841</v>
      </c>
      <c r="C795" s="981"/>
      <c r="D795" s="77"/>
      <c r="E795" s="82"/>
      <c r="F795" s="86"/>
      <c r="G795" s="112"/>
    </row>
    <row r="796" spans="1:8" ht="14.25" thickTop="1" thickBot="1">
      <c r="A796" s="95"/>
      <c r="B796" s="946"/>
      <c r="C796" s="946"/>
      <c r="D796" s="946"/>
      <c r="E796" s="947"/>
      <c r="F796" s="120" t="s">
        <v>856</v>
      </c>
      <c r="G796" s="118">
        <f>SUM(G791:G795)</f>
        <v>0</v>
      </c>
    </row>
    <row r="797" spans="1:8" ht="14.25" thickTop="1" thickBot="1">
      <c r="A797" s="95"/>
      <c r="B797" s="970"/>
      <c r="C797" s="970"/>
      <c r="D797" s="970"/>
      <c r="E797" s="970"/>
      <c r="F797" s="970"/>
      <c r="G797" s="943"/>
    </row>
    <row r="798" spans="1:8" ht="13.5" thickTop="1">
      <c r="A798" s="95"/>
      <c r="B798" s="950" t="s">
        <v>326</v>
      </c>
      <c r="C798" s="951"/>
      <c r="D798" s="951"/>
      <c r="E798" s="951"/>
      <c r="F798" s="971"/>
      <c r="G798" s="121">
        <f>+G762+G778+G789</f>
        <v>6140</v>
      </c>
    </row>
    <row r="799" spans="1:8">
      <c r="A799" s="95"/>
      <c r="B799" s="972" t="s">
        <v>861</v>
      </c>
      <c r="C799" s="973"/>
      <c r="D799" s="973"/>
      <c r="E799" s="974"/>
      <c r="F799" s="128">
        <f>'MANO DE OBRA'!$D$59</f>
        <v>0</v>
      </c>
      <c r="G799" s="122">
        <f>ROUND(G798*F799,0)</f>
        <v>0</v>
      </c>
    </row>
    <row r="800" spans="1:8" ht="13.5" thickBot="1">
      <c r="A800" s="95"/>
      <c r="B800" s="975" t="s">
        <v>1049</v>
      </c>
      <c r="C800" s="976"/>
      <c r="D800" s="976"/>
      <c r="E800" s="976"/>
      <c r="F800" s="977"/>
      <c r="G800" s="118">
        <f>ROUND(G798+G799,-2)</f>
        <v>6100</v>
      </c>
      <c r="H800" s="505" t="s">
        <v>1670</v>
      </c>
    </row>
    <row r="801" spans="1:7" ht="15" thickTop="1">
      <c r="A801" s="95"/>
      <c r="B801" s="225" t="s">
        <v>303</v>
      </c>
      <c r="C801" s="843"/>
      <c r="D801" s="843"/>
      <c r="E801" s="843"/>
      <c r="F801" s="92" t="s">
        <v>781</v>
      </c>
      <c r="G801" s="93" t="s">
        <v>1067</v>
      </c>
    </row>
    <row r="802" spans="1:7">
      <c r="A802" s="95"/>
      <c r="B802" s="226" t="s">
        <v>834</v>
      </c>
      <c r="C802" s="844" t="s">
        <v>1518</v>
      </c>
      <c r="D802" s="844"/>
      <c r="E802" s="844"/>
      <c r="F802" s="15" t="s">
        <v>833</v>
      </c>
      <c r="G802" s="165" t="str">
        <f>'MANO DE OBRA'!D61</f>
        <v>Agosto de 2010</v>
      </c>
    </row>
    <row r="803" spans="1:7" ht="13.5" thickBot="1">
      <c r="A803" s="127"/>
      <c r="B803" s="228" t="s">
        <v>835</v>
      </c>
      <c r="C803" s="1001" t="s">
        <v>1533</v>
      </c>
      <c r="D803" s="1001"/>
      <c r="E803" s="1001"/>
      <c r="F803" s="1001"/>
      <c r="G803" s="1002"/>
    </row>
    <row r="804" spans="1:7" ht="14.25" thickTop="1" thickBot="1">
      <c r="A804" s="95"/>
      <c r="B804" s="986"/>
      <c r="C804" s="986"/>
      <c r="D804" s="986"/>
      <c r="E804" s="986"/>
      <c r="F804" s="986"/>
      <c r="G804" s="986"/>
    </row>
    <row r="805" spans="1:7" ht="13.5" thickTop="1">
      <c r="A805" s="95"/>
      <c r="B805" s="950" t="s">
        <v>304</v>
      </c>
      <c r="C805" s="951"/>
      <c r="D805" s="951"/>
      <c r="E805" s="951"/>
      <c r="F805" s="951"/>
      <c r="G805" s="952"/>
    </row>
    <row r="806" spans="1:7">
      <c r="A806" s="95"/>
      <c r="B806" s="229"/>
      <c r="C806" s="97"/>
      <c r="D806" s="98" t="s">
        <v>301</v>
      </c>
      <c r="E806" s="98" t="s">
        <v>1072</v>
      </c>
      <c r="F806" s="99" t="s">
        <v>839</v>
      </c>
      <c r="G806" s="107" t="s">
        <v>840</v>
      </c>
    </row>
    <row r="807" spans="1:7">
      <c r="A807" s="95"/>
      <c r="B807" s="982" t="s">
        <v>838</v>
      </c>
      <c r="C807" s="983"/>
      <c r="D807" s="100" t="s">
        <v>308</v>
      </c>
      <c r="E807" s="100" t="s">
        <v>305</v>
      </c>
      <c r="F807" s="101" t="s">
        <v>306</v>
      </c>
      <c r="G807" s="108" t="s">
        <v>310</v>
      </c>
    </row>
    <row r="808" spans="1:7">
      <c r="A808" s="95"/>
      <c r="B808" s="230"/>
      <c r="C808" s="102"/>
      <c r="D808" s="103"/>
      <c r="E808" s="103" t="s">
        <v>309</v>
      </c>
      <c r="F808" s="104" t="s">
        <v>307</v>
      </c>
      <c r="G808" s="109"/>
    </row>
    <row r="809" spans="1:7">
      <c r="A809" s="127"/>
      <c r="B809" s="841" t="str">
        <f>'MAQUINARIA Y EQUIPOS'!$C$28</f>
        <v>HERRAMIENTAS MENORES</v>
      </c>
      <c r="C809" s="842"/>
      <c r="D809" s="87">
        <v>1</v>
      </c>
      <c r="E809" s="82">
        <f>ROUND(G842*0.05,0)</f>
        <v>202</v>
      </c>
      <c r="F809" s="81">
        <v>1</v>
      </c>
      <c r="G809" s="110">
        <f>ROUND(D809*E809/F809,0)</f>
        <v>202</v>
      </c>
    </row>
    <row r="810" spans="1:7">
      <c r="A810" s="95"/>
      <c r="B810" s="854" t="str">
        <f>'MAQUINARIA Y EQUIPOS'!$C$9</f>
        <v>ANDAMIO TUBULAR 1.50 m</v>
      </c>
      <c r="C810" s="855"/>
      <c r="D810" s="37">
        <v>4</v>
      </c>
      <c r="E810" s="129">
        <f>'MAQUINARIA Y EQUIPOS'!$D$9</f>
        <v>754</v>
      </c>
      <c r="F810" s="83">
        <f>F837</f>
        <v>32</v>
      </c>
      <c r="G810" s="111">
        <f>ROUND(D810*E810/F810,0)</f>
        <v>94</v>
      </c>
    </row>
    <row r="811" spans="1:7">
      <c r="A811" s="95"/>
      <c r="B811" s="854" t="str">
        <f>'MAQUINARIA Y EQUIPOS'!$C$47</f>
        <v>TABLONES 3m</v>
      </c>
      <c r="C811" s="855"/>
      <c r="D811" s="37">
        <v>2</v>
      </c>
      <c r="E811" s="129">
        <f>'MAQUINARIA Y EQUIPOS'!$D$47</f>
        <v>348</v>
      </c>
      <c r="F811" s="83">
        <f>F837</f>
        <v>32</v>
      </c>
      <c r="G811" s="111">
        <f>ROUND(D811*E811/F811,0)</f>
        <v>22</v>
      </c>
    </row>
    <row r="812" spans="1:7">
      <c r="A812" s="95"/>
      <c r="B812" s="854"/>
      <c r="C812" s="855"/>
      <c r="D812" s="89"/>
      <c r="E812" s="82"/>
      <c r="F812" s="83"/>
      <c r="G812" s="111"/>
    </row>
    <row r="813" spans="1:7">
      <c r="A813" s="95"/>
      <c r="B813" s="854" t="s">
        <v>841</v>
      </c>
      <c r="C813" s="855"/>
      <c r="D813" s="37"/>
      <c r="E813" s="82"/>
      <c r="F813" s="83"/>
      <c r="G813" s="111"/>
    </row>
    <row r="814" spans="1:7" ht="13.5" thickBot="1">
      <c r="A814" s="95"/>
      <c r="B814" s="942" t="s">
        <v>841</v>
      </c>
      <c r="C814" s="943"/>
      <c r="D814" s="77"/>
      <c r="E814" s="106"/>
      <c r="F814" s="86"/>
      <c r="G814" s="112"/>
    </row>
    <row r="815" spans="1:7" ht="14.25" thickTop="1" thickBot="1">
      <c r="A815" s="95"/>
      <c r="B815" s="946"/>
      <c r="C815" s="946"/>
      <c r="D815" s="946"/>
      <c r="E815" s="947"/>
      <c r="F815" s="119" t="s">
        <v>856</v>
      </c>
      <c r="G815" s="118">
        <f>SUM(G809:G814)</f>
        <v>318</v>
      </c>
    </row>
    <row r="816" spans="1:7" ht="14.25" thickTop="1" thickBot="1">
      <c r="A816" s="95"/>
      <c r="B816" s="970"/>
      <c r="C816" s="970"/>
      <c r="D816" s="970"/>
      <c r="E816" s="970"/>
      <c r="F816" s="970"/>
      <c r="G816" s="970"/>
    </row>
    <row r="817" spans="1:8" ht="13.5" thickTop="1">
      <c r="A817" s="95"/>
      <c r="B817" s="950" t="s">
        <v>311</v>
      </c>
      <c r="C817" s="951"/>
      <c r="D817" s="951"/>
      <c r="E817" s="951"/>
      <c r="F817" s="951"/>
      <c r="G817" s="952"/>
    </row>
    <row r="818" spans="1:8">
      <c r="A818" s="95"/>
      <c r="B818" s="978" t="s">
        <v>838</v>
      </c>
      <c r="C818" s="979"/>
      <c r="D818" s="98" t="s">
        <v>842</v>
      </c>
      <c r="E818" s="98" t="s">
        <v>853</v>
      </c>
      <c r="F818" s="99" t="s">
        <v>1047</v>
      </c>
      <c r="G818" s="107" t="s">
        <v>840</v>
      </c>
    </row>
    <row r="819" spans="1:8">
      <c r="A819" s="95"/>
      <c r="B819" s="230"/>
      <c r="C819" s="102"/>
      <c r="D819" s="100"/>
      <c r="E819" s="100" t="s">
        <v>312</v>
      </c>
      <c r="F819" s="101" t="s">
        <v>313</v>
      </c>
      <c r="G819" s="108" t="s">
        <v>314</v>
      </c>
    </row>
    <row r="820" spans="1:8">
      <c r="A820" s="123"/>
      <c r="B820" s="841" t="str">
        <f>MATERIALES2!$C$15</f>
        <v>PLASTIESTUCO</v>
      </c>
      <c r="C820" s="842"/>
      <c r="D820" s="87" t="s">
        <v>925</v>
      </c>
      <c r="E820" s="81">
        <v>2.8</v>
      </c>
      <c r="F820" s="80">
        <f>MATERIALES2!$E$15</f>
        <v>1000</v>
      </c>
      <c r="G820" s="110">
        <f>ROUND(E820*F820,0)</f>
        <v>2800</v>
      </c>
    </row>
    <row r="821" spans="1:8">
      <c r="A821" s="95"/>
      <c r="B821" s="854" t="str">
        <f>MATERIALES2!$C$295</f>
        <v>VINILTEX PINTUCO</v>
      </c>
      <c r="C821" s="855"/>
      <c r="D821" s="37" t="s">
        <v>556</v>
      </c>
      <c r="E821" s="83">
        <v>0.05</v>
      </c>
      <c r="F821" s="82">
        <f>MATERIALES2!$E$295</f>
        <v>55000</v>
      </c>
      <c r="G821" s="111">
        <f>ROUND(E821*F821,0)</f>
        <v>2750</v>
      </c>
    </row>
    <row r="822" spans="1:8">
      <c r="A822" s="123"/>
      <c r="B822" s="854" t="str">
        <f>MATERIALES2!$C$286</f>
        <v>PAPEL LIJA AGUA</v>
      </c>
      <c r="C822" s="855"/>
      <c r="D822" s="37" t="s">
        <v>865</v>
      </c>
      <c r="E822" s="83">
        <v>0.63</v>
      </c>
      <c r="F822" s="82">
        <f>MATERIALES2!$E$286</f>
        <v>1000</v>
      </c>
      <c r="G822" s="111">
        <f>ROUND(E822*F822,0)</f>
        <v>630</v>
      </c>
    </row>
    <row r="823" spans="1:8">
      <c r="A823" s="123"/>
      <c r="B823" s="854"/>
      <c r="C823" s="855"/>
      <c r="D823" s="37"/>
      <c r="E823" s="83"/>
      <c r="F823" s="82"/>
      <c r="G823" s="111"/>
    </row>
    <row r="824" spans="1:8">
      <c r="A824" s="123"/>
      <c r="B824" s="854"/>
      <c r="C824" s="855"/>
      <c r="D824" s="37"/>
      <c r="E824" s="83"/>
      <c r="F824" s="82"/>
      <c r="G824" s="111"/>
    </row>
    <row r="825" spans="1:8">
      <c r="A825" s="95"/>
      <c r="B825" s="854"/>
      <c r="C825" s="855"/>
      <c r="D825" s="37"/>
      <c r="E825" s="83"/>
      <c r="F825" s="82"/>
      <c r="G825" s="111"/>
    </row>
    <row r="826" spans="1:8">
      <c r="A826" s="95"/>
      <c r="B826" s="854"/>
      <c r="C826" s="855"/>
      <c r="D826" s="37"/>
      <c r="E826" s="83"/>
      <c r="F826" s="82"/>
      <c r="G826" s="111"/>
      <c r="H826" s="505" t="s">
        <v>1670</v>
      </c>
    </row>
    <row r="827" spans="1:8">
      <c r="A827" s="95"/>
      <c r="B827" s="938" t="s">
        <v>841</v>
      </c>
      <c r="C827" s="939"/>
      <c r="D827" s="53" t="s">
        <v>841</v>
      </c>
      <c r="E827" s="53"/>
      <c r="F827" s="82"/>
      <c r="G827" s="111"/>
    </row>
    <row r="828" spans="1:8" ht="13.5" thickBot="1">
      <c r="A828" s="95"/>
      <c r="B828" s="942" t="s">
        <v>841</v>
      </c>
      <c r="C828" s="943"/>
      <c r="D828" s="84" t="s">
        <v>841</v>
      </c>
      <c r="E828" s="84"/>
      <c r="F828" s="85"/>
      <c r="G828" s="112"/>
    </row>
    <row r="829" spans="1:8" ht="13.5" thickTop="1">
      <c r="A829" s="95"/>
      <c r="B829" s="946"/>
      <c r="C829" s="947"/>
      <c r="D829" s="801" t="s">
        <v>856</v>
      </c>
      <c r="E829" s="802"/>
      <c r="F829" s="9"/>
      <c r="G829" s="113">
        <f>SUM(G820:G828)</f>
        <v>6180</v>
      </c>
    </row>
    <row r="830" spans="1:8">
      <c r="A830" s="95"/>
      <c r="B830" s="948"/>
      <c r="C830" s="949"/>
      <c r="D830" s="801" t="s">
        <v>857</v>
      </c>
      <c r="E830" s="802"/>
      <c r="F830" s="79">
        <f>'MANO DE OBRA'!$D$60</f>
        <v>0.05</v>
      </c>
      <c r="G830" s="113">
        <f>ROUND(G829*F830,0)</f>
        <v>309</v>
      </c>
    </row>
    <row r="831" spans="1:8" ht="13.5" thickBot="1">
      <c r="A831" s="95"/>
      <c r="B831" s="948"/>
      <c r="C831" s="949"/>
      <c r="D831" s="803" t="s">
        <v>320</v>
      </c>
      <c r="E831" s="804"/>
      <c r="F831" s="114"/>
      <c r="G831" s="118">
        <f>+G829+G830</f>
        <v>6489</v>
      </c>
    </row>
    <row r="832" spans="1:8" ht="14.25" thickTop="1" thickBot="1">
      <c r="A832" s="95"/>
      <c r="B832" s="970"/>
      <c r="C832" s="970"/>
      <c r="D832" s="970"/>
      <c r="E832" s="970"/>
      <c r="F832" s="970"/>
      <c r="G832" s="970"/>
    </row>
    <row r="833" spans="1:7" ht="13.5" thickTop="1">
      <c r="A833" s="95"/>
      <c r="B833" s="950" t="s">
        <v>858</v>
      </c>
      <c r="C833" s="951"/>
      <c r="D833" s="951"/>
      <c r="E833" s="951"/>
      <c r="F833" s="951"/>
      <c r="G833" s="952"/>
    </row>
    <row r="834" spans="1:7">
      <c r="A834" s="95"/>
      <c r="B834" s="978"/>
      <c r="C834" s="979"/>
      <c r="D834" s="98" t="s">
        <v>301</v>
      </c>
      <c r="E834" s="98" t="s">
        <v>859</v>
      </c>
      <c r="F834" s="99" t="s">
        <v>839</v>
      </c>
      <c r="G834" s="107" t="s">
        <v>840</v>
      </c>
    </row>
    <row r="835" spans="1:7">
      <c r="A835" s="95"/>
      <c r="B835" s="982" t="s">
        <v>838</v>
      </c>
      <c r="C835" s="983"/>
      <c r="D835" s="100" t="s">
        <v>316</v>
      </c>
      <c r="E835" s="100" t="s">
        <v>315</v>
      </c>
      <c r="F835" s="101" t="s">
        <v>306</v>
      </c>
      <c r="G835" s="108" t="s">
        <v>319</v>
      </c>
    </row>
    <row r="836" spans="1:7">
      <c r="A836" s="95"/>
      <c r="B836" s="230"/>
      <c r="C836" s="102"/>
      <c r="D836" s="103"/>
      <c r="E836" s="103" t="s">
        <v>317</v>
      </c>
      <c r="F836" s="104" t="s">
        <v>318</v>
      </c>
      <c r="G836" s="109"/>
    </row>
    <row r="837" spans="1:7">
      <c r="A837" s="95"/>
      <c r="B837" s="841" t="str">
        <f>'MANO DE OBRA'!$B$12</f>
        <v>AYUDANTE CUAD. TIPO CC</v>
      </c>
      <c r="C837" s="842"/>
      <c r="D837" s="87">
        <v>1</v>
      </c>
      <c r="E837" s="80">
        <f>'MANO DE OBRA'!$E$12</f>
        <v>47255</v>
      </c>
      <c r="F837" s="81">
        <v>32</v>
      </c>
      <c r="G837" s="110">
        <f>ROUND(D837*E837/F837,0)</f>
        <v>1477</v>
      </c>
    </row>
    <row r="838" spans="1:7">
      <c r="A838" s="95"/>
      <c r="B838" s="854" t="str">
        <f>'MANO DE OBRA'!$B$17</f>
        <v>OFICIAL CUAD. TIPO CC</v>
      </c>
      <c r="C838" s="855"/>
      <c r="D838" s="37">
        <v>1</v>
      </c>
      <c r="E838" s="82">
        <f>'MANO DE OBRA'!$E$17</f>
        <v>82117</v>
      </c>
      <c r="F838" s="83">
        <v>32</v>
      </c>
      <c r="G838" s="111">
        <f>ROUND(D838*E838/F838,0)</f>
        <v>2566</v>
      </c>
    </row>
    <row r="839" spans="1:7">
      <c r="A839" s="95"/>
      <c r="B839" s="854"/>
      <c r="C839" s="855"/>
      <c r="D839" s="89"/>
      <c r="E839" s="82"/>
      <c r="F839" s="83"/>
      <c r="G839" s="111"/>
    </row>
    <row r="840" spans="1:7">
      <c r="A840" s="95"/>
      <c r="B840" s="854" t="s">
        <v>841</v>
      </c>
      <c r="C840" s="855"/>
      <c r="D840" s="37"/>
      <c r="E840" s="82"/>
      <c r="F840" s="83"/>
      <c r="G840" s="111"/>
    </row>
    <row r="841" spans="1:7" ht="13.5" thickBot="1">
      <c r="A841" s="95"/>
      <c r="B841" s="980" t="s">
        <v>841</v>
      </c>
      <c r="C841" s="981"/>
      <c r="D841" s="77"/>
      <c r="E841" s="82"/>
      <c r="F841" s="86"/>
      <c r="G841" s="112"/>
    </row>
    <row r="842" spans="1:7" ht="14.25" thickTop="1" thickBot="1">
      <c r="A842" s="95"/>
      <c r="B842" s="946"/>
      <c r="C842" s="946"/>
      <c r="D842" s="946"/>
      <c r="E842" s="947"/>
      <c r="F842" s="120" t="s">
        <v>856</v>
      </c>
      <c r="G842" s="118">
        <f>SUM(G837:G841)</f>
        <v>4043</v>
      </c>
    </row>
    <row r="843" spans="1:7" ht="14.25" thickTop="1" thickBot="1">
      <c r="A843" s="95"/>
      <c r="B843" s="970"/>
      <c r="C843" s="970"/>
      <c r="D843" s="970"/>
      <c r="E843" s="970"/>
      <c r="F843" s="970"/>
      <c r="G843" s="970"/>
    </row>
    <row r="844" spans="1:7" ht="13.5" thickTop="1">
      <c r="A844" s="95"/>
      <c r="B844" s="950" t="s">
        <v>321</v>
      </c>
      <c r="C844" s="951"/>
      <c r="D844" s="951"/>
      <c r="E844" s="951"/>
      <c r="F844" s="951"/>
      <c r="G844" s="952"/>
    </row>
    <row r="845" spans="1:7">
      <c r="A845" s="95"/>
      <c r="B845" s="978" t="s">
        <v>838</v>
      </c>
      <c r="C845" s="979"/>
      <c r="D845" s="98" t="s">
        <v>301</v>
      </c>
      <c r="E845" s="98" t="s">
        <v>297</v>
      </c>
      <c r="F845" s="99" t="s">
        <v>839</v>
      </c>
      <c r="G845" s="107" t="s">
        <v>840</v>
      </c>
    </row>
    <row r="846" spans="1:7">
      <c r="A846" s="95"/>
      <c r="B846" s="230"/>
      <c r="C846" s="102"/>
      <c r="D846" s="103" t="s">
        <v>322</v>
      </c>
      <c r="E846" s="103" t="s">
        <v>323</v>
      </c>
      <c r="F846" s="104" t="s">
        <v>324</v>
      </c>
      <c r="G846" s="109" t="s">
        <v>325</v>
      </c>
    </row>
    <row r="847" spans="1:7">
      <c r="A847" s="95"/>
      <c r="B847" s="841"/>
      <c r="C847" s="842"/>
      <c r="D847" s="96"/>
      <c r="E847" s="96"/>
      <c r="F847" s="96"/>
      <c r="G847" s="116"/>
    </row>
    <row r="848" spans="1:7" ht="13.5" thickBot="1">
      <c r="A848" s="95"/>
      <c r="B848" s="980" t="s">
        <v>841</v>
      </c>
      <c r="C848" s="981"/>
      <c r="D848" s="77"/>
      <c r="E848" s="82"/>
      <c r="F848" s="86"/>
      <c r="G848" s="112"/>
    </row>
    <row r="849" spans="1:8" ht="14.25" thickTop="1" thickBot="1">
      <c r="A849" s="95"/>
      <c r="B849" s="946"/>
      <c r="C849" s="946"/>
      <c r="D849" s="946"/>
      <c r="E849" s="947"/>
      <c r="F849" s="120" t="s">
        <v>856</v>
      </c>
      <c r="G849" s="118">
        <f>SUM(G844:G848)</f>
        <v>0</v>
      </c>
    </row>
    <row r="850" spans="1:8" ht="14.25" thickTop="1" thickBot="1">
      <c r="A850" s="95"/>
      <c r="B850" s="970"/>
      <c r="C850" s="970"/>
      <c r="D850" s="970"/>
      <c r="E850" s="970"/>
      <c r="F850" s="970"/>
      <c r="G850" s="943"/>
    </row>
    <row r="851" spans="1:8" ht="13.5" thickTop="1">
      <c r="A851" s="95"/>
      <c r="B851" s="950" t="s">
        <v>326</v>
      </c>
      <c r="C851" s="951"/>
      <c r="D851" s="951"/>
      <c r="E851" s="951"/>
      <c r="F851" s="971"/>
      <c r="G851" s="121">
        <f>+G815+G831+G842</f>
        <v>10850</v>
      </c>
    </row>
    <row r="852" spans="1:8">
      <c r="A852" s="95"/>
      <c r="B852" s="972" t="s">
        <v>861</v>
      </c>
      <c r="C852" s="973"/>
      <c r="D852" s="973"/>
      <c r="E852" s="974"/>
      <c r="F852" s="128">
        <f>'MANO DE OBRA'!$D$59</f>
        <v>0</v>
      </c>
      <c r="G852" s="122">
        <f>ROUND(G851*F852,0)</f>
        <v>0</v>
      </c>
    </row>
    <row r="853" spans="1:8" ht="13.5" thickBot="1">
      <c r="A853" s="95"/>
      <c r="B853" s="975" t="s">
        <v>1049</v>
      </c>
      <c r="C853" s="976"/>
      <c r="D853" s="976"/>
      <c r="E853" s="976"/>
      <c r="F853" s="977"/>
      <c r="G853" s="118">
        <f>ROUND(G851+G852,-2)</f>
        <v>10900</v>
      </c>
      <c r="H853" s="505" t="s">
        <v>1670</v>
      </c>
    </row>
    <row r="854" spans="1:8" ht="15" thickTop="1">
      <c r="A854" s="95"/>
      <c r="B854" s="225" t="s">
        <v>303</v>
      </c>
      <c r="C854" s="843"/>
      <c r="D854" s="843"/>
      <c r="E854" s="843"/>
      <c r="F854" s="92" t="s">
        <v>781</v>
      </c>
      <c r="G854" s="93" t="s">
        <v>1067</v>
      </c>
    </row>
    <row r="855" spans="1:8">
      <c r="A855" s="95"/>
      <c r="B855" s="226" t="s">
        <v>834</v>
      </c>
      <c r="C855" s="844" t="s">
        <v>409</v>
      </c>
      <c r="D855" s="844"/>
      <c r="E855" s="844"/>
      <c r="F855" s="15" t="s">
        <v>833</v>
      </c>
      <c r="G855" s="165" t="str">
        <f>'MANO DE OBRA'!D61</f>
        <v>Agosto de 2010</v>
      </c>
    </row>
    <row r="856" spans="1:8" ht="13.5" thickBot="1">
      <c r="A856" s="127"/>
      <c r="B856" s="228" t="s">
        <v>835</v>
      </c>
      <c r="C856" s="845" t="s">
        <v>337</v>
      </c>
      <c r="D856" s="845"/>
      <c r="E856" s="845"/>
      <c r="F856" s="845"/>
      <c r="G856" s="846"/>
    </row>
    <row r="857" spans="1:8" ht="14.25" thickTop="1" thickBot="1">
      <c r="A857" s="95"/>
      <c r="B857" s="986"/>
      <c r="C857" s="986"/>
      <c r="D857" s="986"/>
      <c r="E857" s="986"/>
      <c r="F857" s="986"/>
      <c r="G857" s="986"/>
    </row>
    <row r="858" spans="1:8" ht="13.5" thickTop="1">
      <c r="A858" s="95"/>
      <c r="B858" s="950" t="s">
        <v>304</v>
      </c>
      <c r="C858" s="951"/>
      <c r="D858" s="951"/>
      <c r="E858" s="951"/>
      <c r="F858" s="951"/>
      <c r="G858" s="952"/>
    </row>
    <row r="859" spans="1:8">
      <c r="A859" s="95"/>
      <c r="B859" s="229"/>
      <c r="C859" s="97"/>
      <c r="D859" s="98" t="s">
        <v>301</v>
      </c>
      <c r="E859" s="98" t="s">
        <v>1072</v>
      </c>
      <c r="F859" s="99" t="s">
        <v>839</v>
      </c>
      <c r="G859" s="107" t="s">
        <v>840</v>
      </c>
    </row>
    <row r="860" spans="1:8">
      <c r="A860" s="95"/>
      <c r="B860" s="982" t="s">
        <v>838</v>
      </c>
      <c r="C860" s="983"/>
      <c r="D860" s="100" t="s">
        <v>308</v>
      </c>
      <c r="E860" s="100" t="s">
        <v>305</v>
      </c>
      <c r="F860" s="101" t="s">
        <v>306</v>
      </c>
      <c r="G860" s="108" t="s">
        <v>310</v>
      </c>
    </row>
    <row r="861" spans="1:8">
      <c r="A861" s="95"/>
      <c r="B861" s="230"/>
      <c r="C861" s="102"/>
      <c r="D861" s="103"/>
      <c r="E861" s="103" t="s">
        <v>309</v>
      </c>
      <c r="F861" s="104" t="s">
        <v>307</v>
      </c>
      <c r="G861" s="109"/>
    </row>
    <row r="862" spans="1:8">
      <c r="A862" s="127"/>
      <c r="B862" s="841" t="str">
        <f>'MAQUINARIA Y EQUIPOS'!$C$28</f>
        <v>HERRAMIENTAS MENORES</v>
      </c>
      <c r="C862" s="842"/>
      <c r="D862" s="87">
        <v>1</v>
      </c>
      <c r="E862" s="82">
        <f>ROUND(G895*0.05,0)</f>
        <v>190</v>
      </c>
      <c r="F862" s="81">
        <v>1</v>
      </c>
      <c r="G862" s="110">
        <f>ROUND(D862*E862/F862,0)</f>
        <v>190</v>
      </c>
    </row>
    <row r="863" spans="1:8">
      <c r="A863" s="95"/>
      <c r="B863" s="854" t="str">
        <f>'MAQUINARIA Y EQUIPOS'!$C$9</f>
        <v>ANDAMIO TUBULAR 1.50 m</v>
      </c>
      <c r="C863" s="855"/>
      <c r="D863" s="37">
        <v>4</v>
      </c>
      <c r="E863" s="129">
        <f>'MAQUINARIA Y EQUIPOS'!$D$9</f>
        <v>754</v>
      </c>
      <c r="F863" s="83">
        <f>F890</f>
        <v>34</v>
      </c>
      <c r="G863" s="111">
        <f>ROUND(D863*E863/F863,0)</f>
        <v>89</v>
      </c>
    </row>
    <row r="864" spans="1:8">
      <c r="A864" s="95"/>
      <c r="B864" s="854" t="str">
        <f>'MAQUINARIA Y EQUIPOS'!$C$47</f>
        <v>TABLONES 3m</v>
      </c>
      <c r="C864" s="855"/>
      <c r="D864" s="37">
        <v>2</v>
      </c>
      <c r="E864" s="129">
        <f>'MAQUINARIA Y EQUIPOS'!$D$47</f>
        <v>348</v>
      </c>
      <c r="F864" s="83">
        <f>F890</f>
        <v>34</v>
      </c>
      <c r="G864" s="111">
        <f>ROUND(D864*E864/F864,0)</f>
        <v>20</v>
      </c>
    </row>
    <row r="865" spans="1:8">
      <c r="A865" s="95"/>
      <c r="B865" s="854"/>
      <c r="C865" s="855"/>
      <c r="D865" s="89"/>
      <c r="E865" s="82"/>
      <c r="F865" s="83"/>
      <c r="G865" s="111"/>
    </row>
    <row r="866" spans="1:8">
      <c r="A866" s="95"/>
      <c r="B866" s="854" t="s">
        <v>841</v>
      </c>
      <c r="C866" s="855"/>
      <c r="D866" s="37"/>
      <c r="E866" s="82"/>
      <c r="F866" s="83"/>
      <c r="G866" s="111"/>
    </row>
    <row r="867" spans="1:8" ht="13.5" thickBot="1">
      <c r="A867" s="95"/>
      <c r="B867" s="942" t="s">
        <v>841</v>
      </c>
      <c r="C867" s="943"/>
      <c r="D867" s="77"/>
      <c r="E867" s="106"/>
      <c r="F867" s="86"/>
      <c r="G867" s="112"/>
    </row>
    <row r="868" spans="1:8" ht="14.25" thickTop="1" thickBot="1">
      <c r="A868" s="95"/>
      <c r="B868" s="946"/>
      <c r="C868" s="946"/>
      <c r="D868" s="946"/>
      <c r="E868" s="947"/>
      <c r="F868" s="119" t="s">
        <v>856</v>
      </c>
      <c r="G868" s="118">
        <f>SUM(G862:G867)</f>
        <v>299</v>
      </c>
    </row>
    <row r="869" spans="1:8" ht="14.25" thickTop="1" thickBot="1">
      <c r="A869" s="95"/>
      <c r="B869" s="970"/>
      <c r="C869" s="970"/>
      <c r="D869" s="970"/>
      <c r="E869" s="970"/>
      <c r="F869" s="970"/>
      <c r="G869" s="970"/>
    </row>
    <row r="870" spans="1:8" ht="13.5" thickTop="1">
      <c r="A870" s="95"/>
      <c r="B870" s="950" t="s">
        <v>311</v>
      </c>
      <c r="C870" s="951"/>
      <c r="D870" s="951"/>
      <c r="E870" s="951"/>
      <c r="F870" s="951"/>
      <c r="G870" s="952"/>
    </row>
    <row r="871" spans="1:8">
      <c r="A871" s="95"/>
      <c r="B871" s="978" t="s">
        <v>838</v>
      </c>
      <c r="C871" s="979"/>
      <c r="D871" s="98" t="s">
        <v>842</v>
      </c>
      <c r="E871" s="98" t="s">
        <v>853</v>
      </c>
      <c r="F871" s="99" t="s">
        <v>1047</v>
      </c>
      <c r="G871" s="107" t="s">
        <v>840</v>
      </c>
    </row>
    <row r="872" spans="1:8">
      <c r="A872" s="95"/>
      <c r="B872" s="230"/>
      <c r="C872" s="102"/>
      <c r="D872" s="103"/>
      <c r="E872" s="103" t="s">
        <v>312</v>
      </c>
      <c r="F872" s="104" t="s">
        <v>313</v>
      </c>
      <c r="G872" s="109" t="s">
        <v>314</v>
      </c>
    </row>
    <row r="873" spans="1:8">
      <c r="A873" s="95"/>
      <c r="B873" s="854" t="str">
        <f>MATERIALES2!$C$295</f>
        <v>VINILTEX PINTUCO</v>
      </c>
      <c r="C873" s="855"/>
      <c r="D873" s="37" t="s">
        <v>556</v>
      </c>
      <c r="E873" s="83">
        <v>0.05</v>
      </c>
      <c r="F873" s="82">
        <f>MATERIALES2!$E$295</f>
        <v>55000</v>
      </c>
      <c r="G873" s="111">
        <f>ROUND(E873*F873,0)</f>
        <v>2750</v>
      </c>
    </row>
    <row r="874" spans="1:8">
      <c r="A874" s="123"/>
      <c r="B874" s="854"/>
      <c r="C874" s="855"/>
      <c r="D874" s="37"/>
      <c r="E874" s="83"/>
      <c r="F874" s="82"/>
      <c r="G874" s="111"/>
    </row>
    <row r="875" spans="1:8">
      <c r="A875" s="123"/>
      <c r="B875" s="854"/>
      <c r="C875" s="855"/>
      <c r="D875" s="37"/>
      <c r="E875" s="83"/>
      <c r="F875" s="82"/>
      <c r="G875" s="111"/>
    </row>
    <row r="876" spans="1:8">
      <c r="A876" s="123"/>
      <c r="B876" s="854"/>
      <c r="C876" s="855"/>
      <c r="D876" s="37"/>
      <c r="E876" s="83"/>
      <c r="F876" s="82"/>
      <c r="G876" s="111"/>
    </row>
    <row r="877" spans="1:8">
      <c r="A877" s="123"/>
      <c r="B877" s="854"/>
      <c r="C877" s="855"/>
      <c r="D877" s="37"/>
      <c r="E877" s="83"/>
      <c r="F877" s="82"/>
      <c r="G877" s="111"/>
    </row>
    <row r="878" spans="1:8">
      <c r="B878" s="226"/>
      <c r="D878" s="53"/>
      <c r="F878" s="53"/>
      <c r="G878" s="247"/>
    </row>
    <row r="879" spans="1:8">
      <c r="A879" s="95"/>
      <c r="B879" s="854"/>
      <c r="C879" s="855"/>
      <c r="D879" s="37"/>
      <c r="E879" s="83"/>
      <c r="F879" s="82"/>
      <c r="G879" s="111"/>
      <c r="H879" s="505" t="s">
        <v>1670</v>
      </c>
    </row>
    <row r="880" spans="1:8">
      <c r="A880" s="95"/>
      <c r="B880" s="938" t="s">
        <v>841</v>
      </c>
      <c r="C880" s="939"/>
      <c r="D880" s="53" t="s">
        <v>841</v>
      </c>
      <c r="E880" s="53"/>
      <c r="F880" s="82"/>
      <c r="G880" s="111"/>
    </row>
    <row r="881" spans="1:7" ht="13.5" thickBot="1">
      <c r="A881" s="95"/>
      <c r="B881" s="942" t="s">
        <v>841</v>
      </c>
      <c r="C881" s="943"/>
      <c r="D881" s="84" t="s">
        <v>841</v>
      </c>
      <c r="E881" s="84"/>
      <c r="F881" s="85"/>
      <c r="G881" s="112"/>
    </row>
    <row r="882" spans="1:7" ht="13.5" thickTop="1">
      <c r="A882" s="95"/>
      <c r="B882" s="946"/>
      <c r="C882" s="947"/>
      <c r="D882" s="801" t="s">
        <v>856</v>
      </c>
      <c r="E882" s="802"/>
      <c r="F882" s="9"/>
      <c r="G882" s="113">
        <f>SUM(G873:G881)</f>
        <v>2750</v>
      </c>
    </row>
    <row r="883" spans="1:7">
      <c r="A883" s="95"/>
      <c r="B883" s="948"/>
      <c r="C883" s="949"/>
      <c r="D883" s="801" t="s">
        <v>857</v>
      </c>
      <c r="E883" s="802"/>
      <c r="F883" s="79">
        <f>'MANO DE OBRA'!$D$60</f>
        <v>0.05</v>
      </c>
      <c r="G883" s="113">
        <f>ROUND(G882*F883,0)</f>
        <v>138</v>
      </c>
    </row>
    <row r="884" spans="1:7" ht="13.5" thickBot="1">
      <c r="A884" s="95"/>
      <c r="B884" s="948"/>
      <c r="C884" s="949"/>
      <c r="D884" s="803" t="s">
        <v>320</v>
      </c>
      <c r="E884" s="804"/>
      <c r="F884" s="114"/>
      <c r="G884" s="118">
        <f>+G882+G883</f>
        <v>2888</v>
      </c>
    </row>
    <row r="885" spans="1:7" ht="14.25" thickTop="1" thickBot="1">
      <c r="A885" s="95"/>
      <c r="B885" s="970"/>
      <c r="C885" s="970"/>
      <c r="D885" s="970"/>
      <c r="E885" s="970"/>
      <c r="F885" s="970"/>
      <c r="G885" s="970"/>
    </row>
    <row r="886" spans="1:7" ht="13.5" thickTop="1">
      <c r="A886" s="95"/>
      <c r="B886" s="950" t="s">
        <v>858</v>
      </c>
      <c r="C886" s="951"/>
      <c r="D886" s="951"/>
      <c r="E886" s="951"/>
      <c r="F886" s="951"/>
      <c r="G886" s="952"/>
    </row>
    <row r="887" spans="1:7">
      <c r="A887" s="95"/>
      <c r="B887" s="978"/>
      <c r="C887" s="979"/>
      <c r="D887" s="98" t="s">
        <v>301</v>
      </c>
      <c r="E887" s="98" t="s">
        <v>859</v>
      </c>
      <c r="F887" s="99" t="s">
        <v>839</v>
      </c>
      <c r="G887" s="107" t="s">
        <v>840</v>
      </c>
    </row>
    <row r="888" spans="1:7">
      <c r="A888" s="95"/>
      <c r="B888" s="982" t="s">
        <v>838</v>
      </c>
      <c r="C888" s="983"/>
      <c r="D888" s="100" t="s">
        <v>316</v>
      </c>
      <c r="E888" s="100" t="s">
        <v>315</v>
      </c>
      <c r="F888" s="101" t="s">
        <v>306</v>
      </c>
      <c r="G888" s="108" t="s">
        <v>319</v>
      </c>
    </row>
    <row r="889" spans="1:7">
      <c r="A889" s="95"/>
      <c r="B889" s="230"/>
      <c r="C889" s="102"/>
      <c r="D889" s="103"/>
      <c r="E889" s="103" t="s">
        <v>317</v>
      </c>
      <c r="F889" s="104" t="s">
        <v>318</v>
      </c>
      <c r="G889" s="109"/>
    </row>
    <row r="890" spans="1:7">
      <c r="A890" s="95"/>
      <c r="B890" s="841" t="str">
        <f>'MANO DE OBRA'!$B$12</f>
        <v>AYUDANTE CUAD. TIPO CC</v>
      </c>
      <c r="C890" s="842"/>
      <c r="D890" s="87">
        <v>1</v>
      </c>
      <c r="E890" s="80">
        <f>'MANO DE OBRA'!$E$12</f>
        <v>47255</v>
      </c>
      <c r="F890" s="81">
        <v>34</v>
      </c>
      <c r="G890" s="110">
        <f>ROUND(D890*E890/F890,0)</f>
        <v>1390</v>
      </c>
    </row>
    <row r="891" spans="1:7">
      <c r="A891" s="95"/>
      <c r="B891" s="854" t="str">
        <f>'MANO DE OBRA'!$B$17</f>
        <v>OFICIAL CUAD. TIPO CC</v>
      </c>
      <c r="C891" s="855"/>
      <c r="D891" s="37">
        <v>1</v>
      </c>
      <c r="E891" s="82">
        <f>'MANO DE OBRA'!$E$17</f>
        <v>82117</v>
      </c>
      <c r="F891" s="83">
        <v>34</v>
      </c>
      <c r="G891" s="111">
        <f>ROUND(D891*E891/F891,0)</f>
        <v>2415</v>
      </c>
    </row>
    <row r="892" spans="1:7">
      <c r="A892" s="95"/>
      <c r="B892" s="854"/>
      <c r="C892" s="855"/>
      <c r="D892" s="89"/>
      <c r="E892" s="82"/>
      <c r="F892" s="83"/>
      <c r="G892" s="111"/>
    </row>
    <row r="893" spans="1:7">
      <c r="A893" s="95"/>
      <c r="B893" s="854" t="s">
        <v>841</v>
      </c>
      <c r="C893" s="855"/>
      <c r="D893" s="37"/>
      <c r="E893" s="82"/>
      <c r="F893" s="83"/>
      <c r="G893" s="111"/>
    </row>
    <row r="894" spans="1:7" ht="13.5" thickBot="1">
      <c r="A894" s="95"/>
      <c r="B894" s="980" t="s">
        <v>841</v>
      </c>
      <c r="C894" s="981"/>
      <c r="D894" s="77"/>
      <c r="E894" s="82"/>
      <c r="F894" s="86"/>
      <c r="G894" s="112"/>
    </row>
    <row r="895" spans="1:7" ht="14.25" thickTop="1" thickBot="1">
      <c r="A895" s="95"/>
      <c r="B895" s="946"/>
      <c r="C895" s="946"/>
      <c r="D895" s="946"/>
      <c r="E895" s="947"/>
      <c r="F895" s="120" t="s">
        <v>856</v>
      </c>
      <c r="G895" s="118">
        <f>SUM(G890:G894)</f>
        <v>3805</v>
      </c>
    </row>
    <row r="896" spans="1:7" ht="14.25" thickTop="1" thickBot="1">
      <c r="A896" s="95"/>
      <c r="B896" s="970"/>
      <c r="C896" s="970"/>
      <c r="D896" s="970"/>
      <c r="E896" s="970"/>
      <c r="F896" s="970"/>
      <c r="G896" s="970"/>
    </row>
    <row r="897" spans="1:8" ht="13.5" thickTop="1">
      <c r="A897" s="95"/>
      <c r="B897" s="950" t="s">
        <v>321</v>
      </c>
      <c r="C897" s="951"/>
      <c r="D897" s="951"/>
      <c r="E897" s="951"/>
      <c r="F897" s="951"/>
      <c r="G897" s="952"/>
    </row>
    <row r="898" spans="1:8">
      <c r="A898" s="95"/>
      <c r="B898" s="978" t="s">
        <v>838</v>
      </c>
      <c r="C898" s="979"/>
      <c r="D898" s="98" t="s">
        <v>301</v>
      </c>
      <c r="E898" s="98" t="s">
        <v>297</v>
      </c>
      <c r="F898" s="99" t="s">
        <v>839</v>
      </c>
      <c r="G898" s="107" t="s">
        <v>840</v>
      </c>
    </row>
    <row r="899" spans="1:8">
      <c r="A899" s="95"/>
      <c r="B899" s="230"/>
      <c r="C899" s="102"/>
      <c r="D899" s="103" t="s">
        <v>322</v>
      </c>
      <c r="E899" s="103" t="s">
        <v>323</v>
      </c>
      <c r="F899" s="104" t="s">
        <v>324</v>
      </c>
      <c r="G899" s="109" t="s">
        <v>325</v>
      </c>
    </row>
    <row r="900" spans="1:8">
      <c r="A900" s="95"/>
      <c r="B900" s="841"/>
      <c r="C900" s="842"/>
      <c r="D900" s="96"/>
      <c r="E900" s="96"/>
      <c r="F900" s="96"/>
      <c r="G900" s="116"/>
    </row>
    <row r="901" spans="1:8" ht="13.5" thickBot="1">
      <c r="A901" s="95"/>
      <c r="B901" s="980" t="s">
        <v>841</v>
      </c>
      <c r="C901" s="981"/>
      <c r="D901" s="77"/>
      <c r="E901" s="82"/>
      <c r="F901" s="86"/>
      <c r="G901" s="112"/>
    </row>
    <row r="902" spans="1:8" ht="14.25" thickTop="1" thickBot="1">
      <c r="A902" s="95"/>
      <c r="B902" s="946"/>
      <c r="C902" s="946"/>
      <c r="D902" s="946"/>
      <c r="E902" s="947"/>
      <c r="F902" s="120" t="s">
        <v>856</v>
      </c>
      <c r="G902" s="118">
        <f>SUM(G897:G901)</f>
        <v>0</v>
      </c>
    </row>
    <row r="903" spans="1:8" ht="14.25" thickTop="1" thickBot="1">
      <c r="A903" s="95"/>
      <c r="B903" s="970"/>
      <c r="C903" s="970"/>
      <c r="D903" s="970"/>
      <c r="E903" s="970"/>
      <c r="F903" s="970"/>
      <c r="G903" s="943"/>
    </row>
    <row r="904" spans="1:8" ht="13.5" thickTop="1">
      <c r="A904" s="95"/>
      <c r="B904" s="950" t="s">
        <v>326</v>
      </c>
      <c r="C904" s="951"/>
      <c r="D904" s="951"/>
      <c r="E904" s="951"/>
      <c r="F904" s="971"/>
      <c r="G904" s="121">
        <f>+G868+G884+G895</f>
        <v>6992</v>
      </c>
    </row>
    <row r="905" spans="1:8">
      <c r="A905" s="95"/>
      <c r="B905" s="972" t="s">
        <v>861</v>
      </c>
      <c r="C905" s="973"/>
      <c r="D905" s="973"/>
      <c r="E905" s="974"/>
      <c r="F905" s="128">
        <f>'MANO DE OBRA'!$D$59</f>
        <v>0</v>
      </c>
      <c r="G905" s="122">
        <f>ROUND(G904*F905,0)</f>
        <v>0</v>
      </c>
    </row>
    <row r="906" spans="1:8" ht="13.5" thickBot="1">
      <c r="A906" s="95"/>
      <c r="B906" s="975" t="s">
        <v>1049</v>
      </c>
      <c r="C906" s="976"/>
      <c r="D906" s="976"/>
      <c r="E906" s="976"/>
      <c r="F906" s="977"/>
      <c r="G906" s="118">
        <f>ROUND(G904+G905,-2)</f>
        <v>7000</v>
      </c>
      <c r="H906" s="505" t="s">
        <v>1670</v>
      </c>
    </row>
    <row r="907" spans="1:8" ht="15" thickTop="1">
      <c r="A907" s="95"/>
      <c r="B907" s="225" t="s">
        <v>303</v>
      </c>
      <c r="C907" s="843"/>
      <c r="D907" s="843"/>
      <c r="E907" s="843"/>
      <c r="F907" s="92" t="s">
        <v>781</v>
      </c>
      <c r="G907" s="93" t="s">
        <v>1067</v>
      </c>
    </row>
    <row r="908" spans="1:8">
      <c r="A908" s="95"/>
      <c r="B908" s="226" t="s">
        <v>834</v>
      </c>
      <c r="C908" s="844" t="s">
        <v>1518</v>
      </c>
      <c r="D908" s="844"/>
      <c r="E908" s="844"/>
      <c r="F908" s="15" t="s">
        <v>833</v>
      </c>
      <c r="G908" s="165" t="str">
        <f>'MANO DE OBRA'!D61</f>
        <v>Agosto de 2010</v>
      </c>
    </row>
    <row r="909" spans="1:8" ht="13.5" thickBot="1">
      <c r="A909" s="127"/>
      <c r="B909" s="228" t="s">
        <v>835</v>
      </c>
      <c r="C909" s="1053" t="s">
        <v>339</v>
      </c>
      <c r="D909" s="1053"/>
      <c r="E909" s="1053"/>
      <c r="F909" s="1053"/>
      <c r="G909" s="1054"/>
    </row>
    <row r="910" spans="1:8" ht="14.25" thickTop="1" thickBot="1">
      <c r="A910" s="95"/>
      <c r="B910" s="986"/>
      <c r="C910" s="986"/>
      <c r="D910" s="986"/>
      <c r="E910" s="986"/>
      <c r="F910" s="986"/>
      <c r="G910" s="986"/>
    </row>
    <row r="911" spans="1:8" ht="13.5" thickTop="1">
      <c r="A911" s="95"/>
      <c r="B911" s="950" t="s">
        <v>304</v>
      </c>
      <c r="C911" s="951"/>
      <c r="D911" s="951"/>
      <c r="E911" s="951"/>
      <c r="F911" s="951"/>
      <c r="G911" s="952"/>
    </row>
    <row r="912" spans="1:8">
      <c r="A912" s="95"/>
      <c r="B912" s="229"/>
      <c r="C912" s="97"/>
      <c r="D912" s="98" t="s">
        <v>301</v>
      </c>
      <c r="E912" s="98" t="s">
        <v>1072</v>
      </c>
      <c r="F912" s="99" t="s">
        <v>839</v>
      </c>
      <c r="G912" s="107" t="s">
        <v>840</v>
      </c>
    </row>
    <row r="913" spans="1:7">
      <c r="A913" s="95"/>
      <c r="B913" s="982" t="s">
        <v>838</v>
      </c>
      <c r="C913" s="983"/>
      <c r="D913" s="100" t="s">
        <v>308</v>
      </c>
      <c r="E913" s="100" t="s">
        <v>305</v>
      </c>
      <c r="F913" s="101" t="s">
        <v>306</v>
      </c>
      <c r="G913" s="108" t="s">
        <v>310</v>
      </c>
    </row>
    <row r="914" spans="1:7">
      <c r="A914" s="95"/>
      <c r="B914" s="230"/>
      <c r="C914" s="102"/>
      <c r="D914" s="103"/>
      <c r="E914" s="103" t="s">
        <v>309</v>
      </c>
      <c r="F914" s="104" t="s">
        <v>307</v>
      </c>
      <c r="G914" s="109"/>
    </row>
    <row r="915" spans="1:7">
      <c r="A915" s="127"/>
      <c r="B915" s="841" t="str">
        <f>'MAQUINARIA Y EQUIPOS'!$C$28</f>
        <v>HERRAMIENTAS MENORES</v>
      </c>
      <c r="C915" s="842"/>
      <c r="D915" s="87">
        <v>1</v>
      </c>
      <c r="E915" s="82">
        <f>ROUND(G948*0.05,0)</f>
        <v>359</v>
      </c>
      <c r="F915" s="81">
        <v>1</v>
      </c>
      <c r="G915" s="110">
        <f>ROUND(D915*E915/F915,0)</f>
        <v>359</v>
      </c>
    </row>
    <row r="916" spans="1:7">
      <c r="A916" s="95"/>
      <c r="B916" s="854" t="str">
        <f>'MAQUINARIA Y EQUIPOS'!$C$9</f>
        <v>ANDAMIO TUBULAR 1.50 m</v>
      </c>
      <c r="C916" s="855"/>
      <c r="D916" s="37">
        <v>4</v>
      </c>
      <c r="E916" s="129">
        <f>'MAQUINARIA Y EQUIPOS'!$D$9</f>
        <v>754</v>
      </c>
      <c r="F916" s="83">
        <v>18</v>
      </c>
      <c r="G916" s="111">
        <f>ROUND(D916*E916/F916,0)</f>
        <v>168</v>
      </c>
    </row>
    <row r="917" spans="1:7">
      <c r="A917" s="95"/>
      <c r="B917" s="854" t="str">
        <f>'MAQUINARIA Y EQUIPOS'!$C$47</f>
        <v>TABLONES 3m</v>
      </c>
      <c r="C917" s="855"/>
      <c r="D917" s="37">
        <v>2</v>
      </c>
      <c r="E917" s="129">
        <f>'MAQUINARIA Y EQUIPOS'!$D$47</f>
        <v>348</v>
      </c>
      <c r="F917" s="83">
        <v>18</v>
      </c>
      <c r="G917" s="111">
        <f>ROUND(D917*E917/F917,0)</f>
        <v>39</v>
      </c>
    </row>
    <row r="918" spans="1:7">
      <c r="A918" s="95"/>
      <c r="B918" s="854"/>
      <c r="C918" s="855"/>
      <c r="D918" s="89"/>
      <c r="E918" s="82"/>
      <c r="F918" s="83"/>
      <c r="G918" s="111"/>
    </row>
    <row r="919" spans="1:7">
      <c r="A919" s="95"/>
      <c r="B919" s="854" t="s">
        <v>841</v>
      </c>
      <c r="C919" s="855"/>
      <c r="D919" s="37"/>
      <c r="E919" s="82"/>
      <c r="F919" s="83"/>
      <c r="G919" s="111"/>
    </row>
    <row r="920" spans="1:7" ht="13.5" thickBot="1">
      <c r="A920" s="95"/>
      <c r="B920" s="942" t="s">
        <v>841</v>
      </c>
      <c r="C920" s="943"/>
      <c r="D920" s="77"/>
      <c r="E920" s="106"/>
      <c r="F920" s="86"/>
      <c r="G920" s="112"/>
    </row>
    <row r="921" spans="1:7" ht="14.25" thickTop="1" thickBot="1">
      <c r="A921" s="95"/>
      <c r="B921" s="946"/>
      <c r="C921" s="946"/>
      <c r="D921" s="946"/>
      <c r="E921" s="947"/>
      <c r="F921" s="119" t="s">
        <v>856</v>
      </c>
      <c r="G921" s="118">
        <f>SUM(G915:G920)</f>
        <v>566</v>
      </c>
    </row>
    <row r="922" spans="1:7" ht="14.25" thickTop="1" thickBot="1">
      <c r="A922" s="95"/>
      <c r="B922" s="970"/>
      <c r="C922" s="970"/>
      <c r="D922" s="970"/>
      <c r="E922" s="970"/>
      <c r="F922" s="970"/>
      <c r="G922" s="970"/>
    </row>
    <row r="923" spans="1:7" ht="13.5" thickTop="1">
      <c r="A923" s="95"/>
      <c r="B923" s="950" t="s">
        <v>311</v>
      </c>
      <c r="C923" s="951"/>
      <c r="D923" s="951"/>
      <c r="E923" s="951"/>
      <c r="F923" s="951"/>
      <c r="G923" s="952"/>
    </row>
    <row r="924" spans="1:7">
      <c r="A924" s="95"/>
      <c r="B924" s="978" t="s">
        <v>838</v>
      </c>
      <c r="C924" s="979"/>
      <c r="D924" s="98" t="s">
        <v>842</v>
      </c>
      <c r="E924" s="98" t="s">
        <v>853</v>
      </c>
      <c r="F924" s="99" t="s">
        <v>1047</v>
      </c>
      <c r="G924" s="107" t="s">
        <v>840</v>
      </c>
    </row>
    <row r="925" spans="1:7">
      <c r="A925" s="95"/>
      <c r="B925" s="230"/>
      <c r="C925" s="102"/>
      <c r="D925" s="100"/>
      <c r="E925" s="100" t="s">
        <v>312</v>
      </c>
      <c r="F925" s="101" t="s">
        <v>313</v>
      </c>
      <c r="G925" s="108" t="s">
        <v>314</v>
      </c>
    </row>
    <row r="926" spans="1:7">
      <c r="A926" s="123"/>
      <c r="B926" s="841" t="str">
        <f>MATERIALES2!$C$286</f>
        <v>PAPEL LIJA AGUA</v>
      </c>
      <c r="C926" s="842"/>
      <c r="D926" s="87" t="s">
        <v>865</v>
      </c>
      <c r="E926" s="81">
        <v>0.02</v>
      </c>
      <c r="F926" s="80">
        <f>MATERIALES2!$E$286</f>
        <v>1000</v>
      </c>
      <c r="G926" s="110">
        <f t="shared" ref="G926:G931" si="1">ROUND(E926*F926,0)</f>
        <v>20</v>
      </c>
    </row>
    <row r="927" spans="1:7">
      <c r="A927" s="123"/>
      <c r="B927" s="854" t="str">
        <f>MATERIALES2!$C$11</f>
        <v>CAOLIN 25 KG</v>
      </c>
      <c r="C927" s="855"/>
      <c r="D927" s="37" t="s">
        <v>903</v>
      </c>
      <c r="E927" s="83">
        <v>0.04</v>
      </c>
      <c r="F927" s="82">
        <f>MATERIALES2!$E$11</f>
        <v>4414</v>
      </c>
      <c r="G927" s="111">
        <f t="shared" si="1"/>
        <v>177</v>
      </c>
    </row>
    <row r="928" spans="1:7">
      <c r="A928" s="123"/>
      <c r="B928" s="854" t="str">
        <f>MATERIALES2!$C$13</f>
        <v>CEMENTO GRIS</v>
      </c>
      <c r="C928" s="855"/>
      <c r="D928" s="37" t="s">
        <v>925</v>
      </c>
      <c r="E928" s="83">
        <v>0.25</v>
      </c>
      <c r="F928" s="82">
        <f>MATERIALES2!$E$13</f>
        <v>420</v>
      </c>
      <c r="G928" s="111">
        <f t="shared" si="1"/>
        <v>105</v>
      </c>
    </row>
    <row r="929" spans="1:8">
      <c r="A929" s="123"/>
      <c r="B929" s="854" t="str">
        <f>MATERIALES2!$C$16</f>
        <v>YESO 25 KG</v>
      </c>
      <c r="C929" s="855"/>
      <c r="D929" s="37" t="s">
        <v>903</v>
      </c>
      <c r="E929" s="83">
        <v>0.02</v>
      </c>
      <c r="F929" s="82">
        <f>MATERIALES2!$E$16</f>
        <v>14500</v>
      </c>
      <c r="G929" s="111">
        <f t="shared" si="1"/>
        <v>290</v>
      </c>
    </row>
    <row r="930" spans="1:8">
      <c r="A930" s="123"/>
      <c r="B930" s="854" t="str">
        <f>MATERIALES2!$C$28</f>
        <v>AGUA</v>
      </c>
      <c r="C930" s="855"/>
      <c r="D930" s="37" t="s">
        <v>1071</v>
      </c>
      <c r="E930" s="83">
        <v>3</v>
      </c>
      <c r="F930" s="82">
        <f>MATERIALES2!$E$28</f>
        <v>50</v>
      </c>
      <c r="G930" s="111">
        <f t="shared" si="1"/>
        <v>150</v>
      </c>
    </row>
    <row r="931" spans="1:8">
      <c r="A931" s="95"/>
      <c r="B931" s="957" t="s">
        <v>340</v>
      </c>
      <c r="C931" s="965"/>
      <c r="D931" s="154" t="s">
        <v>556</v>
      </c>
      <c r="E931" s="155">
        <v>0.05</v>
      </c>
      <c r="F931" s="156">
        <v>45000</v>
      </c>
      <c r="G931" s="157">
        <f t="shared" si="1"/>
        <v>2250</v>
      </c>
    </row>
    <row r="932" spans="1:8">
      <c r="A932" s="95"/>
      <c r="B932" s="854"/>
      <c r="C932" s="855"/>
      <c r="D932" s="37"/>
      <c r="E932" s="83"/>
      <c r="F932" s="82"/>
      <c r="G932" s="111"/>
      <c r="H932" s="505" t="s">
        <v>1670</v>
      </c>
    </row>
    <row r="933" spans="1:8">
      <c r="A933" s="95"/>
      <c r="B933" s="938" t="s">
        <v>841</v>
      </c>
      <c r="C933" s="939"/>
      <c r="D933" s="53" t="s">
        <v>841</v>
      </c>
      <c r="E933" s="53"/>
      <c r="F933" s="82"/>
      <c r="G933" s="111"/>
    </row>
    <row r="934" spans="1:8" ht="13.5" thickBot="1">
      <c r="A934" s="95"/>
      <c r="B934" s="942" t="s">
        <v>841</v>
      </c>
      <c r="C934" s="943"/>
      <c r="D934" s="84" t="s">
        <v>841</v>
      </c>
      <c r="E934" s="84"/>
      <c r="F934" s="85"/>
      <c r="G934" s="112"/>
    </row>
    <row r="935" spans="1:8" ht="13.5" thickTop="1">
      <c r="A935" s="95"/>
      <c r="B935" s="946"/>
      <c r="C935" s="947"/>
      <c r="D935" s="801" t="s">
        <v>856</v>
      </c>
      <c r="E935" s="802"/>
      <c r="F935" s="9"/>
      <c r="G935" s="113">
        <f>SUM(G926:G934)</f>
        <v>2992</v>
      </c>
    </row>
    <row r="936" spans="1:8">
      <c r="A936" s="95"/>
      <c r="B936" s="948"/>
      <c r="C936" s="949"/>
      <c r="D936" s="801" t="s">
        <v>857</v>
      </c>
      <c r="E936" s="802"/>
      <c r="F936" s="79">
        <f>'MANO DE OBRA'!$D$60</f>
        <v>0.05</v>
      </c>
      <c r="G936" s="113">
        <f>ROUND(G935*F936,0)</f>
        <v>150</v>
      </c>
    </row>
    <row r="937" spans="1:8" ht="13.5" thickBot="1">
      <c r="A937" s="95"/>
      <c r="B937" s="948"/>
      <c r="C937" s="949"/>
      <c r="D937" s="803" t="s">
        <v>320</v>
      </c>
      <c r="E937" s="804"/>
      <c r="F937" s="114"/>
      <c r="G937" s="118">
        <f>+G935+G936</f>
        <v>3142</v>
      </c>
    </row>
    <row r="938" spans="1:8" ht="14.25" thickTop="1" thickBot="1">
      <c r="A938" s="95"/>
      <c r="B938" s="970"/>
      <c r="C938" s="970"/>
      <c r="D938" s="970"/>
      <c r="E938" s="970"/>
      <c r="F938" s="970"/>
      <c r="G938" s="970"/>
    </row>
    <row r="939" spans="1:8" ht="13.5" thickTop="1">
      <c r="A939" s="95"/>
      <c r="B939" s="950" t="s">
        <v>858</v>
      </c>
      <c r="C939" s="951"/>
      <c r="D939" s="951"/>
      <c r="E939" s="951"/>
      <c r="F939" s="951"/>
      <c r="G939" s="952"/>
    </row>
    <row r="940" spans="1:8">
      <c r="A940" s="95"/>
      <c r="B940" s="978"/>
      <c r="C940" s="979"/>
      <c r="D940" s="98" t="s">
        <v>301</v>
      </c>
      <c r="E940" s="98" t="s">
        <v>859</v>
      </c>
      <c r="F940" s="99" t="s">
        <v>839</v>
      </c>
      <c r="G940" s="107" t="s">
        <v>840</v>
      </c>
    </row>
    <row r="941" spans="1:8">
      <c r="A941" s="95"/>
      <c r="B941" s="982" t="s">
        <v>838</v>
      </c>
      <c r="C941" s="983"/>
      <c r="D941" s="100" t="s">
        <v>316</v>
      </c>
      <c r="E941" s="100" t="s">
        <v>315</v>
      </c>
      <c r="F941" s="101" t="s">
        <v>306</v>
      </c>
      <c r="G941" s="108" t="s">
        <v>319</v>
      </c>
    </row>
    <row r="942" spans="1:8">
      <c r="A942" s="95"/>
      <c r="B942" s="230"/>
      <c r="C942" s="102"/>
      <c r="D942" s="103"/>
      <c r="E942" s="103" t="s">
        <v>317</v>
      </c>
      <c r="F942" s="104" t="s">
        <v>318</v>
      </c>
      <c r="G942" s="109"/>
    </row>
    <row r="943" spans="1:8">
      <c r="A943" s="95"/>
      <c r="B943" s="841" t="str">
        <f>'MANO DE OBRA'!$B$12</f>
        <v>AYUDANTE CUAD. TIPO CC</v>
      </c>
      <c r="C943" s="842"/>
      <c r="D943" s="87">
        <v>1</v>
      </c>
      <c r="E943" s="80">
        <f>'MANO DE OBRA'!$E$12</f>
        <v>47255</v>
      </c>
      <c r="F943" s="81">
        <v>18</v>
      </c>
      <c r="G943" s="110">
        <f>ROUND(D943*E943/F943,0)</f>
        <v>2625</v>
      </c>
    </row>
    <row r="944" spans="1:8">
      <c r="A944" s="95"/>
      <c r="B944" s="854" t="str">
        <f>'MANO DE OBRA'!$B$17</f>
        <v>OFICIAL CUAD. TIPO CC</v>
      </c>
      <c r="C944" s="855"/>
      <c r="D944" s="37">
        <v>1</v>
      </c>
      <c r="E944" s="82">
        <f>'MANO DE OBRA'!$E$17</f>
        <v>82117</v>
      </c>
      <c r="F944" s="83">
        <v>18</v>
      </c>
      <c r="G944" s="111">
        <f>ROUND(D944*E944/F944,0)</f>
        <v>4562</v>
      </c>
    </row>
    <row r="945" spans="1:8">
      <c r="A945" s="95"/>
      <c r="B945" s="854"/>
      <c r="C945" s="855"/>
      <c r="D945" s="89"/>
      <c r="E945" s="82"/>
      <c r="F945" s="83"/>
      <c r="G945" s="111"/>
    </row>
    <row r="946" spans="1:8">
      <c r="A946" s="95"/>
      <c r="B946" s="854" t="s">
        <v>841</v>
      </c>
      <c r="C946" s="855"/>
      <c r="D946" s="37"/>
      <c r="E946" s="82"/>
      <c r="F946" s="83"/>
      <c r="G946" s="111"/>
    </row>
    <row r="947" spans="1:8" ht="13.5" thickBot="1">
      <c r="A947" s="95"/>
      <c r="B947" s="980" t="s">
        <v>841</v>
      </c>
      <c r="C947" s="981"/>
      <c r="D947" s="77"/>
      <c r="E947" s="82"/>
      <c r="F947" s="86"/>
      <c r="G947" s="112"/>
    </row>
    <row r="948" spans="1:8" ht="14.25" thickTop="1" thickBot="1">
      <c r="A948" s="95"/>
      <c r="B948" s="946"/>
      <c r="C948" s="946"/>
      <c r="D948" s="946"/>
      <c r="E948" s="947"/>
      <c r="F948" s="120" t="s">
        <v>856</v>
      </c>
      <c r="G948" s="118">
        <f>SUM(G943:G947)</f>
        <v>7187</v>
      </c>
    </row>
    <row r="949" spans="1:8" ht="14.25" thickTop="1" thickBot="1">
      <c r="A949" s="95"/>
      <c r="B949" s="970"/>
      <c r="C949" s="970"/>
      <c r="D949" s="970"/>
      <c r="E949" s="970"/>
      <c r="F949" s="970"/>
      <c r="G949" s="970"/>
    </row>
    <row r="950" spans="1:8" ht="13.5" thickTop="1">
      <c r="A950" s="95"/>
      <c r="B950" s="950" t="s">
        <v>321</v>
      </c>
      <c r="C950" s="951"/>
      <c r="D950" s="951"/>
      <c r="E950" s="951"/>
      <c r="F950" s="951"/>
      <c r="G950" s="952"/>
    </row>
    <row r="951" spans="1:8">
      <c r="A951" s="95"/>
      <c r="B951" s="978" t="s">
        <v>838</v>
      </c>
      <c r="C951" s="979"/>
      <c r="D951" s="98" t="s">
        <v>301</v>
      </c>
      <c r="E951" s="98" t="s">
        <v>297</v>
      </c>
      <c r="F951" s="99" t="s">
        <v>839</v>
      </c>
      <c r="G951" s="107" t="s">
        <v>840</v>
      </c>
    </row>
    <row r="952" spans="1:8">
      <c r="A952" s="95"/>
      <c r="B952" s="230"/>
      <c r="C952" s="102"/>
      <c r="D952" s="103" t="s">
        <v>322</v>
      </c>
      <c r="E952" s="103" t="s">
        <v>323</v>
      </c>
      <c r="F952" s="104" t="s">
        <v>324</v>
      </c>
      <c r="G952" s="109" t="s">
        <v>325</v>
      </c>
    </row>
    <row r="953" spans="1:8">
      <c r="A953" s="95"/>
      <c r="B953" s="841"/>
      <c r="C953" s="842"/>
      <c r="D953" s="96"/>
      <c r="E953" s="96"/>
      <c r="F953" s="96"/>
      <c r="G953" s="116"/>
    </row>
    <row r="954" spans="1:8" ht="13.5" thickBot="1">
      <c r="A954" s="95"/>
      <c r="B954" s="980" t="s">
        <v>841</v>
      </c>
      <c r="C954" s="981"/>
      <c r="D954" s="77"/>
      <c r="E954" s="82"/>
      <c r="F954" s="86"/>
      <c r="G954" s="112"/>
    </row>
    <row r="955" spans="1:8" ht="14.25" thickTop="1" thickBot="1">
      <c r="A955" s="95"/>
      <c r="B955" s="946"/>
      <c r="C955" s="946"/>
      <c r="D955" s="946"/>
      <c r="E955" s="947"/>
      <c r="F955" s="120" t="s">
        <v>856</v>
      </c>
      <c r="G955" s="118">
        <f>SUM(G950:G954)</f>
        <v>0</v>
      </c>
    </row>
    <row r="956" spans="1:8" ht="14.25" thickTop="1" thickBot="1">
      <c r="A956" s="95"/>
      <c r="B956" s="970"/>
      <c r="C956" s="970"/>
      <c r="D956" s="970"/>
      <c r="E956" s="970"/>
      <c r="F956" s="970"/>
      <c r="G956" s="943"/>
    </row>
    <row r="957" spans="1:8" ht="13.5" thickTop="1">
      <c r="A957" s="95"/>
      <c r="B957" s="950" t="s">
        <v>326</v>
      </c>
      <c r="C957" s="951"/>
      <c r="D957" s="951"/>
      <c r="E957" s="951"/>
      <c r="F957" s="971"/>
      <c r="G957" s="121">
        <f>+G921+G937+G948</f>
        <v>10895</v>
      </c>
    </row>
    <row r="958" spans="1:8">
      <c r="A958" s="95"/>
      <c r="B958" s="972" t="s">
        <v>861</v>
      </c>
      <c r="C958" s="973"/>
      <c r="D958" s="973"/>
      <c r="E958" s="974"/>
      <c r="F958" s="128">
        <f>'MANO DE OBRA'!$D$59</f>
        <v>0</v>
      </c>
      <c r="G958" s="122">
        <f>ROUND(G957*F958,0)</f>
        <v>0</v>
      </c>
    </row>
    <row r="959" spans="1:8" ht="13.5" thickBot="1">
      <c r="A959" s="95"/>
      <c r="B959" s="975" t="s">
        <v>1049</v>
      </c>
      <c r="C959" s="976"/>
      <c r="D959" s="976"/>
      <c r="E959" s="976"/>
      <c r="F959" s="977"/>
      <c r="G959" s="118">
        <f>ROUND(G957+G958,-2)</f>
        <v>10900</v>
      </c>
      <c r="H959" s="505" t="s">
        <v>1670</v>
      </c>
    </row>
    <row r="960" spans="1:8" ht="15" thickTop="1">
      <c r="A960" s="95"/>
      <c r="B960" s="225" t="s">
        <v>303</v>
      </c>
      <c r="C960" s="843"/>
      <c r="D960" s="843"/>
      <c r="E960" s="843"/>
      <c r="F960" s="92" t="s">
        <v>781</v>
      </c>
      <c r="G960" s="93" t="s">
        <v>1067</v>
      </c>
    </row>
    <row r="961" spans="1:7">
      <c r="A961" s="95"/>
      <c r="B961" s="226" t="s">
        <v>834</v>
      </c>
      <c r="C961" s="844" t="s">
        <v>1518</v>
      </c>
      <c r="D961" s="844"/>
      <c r="E961" s="844"/>
      <c r="F961" s="15" t="s">
        <v>833</v>
      </c>
      <c r="G961" s="165" t="str">
        <f>'MANO DE OBRA'!D61</f>
        <v>Agosto de 2010</v>
      </c>
    </row>
    <row r="962" spans="1:7" ht="13.5" thickBot="1">
      <c r="A962" s="127"/>
      <c r="B962" s="228" t="s">
        <v>835</v>
      </c>
      <c r="C962" s="845" t="s">
        <v>341</v>
      </c>
      <c r="D962" s="845"/>
      <c r="E962" s="845"/>
      <c r="F962" s="845"/>
      <c r="G962" s="846"/>
    </row>
    <row r="963" spans="1:7" ht="14.25" thickTop="1" thickBot="1">
      <c r="A963" s="95"/>
      <c r="B963" s="986"/>
      <c r="C963" s="986"/>
      <c r="D963" s="986"/>
      <c r="E963" s="986"/>
      <c r="F963" s="986"/>
      <c r="G963" s="986"/>
    </row>
    <row r="964" spans="1:7" ht="13.5" thickTop="1">
      <c r="A964" s="95"/>
      <c r="B964" s="950" t="s">
        <v>304</v>
      </c>
      <c r="C964" s="951"/>
      <c r="D964" s="951"/>
      <c r="E964" s="951"/>
      <c r="F964" s="951"/>
      <c r="G964" s="952"/>
    </row>
    <row r="965" spans="1:7">
      <c r="A965" s="95"/>
      <c r="B965" s="229"/>
      <c r="C965" s="97"/>
      <c r="D965" s="98" t="s">
        <v>301</v>
      </c>
      <c r="E965" s="98" t="s">
        <v>1072</v>
      </c>
      <c r="F965" s="99" t="s">
        <v>839</v>
      </c>
      <c r="G965" s="107" t="s">
        <v>840</v>
      </c>
    </row>
    <row r="966" spans="1:7">
      <c r="A966" s="95"/>
      <c r="B966" s="982" t="s">
        <v>838</v>
      </c>
      <c r="C966" s="983"/>
      <c r="D966" s="100" t="s">
        <v>308</v>
      </c>
      <c r="E966" s="100" t="s">
        <v>305</v>
      </c>
      <c r="F966" s="101" t="s">
        <v>306</v>
      </c>
      <c r="G966" s="108" t="s">
        <v>310</v>
      </c>
    </row>
    <row r="967" spans="1:7">
      <c r="A967" s="95"/>
      <c r="B967" s="230"/>
      <c r="C967" s="102"/>
      <c r="D967" s="103"/>
      <c r="E967" s="103" t="s">
        <v>309</v>
      </c>
      <c r="F967" s="104" t="s">
        <v>307</v>
      </c>
      <c r="G967" s="109"/>
    </row>
    <row r="968" spans="1:7">
      <c r="A968" s="127"/>
      <c r="B968" s="841" t="str">
        <f>'MAQUINARIA Y EQUIPOS'!$C$28</f>
        <v>HERRAMIENTAS MENORES</v>
      </c>
      <c r="C968" s="842"/>
      <c r="D968" s="87">
        <v>1</v>
      </c>
      <c r="E968" s="82">
        <f>ROUND(G1001*0.05,0)</f>
        <v>359</v>
      </c>
      <c r="F968" s="81">
        <v>1</v>
      </c>
      <c r="G968" s="110">
        <f>ROUND(D968*E968/F968,0)</f>
        <v>359</v>
      </c>
    </row>
    <row r="969" spans="1:7">
      <c r="A969" s="95"/>
      <c r="B969" s="854" t="str">
        <f>'MAQUINARIA Y EQUIPOS'!$C$9</f>
        <v>ANDAMIO TUBULAR 1.50 m</v>
      </c>
      <c r="C969" s="855"/>
      <c r="D969" s="37">
        <v>4</v>
      </c>
      <c r="E969" s="129">
        <f>'MAQUINARIA Y EQUIPOS'!$D$9</f>
        <v>754</v>
      </c>
      <c r="F969" s="83">
        <f>F996</f>
        <v>18</v>
      </c>
      <c r="G969" s="111">
        <f>ROUND(D969*E969/F969,0)</f>
        <v>168</v>
      </c>
    </row>
    <row r="970" spans="1:7">
      <c r="A970" s="95"/>
      <c r="B970" s="854" t="str">
        <f>'MAQUINARIA Y EQUIPOS'!$C$47</f>
        <v>TABLONES 3m</v>
      </c>
      <c r="C970" s="855"/>
      <c r="D970" s="37">
        <v>2</v>
      </c>
      <c r="E970" s="129">
        <f>'MAQUINARIA Y EQUIPOS'!$D$47</f>
        <v>348</v>
      </c>
      <c r="F970" s="83">
        <f>F996</f>
        <v>18</v>
      </c>
      <c r="G970" s="111">
        <f>ROUND(D970*E970/F970,0)</f>
        <v>39</v>
      </c>
    </row>
    <row r="971" spans="1:7">
      <c r="A971" s="95"/>
      <c r="B971" s="854"/>
      <c r="C971" s="855"/>
      <c r="D971" s="89"/>
      <c r="E971" s="82"/>
      <c r="F971" s="83"/>
      <c r="G971" s="111"/>
    </row>
    <row r="972" spans="1:7">
      <c r="A972" s="95"/>
      <c r="B972" s="854" t="s">
        <v>841</v>
      </c>
      <c r="C972" s="855"/>
      <c r="D972" s="37"/>
      <c r="E972" s="82"/>
      <c r="F972" s="83"/>
      <c r="G972" s="111"/>
    </row>
    <row r="973" spans="1:7" ht="13.5" thickBot="1">
      <c r="A973" s="95"/>
      <c r="B973" s="942" t="s">
        <v>841</v>
      </c>
      <c r="C973" s="943"/>
      <c r="D973" s="77"/>
      <c r="E973" s="106"/>
      <c r="F973" s="86"/>
      <c r="G973" s="112"/>
    </row>
    <row r="974" spans="1:7" ht="14.25" thickTop="1" thickBot="1">
      <c r="A974" s="95"/>
      <c r="B974" s="946"/>
      <c r="C974" s="946"/>
      <c r="D974" s="946"/>
      <c r="E974" s="947"/>
      <c r="F974" s="119" t="s">
        <v>856</v>
      </c>
      <c r="G974" s="118">
        <f>SUM(G968:G973)</f>
        <v>566</v>
      </c>
    </row>
    <row r="975" spans="1:7" ht="14.25" thickTop="1" thickBot="1">
      <c r="A975" s="95"/>
      <c r="B975" s="970"/>
      <c r="C975" s="970"/>
      <c r="D975" s="970"/>
      <c r="E975" s="970"/>
      <c r="F975" s="970"/>
      <c r="G975" s="970"/>
    </row>
    <row r="976" spans="1:7" ht="13.5" thickTop="1">
      <c r="A976" s="95"/>
      <c r="B976" s="950" t="s">
        <v>311</v>
      </c>
      <c r="C976" s="951"/>
      <c r="D976" s="951"/>
      <c r="E976" s="951"/>
      <c r="F976" s="951"/>
      <c r="G976" s="952"/>
    </row>
    <row r="977" spans="1:8">
      <c r="A977" s="95"/>
      <c r="B977" s="978" t="s">
        <v>838</v>
      </c>
      <c r="C977" s="979"/>
      <c r="D977" s="98" t="s">
        <v>842</v>
      </c>
      <c r="E977" s="98" t="s">
        <v>853</v>
      </c>
      <c r="F977" s="99" t="s">
        <v>1047</v>
      </c>
      <c r="G977" s="107" t="s">
        <v>840</v>
      </c>
    </row>
    <row r="978" spans="1:8">
      <c r="A978" s="95"/>
      <c r="B978" s="230"/>
      <c r="C978" s="102"/>
      <c r="D978" s="103"/>
      <c r="E978" s="103" t="s">
        <v>312</v>
      </c>
      <c r="F978" s="104" t="s">
        <v>313</v>
      </c>
      <c r="G978" s="109" t="s">
        <v>314</v>
      </c>
    </row>
    <row r="979" spans="1:8">
      <c r="A979" s="123"/>
      <c r="B979" s="957" t="str">
        <f>MATERIALES2!C296</f>
        <v>PINTURA EPOXIPOLIAMIDA</v>
      </c>
      <c r="C979" s="965"/>
      <c r="D979" s="154" t="s">
        <v>556</v>
      </c>
      <c r="E979" s="155">
        <v>0.08</v>
      </c>
      <c r="F979" s="156">
        <f>MATERIALES2!E296</f>
        <v>82000</v>
      </c>
      <c r="G979" s="157">
        <f>ROUND(E979*F979,0)</f>
        <v>6560</v>
      </c>
    </row>
    <row r="980" spans="1:8">
      <c r="A980" s="123"/>
      <c r="B980" s="854" t="str">
        <f>MATERIALES2!C297</f>
        <v>CATALIZADOR</v>
      </c>
      <c r="C980" s="855"/>
      <c r="D980" s="154" t="s">
        <v>556</v>
      </c>
      <c r="E980" s="83">
        <v>0.05</v>
      </c>
      <c r="F980" s="156">
        <f>MATERIALES2!E297</f>
        <v>16000</v>
      </c>
      <c r="G980" s="157">
        <f>ROUND(E980*F980,0)</f>
        <v>800</v>
      </c>
    </row>
    <row r="981" spans="1:8">
      <c r="A981" s="123"/>
      <c r="B981" s="854" t="str">
        <f>MATERIALES2!C298</f>
        <v>AJUSTADOR 21135</v>
      </c>
      <c r="C981" s="855"/>
      <c r="D981" s="154" t="s">
        <v>556</v>
      </c>
      <c r="E981" s="83">
        <v>0.05</v>
      </c>
      <c r="F981" s="156">
        <f>MATERIALES2!E298</f>
        <v>25000</v>
      </c>
      <c r="G981" s="157">
        <f>ROUND(E981*F981,0)</f>
        <v>1250</v>
      </c>
    </row>
    <row r="982" spans="1:8">
      <c r="A982" s="123"/>
      <c r="B982" s="854"/>
      <c r="C982" s="855"/>
      <c r="D982" s="37"/>
      <c r="E982" s="83"/>
      <c r="F982" s="82"/>
      <c r="G982" s="111"/>
    </row>
    <row r="983" spans="1:8">
      <c r="A983" s="123"/>
      <c r="B983" s="854"/>
      <c r="C983" s="855"/>
      <c r="D983" s="37"/>
      <c r="E983" s="83"/>
      <c r="F983" s="82"/>
      <c r="G983" s="111"/>
    </row>
    <row r="984" spans="1:8">
      <c r="A984" s="95"/>
      <c r="B984" s="226"/>
      <c r="C984" s="4"/>
      <c r="D984" s="53"/>
      <c r="E984" s="53"/>
      <c r="F984" s="53"/>
      <c r="G984" s="310"/>
    </row>
    <row r="985" spans="1:8">
      <c r="A985" s="95"/>
      <c r="B985" s="854"/>
      <c r="C985" s="855"/>
      <c r="D985" s="37"/>
      <c r="E985" s="83"/>
      <c r="F985" s="82"/>
      <c r="G985" s="111"/>
      <c r="H985" s="505" t="s">
        <v>1670</v>
      </c>
    </row>
    <row r="986" spans="1:8">
      <c r="A986" s="95"/>
      <c r="B986" s="938" t="s">
        <v>841</v>
      </c>
      <c r="C986" s="939"/>
      <c r="D986" s="53" t="s">
        <v>841</v>
      </c>
      <c r="E986" s="53"/>
      <c r="F986" s="82"/>
      <c r="G986" s="111"/>
    </row>
    <row r="987" spans="1:8" ht="13.5" thickBot="1">
      <c r="A987" s="95"/>
      <c r="B987" s="942" t="s">
        <v>841</v>
      </c>
      <c r="C987" s="943"/>
      <c r="D987" s="84" t="s">
        <v>841</v>
      </c>
      <c r="E987" s="84"/>
      <c r="F987" s="85"/>
      <c r="G987" s="112"/>
    </row>
    <row r="988" spans="1:8" ht="13.5" thickTop="1">
      <c r="A988" s="95"/>
      <c r="B988" s="946"/>
      <c r="C988" s="947"/>
      <c r="D988" s="801" t="s">
        <v>856</v>
      </c>
      <c r="E988" s="802"/>
      <c r="F988" s="9"/>
      <c r="G988" s="113">
        <f>SUM(G979:G987)</f>
        <v>8610</v>
      </c>
    </row>
    <row r="989" spans="1:8">
      <c r="A989" s="95"/>
      <c r="B989" s="948"/>
      <c r="C989" s="949"/>
      <c r="D989" s="801" t="s">
        <v>857</v>
      </c>
      <c r="E989" s="802"/>
      <c r="F989" s="79">
        <f>'MANO DE OBRA'!$D$60</f>
        <v>0.05</v>
      </c>
      <c r="G989" s="113">
        <f>ROUND(G988*F989,0)</f>
        <v>431</v>
      </c>
    </row>
    <row r="990" spans="1:8" ht="13.5" thickBot="1">
      <c r="A990" s="95"/>
      <c r="B990" s="948"/>
      <c r="C990" s="949"/>
      <c r="D990" s="803" t="s">
        <v>320</v>
      </c>
      <c r="E990" s="804"/>
      <c r="F990" s="114"/>
      <c r="G990" s="118">
        <f>+G988+G989</f>
        <v>9041</v>
      </c>
    </row>
    <row r="991" spans="1:8" ht="14.25" thickTop="1" thickBot="1">
      <c r="A991" s="95"/>
      <c r="B991" s="970"/>
      <c r="C991" s="970"/>
      <c r="D991" s="970"/>
      <c r="E991" s="970"/>
      <c r="F991" s="970"/>
      <c r="G991" s="970"/>
    </row>
    <row r="992" spans="1:8" ht="13.5" thickTop="1">
      <c r="A992" s="95"/>
      <c r="B992" s="950" t="s">
        <v>858</v>
      </c>
      <c r="C992" s="951"/>
      <c r="D992" s="951"/>
      <c r="E992" s="951"/>
      <c r="F992" s="951"/>
      <c r="G992" s="952"/>
    </row>
    <row r="993" spans="1:7">
      <c r="A993" s="95"/>
      <c r="B993" s="978"/>
      <c r="C993" s="979"/>
      <c r="D993" s="98" t="s">
        <v>301</v>
      </c>
      <c r="E993" s="98" t="s">
        <v>859</v>
      </c>
      <c r="F993" s="99" t="s">
        <v>839</v>
      </c>
      <c r="G993" s="107" t="s">
        <v>840</v>
      </c>
    </row>
    <row r="994" spans="1:7">
      <c r="A994" s="95"/>
      <c r="B994" s="982" t="s">
        <v>838</v>
      </c>
      <c r="C994" s="983"/>
      <c r="D994" s="100" t="s">
        <v>316</v>
      </c>
      <c r="E994" s="100" t="s">
        <v>315</v>
      </c>
      <c r="F994" s="101" t="s">
        <v>306</v>
      </c>
      <c r="G994" s="108" t="s">
        <v>319</v>
      </c>
    </row>
    <row r="995" spans="1:7">
      <c r="A995" s="95"/>
      <c r="B995" s="230"/>
      <c r="C995" s="102"/>
      <c r="D995" s="103"/>
      <c r="E995" s="103" t="s">
        <v>317</v>
      </c>
      <c r="F995" s="104" t="s">
        <v>318</v>
      </c>
      <c r="G995" s="109"/>
    </row>
    <row r="996" spans="1:7">
      <c r="A996" s="95"/>
      <c r="B996" s="841" t="str">
        <f>'MANO DE OBRA'!$B$12</f>
        <v>AYUDANTE CUAD. TIPO CC</v>
      </c>
      <c r="C996" s="842"/>
      <c r="D996" s="87">
        <v>1</v>
      </c>
      <c r="E996" s="80">
        <f>'MANO DE OBRA'!$E$12</f>
        <v>47255</v>
      </c>
      <c r="F996" s="81">
        <v>18</v>
      </c>
      <c r="G996" s="110">
        <f>ROUND(D996*E996/F996,0)</f>
        <v>2625</v>
      </c>
    </row>
    <row r="997" spans="1:7">
      <c r="A997" s="95"/>
      <c r="B997" s="854" t="str">
        <f>'MANO DE OBRA'!$B$17</f>
        <v>OFICIAL CUAD. TIPO CC</v>
      </c>
      <c r="C997" s="855"/>
      <c r="D997" s="37">
        <v>1</v>
      </c>
      <c r="E997" s="82">
        <f>'MANO DE OBRA'!$E$17</f>
        <v>82117</v>
      </c>
      <c r="F997" s="83">
        <v>18</v>
      </c>
      <c r="G997" s="111">
        <f>ROUND(D997*E997/F997,0)</f>
        <v>4562</v>
      </c>
    </row>
    <row r="998" spans="1:7">
      <c r="A998" s="95"/>
      <c r="B998" s="854"/>
      <c r="C998" s="855"/>
      <c r="D998" s="89"/>
      <c r="E998" s="82"/>
      <c r="F998" s="83"/>
      <c r="G998" s="111"/>
    </row>
    <row r="999" spans="1:7">
      <c r="A999" s="95"/>
      <c r="B999" s="854" t="s">
        <v>841</v>
      </c>
      <c r="C999" s="855"/>
      <c r="D999" s="37"/>
      <c r="E999" s="82"/>
      <c r="F999" s="83"/>
      <c r="G999" s="111"/>
    </row>
    <row r="1000" spans="1:7" ht="13.5" thickBot="1">
      <c r="A1000" s="95"/>
      <c r="B1000" s="980" t="s">
        <v>841</v>
      </c>
      <c r="C1000" s="981"/>
      <c r="D1000" s="77"/>
      <c r="E1000" s="82"/>
      <c r="F1000" s="86"/>
      <c r="G1000" s="112"/>
    </row>
    <row r="1001" spans="1:7" ht="14.25" thickTop="1" thickBot="1">
      <c r="A1001" s="95"/>
      <c r="B1001" s="946"/>
      <c r="C1001" s="946"/>
      <c r="D1001" s="946"/>
      <c r="E1001" s="947"/>
      <c r="F1001" s="120" t="s">
        <v>856</v>
      </c>
      <c r="G1001" s="118">
        <f>SUM(G996:G1000)</f>
        <v>7187</v>
      </c>
    </row>
    <row r="1002" spans="1:7" ht="14.25" thickTop="1" thickBot="1">
      <c r="A1002" s="95"/>
      <c r="B1002" s="970"/>
      <c r="C1002" s="970"/>
      <c r="D1002" s="970"/>
      <c r="E1002" s="970"/>
      <c r="F1002" s="970"/>
      <c r="G1002" s="970"/>
    </row>
    <row r="1003" spans="1:7" ht="13.5" thickTop="1">
      <c r="A1003" s="95"/>
      <c r="B1003" s="950" t="s">
        <v>321</v>
      </c>
      <c r="C1003" s="951"/>
      <c r="D1003" s="951"/>
      <c r="E1003" s="951"/>
      <c r="F1003" s="951"/>
      <c r="G1003" s="952"/>
    </row>
    <row r="1004" spans="1:7">
      <c r="A1004" s="95"/>
      <c r="B1004" s="978" t="s">
        <v>838</v>
      </c>
      <c r="C1004" s="979"/>
      <c r="D1004" s="98" t="s">
        <v>301</v>
      </c>
      <c r="E1004" s="98" t="s">
        <v>297</v>
      </c>
      <c r="F1004" s="99" t="s">
        <v>839</v>
      </c>
      <c r="G1004" s="107" t="s">
        <v>840</v>
      </c>
    </row>
    <row r="1005" spans="1:7">
      <c r="A1005" s="95"/>
      <c r="B1005" s="230"/>
      <c r="C1005" s="102"/>
      <c r="D1005" s="103" t="s">
        <v>322</v>
      </c>
      <c r="E1005" s="103" t="s">
        <v>323</v>
      </c>
      <c r="F1005" s="104" t="s">
        <v>324</v>
      </c>
      <c r="G1005" s="109" t="s">
        <v>325</v>
      </c>
    </row>
    <row r="1006" spans="1:7">
      <c r="A1006" s="95"/>
      <c r="B1006" s="841"/>
      <c r="C1006" s="842"/>
      <c r="D1006" s="96"/>
      <c r="E1006" s="96"/>
      <c r="F1006" s="96"/>
      <c r="G1006" s="116"/>
    </row>
    <row r="1007" spans="1:7" ht="13.5" thickBot="1">
      <c r="A1007" s="95"/>
      <c r="B1007" s="980" t="s">
        <v>841</v>
      </c>
      <c r="C1007" s="981"/>
      <c r="D1007" s="77"/>
      <c r="E1007" s="82"/>
      <c r="F1007" s="86"/>
      <c r="G1007" s="112"/>
    </row>
    <row r="1008" spans="1:7" ht="14.25" thickTop="1" thickBot="1">
      <c r="A1008" s="95"/>
      <c r="B1008" s="946"/>
      <c r="C1008" s="946"/>
      <c r="D1008" s="946"/>
      <c r="E1008" s="947"/>
      <c r="F1008" s="120" t="s">
        <v>856</v>
      </c>
      <c r="G1008" s="118">
        <f>SUM(G1003:G1007)</f>
        <v>0</v>
      </c>
    </row>
    <row r="1009" spans="1:8" ht="14.25" thickTop="1" thickBot="1">
      <c r="A1009" s="95"/>
      <c r="B1009" s="970"/>
      <c r="C1009" s="970"/>
      <c r="D1009" s="970"/>
      <c r="E1009" s="970"/>
      <c r="F1009" s="970"/>
      <c r="G1009" s="943"/>
    </row>
    <row r="1010" spans="1:8" ht="13.5" thickTop="1">
      <c r="A1010" s="95"/>
      <c r="B1010" s="950" t="s">
        <v>326</v>
      </c>
      <c r="C1010" s="951"/>
      <c r="D1010" s="951"/>
      <c r="E1010" s="951"/>
      <c r="F1010" s="971"/>
      <c r="G1010" s="121">
        <f>+G974+G990+G1001</f>
        <v>16794</v>
      </c>
    </row>
    <row r="1011" spans="1:8">
      <c r="A1011" s="95"/>
      <c r="B1011" s="972" t="s">
        <v>861</v>
      </c>
      <c r="C1011" s="973"/>
      <c r="D1011" s="973"/>
      <c r="E1011" s="974"/>
      <c r="F1011" s="128">
        <f>'MANO DE OBRA'!$D$59</f>
        <v>0</v>
      </c>
      <c r="G1011" s="122">
        <f>ROUND(G1010*F1011,0)</f>
        <v>0</v>
      </c>
    </row>
    <row r="1012" spans="1:8" ht="13.5" thickBot="1">
      <c r="A1012" s="95"/>
      <c r="B1012" s="975" t="s">
        <v>1049</v>
      </c>
      <c r="C1012" s="976"/>
      <c r="D1012" s="976"/>
      <c r="E1012" s="976"/>
      <c r="F1012" s="977"/>
      <c r="G1012" s="118">
        <f>ROUND(G1010+G1011,-2)</f>
        <v>16800</v>
      </c>
      <c r="H1012" s="505" t="s">
        <v>1670</v>
      </c>
    </row>
    <row r="1013" spans="1:8" ht="15" thickTop="1">
      <c r="A1013" s="95"/>
      <c r="B1013" s="225" t="s">
        <v>303</v>
      </c>
      <c r="C1013" s="843"/>
      <c r="D1013" s="843"/>
      <c r="E1013" s="843"/>
      <c r="F1013" s="92" t="s">
        <v>781</v>
      </c>
      <c r="G1013" s="93" t="s">
        <v>1067</v>
      </c>
    </row>
    <row r="1014" spans="1:8">
      <c r="A1014" s="95"/>
      <c r="B1014" s="226" t="s">
        <v>834</v>
      </c>
      <c r="C1014" s="844" t="s">
        <v>1518</v>
      </c>
      <c r="D1014" s="844"/>
      <c r="E1014" s="844"/>
      <c r="F1014" s="15" t="s">
        <v>833</v>
      </c>
      <c r="G1014" s="165" t="str">
        <f>'MANO DE OBRA'!D61</f>
        <v>Agosto de 2010</v>
      </c>
    </row>
    <row r="1015" spans="1:8" ht="13.5" thickBot="1">
      <c r="A1015" s="127"/>
      <c r="B1015" s="228" t="s">
        <v>835</v>
      </c>
      <c r="C1015" s="845" t="s">
        <v>770</v>
      </c>
      <c r="D1015" s="845"/>
      <c r="E1015" s="845"/>
      <c r="F1015" s="845"/>
      <c r="G1015" s="846"/>
    </row>
    <row r="1016" spans="1:8" ht="14.25" thickTop="1" thickBot="1">
      <c r="A1016" s="95"/>
      <c r="B1016" s="986"/>
      <c r="C1016" s="986"/>
      <c r="D1016" s="986"/>
      <c r="E1016" s="986"/>
      <c r="F1016" s="986"/>
      <c r="G1016" s="986"/>
    </row>
    <row r="1017" spans="1:8" ht="13.5" thickTop="1">
      <c r="A1017" s="95"/>
      <c r="B1017" s="950" t="s">
        <v>304</v>
      </c>
      <c r="C1017" s="951"/>
      <c r="D1017" s="951"/>
      <c r="E1017" s="951"/>
      <c r="F1017" s="951"/>
      <c r="G1017" s="952"/>
    </row>
    <row r="1018" spans="1:8">
      <c r="A1018" s="95"/>
      <c r="B1018" s="229"/>
      <c r="C1018" s="97"/>
      <c r="D1018" s="98" t="s">
        <v>301</v>
      </c>
      <c r="E1018" s="98" t="s">
        <v>1072</v>
      </c>
      <c r="F1018" s="99" t="s">
        <v>839</v>
      </c>
      <c r="G1018" s="107" t="s">
        <v>840</v>
      </c>
    </row>
    <row r="1019" spans="1:8">
      <c r="A1019" s="95"/>
      <c r="B1019" s="982" t="s">
        <v>838</v>
      </c>
      <c r="C1019" s="983"/>
      <c r="D1019" s="100" t="s">
        <v>308</v>
      </c>
      <c r="E1019" s="100" t="s">
        <v>305</v>
      </c>
      <c r="F1019" s="101" t="s">
        <v>306</v>
      </c>
      <c r="G1019" s="108" t="s">
        <v>310</v>
      </c>
    </row>
    <row r="1020" spans="1:8">
      <c r="A1020" s="95"/>
      <c r="B1020" s="230"/>
      <c r="C1020" s="102"/>
      <c r="D1020" s="103"/>
      <c r="E1020" s="103" t="s">
        <v>309</v>
      </c>
      <c r="F1020" s="104" t="s">
        <v>307</v>
      </c>
      <c r="G1020" s="109"/>
    </row>
    <row r="1021" spans="1:8">
      <c r="A1021" s="127"/>
      <c r="B1021" s="841" t="str">
        <f>'MAQUINARIA Y EQUIPOS'!$C$28</f>
        <v>HERRAMIENTAS MENORES</v>
      </c>
      <c r="C1021" s="842"/>
      <c r="D1021" s="87">
        <v>1</v>
      </c>
      <c r="E1021" s="82">
        <f>ROUND(G1054*0.05,0)</f>
        <v>323</v>
      </c>
      <c r="F1021" s="81">
        <v>1</v>
      </c>
      <c r="G1021" s="110">
        <f>ROUND(D1021*E1021/F1021,0)</f>
        <v>323</v>
      </c>
    </row>
    <row r="1022" spans="1:8">
      <c r="A1022" s="95"/>
      <c r="B1022" s="854" t="str">
        <f>'MAQUINARIA Y EQUIPOS'!$C$9</f>
        <v>ANDAMIO TUBULAR 1.50 m</v>
      </c>
      <c r="C1022" s="855"/>
      <c r="D1022" s="37">
        <v>4</v>
      </c>
      <c r="E1022" s="129">
        <f>'MAQUINARIA Y EQUIPOS'!$D$9</f>
        <v>754</v>
      </c>
      <c r="F1022" s="83">
        <f>F1049</f>
        <v>20</v>
      </c>
      <c r="G1022" s="111">
        <f>ROUND(D1022*E1022/F1022,0)</f>
        <v>151</v>
      </c>
    </row>
    <row r="1023" spans="1:8">
      <c r="A1023" s="95"/>
      <c r="B1023" s="854" t="str">
        <f>'MAQUINARIA Y EQUIPOS'!$C$47</f>
        <v>TABLONES 3m</v>
      </c>
      <c r="C1023" s="855"/>
      <c r="D1023" s="37">
        <v>2</v>
      </c>
      <c r="E1023" s="129">
        <f>'MAQUINARIA Y EQUIPOS'!$D$47</f>
        <v>348</v>
      </c>
      <c r="F1023" s="83">
        <f>F1049</f>
        <v>20</v>
      </c>
      <c r="G1023" s="111">
        <f>ROUND(D1023*E1023/F1023,0)</f>
        <v>35</v>
      </c>
    </row>
    <row r="1024" spans="1:8">
      <c r="A1024" s="95"/>
      <c r="B1024" s="854"/>
      <c r="C1024" s="855"/>
      <c r="D1024" s="89"/>
      <c r="E1024" s="82"/>
      <c r="F1024" s="83"/>
      <c r="G1024" s="111"/>
    </row>
    <row r="1025" spans="1:8">
      <c r="A1025" s="95"/>
      <c r="B1025" s="854" t="s">
        <v>841</v>
      </c>
      <c r="C1025" s="855"/>
      <c r="D1025" s="37"/>
      <c r="E1025" s="82"/>
      <c r="F1025" s="83"/>
      <c r="G1025" s="111"/>
    </row>
    <row r="1026" spans="1:8" ht="13.5" thickBot="1">
      <c r="A1026" s="95"/>
      <c r="B1026" s="942" t="s">
        <v>841</v>
      </c>
      <c r="C1026" s="943"/>
      <c r="D1026" s="77"/>
      <c r="E1026" s="106"/>
      <c r="F1026" s="86"/>
      <c r="G1026" s="112"/>
    </row>
    <row r="1027" spans="1:8" ht="14.25" thickTop="1" thickBot="1">
      <c r="A1027" s="95"/>
      <c r="B1027" s="946"/>
      <c r="C1027" s="946"/>
      <c r="D1027" s="946"/>
      <c r="E1027" s="947"/>
      <c r="F1027" s="119" t="s">
        <v>856</v>
      </c>
      <c r="G1027" s="118">
        <f>SUM(G1021:G1026)</f>
        <v>509</v>
      </c>
    </row>
    <row r="1028" spans="1:8" ht="14.25" thickTop="1" thickBot="1">
      <c r="A1028" s="95"/>
      <c r="B1028" s="970"/>
      <c r="C1028" s="970"/>
      <c r="D1028" s="970"/>
      <c r="E1028" s="970"/>
      <c r="F1028" s="970"/>
      <c r="G1028" s="970"/>
    </row>
    <row r="1029" spans="1:8" ht="13.5" thickTop="1">
      <c r="A1029" s="95"/>
      <c r="B1029" s="950" t="s">
        <v>311</v>
      </c>
      <c r="C1029" s="951"/>
      <c r="D1029" s="951"/>
      <c r="E1029" s="951"/>
      <c r="F1029" s="951"/>
      <c r="G1029" s="952"/>
    </row>
    <row r="1030" spans="1:8">
      <c r="A1030" s="95"/>
      <c r="B1030" s="978" t="s">
        <v>838</v>
      </c>
      <c r="C1030" s="979"/>
      <c r="D1030" s="98" t="s">
        <v>842</v>
      </c>
      <c r="E1030" s="98" t="s">
        <v>853</v>
      </c>
      <c r="F1030" s="99" t="s">
        <v>1047</v>
      </c>
      <c r="G1030" s="107" t="s">
        <v>840</v>
      </c>
    </row>
    <row r="1031" spans="1:8">
      <c r="A1031" s="95"/>
      <c r="B1031" s="230"/>
      <c r="C1031" s="102"/>
      <c r="D1031" s="103"/>
      <c r="E1031" s="103" t="s">
        <v>312</v>
      </c>
      <c r="F1031" s="104" t="s">
        <v>313</v>
      </c>
      <c r="G1031" s="109" t="s">
        <v>314</v>
      </c>
    </row>
    <row r="1032" spans="1:8">
      <c r="A1032" s="95"/>
      <c r="B1032" s="854" t="str">
        <f>MATERIALES2!$C$295</f>
        <v>VINILTEX PINTUCO</v>
      </c>
      <c r="C1032" s="855"/>
      <c r="D1032" s="37" t="s">
        <v>556</v>
      </c>
      <c r="E1032" s="83">
        <v>0.05</v>
      </c>
      <c r="F1032" s="82">
        <f>MATERIALES2!$E$295</f>
        <v>55000</v>
      </c>
      <c r="G1032" s="111">
        <f>ROUND(E1032*F1032,0)</f>
        <v>2750</v>
      </c>
    </row>
    <row r="1033" spans="1:8">
      <c r="A1033" s="123"/>
      <c r="B1033" s="854"/>
      <c r="C1033" s="855"/>
      <c r="D1033" s="37"/>
      <c r="E1033" s="83"/>
      <c r="F1033" s="82"/>
      <c r="G1033" s="111"/>
    </row>
    <row r="1034" spans="1:8">
      <c r="A1034" s="123"/>
      <c r="B1034" s="854"/>
      <c r="C1034" s="855"/>
      <c r="D1034" s="37"/>
      <c r="E1034" s="83"/>
      <c r="F1034" s="82"/>
      <c r="G1034" s="111"/>
    </row>
    <row r="1035" spans="1:8">
      <c r="A1035" s="123"/>
      <c r="B1035" s="854"/>
      <c r="C1035" s="855"/>
      <c r="D1035" s="37"/>
      <c r="E1035" s="83"/>
      <c r="F1035" s="82"/>
      <c r="G1035" s="111"/>
    </row>
    <row r="1036" spans="1:8">
      <c r="A1036" s="123"/>
      <c r="B1036" s="854"/>
      <c r="C1036" s="855"/>
      <c r="D1036" s="37"/>
      <c r="E1036" s="83"/>
      <c r="F1036" s="82"/>
      <c r="G1036" s="111"/>
    </row>
    <row r="1037" spans="1:8">
      <c r="B1037" s="226"/>
      <c r="D1037" s="53"/>
      <c r="F1037" s="53"/>
      <c r="G1037" s="247"/>
    </row>
    <row r="1038" spans="1:8">
      <c r="A1038" s="95"/>
      <c r="B1038" s="854"/>
      <c r="C1038" s="855"/>
      <c r="D1038" s="37"/>
      <c r="E1038" s="83"/>
      <c r="F1038" s="82"/>
      <c r="G1038" s="111"/>
      <c r="H1038" s="505" t="s">
        <v>1670</v>
      </c>
    </row>
    <row r="1039" spans="1:8">
      <c r="A1039" s="95"/>
      <c r="B1039" s="938" t="s">
        <v>841</v>
      </c>
      <c r="C1039" s="939"/>
      <c r="D1039" s="53" t="s">
        <v>841</v>
      </c>
      <c r="E1039" s="53"/>
      <c r="F1039" s="82"/>
      <c r="G1039" s="111"/>
    </row>
    <row r="1040" spans="1:8" ht="13.5" thickBot="1">
      <c r="A1040" s="95"/>
      <c r="B1040" s="942" t="s">
        <v>841</v>
      </c>
      <c r="C1040" s="943"/>
      <c r="D1040" s="84" t="s">
        <v>841</v>
      </c>
      <c r="E1040" s="84"/>
      <c r="F1040" s="85"/>
      <c r="G1040" s="112"/>
    </row>
    <row r="1041" spans="1:7" ht="13.5" thickTop="1">
      <c r="A1041" s="95"/>
      <c r="B1041" s="946"/>
      <c r="C1041" s="947"/>
      <c r="D1041" s="801" t="s">
        <v>856</v>
      </c>
      <c r="E1041" s="802"/>
      <c r="F1041" s="9"/>
      <c r="G1041" s="113">
        <f>SUM(G1032:G1040)</f>
        <v>2750</v>
      </c>
    </row>
    <row r="1042" spans="1:7">
      <c r="A1042" s="95"/>
      <c r="B1042" s="948"/>
      <c r="C1042" s="949"/>
      <c r="D1042" s="801" t="s">
        <v>857</v>
      </c>
      <c r="E1042" s="802"/>
      <c r="F1042" s="79">
        <f>'MANO DE OBRA'!$D$60</f>
        <v>0.05</v>
      </c>
      <c r="G1042" s="113">
        <f>ROUND(G1041*F1042,0)</f>
        <v>138</v>
      </c>
    </row>
    <row r="1043" spans="1:7" ht="13.5" thickBot="1">
      <c r="A1043" s="95"/>
      <c r="B1043" s="948"/>
      <c r="C1043" s="949"/>
      <c r="D1043" s="803" t="s">
        <v>320</v>
      </c>
      <c r="E1043" s="804"/>
      <c r="F1043" s="114"/>
      <c r="G1043" s="118">
        <f>+G1041+G1042</f>
        <v>2888</v>
      </c>
    </row>
    <row r="1044" spans="1:7" ht="14.25" thickTop="1" thickBot="1">
      <c r="A1044" s="95"/>
      <c r="B1044" s="970"/>
      <c r="C1044" s="970"/>
      <c r="D1044" s="970"/>
      <c r="E1044" s="970"/>
      <c r="F1044" s="970"/>
      <c r="G1044" s="970"/>
    </row>
    <row r="1045" spans="1:7" ht="13.5" thickTop="1">
      <c r="A1045" s="95"/>
      <c r="B1045" s="950" t="s">
        <v>858</v>
      </c>
      <c r="C1045" s="951"/>
      <c r="D1045" s="951"/>
      <c r="E1045" s="951"/>
      <c r="F1045" s="951"/>
      <c r="G1045" s="952"/>
    </row>
    <row r="1046" spans="1:7">
      <c r="A1046" s="95"/>
      <c r="B1046" s="978"/>
      <c r="C1046" s="979"/>
      <c r="D1046" s="98" t="s">
        <v>301</v>
      </c>
      <c r="E1046" s="98" t="s">
        <v>859</v>
      </c>
      <c r="F1046" s="99" t="s">
        <v>839</v>
      </c>
      <c r="G1046" s="107" t="s">
        <v>840</v>
      </c>
    </row>
    <row r="1047" spans="1:7">
      <c r="A1047" s="95"/>
      <c r="B1047" s="982" t="s">
        <v>838</v>
      </c>
      <c r="C1047" s="983"/>
      <c r="D1047" s="100" t="s">
        <v>316</v>
      </c>
      <c r="E1047" s="100" t="s">
        <v>315</v>
      </c>
      <c r="F1047" s="101" t="s">
        <v>306</v>
      </c>
      <c r="G1047" s="108" t="s">
        <v>319</v>
      </c>
    </row>
    <row r="1048" spans="1:7">
      <c r="A1048" s="95"/>
      <c r="B1048" s="230"/>
      <c r="C1048" s="102"/>
      <c r="D1048" s="103"/>
      <c r="E1048" s="103" t="s">
        <v>317</v>
      </c>
      <c r="F1048" s="104" t="s">
        <v>318</v>
      </c>
      <c r="G1048" s="109"/>
    </row>
    <row r="1049" spans="1:7">
      <c r="A1049" s="95"/>
      <c r="B1049" s="841" t="str">
        <f>'MANO DE OBRA'!$B$12</f>
        <v>AYUDANTE CUAD. TIPO CC</v>
      </c>
      <c r="C1049" s="842"/>
      <c r="D1049" s="87">
        <v>1</v>
      </c>
      <c r="E1049" s="80">
        <f>'MANO DE OBRA'!$E$12</f>
        <v>47255</v>
      </c>
      <c r="F1049" s="81">
        <v>20</v>
      </c>
      <c r="G1049" s="110">
        <f>ROUND(D1049*E1049/F1049,0)</f>
        <v>2363</v>
      </c>
    </row>
    <row r="1050" spans="1:7">
      <c r="A1050" s="95"/>
      <c r="B1050" s="854" t="str">
        <f>'MANO DE OBRA'!$B$17</f>
        <v>OFICIAL CUAD. TIPO CC</v>
      </c>
      <c r="C1050" s="855"/>
      <c r="D1050" s="37">
        <v>1</v>
      </c>
      <c r="E1050" s="82">
        <f>'MANO DE OBRA'!$E$17</f>
        <v>82117</v>
      </c>
      <c r="F1050" s="83">
        <v>20</v>
      </c>
      <c r="G1050" s="111">
        <f>ROUND(D1050*E1050/F1050,0)</f>
        <v>4106</v>
      </c>
    </row>
    <row r="1051" spans="1:7">
      <c r="A1051" s="95"/>
      <c r="B1051" s="854"/>
      <c r="C1051" s="855"/>
      <c r="D1051" s="89"/>
      <c r="E1051" s="82"/>
      <c r="F1051" s="83"/>
      <c r="G1051" s="111"/>
    </row>
    <row r="1052" spans="1:7">
      <c r="A1052" s="95"/>
      <c r="B1052" s="854" t="s">
        <v>841</v>
      </c>
      <c r="C1052" s="855"/>
      <c r="D1052" s="37"/>
      <c r="E1052" s="82"/>
      <c r="F1052" s="83"/>
      <c r="G1052" s="111"/>
    </row>
    <row r="1053" spans="1:7" ht="13.5" thickBot="1">
      <c r="A1053" s="95"/>
      <c r="B1053" s="980" t="s">
        <v>841</v>
      </c>
      <c r="C1053" s="981"/>
      <c r="D1053" s="77"/>
      <c r="E1053" s="82"/>
      <c r="F1053" s="86"/>
      <c r="G1053" s="112"/>
    </row>
    <row r="1054" spans="1:7" ht="14.25" thickTop="1" thickBot="1">
      <c r="A1054" s="95"/>
      <c r="B1054" s="946"/>
      <c r="C1054" s="946"/>
      <c r="D1054" s="946"/>
      <c r="E1054" s="947"/>
      <c r="F1054" s="120" t="s">
        <v>856</v>
      </c>
      <c r="G1054" s="118">
        <f>SUM(G1049:G1053)</f>
        <v>6469</v>
      </c>
    </row>
    <row r="1055" spans="1:7" ht="14.25" thickTop="1" thickBot="1">
      <c r="A1055" s="95"/>
      <c r="B1055" s="970"/>
      <c r="C1055" s="970"/>
      <c r="D1055" s="970"/>
      <c r="E1055" s="970"/>
      <c r="F1055" s="970"/>
      <c r="G1055" s="970"/>
    </row>
    <row r="1056" spans="1:7" ht="13.5" thickTop="1">
      <c r="A1056" s="95"/>
      <c r="B1056" s="950" t="s">
        <v>321</v>
      </c>
      <c r="C1056" s="951"/>
      <c r="D1056" s="951"/>
      <c r="E1056" s="951"/>
      <c r="F1056" s="951"/>
      <c r="G1056" s="952"/>
    </row>
    <row r="1057" spans="1:8">
      <c r="A1057" s="95"/>
      <c r="B1057" s="978" t="s">
        <v>838</v>
      </c>
      <c r="C1057" s="979"/>
      <c r="D1057" s="98" t="s">
        <v>301</v>
      </c>
      <c r="E1057" s="98" t="s">
        <v>297</v>
      </c>
      <c r="F1057" s="99" t="s">
        <v>839</v>
      </c>
      <c r="G1057" s="107" t="s">
        <v>840</v>
      </c>
    </row>
    <row r="1058" spans="1:8">
      <c r="A1058" s="95"/>
      <c r="B1058" s="230"/>
      <c r="C1058" s="102"/>
      <c r="D1058" s="103" t="s">
        <v>322</v>
      </c>
      <c r="E1058" s="103" t="s">
        <v>323</v>
      </c>
      <c r="F1058" s="104" t="s">
        <v>324</v>
      </c>
      <c r="G1058" s="109" t="s">
        <v>325</v>
      </c>
    </row>
    <row r="1059" spans="1:8">
      <c r="A1059" s="95"/>
      <c r="B1059" s="841"/>
      <c r="C1059" s="842"/>
      <c r="D1059" s="96"/>
      <c r="E1059" s="96"/>
      <c r="F1059" s="96"/>
      <c r="G1059" s="116"/>
    </row>
    <row r="1060" spans="1:8" ht="13.5" thickBot="1">
      <c r="A1060" s="95"/>
      <c r="B1060" s="980" t="s">
        <v>841</v>
      </c>
      <c r="C1060" s="981"/>
      <c r="D1060" s="77"/>
      <c r="E1060" s="82"/>
      <c r="F1060" s="86"/>
      <c r="G1060" s="112"/>
    </row>
    <row r="1061" spans="1:8" ht="14.25" thickTop="1" thickBot="1">
      <c r="A1061" s="95"/>
      <c r="B1061" s="946"/>
      <c r="C1061" s="946"/>
      <c r="D1061" s="946"/>
      <c r="E1061" s="947"/>
      <c r="F1061" s="120" t="s">
        <v>856</v>
      </c>
      <c r="G1061" s="118">
        <f>SUM(G1056:G1060)</f>
        <v>0</v>
      </c>
    </row>
    <row r="1062" spans="1:8" ht="14.25" thickTop="1" thickBot="1">
      <c r="A1062" s="95"/>
      <c r="B1062" s="970"/>
      <c r="C1062" s="970"/>
      <c r="D1062" s="970"/>
      <c r="E1062" s="970"/>
      <c r="F1062" s="970"/>
      <c r="G1062" s="943"/>
    </row>
    <row r="1063" spans="1:8" ht="13.5" thickTop="1">
      <c r="A1063" s="95"/>
      <c r="B1063" s="950" t="s">
        <v>326</v>
      </c>
      <c r="C1063" s="951"/>
      <c r="D1063" s="951"/>
      <c r="E1063" s="951"/>
      <c r="F1063" s="971"/>
      <c r="G1063" s="121">
        <f>+G1027+G1043+G1054</f>
        <v>9866</v>
      </c>
    </row>
    <row r="1064" spans="1:8">
      <c r="A1064" s="95"/>
      <c r="B1064" s="972" t="s">
        <v>861</v>
      </c>
      <c r="C1064" s="973"/>
      <c r="D1064" s="973"/>
      <c r="E1064" s="974"/>
      <c r="F1064" s="128">
        <f>'MANO DE OBRA'!$D$59</f>
        <v>0</v>
      </c>
      <c r="G1064" s="122">
        <f>ROUND(G1063*F1064,0)</f>
        <v>0</v>
      </c>
    </row>
    <row r="1065" spans="1:8" ht="13.5" thickBot="1">
      <c r="A1065" s="95"/>
      <c r="B1065" s="975" t="s">
        <v>1049</v>
      </c>
      <c r="C1065" s="976"/>
      <c r="D1065" s="976"/>
      <c r="E1065" s="976"/>
      <c r="F1065" s="977"/>
      <c r="G1065" s="118">
        <f>ROUND(G1063+G1064,-2)</f>
        <v>9900</v>
      </c>
      <c r="H1065" s="505" t="s">
        <v>1670</v>
      </c>
    </row>
    <row r="1066" spans="1:8" ht="15" thickTop="1">
      <c r="B1066" s="225" t="s">
        <v>303</v>
      </c>
      <c r="C1066" s="843"/>
      <c r="D1066" s="843"/>
      <c r="E1066" s="843"/>
      <c r="F1066" s="92" t="s">
        <v>781</v>
      </c>
      <c r="G1066" s="93" t="s">
        <v>1067</v>
      </c>
    </row>
    <row r="1067" spans="1:8">
      <c r="B1067" s="226" t="s">
        <v>834</v>
      </c>
      <c r="C1067" s="844" t="s">
        <v>1518</v>
      </c>
      <c r="D1067" s="844"/>
      <c r="E1067" s="844"/>
      <c r="F1067" s="15" t="s">
        <v>833</v>
      </c>
      <c r="G1067" s="165" t="str">
        <f>'MANO DE OBRA'!D61</f>
        <v>Agosto de 2010</v>
      </c>
    </row>
    <row r="1068" spans="1:8" ht="13.5" thickBot="1">
      <c r="B1068" s="228" t="s">
        <v>835</v>
      </c>
      <c r="C1068" s="845" t="s">
        <v>340</v>
      </c>
      <c r="D1068" s="845"/>
      <c r="E1068" s="845"/>
      <c r="F1068" s="845"/>
      <c r="G1068" s="846"/>
    </row>
    <row r="1069" spans="1:8" ht="14.25" thickTop="1" thickBot="1">
      <c r="B1069" s="986"/>
      <c r="C1069" s="986"/>
      <c r="D1069" s="986"/>
      <c r="E1069" s="986"/>
      <c r="F1069" s="986"/>
      <c r="G1069" s="986"/>
    </row>
    <row r="1070" spans="1:8" ht="13.5" thickTop="1">
      <c r="B1070" s="950" t="s">
        <v>304</v>
      </c>
      <c r="C1070" s="951"/>
      <c r="D1070" s="951"/>
      <c r="E1070" s="951"/>
      <c r="F1070" s="951"/>
      <c r="G1070" s="952"/>
    </row>
    <row r="1071" spans="1:8">
      <c r="B1071" s="229"/>
      <c r="C1071" s="97"/>
      <c r="D1071" s="98" t="s">
        <v>301</v>
      </c>
      <c r="E1071" s="98" t="s">
        <v>1072</v>
      </c>
      <c r="F1071" s="99" t="s">
        <v>839</v>
      </c>
      <c r="G1071" s="107" t="s">
        <v>840</v>
      </c>
    </row>
    <row r="1072" spans="1:8">
      <c r="B1072" s="982" t="s">
        <v>838</v>
      </c>
      <c r="C1072" s="983"/>
      <c r="D1072" s="100" t="s">
        <v>308</v>
      </c>
      <c r="E1072" s="100" t="s">
        <v>305</v>
      </c>
      <c r="F1072" s="101" t="s">
        <v>306</v>
      </c>
      <c r="G1072" s="108" t="s">
        <v>310</v>
      </c>
    </row>
    <row r="1073" spans="2:7">
      <c r="B1073" s="230"/>
      <c r="C1073" s="102"/>
      <c r="D1073" s="103"/>
      <c r="E1073" s="103" t="s">
        <v>309</v>
      </c>
      <c r="F1073" s="104" t="s">
        <v>307</v>
      </c>
      <c r="G1073" s="109"/>
    </row>
    <row r="1074" spans="2:7">
      <c r="B1074" s="841" t="str">
        <f>'MAQUINARIA Y EQUIPOS'!$C$28</f>
        <v>HERRAMIENTAS MENORES</v>
      </c>
      <c r="C1074" s="842"/>
      <c r="D1074" s="87">
        <v>1</v>
      </c>
      <c r="E1074" s="82">
        <f>ROUND(G1107*0.05,0)</f>
        <v>216</v>
      </c>
      <c r="F1074" s="81">
        <v>1</v>
      </c>
      <c r="G1074" s="110">
        <f>ROUND(D1074*E1074/F1074,0)</f>
        <v>216</v>
      </c>
    </row>
    <row r="1075" spans="2:7">
      <c r="B1075" s="854" t="str">
        <f>'MAQUINARIA Y EQUIPOS'!$C$9</f>
        <v>ANDAMIO TUBULAR 1.50 m</v>
      </c>
      <c r="C1075" s="855"/>
      <c r="D1075" s="37">
        <v>4</v>
      </c>
      <c r="E1075" s="129">
        <f>'MAQUINARIA Y EQUIPOS'!$D$9</f>
        <v>754</v>
      </c>
      <c r="F1075" s="83">
        <f>F1102</f>
        <v>30</v>
      </c>
      <c r="G1075" s="111">
        <f>ROUND(D1075*E1075/F1075,0)</f>
        <v>101</v>
      </c>
    </row>
    <row r="1076" spans="2:7">
      <c r="B1076" s="854" t="str">
        <f>'MAQUINARIA Y EQUIPOS'!$C$47</f>
        <v>TABLONES 3m</v>
      </c>
      <c r="C1076" s="855"/>
      <c r="D1076" s="37">
        <v>2</v>
      </c>
      <c r="E1076" s="129">
        <f>'MAQUINARIA Y EQUIPOS'!$D$47</f>
        <v>348</v>
      </c>
      <c r="F1076" s="83">
        <f>F1102</f>
        <v>30</v>
      </c>
      <c r="G1076" s="111">
        <f>ROUND(D1076*E1076/F1076,0)</f>
        <v>23</v>
      </c>
    </row>
    <row r="1077" spans="2:7">
      <c r="B1077" s="854"/>
      <c r="C1077" s="855"/>
      <c r="D1077" s="89"/>
      <c r="E1077" s="82"/>
      <c r="F1077" s="83"/>
      <c r="G1077" s="111"/>
    </row>
    <row r="1078" spans="2:7">
      <c r="B1078" s="854" t="s">
        <v>841</v>
      </c>
      <c r="C1078" s="855"/>
      <c r="D1078" s="37"/>
      <c r="E1078" s="82"/>
      <c r="F1078" s="83"/>
      <c r="G1078" s="111"/>
    </row>
    <row r="1079" spans="2:7" ht="13.5" thickBot="1">
      <c r="B1079" s="942" t="s">
        <v>841</v>
      </c>
      <c r="C1079" s="943"/>
      <c r="D1079" s="77"/>
      <c r="E1079" s="106"/>
      <c r="F1079" s="86"/>
      <c r="G1079" s="112"/>
    </row>
    <row r="1080" spans="2:7" ht="14.25" thickTop="1" thickBot="1">
      <c r="B1080" s="946"/>
      <c r="C1080" s="946"/>
      <c r="D1080" s="946"/>
      <c r="E1080" s="947"/>
      <c r="F1080" s="119" t="s">
        <v>856</v>
      </c>
      <c r="G1080" s="118">
        <f>SUM(G1074:G1079)</f>
        <v>340</v>
      </c>
    </row>
    <row r="1081" spans="2:7" ht="14.25" thickTop="1" thickBot="1">
      <c r="B1081" s="970"/>
      <c r="C1081" s="970"/>
      <c r="D1081" s="970"/>
      <c r="E1081" s="970"/>
      <c r="F1081" s="970"/>
      <c r="G1081" s="970"/>
    </row>
    <row r="1082" spans="2:7" ht="13.5" thickTop="1">
      <c r="B1082" s="950" t="s">
        <v>311</v>
      </c>
      <c r="C1082" s="951"/>
      <c r="D1082" s="951"/>
      <c r="E1082" s="951"/>
      <c r="F1082" s="951"/>
      <c r="G1082" s="952"/>
    </row>
    <row r="1083" spans="2:7">
      <c r="B1083" s="978" t="s">
        <v>838</v>
      </c>
      <c r="C1083" s="979"/>
      <c r="D1083" s="98" t="s">
        <v>842</v>
      </c>
      <c r="E1083" s="98" t="s">
        <v>853</v>
      </c>
      <c r="F1083" s="99" t="s">
        <v>1047</v>
      </c>
      <c r="G1083" s="107" t="s">
        <v>840</v>
      </c>
    </row>
    <row r="1084" spans="2:7">
      <c r="B1084" s="230"/>
      <c r="C1084" s="102"/>
      <c r="D1084" s="103"/>
      <c r="E1084" s="103" t="s">
        <v>312</v>
      </c>
      <c r="F1084" s="104" t="s">
        <v>313</v>
      </c>
      <c r="G1084" s="109" t="s">
        <v>314</v>
      </c>
    </row>
    <row r="1085" spans="2:7">
      <c r="B1085" s="854" t="str">
        <f>MATERIALES2!C299</f>
        <v>KORAZA PINTUCO</v>
      </c>
      <c r="C1085" s="855"/>
      <c r="D1085" s="37" t="s">
        <v>556</v>
      </c>
      <c r="E1085" s="83">
        <v>0.05</v>
      </c>
      <c r="F1085" s="82">
        <f>MATERIALES2!E299</f>
        <v>48000</v>
      </c>
      <c r="G1085" s="111">
        <f>ROUND(E1085*F1085,0)</f>
        <v>2400</v>
      </c>
    </row>
    <row r="1086" spans="2:7">
      <c r="B1086" s="854"/>
      <c r="C1086" s="855"/>
      <c r="D1086" s="37"/>
      <c r="E1086" s="83"/>
      <c r="F1086" s="82"/>
      <c r="G1086" s="111"/>
    </row>
    <row r="1087" spans="2:7">
      <c r="B1087" s="854"/>
      <c r="C1087" s="855"/>
      <c r="D1087" s="37"/>
      <c r="E1087" s="83"/>
      <c r="F1087" s="82"/>
      <c r="G1087" s="111"/>
    </row>
    <row r="1088" spans="2:7">
      <c r="B1088" s="854"/>
      <c r="C1088" s="855"/>
      <c r="D1088" s="37"/>
      <c r="E1088" s="83"/>
      <c r="F1088" s="82"/>
      <c r="G1088" s="111"/>
    </row>
    <row r="1089" spans="2:8">
      <c r="B1089" s="854"/>
      <c r="C1089" s="855"/>
      <c r="D1089" s="37"/>
      <c r="E1089" s="83"/>
      <c r="F1089" s="82"/>
      <c r="G1089" s="111"/>
    </row>
    <row r="1090" spans="2:8">
      <c r="B1090" s="226"/>
      <c r="D1090" s="53"/>
      <c r="F1090" s="53"/>
      <c r="G1090" s="247"/>
    </row>
    <row r="1091" spans="2:8">
      <c r="B1091" s="854"/>
      <c r="C1091" s="855"/>
      <c r="D1091" s="37"/>
      <c r="E1091" s="83"/>
      <c r="F1091" s="82"/>
      <c r="G1091" s="111"/>
      <c r="H1091" s="505" t="s">
        <v>1670</v>
      </c>
    </row>
    <row r="1092" spans="2:8">
      <c r="B1092" s="938" t="s">
        <v>841</v>
      </c>
      <c r="C1092" s="939"/>
      <c r="D1092" s="53" t="s">
        <v>841</v>
      </c>
      <c r="E1092" s="53"/>
      <c r="F1092" s="82"/>
      <c r="G1092" s="111"/>
    </row>
    <row r="1093" spans="2:8" ht="13.5" thickBot="1">
      <c r="B1093" s="942" t="s">
        <v>841</v>
      </c>
      <c r="C1093" s="943"/>
      <c r="D1093" s="84" t="s">
        <v>841</v>
      </c>
      <c r="E1093" s="84"/>
      <c r="F1093" s="85"/>
      <c r="G1093" s="112"/>
    </row>
    <row r="1094" spans="2:8" ht="13.5" thickTop="1">
      <c r="B1094" s="946"/>
      <c r="C1094" s="947"/>
      <c r="D1094" s="801" t="s">
        <v>856</v>
      </c>
      <c r="E1094" s="802"/>
      <c r="F1094" s="9"/>
      <c r="G1094" s="113">
        <f>SUM(G1085:G1093)</f>
        <v>2400</v>
      </c>
    </row>
    <row r="1095" spans="2:8">
      <c r="B1095" s="948"/>
      <c r="C1095" s="949"/>
      <c r="D1095" s="801" t="s">
        <v>857</v>
      </c>
      <c r="E1095" s="802"/>
      <c r="F1095" s="79">
        <f>'MANO DE OBRA'!$D$60</f>
        <v>0.05</v>
      </c>
      <c r="G1095" s="113">
        <f>ROUND(G1094*F1095,0)</f>
        <v>120</v>
      </c>
    </row>
    <row r="1096" spans="2:8" ht="13.5" thickBot="1">
      <c r="B1096" s="948"/>
      <c r="C1096" s="949"/>
      <c r="D1096" s="803" t="s">
        <v>320</v>
      </c>
      <c r="E1096" s="804"/>
      <c r="F1096" s="114"/>
      <c r="G1096" s="118">
        <f>+G1094+G1095</f>
        <v>2520</v>
      </c>
    </row>
    <row r="1097" spans="2:8" ht="14.25" thickTop="1" thickBot="1">
      <c r="B1097" s="970"/>
      <c r="C1097" s="970"/>
      <c r="D1097" s="970"/>
      <c r="E1097" s="970"/>
      <c r="F1097" s="970"/>
      <c r="G1097" s="970"/>
    </row>
    <row r="1098" spans="2:8" ht="13.5" thickTop="1">
      <c r="B1098" s="950" t="s">
        <v>858</v>
      </c>
      <c r="C1098" s="951"/>
      <c r="D1098" s="951"/>
      <c r="E1098" s="951"/>
      <c r="F1098" s="951"/>
      <c r="G1098" s="952"/>
    </row>
    <row r="1099" spans="2:8">
      <c r="B1099" s="978"/>
      <c r="C1099" s="979"/>
      <c r="D1099" s="98" t="s">
        <v>301</v>
      </c>
      <c r="E1099" s="98" t="s">
        <v>859</v>
      </c>
      <c r="F1099" s="99" t="s">
        <v>839</v>
      </c>
      <c r="G1099" s="107" t="s">
        <v>840</v>
      </c>
    </row>
    <row r="1100" spans="2:8">
      <c r="B1100" s="982" t="s">
        <v>838</v>
      </c>
      <c r="C1100" s="983"/>
      <c r="D1100" s="100" t="s">
        <v>316</v>
      </c>
      <c r="E1100" s="100" t="s">
        <v>315</v>
      </c>
      <c r="F1100" s="101" t="s">
        <v>306</v>
      </c>
      <c r="G1100" s="108" t="s">
        <v>319</v>
      </c>
    </row>
    <row r="1101" spans="2:8">
      <c r="B1101" s="230"/>
      <c r="C1101" s="102"/>
      <c r="D1101" s="103"/>
      <c r="E1101" s="103" t="s">
        <v>317</v>
      </c>
      <c r="F1101" s="104" t="s">
        <v>318</v>
      </c>
      <c r="G1101" s="109"/>
    </row>
    <row r="1102" spans="2:8">
      <c r="B1102" s="841" t="str">
        <f>'MANO DE OBRA'!$B$12</f>
        <v>AYUDANTE CUAD. TIPO CC</v>
      </c>
      <c r="C1102" s="842"/>
      <c r="D1102" s="87">
        <v>1</v>
      </c>
      <c r="E1102" s="80">
        <f>'MANO DE OBRA'!$E$12</f>
        <v>47255</v>
      </c>
      <c r="F1102" s="81">
        <v>30</v>
      </c>
      <c r="G1102" s="110">
        <f>ROUND(D1102*E1102/F1102,0)</f>
        <v>1575</v>
      </c>
    </row>
    <row r="1103" spans="2:8">
      <c r="B1103" s="854" t="str">
        <f>'MANO DE OBRA'!$B$17</f>
        <v>OFICIAL CUAD. TIPO CC</v>
      </c>
      <c r="C1103" s="855"/>
      <c r="D1103" s="37">
        <v>1</v>
      </c>
      <c r="E1103" s="82">
        <f>'MANO DE OBRA'!$E$17</f>
        <v>82117</v>
      </c>
      <c r="F1103" s="83">
        <v>30</v>
      </c>
      <c r="G1103" s="111">
        <f>ROUND(D1103*E1103/F1103,0)</f>
        <v>2737</v>
      </c>
    </row>
    <row r="1104" spans="2:8">
      <c r="B1104" s="854"/>
      <c r="C1104" s="855"/>
      <c r="D1104" s="89"/>
      <c r="E1104" s="82"/>
      <c r="F1104" s="83"/>
      <c r="G1104" s="111"/>
    </row>
    <row r="1105" spans="1:8">
      <c r="B1105" s="854" t="s">
        <v>841</v>
      </c>
      <c r="C1105" s="855"/>
      <c r="D1105" s="37"/>
      <c r="E1105" s="82"/>
      <c r="F1105" s="83"/>
      <c r="G1105" s="111"/>
    </row>
    <row r="1106" spans="1:8" ht="13.5" thickBot="1">
      <c r="B1106" s="980" t="s">
        <v>841</v>
      </c>
      <c r="C1106" s="981"/>
      <c r="D1106" s="77"/>
      <c r="E1106" s="82"/>
      <c r="F1106" s="86"/>
      <c r="G1106" s="112"/>
    </row>
    <row r="1107" spans="1:8" ht="14.25" thickTop="1" thickBot="1">
      <c r="B1107" s="946"/>
      <c r="C1107" s="946"/>
      <c r="D1107" s="946"/>
      <c r="E1107" s="947"/>
      <c r="F1107" s="120" t="s">
        <v>856</v>
      </c>
      <c r="G1107" s="118">
        <f>SUM(G1102:G1106)</f>
        <v>4312</v>
      </c>
    </row>
    <row r="1108" spans="1:8" ht="14.25" thickTop="1" thickBot="1">
      <c r="B1108" s="970"/>
      <c r="C1108" s="970"/>
      <c r="D1108" s="970"/>
      <c r="E1108" s="970"/>
      <c r="F1108" s="970"/>
      <c r="G1108" s="970"/>
    </row>
    <row r="1109" spans="1:8" ht="13.5" thickTop="1">
      <c r="B1109" s="950" t="s">
        <v>321</v>
      </c>
      <c r="C1109" s="951"/>
      <c r="D1109" s="951"/>
      <c r="E1109" s="951"/>
      <c r="F1109" s="951"/>
      <c r="G1109" s="952"/>
    </row>
    <row r="1110" spans="1:8">
      <c r="B1110" s="978" t="s">
        <v>838</v>
      </c>
      <c r="C1110" s="979"/>
      <c r="D1110" s="98" t="s">
        <v>301</v>
      </c>
      <c r="E1110" s="98" t="s">
        <v>297</v>
      </c>
      <c r="F1110" s="99" t="s">
        <v>839</v>
      </c>
      <c r="G1110" s="107" t="s">
        <v>840</v>
      </c>
    </row>
    <row r="1111" spans="1:8">
      <c r="B1111" s="230"/>
      <c r="C1111" s="102"/>
      <c r="D1111" s="103" t="s">
        <v>322</v>
      </c>
      <c r="E1111" s="103" t="s">
        <v>323</v>
      </c>
      <c r="F1111" s="104" t="s">
        <v>324</v>
      </c>
      <c r="G1111" s="109" t="s">
        <v>325</v>
      </c>
    </row>
    <row r="1112" spans="1:8">
      <c r="B1112" s="841"/>
      <c r="C1112" s="842"/>
      <c r="D1112" s="96"/>
      <c r="E1112" s="96"/>
      <c r="F1112" s="96"/>
      <c r="G1112" s="116"/>
    </row>
    <row r="1113" spans="1:8" ht="13.5" thickBot="1">
      <c r="B1113" s="980" t="s">
        <v>841</v>
      </c>
      <c r="C1113" s="981"/>
      <c r="D1113" s="77"/>
      <c r="E1113" s="82"/>
      <c r="F1113" s="86"/>
      <c r="G1113" s="112"/>
    </row>
    <row r="1114" spans="1:8" ht="14.25" thickTop="1" thickBot="1">
      <c r="B1114" s="946"/>
      <c r="C1114" s="946"/>
      <c r="D1114" s="946"/>
      <c r="E1114" s="947"/>
      <c r="F1114" s="120" t="s">
        <v>856</v>
      </c>
      <c r="G1114" s="118">
        <f>SUM(G1109:G1113)</f>
        <v>0</v>
      </c>
    </row>
    <row r="1115" spans="1:8" ht="14.25" thickTop="1" thickBot="1">
      <c r="B1115" s="970"/>
      <c r="C1115" s="970"/>
      <c r="D1115" s="970"/>
      <c r="E1115" s="970"/>
      <c r="F1115" s="970"/>
      <c r="G1115" s="943"/>
    </row>
    <row r="1116" spans="1:8" ht="13.5" thickTop="1">
      <c r="B1116" s="950" t="s">
        <v>326</v>
      </c>
      <c r="C1116" s="951"/>
      <c r="D1116" s="951"/>
      <c r="E1116" s="951"/>
      <c r="F1116" s="971"/>
      <c r="G1116" s="121">
        <f>+G1080+G1096+G1107</f>
        <v>7172</v>
      </c>
    </row>
    <row r="1117" spans="1:8">
      <c r="B1117" s="972" t="s">
        <v>861</v>
      </c>
      <c r="C1117" s="973"/>
      <c r="D1117" s="973"/>
      <c r="E1117" s="974"/>
      <c r="F1117" s="128">
        <f>'MANO DE OBRA'!$D$59</f>
        <v>0</v>
      </c>
      <c r="G1117" s="122">
        <f>ROUND(G1116*F1117,0)</f>
        <v>0</v>
      </c>
    </row>
    <row r="1118" spans="1:8" ht="13.5" thickBot="1">
      <c r="B1118" s="975" t="s">
        <v>1049</v>
      </c>
      <c r="C1118" s="976"/>
      <c r="D1118" s="976"/>
      <c r="E1118" s="976"/>
      <c r="F1118" s="977"/>
      <c r="G1118" s="118">
        <f>ROUND(G1116+G1117,-2)</f>
        <v>7200</v>
      </c>
      <c r="H1118" s="505" t="s">
        <v>1670</v>
      </c>
    </row>
    <row r="1119" spans="1:8" ht="15" thickTop="1">
      <c r="A1119" s="95"/>
      <c r="B1119" s="225" t="s">
        <v>303</v>
      </c>
      <c r="C1119" s="843"/>
      <c r="D1119" s="843"/>
      <c r="E1119" s="843"/>
      <c r="F1119" s="92" t="s">
        <v>781</v>
      </c>
      <c r="G1119" s="93" t="s">
        <v>1067</v>
      </c>
    </row>
    <row r="1120" spans="1:8">
      <c r="A1120" s="95"/>
      <c r="B1120" s="226" t="s">
        <v>834</v>
      </c>
      <c r="C1120" s="844" t="s">
        <v>409</v>
      </c>
      <c r="D1120" s="844"/>
      <c r="E1120" s="844"/>
      <c r="F1120" s="15" t="s">
        <v>833</v>
      </c>
      <c r="G1120" s="165" t="str">
        <f>'MANO DE OBRA'!D61</f>
        <v>Agosto de 2010</v>
      </c>
    </row>
    <row r="1121" spans="1:7" ht="13.5" thickBot="1">
      <c r="A1121" s="127"/>
      <c r="B1121" s="228" t="s">
        <v>835</v>
      </c>
      <c r="C1121" s="845" t="s">
        <v>807</v>
      </c>
      <c r="D1121" s="845"/>
      <c r="E1121" s="845"/>
      <c r="F1121" s="845"/>
      <c r="G1121" s="846"/>
    </row>
    <row r="1122" spans="1:7" ht="14.25" thickTop="1" thickBot="1">
      <c r="A1122" s="95"/>
      <c r="B1122" s="986"/>
      <c r="C1122" s="986"/>
      <c r="D1122" s="986"/>
      <c r="E1122" s="986"/>
      <c r="F1122" s="986"/>
      <c r="G1122" s="986"/>
    </row>
    <row r="1123" spans="1:7" ht="13.5" thickTop="1">
      <c r="A1123" s="95"/>
      <c r="B1123" s="950" t="s">
        <v>304</v>
      </c>
      <c r="C1123" s="951"/>
      <c r="D1123" s="951"/>
      <c r="E1123" s="951"/>
      <c r="F1123" s="951"/>
      <c r="G1123" s="952"/>
    </row>
    <row r="1124" spans="1:7">
      <c r="A1124" s="95"/>
      <c r="B1124" s="229"/>
      <c r="C1124" s="97"/>
      <c r="D1124" s="98" t="s">
        <v>301</v>
      </c>
      <c r="E1124" s="98" t="s">
        <v>1072</v>
      </c>
      <c r="F1124" s="99" t="s">
        <v>839</v>
      </c>
      <c r="G1124" s="107" t="s">
        <v>840</v>
      </c>
    </row>
    <row r="1125" spans="1:7">
      <c r="A1125" s="95"/>
      <c r="B1125" s="982" t="s">
        <v>838</v>
      </c>
      <c r="C1125" s="983"/>
      <c r="D1125" s="100" t="s">
        <v>308</v>
      </c>
      <c r="E1125" s="100" t="s">
        <v>305</v>
      </c>
      <c r="F1125" s="101" t="s">
        <v>306</v>
      </c>
      <c r="G1125" s="108" t="s">
        <v>310</v>
      </c>
    </row>
    <row r="1126" spans="1:7">
      <c r="A1126" s="95"/>
      <c r="B1126" s="230"/>
      <c r="C1126" s="102"/>
      <c r="D1126" s="103"/>
      <c r="E1126" s="103" t="s">
        <v>309</v>
      </c>
      <c r="F1126" s="104" t="s">
        <v>307</v>
      </c>
      <c r="G1126" s="109"/>
    </row>
    <row r="1127" spans="1:7">
      <c r="A1127" s="127"/>
      <c r="B1127" s="841" t="str">
        <f>'MAQUINARIA Y EQUIPOS'!$C$28</f>
        <v>HERRAMIENTAS MENORES</v>
      </c>
      <c r="C1127" s="842"/>
      <c r="D1127" s="87">
        <v>1</v>
      </c>
      <c r="E1127" s="82">
        <f>ROUND(G1160*0.05,0)</f>
        <v>323</v>
      </c>
      <c r="F1127" s="81">
        <v>1</v>
      </c>
      <c r="G1127" s="110">
        <f>ROUND(D1127*E1127/F1127,0)</f>
        <v>323</v>
      </c>
    </row>
    <row r="1128" spans="1:7">
      <c r="A1128" s="95"/>
      <c r="B1128" s="854" t="str">
        <f>'MAQUINARIA Y EQUIPOS'!$C$9</f>
        <v>ANDAMIO TUBULAR 1.50 m</v>
      </c>
      <c r="C1128" s="855"/>
      <c r="D1128" s="37">
        <v>4</v>
      </c>
      <c r="E1128" s="129">
        <f>'MAQUINARIA Y EQUIPOS'!$D$9</f>
        <v>754</v>
      </c>
      <c r="F1128" s="83">
        <f>F1155</f>
        <v>20</v>
      </c>
      <c r="G1128" s="111">
        <f>ROUND(D1128*E1128/F1128,0)</f>
        <v>151</v>
      </c>
    </row>
    <row r="1129" spans="1:7">
      <c r="A1129" s="95"/>
      <c r="B1129" s="854" t="str">
        <f>'MAQUINARIA Y EQUIPOS'!$C$47</f>
        <v>TABLONES 3m</v>
      </c>
      <c r="C1129" s="855"/>
      <c r="D1129" s="37">
        <v>2</v>
      </c>
      <c r="E1129" s="129">
        <f>'MAQUINARIA Y EQUIPOS'!$D$47</f>
        <v>348</v>
      </c>
      <c r="F1129" s="83">
        <f>F1155</f>
        <v>20</v>
      </c>
      <c r="G1129" s="111">
        <f>ROUND(D1129*E1129/F1129,0)</f>
        <v>35</v>
      </c>
    </row>
    <row r="1130" spans="1:7">
      <c r="A1130" s="95"/>
      <c r="B1130" s="854"/>
      <c r="C1130" s="855"/>
      <c r="D1130" s="89"/>
      <c r="E1130" s="82"/>
      <c r="F1130" s="83"/>
      <c r="G1130" s="111"/>
    </row>
    <row r="1131" spans="1:7">
      <c r="A1131" s="95"/>
      <c r="B1131" s="854" t="s">
        <v>841</v>
      </c>
      <c r="C1131" s="855"/>
      <c r="D1131" s="37"/>
      <c r="E1131" s="82"/>
      <c r="F1131" s="83"/>
      <c r="G1131" s="111"/>
    </row>
    <row r="1132" spans="1:7" ht="13.5" thickBot="1">
      <c r="A1132" s="95"/>
      <c r="B1132" s="942" t="s">
        <v>841</v>
      </c>
      <c r="C1132" s="943"/>
      <c r="D1132" s="77"/>
      <c r="E1132" s="106"/>
      <c r="F1132" s="86"/>
      <c r="G1132" s="112"/>
    </row>
    <row r="1133" spans="1:7" ht="14.25" thickTop="1" thickBot="1">
      <c r="A1133" s="95"/>
      <c r="B1133" s="946"/>
      <c r="C1133" s="946"/>
      <c r="D1133" s="946"/>
      <c r="E1133" s="947"/>
      <c r="F1133" s="119" t="s">
        <v>856</v>
      </c>
      <c r="G1133" s="118">
        <f>SUM(G1127:G1132)</f>
        <v>509</v>
      </c>
    </row>
    <row r="1134" spans="1:7" ht="14.25" thickTop="1" thickBot="1">
      <c r="A1134" s="95"/>
      <c r="B1134" s="970"/>
      <c r="C1134" s="970"/>
      <c r="D1134" s="970"/>
      <c r="E1134" s="970"/>
      <c r="F1134" s="970"/>
      <c r="G1134" s="970"/>
    </row>
    <row r="1135" spans="1:7" ht="13.5" thickTop="1">
      <c r="A1135" s="95"/>
      <c r="B1135" s="950" t="s">
        <v>311</v>
      </c>
      <c r="C1135" s="951"/>
      <c r="D1135" s="951"/>
      <c r="E1135" s="951"/>
      <c r="F1135" s="951"/>
      <c r="G1135" s="952"/>
    </row>
    <row r="1136" spans="1:7">
      <c r="A1136" s="95"/>
      <c r="B1136" s="978" t="s">
        <v>838</v>
      </c>
      <c r="C1136" s="979"/>
      <c r="D1136" s="98" t="s">
        <v>842</v>
      </c>
      <c r="E1136" s="98" t="s">
        <v>853</v>
      </c>
      <c r="F1136" s="99" t="s">
        <v>1047</v>
      </c>
      <c r="G1136" s="107" t="s">
        <v>840</v>
      </c>
    </row>
    <row r="1137" spans="1:8">
      <c r="A1137" s="95"/>
      <c r="B1137" s="230"/>
      <c r="C1137" s="102"/>
      <c r="D1137" s="103"/>
      <c r="E1137" s="103" t="s">
        <v>312</v>
      </c>
      <c r="F1137" s="104" t="s">
        <v>313</v>
      </c>
      <c r="G1137" s="109" t="s">
        <v>314</v>
      </c>
    </row>
    <row r="1138" spans="1:8">
      <c r="A1138" s="95"/>
      <c r="B1138" s="957" t="str">
        <f>MATERIALES2!C296</f>
        <v>PINTURA EPOXIPOLIAMIDA</v>
      </c>
      <c r="C1138" s="965"/>
      <c r="D1138" s="37" t="s">
        <v>556</v>
      </c>
      <c r="E1138" s="83">
        <v>0.08</v>
      </c>
      <c r="F1138" s="82">
        <f>MATERIALES2!$E$296</f>
        <v>82000</v>
      </c>
      <c r="G1138" s="111">
        <f>ROUND(E1138*F1138,0)</f>
        <v>6560</v>
      </c>
    </row>
    <row r="1139" spans="1:8">
      <c r="A1139" s="123"/>
      <c r="B1139" s="957" t="str">
        <f>MATERIALES2!C297</f>
        <v>CATALIZADOR</v>
      </c>
      <c r="C1139" s="965"/>
      <c r="D1139" s="37" t="s">
        <v>556</v>
      </c>
      <c r="E1139" s="83">
        <v>0.05</v>
      </c>
      <c r="F1139" s="82">
        <f>MATERIALES2!$E$297</f>
        <v>16000</v>
      </c>
      <c r="G1139" s="111">
        <f>ROUND(E1139*F1139,0)</f>
        <v>800</v>
      </c>
    </row>
    <row r="1140" spans="1:8">
      <c r="A1140" s="123"/>
      <c r="B1140" s="957" t="str">
        <f>MATERIALES2!C298</f>
        <v>AJUSTADOR 21135</v>
      </c>
      <c r="C1140" s="965"/>
      <c r="D1140" s="37" t="s">
        <v>556</v>
      </c>
      <c r="E1140" s="83">
        <v>0.05</v>
      </c>
      <c r="F1140" s="82">
        <f>MATERIALES2!$E$298</f>
        <v>25000</v>
      </c>
      <c r="G1140" s="111">
        <f>ROUND(E1140*F1140,0)</f>
        <v>1250</v>
      </c>
    </row>
    <row r="1141" spans="1:8">
      <c r="A1141" s="123"/>
      <c r="B1141" s="854"/>
      <c r="C1141" s="855"/>
      <c r="D1141" s="37"/>
      <c r="E1141" s="83"/>
      <c r="F1141" s="82"/>
      <c r="G1141" s="111"/>
    </row>
    <row r="1142" spans="1:8">
      <c r="A1142" s="123"/>
      <c r="B1142" s="854"/>
      <c r="C1142" s="855"/>
      <c r="D1142" s="37"/>
      <c r="E1142" s="83"/>
      <c r="F1142" s="82"/>
      <c r="G1142" s="111"/>
    </row>
    <row r="1143" spans="1:8">
      <c r="B1143" s="226"/>
      <c r="D1143" s="53"/>
      <c r="F1143" s="53"/>
      <c r="G1143" s="247"/>
    </row>
    <row r="1144" spans="1:8">
      <c r="A1144" s="95"/>
      <c r="B1144" s="854"/>
      <c r="C1144" s="855"/>
      <c r="D1144" s="37"/>
      <c r="E1144" s="83"/>
      <c r="F1144" s="82"/>
      <c r="G1144" s="111"/>
      <c r="H1144" s="505" t="s">
        <v>1670</v>
      </c>
    </row>
    <row r="1145" spans="1:8">
      <c r="A1145" s="95"/>
      <c r="B1145" s="938" t="s">
        <v>841</v>
      </c>
      <c r="C1145" s="939"/>
      <c r="D1145" s="53" t="s">
        <v>841</v>
      </c>
      <c r="E1145" s="53"/>
      <c r="F1145" s="82"/>
      <c r="G1145" s="111"/>
    </row>
    <row r="1146" spans="1:8" ht="13.5" thickBot="1">
      <c r="A1146" s="95"/>
      <c r="B1146" s="942" t="s">
        <v>841</v>
      </c>
      <c r="C1146" s="943"/>
      <c r="D1146" s="84" t="s">
        <v>841</v>
      </c>
      <c r="E1146" s="84"/>
      <c r="F1146" s="85"/>
      <c r="G1146" s="112"/>
    </row>
    <row r="1147" spans="1:8" ht="13.5" thickTop="1">
      <c r="A1147" s="95"/>
      <c r="B1147" s="946"/>
      <c r="C1147" s="947"/>
      <c r="D1147" s="801" t="s">
        <v>856</v>
      </c>
      <c r="E1147" s="802"/>
      <c r="F1147" s="9"/>
      <c r="G1147" s="113">
        <f>SUM(G1138:G1146)</f>
        <v>8610</v>
      </c>
    </row>
    <row r="1148" spans="1:8">
      <c r="A1148" s="95"/>
      <c r="B1148" s="948"/>
      <c r="C1148" s="949"/>
      <c r="D1148" s="801" t="s">
        <v>857</v>
      </c>
      <c r="E1148" s="802"/>
      <c r="F1148" s="79">
        <f>'MANO DE OBRA'!$D$60</f>
        <v>0.05</v>
      </c>
      <c r="G1148" s="113">
        <f>ROUND(G1147*F1148,0)</f>
        <v>431</v>
      </c>
    </row>
    <row r="1149" spans="1:8" ht="13.5" thickBot="1">
      <c r="A1149" s="95"/>
      <c r="B1149" s="948"/>
      <c r="C1149" s="949"/>
      <c r="D1149" s="803" t="s">
        <v>320</v>
      </c>
      <c r="E1149" s="804"/>
      <c r="F1149" s="114"/>
      <c r="G1149" s="118">
        <f>+G1147+G1148</f>
        <v>9041</v>
      </c>
    </row>
    <row r="1150" spans="1:8" ht="14.25" thickTop="1" thickBot="1">
      <c r="A1150" s="95"/>
      <c r="B1150" s="970"/>
      <c r="C1150" s="970"/>
      <c r="D1150" s="970"/>
      <c r="E1150" s="970"/>
      <c r="F1150" s="970"/>
      <c r="G1150" s="970"/>
    </row>
    <row r="1151" spans="1:8" ht="13.5" thickTop="1">
      <c r="A1151" s="95"/>
      <c r="B1151" s="950" t="s">
        <v>858</v>
      </c>
      <c r="C1151" s="951"/>
      <c r="D1151" s="951"/>
      <c r="E1151" s="951"/>
      <c r="F1151" s="951"/>
      <c r="G1151" s="952"/>
    </row>
    <row r="1152" spans="1:8">
      <c r="A1152" s="95"/>
      <c r="B1152" s="978"/>
      <c r="C1152" s="979"/>
      <c r="D1152" s="98" t="s">
        <v>301</v>
      </c>
      <c r="E1152" s="98" t="s">
        <v>859</v>
      </c>
      <c r="F1152" s="99" t="s">
        <v>839</v>
      </c>
      <c r="G1152" s="107" t="s">
        <v>840</v>
      </c>
    </row>
    <row r="1153" spans="1:7">
      <c r="A1153" s="95"/>
      <c r="B1153" s="982" t="s">
        <v>838</v>
      </c>
      <c r="C1153" s="983"/>
      <c r="D1153" s="100" t="s">
        <v>316</v>
      </c>
      <c r="E1153" s="100" t="s">
        <v>315</v>
      </c>
      <c r="F1153" s="101" t="s">
        <v>306</v>
      </c>
      <c r="G1153" s="108" t="s">
        <v>319</v>
      </c>
    </row>
    <row r="1154" spans="1:7">
      <c r="A1154" s="95"/>
      <c r="B1154" s="230"/>
      <c r="C1154" s="102"/>
      <c r="D1154" s="103"/>
      <c r="E1154" s="103" t="s">
        <v>317</v>
      </c>
      <c r="F1154" s="104" t="s">
        <v>318</v>
      </c>
      <c r="G1154" s="109"/>
    </row>
    <row r="1155" spans="1:7">
      <c r="A1155" s="95"/>
      <c r="B1155" s="841" t="str">
        <f>'MANO DE OBRA'!$B$12</f>
        <v>AYUDANTE CUAD. TIPO CC</v>
      </c>
      <c r="C1155" s="842"/>
      <c r="D1155" s="87">
        <v>1</v>
      </c>
      <c r="E1155" s="80">
        <f>'MANO DE OBRA'!$E$12</f>
        <v>47255</v>
      </c>
      <c r="F1155" s="81">
        <v>20</v>
      </c>
      <c r="G1155" s="110">
        <f>ROUND(D1155*E1155/F1155,0)</f>
        <v>2363</v>
      </c>
    </row>
    <row r="1156" spans="1:7">
      <c r="A1156" s="95"/>
      <c r="B1156" s="854" t="str">
        <f>'MANO DE OBRA'!$B$17</f>
        <v>OFICIAL CUAD. TIPO CC</v>
      </c>
      <c r="C1156" s="855"/>
      <c r="D1156" s="37">
        <v>1</v>
      </c>
      <c r="E1156" s="82">
        <f>'MANO DE OBRA'!$E$17</f>
        <v>82117</v>
      </c>
      <c r="F1156" s="83">
        <v>20</v>
      </c>
      <c r="G1156" s="111">
        <f>ROUND(D1156*E1156/F1156,0)</f>
        <v>4106</v>
      </c>
    </row>
    <row r="1157" spans="1:7">
      <c r="A1157" s="95"/>
      <c r="B1157" s="854"/>
      <c r="C1157" s="855"/>
      <c r="D1157" s="89"/>
      <c r="E1157" s="82"/>
      <c r="F1157" s="83"/>
      <c r="G1157" s="111"/>
    </row>
    <row r="1158" spans="1:7">
      <c r="A1158" s="95"/>
      <c r="B1158" s="854" t="s">
        <v>841</v>
      </c>
      <c r="C1158" s="855"/>
      <c r="D1158" s="37"/>
      <c r="E1158" s="82"/>
      <c r="F1158" s="83"/>
      <c r="G1158" s="111"/>
    </row>
    <row r="1159" spans="1:7" ht="13.5" thickBot="1">
      <c r="A1159" s="95"/>
      <c r="B1159" s="980" t="s">
        <v>841</v>
      </c>
      <c r="C1159" s="981"/>
      <c r="D1159" s="77"/>
      <c r="E1159" s="82"/>
      <c r="F1159" s="86"/>
      <c r="G1159" s="112"/>
    </row>
    <row r="1160" spans="1:7" ht="14.25" thickTop="1" thickBot="1">
      <c r="A1160" s="95"/>
      <c r="B1160" s="946"/>
      <c r="C1160" s="946"/>
      <c r="D1160" s="946"/>
      <c r="E1160" s="947"/>
      <c r="F1160" s="120" t="s">
        <v>856</v>
      </c>
      <c r="G1160" s="118">
        <f>SUM(G1155:G1159)</f>
        <v>6469</v>
      </c>
    </row>
    <row r="1161" spans="1:7" ht="14.25" thickTop="1" thickBot="1">
      <c r="A1161" s="95"/>
      <c r="B1161" s="970"/>
      <c r="C1161" s="970"/>
      <c r="D1161" s="970"/>
      <c r="E1161" s="970"/>
      <c r="F1161" s="970"/>
      <c r="G1161" s="970"/>
    </row>
    <row r="1162" spans="1:7" ht="13.5" thickTop="1">
      <c r="A1162" s="95"/>
      <c r="B1162" s="950" t="s">
        <v>321</v>
      </c>
      <c r="C1162" s="951"/>
      <c r="D1162" s="951"/>
      <c r="E1162" s="951"/>
      <c r="F1162" s="951"/>
      <c r="G1162" s="952"/>
    </row>
    <row r="1163" spans="1:7">
      <c r="A1163" s="95"/>
      <c r="B1163" s="978" t="s">
        <v>838</v>
      </c>
      <c r="C1163" s="979"/>
      <c r="D1163" s="98" t="s">
        <v>301</v>
      </c>
      <c r="E1163" s="98" t="s">
        <v>297</v>
      </c>
      <c r="F1163" s="99" t="s">
        <v>839</v>
      </c>
      <c r="G1163" s="107" t="s">
        <v>840</v>
      </c>
    </row>
    <row r="1164" spans="1:7">
      <c r="A1164" s="95"/>
      <c r="B1164" s="230"/>
      <c r="C1164" s="102"/>
      <c r="D1164" s="103" t="s">
        <v>322</v>
      </c>
      <c r="E1164" s="103" t="s">
        <v>323</v>
      </c>
      <c r="F1164" s="104" t="s">
        <v>324</v>
      </c>
      <c r="G1164" s="109" t="s">
        <v>325</v>
      </c>
    </row>
    <row r="1165" spans="1:7">
      <c r="A1165" s="95"/>
      <c r="B1165" s="841"/>
      <c r="C1165" s="842"/>
      <c r="D1165" s="96"/>
      <c r="E1165" s="96"/>
      <c r="F1165" s="96"/>
      <c r="G1165" s="116"/>
    </row>
    <row r="1166" spans="1:7" ht="13.5" thickBot="1">
      <c r="A1166" s="95"/>
      <c r="B1166" s="980" t="s">
        <v>841</v>
      </c>
      <c r="C1166" s="981"/>
      <c r="D1166" s="77"/>
      <c r="E1166" s="82"/>
      <c r="F1166" s="86"/>
      <c r="G1166" s="112"/>
    </row>
    <row r="1167" spans="1:7" ht="14.25" thickTop="1" thickBot="1">
      <c r="A1167" s="95"/>
      <c r="B1167" s="946"/>
      <c r="C1167" s="946"/>
      <c r="D1167" s="946"/>
      <c r="E1167" s="947"/>
      <c r="F1167" s="120" t="s">
        <v>856</v>
      </c>
      <c r="G1167" s="118">
        <f>SUM(G1162:G1166)</f>
        <v>0</v>
      </c>
    </row>
    <row r="1168" spans="1:7" ht="14.25" thickTop="1" thickBot="1">
      <c r="A1168" s="95"/>
      <c r="B1168" s="970"/>
      <c r="C1168" s="970"/>
      <c r="D1168" s="970"/>
      <c r="E1168" s="970"/>
      <c r="F1168" s="970"/>
      <c r="G1168" s="943"/>
    </row>
    <row r="1169" spans="1:8" ht="13.5" thickTop="1">
      <c r="A1169" s="95"/>
      <c r="B1169" s="950" t="s">
        <v>326</v>
      </c>
      <c r="C1169" s="951"/>
      <c r="D1169" s="951"/>
      <c r="E1169" s="951"/>
      <c r="F1169" s="971"/>
      <c r="G1169" s="121">
        <f>+G1133+G1149+G1160</f>
        <v>16019</v>
      </c>
    </row>
    <row r="1170" spans="1:8">
      <c r="A1170" s="95"/>
      <c r="B1170" s="972" t="s">
        <v>861</v>
      </c>
      <c r="C1170" s="973"/>
      <c r="D1170" s="973"/>
      <c r="E1170" s="974"/>
      <c r="F1170" s="128">
        <f>'MANO DE OBRA'!$D$59</f>
        <v>0</v>
      </c>
      <c r="G1170" s="122">
        <f>ROUND(G1169*F1170,0)</f>
        <v>0</v>
      </c>
    </row>
    <row r="1171" spans="1:8" ht="13.5" thickBot="1">
      <c r="A1171" s="95"/>
      <c r="B1171" s="975" t="s">
        <v>1049</v>
      </c>
      <c r="C1171" s="976"/>
      <c r="D1171" s="976"/>
      <c r="E1171" s="976"/>
      <c r="F1171" s="977"/>
      <c r="G1171" s="118">
        <f>ROUND(G1169+G1170,-2)</f>
        <v>16000</v>
      </c>
      <c r="H1171" s="505" t="s">
        <v>1670</v>
      </c>
    </row>
    <row r="1172" spans="1:8" ht="14.25" thickTop="1" thickBot="1"/>
    <row r="1173" spans="1:8" ht="15" thickTop="1">
      <c r="B1173" s="225" t="s">
        <v>303</v>
      </c>
      <c r="C1173" s="843"/>
      <c r="D1173" s="843"/>
      <c r="E1173" s="843"/>
      <c r="F1173" s="92" t="s">
        <v>781</v>
      </c>
      <c r="G1173" s="93" t="s">
        <v>1067</v>
      </c>
    </row>
    <row r="1174" spans="1:8">
      <c r="B1174" s="226" t="s">
        <v>834</v>
      </c>
      <c r="C1174" s="844" t="s">
        <v>1518</v>
      </c>
      <c r="D1174" s="844"/>
      <c r="E1174" s="844"/>
      <c r="F1174" s="15" t="s">
        <v>833</v>
      </c>
      <c r="G1174" s="165" t="str">
        <f>'MANO DE OBRA'!D61</f>
        <v>Agosto de 2010</v>
      </c>
    </row>
    <row r="1175" spans="1:8" ht="13.5" thickBot="1">
      <c r="B1175" s="228" t="s">
        <v>835</v>
      </c>
      <c r="C1175" s="845" t="s">
        <v>1309</v>
      </c>
      <c r="D1175" s="845"/>
      <c r="E1175" s="845"/>
      <c r="F1175" s="845"/>
      <c r="G1175" s="846"/>
    </row>
    <row r="1176" spans="1:8" ht="14.25" thickTop="1" thickBot="1">
      <c r="B1176" s="986"/>
      <c r="C1176" s="986"/>
      <c r="D1176" s="986"/>
      <c r="E1176" s="986"/>
      <c r="F1176" s="986"/>
      <c r="G1176" s="986"/>
    </row>
    <row r="1177" spans="1:8" ht="13.5" thickTop="1">
      <c r="B1177" s="950" t="s">
        <v>304</v>
      </c>
      <c r="C1177" s="951"/>
      <c r="D1177" s="951"/>
      <c r="E1177" s="951"/>
      <c r="F1177" s="951"/>
      <c r="G1177" s="952"/>
    </row>
    <row r="1178" spans="1:8">
      <c r="B1178" s="229"/>
      <c r="C1178" s="97"/>
      <c r="D1178" s="98" t="s">
        <v>301</v>
      </c>
      <c r="E1178" s="98" t="s">
        <v>1072</v>
      </c>
      <c r="F1178" s="99" t="s">
        <v>839</v>
      </c>
      <c r="G1178" s="107" t="s">
        <v>840</v>
      </c>
    </row>
    <row r="1179" spans="1:8">
      <c r="B1179" s="982" t="s">
        <v>838</v>
      </c>
      <c r="C1179" s="983"/>
      <c r="D1179" s="100" t="s">
        <v>308</v>
      </c>
      <c r="E1179" s="100" t="s">
        <v>305</v>
      </c>
      <c r="F1179" s="101" t="s">
        <v>306</v>
      </c>
      <c r="G1179" s="108" t="s">
        <v>310</v>
      </c>
    </row>
    <row r="1180" spans="1:8">
      <c r="B1180" s="230"/>
      <c r="C1180" s="102"/>
      <c r="D1180" s="103"/>
      <c r="E1180" s="103" t="s">
        <v>309</v>
      </c>
      <c r="F1180" s="104" t="s">
        <v>307</v>
      </c>
      <c r="G1180" s="109"/>
    </row>
    <row r="1181" spans="1:8">
      <c r="B1181" s="841" t="str">
        <f>'MAQUINARIA Y EQUIPOS'!$C$28</f>
        <v>HERRAMIENTAS MENORES</v>
      </c>
      <c r="C1181" s="842"/>
      <c r="D1181" s="87">
        <v>1</v>
      </c>
      <c r="E1181" s="82">
        <f>ROUND(G1214*0.05,0)</f>
        <v>162</v>
      </c>
      <c r="F1181" s="81">
        <v>1</v>
      </c>
      <c r="G1181" s="110">
        <f>ROUND(D1181*E1181/F1181,0)</f>
        <v>162</v>
      </c>
    </row>
    <row r="1182" spans="1:8">
      <c r="B1182" s="854" t="str">
        <f>'MAQUINARIA Y EQUIPOS'!$C$9</f>
        <v>ANDAMIO TUBULAR 1.50 m</v>
      </c>
      <c r="C1182" s="855"/>
      <c r="D1182" s="37">
        <v>4</v>
      </c>
      <c r="E1182" s="129">
        <f>'MAQUINARIA Y EQUIPOS'!$D$9</f>
        <v>754</v>
      </c>
      <c r="F1182" s="83">
        <f>F1209</f>
        <v>40</v>
      </c>
      <c r="G1182" s="111">
        <f>ROUND(D1182*E1182/F1182,0)</f>
        <v>75</v>
      </c>
    </row>
    <row r="1183" spans="1:8">
      <c r="B1183" s="854" t="str">
        <f>'MAQUINARIA Y EQUIPOS'!$C$47</f>
        <v>TABLONES 3m</v>
      </c>
      <c r="C1183" s="855"/>
      <c r="D1183" s="37">
        <v>2</v>
      </c>
      <c r="E1183" s="129">
        <f>'MAQUINARIA Y EQUIPOS'!$D$47</f>
        <v>348</v>
      </c>
      <c r="F1183" s="83">
        <f>F1209</f>
        <v>40</v>
      </c>
      <c r="G1183" s="111">
        <f>ROUND(D1183*E1183/F1183,0)</f>
        <v>17</v>
      </c>
    </row>
    <row r="1184" spans="1:8">
      <c r="B1184" s="854"/>
      <c r="C1184" s="855"/>
      <c r="D1184" s="89"/>
      <c r="E1184" s="82"/>
      <c r="F1184" s="83"/>
      <c r="G1184" s="111"/>
    </row>
    <row r="1185" spans="2:8">
      <c r="B1185" s="854" t="s">
        <v>841</v>
      </c>
      <c r="C1185" s="855"/>
      <c r="D1185" s="37"/>
      <c r="E1185" s="82"/>
      <c r="F1185" s="83"/>
      <c r="G1185" s="111"/>
    </row>
    <row r="1186" spans="2:8" ht="13.5" thickBot="1">
      <c r="B1186" s="942" t="s">
        <v>841</v>
      </c>
      <c r="C1186" s="943"/>
      <c r="D1186" s="77"/>
      <c r="E1186" s="106"/>
      <c r="F1186" s="86"/>
      <c r="G1186" s="112"/>
    </row>
    <row r="1187" spans="2:8" ht="14.25" thickTop="1" thickBot="1">
      <c r="B1187" s="946"/>
      <c r="C1187" s="946"/>
      <c r="D1187" s="946"/>
      <c r="E1187" s="947"/>
      <c r="F1187" s="119" t="s">
        <v>856</v>
      </c>
      <c r="G1187" s="118">
        <f>SUM(G1181:G1186)</f>
        <v>254</v>
      </c>
    </row>
    <row r="1188" spans="2:8" ht="14.25" thickTop="1" thickBot="1">
      <c r="B1188" s="970"/>
      <c r="C1188" s="970"/>
      <c r="D1188" s="970"/>
      <c r="E1188" s="970"/>
      <c r="F1188" s="970"/>
      <c r="G1188" s="970"/>
    </row>
    <row r="1189" spans="2:8" ht="13.5" thickTop="1">
      <c r="B1189" s="950" t="s">
        <v>311</v>
      </c>
      <c r="C1189" s="951"/>
      <c r="D1189" s="951"/>
      <c r="E1189" s="951"/>
      <c r="F1189" s="951"/>
      <c r="G1189" s="952"/>
    </row>
    <row r="1190" spans="2:8">
      <c r="B1190" s="978" t="s">
        <v>838</v>
      </c>
      <c r="C1190" s="979"/>
      <c r="D1190" s="98" t="s">
        <v>842</v>
      </c>
      <c r="E1190" s="98" t="s">
        <v>853</v>
      </c>
      <c r="F1190" s="99" t="s">
        <v>1047</v>
      </c>
      <c r="G1190" s="107" t="s">
        <v>840</v>
      </c>
    </row>
    <row r="1191" spans="2:8">
      <c r="B1191" s="230"/>
      <c r="C1191" s="102"/>
      <c r="D1191" s="103"/>
      <c r="E1191" s="103" t="s">
        <v>312</v>
      </c>
      <c r="F1191" s="104" t="s">
        <v>313</v>
      </c>
      <c r="G1191" s="109" t="s">
        <v>314</v>
      </c>
    </row>
    <row r="1192" spans="2:8">
      <c r="B1192" s="957" t="str">
        <f>MATERIALES2!C282</f>
        <v>PIGMENTO SOBRE GRANIPLAST PREPARADO</v>
      </c>
      <c r="C1192" s="965"/>
      <c r="D1192" s="37" t="s">
        <v>556</v>
      </c>
      <c r="E1192" s="83">
        <v>0.08</v>
      </c>
      <c r="F1192" s="82">
        <f>MATERIALES2!$E$282</f>
        <v>25000</v>
      </c>
      <c r="G1192" s="111">
        <f>ROUND(E1192*F1192,0)</f>
        <v>2000</v>
      </c>
    </row>
    <row r="1193" spans="2:8">
      <c r="B1193" s="957"/>
      <c r="C1193" s="965"/>
      <c r="D1193" s="37"/>
      <c r="E1193" s="83"/>
      <c r="F1193" s="82"/>
      <c r="G1193" s="111"/>
    </row>
    <row r="1194" spans="2:8">
      <c r="B1194" s="957"/>
      <c r="C1194" s="965"/>
      <c r="D1194" s="37"/>
      <c r="E1194" s="83"/>
      <c r="F1194" s="82"/>
      <c r="G1194" s="111"/>
    </row>
    <row r="1195" spans="2:8">
      <c r="B1195" s="854"/>
      <c r="C1195" s="855"/>
      <c r="D1195" s="37"/>
      <c r="E1195" s="83"/>
      <c r="F1195" s="82"/>
      <c r="G1195" s="111"/>
    </row>
    <row r="1196" spans="2:8">
      <c r="B1196" s="854"/>
      <c r="C1196" s="855"/>
      <c r="D1196" s="37"/>
      <c r="E1196" s="83"/>
      <c r="F1196" s="82"/>
      <c r="G1196" s="111"/>
    </row>
    <row r="1197" spans="2:8">
      <c r="B1197" s="226"/>
      <c r="D1197" s="53"/>
      <c r="F1197" s="53"/>
      <c r="G1197" s="247"/>
    </row>
    <row r="1198" spans="2:8">
      <c r="B1198" s="854"/>
      <c r="C1198" s="855"/>
      <c r="D1198" s="37"/>
      <c r="E1198" s="83"/>
      <c r="F1198" s="82"/>
      <c r="G1198" s="111"/>
      <c r="H1198" s="505" t="s">
        <v>1670</v>
      </c>
    </row>
    <row r="1199" spans="2:8">
      <c r="B1199" s="938" t="s">
        <v>841</v>
      </c>
      <c r="C1199" s="939"/>
      <c r="D1199" s="53" t="s">
        <v>841</v>
      </c>
      <c r="E1199" s="53"/>
      <c r="F1199" s="82"/>
      <c r="G1199" s="111"/>
    </row>
    <row r="1200" spans="2:8" ht="13.5" thickBot="1">
      <c r="B1200" s="942" t="s">
        <v>841</v>
      </c>
      <c r="C1200" s="943"/>
      <c r="D1200" s="84" t="s">
        <v>841</v>
      </c>
      <c r="E1200" s="84"/>
      <c r="F1200" s="85"/>
      <c r="G1200" s="112"/>
    </row>
    <row r="1201" spans="2:7" ht="13.5" thickTop="1">
      <c r="B1201" s="946"/>
      <c r="C1201" s="947"/>
      <c r="D1201" s="801" t="s">
        <v>856</v>
      </c>
      <c r="E1201" s="802"/>
      <c r="F1201" s="9"/>
      <c r="G1201" s="113">
        <f>SUM(G1192:G1200)</f>
        <v>2000</v>
      </c>
    </row>
    <row r="1202" spans="2:7">
      <c r="B1202" s="948"/>
      <c r="C1202" s="949"/>
      <c r="D1202" s="801" t="s">
        <v>857</v>
      </c>
      <c r="E1202" s="802"/>
      <c r="F1202" s="79">
        <f>'MANO DE OBRA'!$D$60</f>
        <v>0.05</v>
      </c>
      <c r="G1202" s="113">
        <f>ROUND(G1201*F1202,0)</f>
        <v>100</v>
      </c>
    </row>
    <row r="1203" spans="2:7" ht="13.5" thickBot="1">
      <c r="B1203" s="948"/>
      <c r="C1203" s="949"/>
      <c r="D1203" s="803" t="s">
        <v>320</v>
      </c>
      <c r="E1203" s="804"/>
      <c r="F1203" s="114"/>
      <c r="G1203" s="118">
        <f>+G1201+G1202</f>
        <v>2100</v>
      </c>
    </row>
    <row r="1204" spans="2:7" ht="14.25" thickTop="1" thickBot="1">
      <c r="B1204" s="970"/>
      <c r="C1204" s="970"/>
      <c r="D1204" s="970"/>
      <c r="E1204" s="970"/>
      <c r="F1204" s="970"/>
      <c r="G1204" s="970"/>
    </row>
    <row r="1205" spans="2:7" ht="13.5" thickTop="1">
      <c r="B1205" s="950" t="s">
        <v>858</v>
      </c>
      <c r="C1205" s="951"/>
      <c r="D1205" s="951"/>
      <c r="E1205" s="951"/>
      <c r="F1205" s="951"/>
      <c r="G1205" s="952"/>
    </row>
    <row r="1206" spans="2:7">
      <c r="B1206" s="978"/>
      <c r="C1206" s="979"/>
      <c r="D1206" s="98" t="s">
        <v>301</v>
      </c>
      <c r="E1206" s="98" t="s">
        <v>859</v>
      </c>
      <c r="F1206" s="99" t="s">
        <v>839</v>
      </c>
      <c r="G1206" s="107" t="s">
        <v>840</v>
      </c>
    </row>
    <row r="1207" spans="2:7">
      <c r="B1207" s="982" t="s">
        <v>838</v>
      </c>
      <c r="C1207" s="983"/>
      <c r="D1207" s="100" t="s">
        <v>316</v>
      </c>
      <c r="E1207" s="100" t="s">
        <v>315</v>
      </c>
      <c r="F1207" s="101" t="s">
        <v>306</v>
      </c>
      <c r="G1207" s="108" t="s">
        <v>319</v>
      </c>
    </row>
    <row r="1208" spans="2:7">
      <c r="B1208" s="230"/>
      <c r="C1208" s="102"/>
      <c r="D1208" s="103"/>
      <c r="E1208" s="103" t="s">
        <v>317</v>
      </c>
      <c r="F1208" s="104" t="s">
        <v>318</v>
      </c>
      <c r="G1208" s="109"/>
    </row>
    <row r="1209" spans="2:7">
      <c r="B1209" s="841" t="str">
        <f>'MANO DE OBRA'!$B$12</f>
        <v>AYUDANTE CUAD. TIPO CC</v>
      </c>
      <c r="C1209" s="842"/>
      <c r="D1209" s="87">
        <v>1</v>
      </c>
      <c r="E1209" s="80">
        <f>'MANO DE OBRA'!$E$12</f>
        <v>47255</v>
      </c>
      <c r="F1209" s="81">
        <v>40</v>
      </c>
      <c r="G1209" s="110">
        <f>ROUND(D1209*E1209/F1209,0)</f>
        <v>1181</v>
      </c>
    </row>
    <row r="1210" spans="2:7">
      <c r="B1210" s="854" t="str">
        <f>'MANO DE OBRA'!$B$17</f>
        <v>OFICIAL CUAD. TIPO CC</v>
      </c>
      <c r="C1210" s="855"/>
      <c r="D1210" s="37">
        <v>1</v>
      </c>
      <c r="E1210" s="82">
        <f>'MANO DE OBRA'!$E$17</f>
        <v>82117</v>
      </c>
      <c r="F1210" s="83">
        <v>40</v>
      </c>
      <c r="G1210" s="111">
        <f>ROUND(D1210*E1210/F1210,0)</f>
        <v>2053</v>
      </c>
    </row>
    <row r="1211" spans="2:7">
      <c r="B1211" s="854"/>
      <c r="C1211" s="855"/>
      <c r="D1211" s="89"/>
      <c r="E1211" s="82"/>
      <c r="F1211" s="83"/>
      <c r="G1211" s="111"/>
    </row>
    <row r="1212" spans="2:7">
      <c r="B1212" s="854" t="s">
        <v>841</v>
      </c>
      <c r="C1212" s="855"/>
      <c r="D1212" s="37"/>
      <c r="E1212" s="82"/>
      <c r="F1212" s="83"/>
      <c r="G1212" s="111"/>
    </row>
    <row r="1213" spans="2:7" ht="13.5" thickBot="1">
      <c r="B1213" s="980" t="s">
        <v>841</v>
      </c>
      <c r="C1213" s="981"/>
      <c r="D1213" s="77"/>
      <c r="E1213" s="82"/>
      <c r="F1213" s="86"/>
      <c r="G1213" s="112"/>
    </row>
    <row r="1214" spans="2:7" ht="14.25" thickTop="1" thickBot="1">
      <c r="B1214" s="946"/>
      <c r="C1214" s="946"/>
      <c r="D1214" s="946"/>
      <c r="E1214" s="947"/>
      <c r="F1214" s="120" t="s">
        <v>856</v>
      </c>
      <c r="G1214" s="118">
        <f>SUM(G1209:G1213)</f>
        <v>3234</v>
      </c>
    </row>
    <row r="1215" spans="2:7" ht="14.25" thickTop="1" thickBot="1">
      <c r="B1215" s="970"/>
      <c r="C1215" s="970"/>
      <c r="D1215" s="970"/>
      <c r="E1215" s="970"/>
      <c r="F1215" s="970"/>
      <c r="G1215" s="970"/>
    </row>
    <row r="1216" spans="2:7" ht="13.5" thickTop="1">
      <c r="B1216" s="950" t="s">
        <v>321</v>
      </c>
      <c r="C1216" s="951"/>
      <c r="D1216" s="951"/>
      <c r="E1216" s="951"/>
      <c r="F1216" s="951"/>
      <c r="G1216" s="952"/>
    </row>
    <row r="1217" spans="2:8">
      <c r="B1217" s="978" t="s">
        <v>838</v>
      </c>
      <c r="C1217" s="979"/>
      <c r="D1217" s="98" t="s">
        <v>301</v>
      </c>
      <c r="E1217" s="98" t="s">
        <v>297</v>
      </c>
      <c r="F1217" s="99" t="s">
        <v>839</v>
      </c>
      <c r="G1217" s="107" t="s">
        <v>840</v>
      </c>
    </row>
    <row r="1218" spans="2:8">
      <c r="B1218" s="230"/>
      <c r="C1218" s="102"/>
      <c r="D1218" s="103" t="s">
        <v>322</v>
      </c>
      <c r="E1218" s="103" t="s">
        <v>323</v>
      </c>
      <c r="F1218" s="104" t="s">
        <v>324</v>
      </c>
      <c r="G1218" s="109" t="s">
        <v>325</v>
      </c>
    </row>
    <row r="1219" spans="2:8">
      <c r="B1219" s="841"/>
      <c r="C1219" s="842"/>
      <c r="D1219" s="96"/>
      <c r="E1219" s="96"/>
      <c r="F1219" s="96"/>
      <c r="G1219" s="116"/>
    </row>
    <row r="1220" spans="2:8" ht="13.5" thickBot="1">
      <c r="B1220" s="980" t="s">
        <v>841</v>
      </c>
      <c r="C1220" s="981"/>
      <c r="D1220" s="77"/>
      <c r="E1220" s="82"/>
      <c r="F1220" s="86"/>
      <c r="G1220" s="112"/>
    </row>
    <row r="1221" spans="2:8" ht="14.25" thickTop="1" thickBot="1">
      <c r="B1221" s="946"/>
      <c r="C1221" s="946"/>
      <c r="D1221" s="946"/>
      <c r="E1221" s="947"/>
      <c r="F1221" s="120" t="s">
        <v>856</v>
      </c>
      <c r="G1221" s="118">
        <f>SUM(G1216:G1220)</f>
        <v>0</v>
      </c>
    </row>
    <row r="1222" spans="2:8" ht="14.25" thickTop="1" thickBot="1">
      <c r="B1222" s="970"/>
      <c r="C1222" s="970"/>
      <c r="D1222" s="970"/>
      <c r="E1222" s="970"/>
      <c r="F1222" s="970"/>
      <c r="G1222" s="943"/>
    </row>
    <row r="1223" spans="2:8" ht="13.5" thickTop="1">
      <c r="B1223" s="950" t="s">
        <v>326</v>
      </c>
      <c r="C1223" s="951"/>
      <c r="D1223" s="951"/>
      <c r="E1223" s="951"/>
      <c r="F1223" s="971"/>
      <c r="G1223" s="121">
        <f>+G1187+G1203+G1214</f>
        <v>5588</v>
      </c>
    </row>
    <row r="1224" spans="2:8">
      <c r="B1224" s="972" t="s">
        <v>861</v>
      </c>
      <c r="C1224" s="973"/>
      <c r="D1224" s="973"/>
      <c r="E1224" s="974"/>
      <c r="F1224" s="128">
        <f>'MANO DE OBRA'!$D$59</f>
        <v>0</v>
      </c>
      <c r="G1224" s="122">
        <f>ROUND(G1223*F1224,0)</f>
        <v>0</v>
      </c>
    </row>
    <row r="1225" spans="2:8" ht="13.5" thickBot="1">
      <c r="B1225" s="975" t="s">
        <v>1049</v>
      </c>
      <c r="C1225" s="976"/>
      <c r="D1225" s="976"/>
      <c r="E1225" s="976"/>
      <c r="F1225" s="977"/>
      <c r="G1225" s="118">
        <f>ROUND(G1223+G1224,-2)</f>
        <v>5600</v>
      </c>
      <c r="H1225" s="505" t="s">
        <v>1670</v>
      </c>
    </row>
    <row r="1226" spans="2:8" ht="13.5" thickTop="1"/>
  </sheetData>
  <mergeCells count="1126">
    <mergeCell ref="B1159:C1159"/>
    <mergeCell ref="B1160:E1160"/>
    <mergeCell ref="B1161:G1161"/>
    <mergeCell ref="B1162:G1162"/>
    <mergeCell ref="B1155:C1155"/>
    <mergeCell ref="B1156:C1156"/>
    <mergeCell ref="B1157:C1157"/>
    <mergeCell ref="B1158:C1158"/>
    <mergeCell ref="B1170:E1170"/>
    <mergeCell ref="B1171:F1171"/>
    <mergeCell ref="B1163:C1163"/>
    <mergeCell ref="B1165:C1165"/>
    <mergeCell ref="B1166:C1166"/>
    <mergeCell ref="B1167:E1167"/>
    <mergeCell ref="B1168:G1168"/>
    <mergeCell ref="B1169:F1169"/>
    <mergeCell ref="B1140:C1140"/>
    <mergeCell ref="B1141:C1141"/>
    <mergeCell ref="B1142:C1142"/>
    <mergeCell ref="B1144:C1144"/>
    <mergeCell ref="B1135:G1135"/>
    <mergeCell ref="B1136:C1136"/>
    <mergeCell ref="B1138:C1138"/>
    <mergeCell ref="B1139:C1139"/>
    <mergeCell ref="B1150:G1150"/>
    <mergeCell ref="B1151:G1151"/>
    <mergeCell ref="B1152:C1152"/>
    <mergeCell ref="B1153:C1153"/>
    <mergeCell ref="B1145:C1145"/>
    <mergeCell ref="B1146:C1146"/>
    <mergeCell ref="B1147:C1149"/>
    <mergeCell ref="D1147:E1147"/>
    <mergeCell ref="D1148:E1148"/>
    <mergeCell ref="D1149:E1149"/>
    <mergeCell ref="B23:C23"/>
    <mergeCell ref="B25:C25"/>
    <mergeCell ref="B26:C26"/>
    <mergeCell ref="B27:C27"/>
    <mergeCell ref="B28:C28"/>
    <mergeCell ref="B29:C29"/>
    <mergeCell ref="B44:C44"/>
    <mergeCell ref="B45:C45"/>
    <mergeCell ref="B46:C46"/>
    <mergeCell ref="B47:E47"/>
    <mergeCell ref="B48:G48"/>
    <mergeCell ref="B49:G49"/>
    <mergeCell ref="B37:G37"/>
    <mergeCell ref="B38:G38"/>
    <mergeCell ref="B39:C39"/>
    <mergeCell ref="B40:C40"/>
    <mergeCell ref="B42:C42"/>
    <mergeCell ref="B43:C43"/>
    <mergeCell ref="B21:G21"/>
    <mergeCell ref="B22:G22"/>
    <mergeCell ref="B15:C15"/>
    <mergeCell ref="B16:C16"/>
    <mergeCell ref="B17:C17"/>
    <mergeCell ref="B18:C18"/>
    <mergeCell ref="B19:C19"/>
    <mergeCell ref="B20:E20"/>
    <mergeCell ref="C1:G1"/>
    <mergeCell ref="C2:G2"/>
    <mergeCell ref="C5:G5"/>
    <mergeCell ref="C6:E6"/>
    <mergeCell ref="C7:E7"/>
    <mergeCell ref="C8:G8"/>
    <mergeCell ref="B9:G9"/>
    <mergeCell ref="B10:G10"/>
    <mergeCell ref="B12:C12"/>
    <mergeCell ref="B14:C14"/>
    <mergeCell ref="C3:G3"/>
    <mergeCell ref="B4:G4"/>
    <mergeCell ref="B30:C30"/>
    <mergeCell ref="B31:C31"/>
    <mergeCell ref="B32:C32"/>
    <mergeCell ref="B33:C33"/>
    <mergeCell ref="B34:C36"/>
    <mergeCell ref="D34:E34"/>
    <mergeCell ref="D35:E35"/>
    <mergeCell ref="D36:E36"/>
    <mergeCell ref="B63:G63"/>
    <mergeCell ref="B65:C65"/>
    <mergeCell ref="B67:C67"/>
    <mergeCell ref="B68:C68"/>
    <mergeCell ref="B69:C69"/>
    <mergeCell ref="B70:C70"/>
    <mergeCell ref="B57:E57"/>
    <mergeCell ref="B58:F58"/>
    <mergeCell ref="C59:E59"/>
    <mergeCell ref="C60:E60"/>
    <mergeCell ref="C61:G61"/>
    <mergeCell ref="B62:G62"/>
    <mergeCell ref="B50:C50"/>
    <mergeCell ref="B52:C52"/>
    <mergeCell ref="B53:C53"/>
    <mergeCell ref="B54:E54"/>
    <mergeCell ref="B55:G55"/>
    <mergeCell ref="B56:F56"/>
    <mergeCell ref="B84:C84"/>
    <mergeCell ref="B85:C85"/>
    <mergeCell ref="B86:C86"/>
    <mergeCell ref="B87:C89"/>
    <mergeCell ref="D87:E87"/>
    <mergeCell ref="D88:E88"/>
    <mergeCell ref="D89:E89"/>
    <mergeCell ref="B78:C78"/>
    <mergeCell ref="B79:C79"/>
    <mergeCell ref="B80:C80"/>
    <mergeCell ref="B81:C81"/>
    <mergeCell ref="B82:C82"/>
    <mergeCell ref="B83:C83"/>
    <mergeCell ref="B71:C71"/>
    <mergeCell ref="B72:C72"/>
    <mergeCell ref="B73:E73"/>
    <mergeCell ref="B74:G74"/>
    <mergeCell ref="B75:G75"/>
    <mergeCell ref="B76:C76"/>
    <mergeCell ref="B103:C103"/>
    <mergeCell ref="B105:C105"/>
    <mergeCell ref="B106:C106"/>
    <mergeCell ref="B107:E107"/>
    <mergeCell ref="B108:G108"/>
    <mergeCell ref="B109:F109"/>
    <mergeCell ref="B97:C97"/>
    <mergeCell ref="B98:C98"/>
    <mergeCell ref="B99:C99"/>
    <mergeCell ref="B100:E100"/>
    <mergeCell ref="B101:G101"/>
    <mergeCell ref="B102:G102"/>
    <mergeCell ref="B90:G90"/>
    <mergeCell ref="B91:G91"/>
    <mergeCell ref="B92:C92"/>
    <mergeCell ref="B93:C93"/>
    <mergeCell ref="B95:C95"/>
    <mergeCell ref="B96:C96"/>
    <mergeCell ref="B124:C124"/>
    <mergeCell ref="B125:C125"/>
    <mergeCell ref="B126:E126"/>
    <mergeCell ref="B127:G127"/>
    <mergeCell ref="B128:G128"/>
    <mergeCell ref="B129:C129"/>
    <mergeCell ref="B116:G116"/>
    <mergeCell ref="B118:C118"/>
    <mergeCell ref="B120:C120"/>
    <mergeCell ref="B121:C121"/>
    <mergeCell ref="B122:C122"/>
    <mergeCell ref="B123:C123"/>
    <mergeCell ref="B110:E110"/>
    <mergeCell ref="B111:F111"/>
    <mergeCell ref="C112:E112"/>
    <mergeCell ref="C113:E113"/>
    <mergeCell ref="C114:G114"/>
    <mergeCell ref="B115:G115"/>
    <mergeCell ref="B143:G143"/>
    <mergeCell ref="B144:G144"/>
    <mergeCell ref="B145:C145"/>
    <mergeCell ref="B146:C146"/>
    <mergeCell ref="B148:C148"/>
    <mergeCell ref="B149:C149"/>
    <mergeCell ref="B137:C137"/>
    <mergeCell ref="B138:C138"/>
    <mergeCell ref="B139:C139"/>
    <mergeCell ref="B140:C142"/>
    <mergeCell ref="D140:E140"/>
    <mergeCell ref="D141:E141"/>
    <mergeCell ref="D142:E142"/>
    <mergeCell ref="B131:C131"/>
    <mergeCell ref="B132:C132"/>
    <mergeCell ref="B133:C133"/>
    <mergeCell ref="B134:C134"/>
    <mergeCell ref="B135:C135"/>
    <mergeCell ref="B136:C136"/>
    <mergeCell ref="B163:E163"/>
    <mergeCell ref="B164:F164"/>
    <mergeCell ref="C165:E165"/>
    <mergeCell ref="C166:E166"/>
    <mergeCell ref="C167:G167"/>
    <mergeCell ref="B168:G168"/>
    <mergeCell ref="B156:C156"/>
    <mergeCell ref="B158:C158"/>
    <mergeCell ref="B159:C159"/>
    <mergeCell ref="B160:E160"/>
    <mergeCell ref="B161:G161"/>
    <mergeCell ref="B162:F162"/>
    <mergeCell ref="B150:C150"/>
    <mergeCell ref="B151:C151"/>
    <mergeCell ref="B152:C152"/>
    <mergeCell ref="B153:E153"/>
    <mergeCell ref="B154:G154"/>
    <mergeCell ref="B155:G155"/>
    <mergeCell ref="B184:C184"/>
    <mergeCell ref="B185:C185"/>
    <mergeCell ref="B186:C186"/>
    <mergeCell ref="B187:C187"/>
    <mergeCell ref="B188:C188"/>
    <mergeCell ref="B189:C189"/>
    <mergeCell ref="B177:C177"/>
    <mergeCell ref="B178:C178"/>
    <mergeCell ref="B179:E179"/>
    <mergeCell ref="B180:G180"/>
    <mergeCell ref="B181:G181"/>
    <mergeCell ref="B182:C182"/>
    <mergeCell ref="B169:G169"/>
    <mergeCell ref="B171:C171"/>
    <mergeCell ref="B173:C173"/>
    <mergeCell ref="B174:C174"/>
    <mergeCell ref="B175:C175"/>
    <mergeCell ref="B176:C176"/>
    <mergeCell ref="B203:C203"/>
    <mergeCell ref="B204:C204"/>
    <mergeCell ref="B205:C205"/>
    <mergeCell ref="B206:E206"/>
    <mergeCell ref="B207:G207"/>
    <mergeCell ref="B208:G208"/>
    <mergeCell ref="B196:G196"/>
    <mergeCell ref="B197:G197"/>
    <mergeCell ref="B198:C198"/>
    <mergeCell ref="B199:C199"/>
    <mergeCell ref="B201:C201"/>
    <mergeCell ref="B202:C202"/>
    <mergeCell ref="B190:C190"/>
    <mergeCell ref="B191:C191"/>
    <mergeCell ref="B192:C192"/>
    <mergeCell ref="B193:C195"/>
    <mergeCell ref="D193:E193"/>
    <mergeCell ref="D194:E194"/>
    <mergeCell ref="D195:E195"/>
    <mergeCell ref="B222:G222"/>
    <mergeCell ref="B224:C224"/>
    <mergeCell ref="B226:C226"/>
    <mergeCell ref="B227:C227"/>
    <mergeCell ref="B228:C228"/>
    <mergeCell ref="B229:C229"/>
    <mergeCell ref="B216:E216"/>
    <mergeCell ref="B217:F217"/>
    <mergeCell ref="C218:E218"/>
    <mergeCell ref="C219:E219"/>
    <mergeCell ref="C220:G220"/>
    <mergeCell ref="B221:G221"/>
    <mergeCell ref="B209:C209"/>
    <mergeCell ref="B211:C211"/>
    <mergeCell ref="B212:C212"/>
    <mergeCell ref="B213:E213"/>
    <mergeCell ref="B214:G214"/>
    <mergeCell ref="B215:F215"/>
    <mergeCell ref="B243:C243"/>
    <mergeCell ref="B244:C244"/>
    <mergeCell ref="B245:C245"/>
    <mergeCell ref="B246:C248"/>
    <mergeCell ref="D246:E246"/>
    <mergeCell ref="D247:E247"/>
    <mergeCell ref="D248:E248"/>
    <mergeCell ref="B237:C237"/>
    <mergeCell ref="B238:C238"/>
    <mergeCell ref="B239:C239"/>
    <mergeCell ref="B240:C240"/>
    <mergeCell ref="B241:C241"/>
    <mergeCell ref="B242:C242"/>
    <mergeCell ref="B230:C230"/>
    <mergeCell ref="B231:C231"/>
    <mergeCell ref="B232:E232"/>
    <mergeCell ref="B233:G233"/>
    <mergeCell ref="B234:G234"/>
    <mergeCell ref="B235:C235"/>
    <mergeCell ref="B262:C262"/>
    <mergeCell ref="B264:C264"/>
    <mergeCell ref="B265:C265"/>
    <mergeCell ref="B266:E266"/>
    <mergeCell ref="B267:G267"/>
    <mergeCell ref="B268:F268"/>
    <mergeCell ref="B256:C256"/>
    <mergeCell ref="B257:C257"/>
    <mergeCell ref="B258:C258"/>
    <mergeCell ref="B259:E259"/>
    <mergeCell ref="B260:G260"/>
    <mergeCell ref="B261:G261"/>
    <mergeCell ref="B249:G249"/>
    <mergeCell ref="B250:G250"/>
    <mergeCell ref="B251:C251"/>
    <mergeCell ref="B252:C252"/>
    <mergeCell ref="B254:C254"/>
    <mergeCell ref="B255:C255"/>
    <mergeCell ref="B283:C283"/>
    <mergeCell ref="B284:C284"/>
    <mergeCell ref="B285:E285"/>
    <mergeCell ref="B286:G286"/>
    <mergeCell ref="B287:G287"/>
    <mergeCell ref="B288:C288"/>
    <mergeCell ref="B275:G275"/>
    <mergeCell ref="B277:C277"/>
    <mergeCell ref="B279:C279"/>
    <mergeCell ref="B280:C280"/>
    <mergeCell ref="B281:C281"/>
    <mergeCell ref="B282:C282"/>
    <mergeCell ref="B269:E269"/>
    <mergeCell ref="B270:F270"/>
    <mergeCell ref="C271:E271"/>
    <mergeCell ref="C272:E272"/>
    <mergeCell ref="C273:G273"/>
    <mergeCell ref="B274:G274"/>
    <mergeCell ref="B302:G302"/>
    <mergeCell ref="B303:G303"/>
    <mergeCell ref="B304:C304"/>
    <mergeCell ref="B305:C305"/>
    <mergeCell ref="B307:C307"/>
    <mergeCell ref="B308:C308"/>
    <mergeCell ref="B296:C296"/>
    <mergeCell ref="B297:C297"/>
    <mergeCell ref="B298:C298"/>
    <mergeCell ref="B299:C301"/>
    <mergeCell ref="D299:E299"/>
    <mergeCell ref="D300:E300"/>
    <mergeCell ref="D301:E301"/>
    <mergeCell ref="B290:C290"/>
    <mergeCell ref="B291:C291"/>
    <mergeCell ref="B292:C292"/>
    <mergeCell ref="B293:C293"/>
    <mergeCell ref="B294:C294"/>
    <mergeCell ref="B295:C295"/>
    <mergeCell ref="B322:E322"/>
    <mergeCell ref="B323:F323"/>
    <mergeCell ref="C324:E324"/>
    <mergeCell ref="C325:E325"/>
    <mergeCell ref="C326:G326"/>
    <mergeCell ref="B327:G327"/>
    <mergeCell ref="B315:C315"/>
    <mergeCell ref="B317:C317"/>
    <mergeCell ref="B318:C318"/>
    <mergeCell ref="B319:E319"/>
    <mergeCell ref="B320:G320"/>
    <mergeCell ref="B321:F321"/>
    <mergeCell ref="B309:C309"/>
    <mergeCell ref="B310:C310"/>
    <mergeCell ref="B311:C311"/>
    <mergeCell ref="B312:E312"/>
    <mergeCell ref="B313:G313"/>
    <mergeCell ref="B314:G314"/>
    <mergeCell ref="B343:C343"/>
    <mergeCell ref="B344:C344"/>
    <mergeCell ref="B345:C345"/>
    <mergeCell ref="B346:C346"/>
    <mergeCell ref="B347:C347"/>
    <mergeCell ref="B348:C348"/>
    <mergeCell ref="B336:C336"/>
    <mergeCell ref="B337:C337"/>
    <mergeCell ref="B338:E338"/>
    <mergeCell ref="B339:G339"/>
    <mergeCell ref="B340:G340"/>
    <mergeCell ref="B341:C341"/>
    <mergeCell ref="B328:G328"/>
    <mergeCell ref="B330:C330"/>
    <mergeCell ref="B332:C332"/>
    <mergeCell ref="B333:C333"/>
    <mergeCell ref="B334:C334"/>
    <mergeCell ref="B335:C335"/>
    <mergeCell ref="B362:C362"/>
    <mergeCell ref="B363:C363"/>
    <mergeCell ref="B364:C364"/>
    <mergeCell ref="B365:E365"/>
    <mergeCell ref="B366:G366"/>
    <mergeCell ref="B367:G367"/>
    <mergeCell ref="B355:G355"/>
    <mergeCell ref="B356:G356"/>
    <mergeCell ref="B357:C357"/>
    <mergeCell ref="B358:C358"/>
    <mergeCell ref="B360:C360"/>
    <mergeCell ref="B361:C361"/>
    <mergeCell ref="B349:C349"/>
    <mergeCell ref="B350:C350"/>
    <mergeCell ref="B351:C351"/>
    <mergeCell ref="B352:C354"/>
    <mergeCell ref="D352:E352"/>
    <mergeCell ref="D353:E353"/>
    <mergeCell ref="D354:E354"/>
    <mergeCell ref="B381:G381"/>
    <mergeCell ref="B383:C383"/>
    <mergeCell ref="B385:C385"/>
    <mergeCell ref="B386:C386"/>
    <mergeCell ref="B387:C387"/>
    <mergeCell ref="B388:C388"/>
    <mergeCell ref="B375:E375"/>
    <mergeCell ref="B376:F376"/>
    <mergeCell ref="C377:E377"/>
    <mergeCell ref="C378:E378"/>
    <mergeCell ref="C379:G379"/>
    <mergeCell ref="B380:G380"/>
    <mergeCell ref="B368:C368"/>
    <mergeCell ref="B370:C370"/>
    <mergeCell ref="B371:C371"/>
    <mergeCell ref="B372:E372"/>
    <mergeCell ref="B373:G373"/>
    <mergeCell ref="B374:F374"/>
    <mergeCell ref="B402:C402"/>
    <mergeCell ref="B403:C403"/>
    <mergeCell ref="B404:C404"/>
    <mergeCell ref="B405:C407"/>
    <mergeCell ref="D405:E405"/>
    <mergeCell ref="D406:E406"/>
    <mergeCell ref="D407:E407"/>
    <mergeCell ref="B396:C396"/>
    <mergeCell ref="B397:C397"/>
    <mergeCell ref="B398:C398"/>
    <mergeCell ref="B399:C399"/>
    <mergeCell ref="B400:C400"/>
    <mergeCell ref="B401:C401"/>
    <mergeCell ref="B389:C389"/>
    <mergeCell ref="B390:C390"/>
    <mergeCell ref="B391:E391"/>
    <mergeCell ref="B392:G392"/>
    <mergeCell ref="B393:G393"/>
    <mergeCell ref="B394:C394"/>
    <mergeCell ref="B421:C421"/>
    <mergeCell ref="B423:C423"/>
    <mergeCell ref="B424:C424"/>
    <mergeCell ref="B425:E425"/>
    <mergeCell ref="B426:G426"/>
    <mergeCell ref="B427:F427"/>
    <mergeCell ref="B415:C415"/>
    <mergeCell ref="B416:C416"/>
    <mergeCell ref="B417:C417"/>
    <mergeCell ref="B418:E418"/>
    <mergeCell ref="B419:G419"/>
    <mergeCell ref="B420:G420"/>
    <mergeCell ref="B408:G408"/>
    <mergeCell ref="B409:G409"/>
    <mergeCell ref="B410:C410"/>
    <mergeCell ref="B411:C411"/>
    <mergeCell ref="B413:C413"/>
    <mergeCell ref="B414:C414"/>
    <mergeCell ref="B442:C442"/>
    <mergeCell ref="B443:C443"/>
    <mergeCell ref="B444:E444"/>
    <mergeCell ref="B445:G445"/>
    <mergeCell ref="B446:G446"/>
    <mergeCell ref="B447:C447"/>
    <mergeCell ref="B434:G434"/>
    <mergeCell ref="B436:C436"/>
    <mergeCell ref="B438:C438"/>
    <mergeCell ref="B439:C439"/>
    <mergeCell ref="B440:C440"/>
    <mergeCell ref="B441:C441"/>
    <mergeCell ref="B428:E428"/>
    <mergeCell ref="B429:F429"/>
    <mergeCell ref="C430:E430"/>
    <mergeCell ref="C431:E431"/>
    <mergeCell ref="C432:G432"/>
    <mergeCell ref="B433:G433"/>
    <mergeCell ref="B461:G461"/>
    <mergeCell ref="B462:G462"/>
    <mergeCell ref="B463:C463"/>
    <mergeCell ref="B464:C464"/>
    <mergeCell ref="B466:C466"/>
    <mergeCell ref="B467:C467"/>
    <mergeCell ref="B455:C455"/>
    <mergeCell ref="B456:C456"/>
    <mergeCell ref="B457:C457"/>
    <mergeCell ref="B458:C460"/>
    <mergeCell ref="D458:E458"/>
    <mergeCell ref="D459:E459"/>
    <mergeCell ref="D460:E460"/>
    <mergeCell ref="B449:C449"/>
    <mergeCell ref="B450:C450"/>
    <mergeCell ref="B451:C451"/>
    <mergeCell ref="B452:C452"/>
    <mergeCell ref="B453:C453"/>
    <mergeCell ref="B454:C454"/>
    <mergeCell ref="B481:E481"/>
    <mergeCell ref="B482:F482"/>
    <mergeCell ref="C483:E483"/>
    <mergeCell ref="C484:E484"/>
    <mergeCell ref="C485:G485"/>
    <mergeCell ref="B486:G486"/>
    <mergeCell ref="B474:C474"/>
    <mergeCell ref="B476:C476"/>
    <mergeCell ref="B477:C477"/>
    <mergeCell ref="B478:E478"/>
    <mergeCell ref="B479:G479"/>
    <mergeCell ref="B480:F480"/>
    <mergeCell ref="B468:C468"/>
    <mergeCell ref="B469:C469"/>
    <mergeCell ref="B470:C470"/>
    <mergeCell ref="B471:E471"/>
    <mergeCell ref="B472:G472"/>
    <mergeCell ref="B473:G473"/>
    <mergeCell ref="B502:C502"/>
    <mergeCell ref="B503:C503"/>
    <mergeCell ref="B504:C504"/>
    <mergeCell ref="B505:C505"/>
    <mergeCell ref="B506:C506"/>
    <mergeCell ref="B507:C507"/>
    <mergeCell ref="B495:C495"/>
    <mergeCell ref="B496:C496"/>
    <mergeCell ref="B497:E497"/>
    <mergeCell ref="B498:G498"/>
    <mergeCell ref="B499:G499"/>
    <mergeCell ref="B500:C500"/>
    <mergeCell ref="B487:G487"/>
    <mergeCell ref="B489:C489"/>
    <mergeCell ref="B491:C491"/>
    <mergeCell ref="B492:C492"/>
    <mergeCell ref="B493:C493"/>
    <mergeCell ref="B494:C494"/>
    <mergeCell ref="B521:C521"/>
    <mergeCell ref="B522:C522"/>
    <mergeCell ref="B523:C523"/>
    <mergeCell ref="B524:E524"/>
    <mergeCell ref="B525:G525"/>
    <mergeCell ref="B526:G526"/>
    <mergeCell ref="B514:G514"/>
    <mergeCell ref="B515:G515"/>
    <mergeCell ref="B516:C516"/>
    <mergeCell ref="B517:C517"/>
    <mergeCell ref="B519:C519"/>
    <mergeCell ref="B520:C520"/>
    <mergeCell ref="B508:C508"/>
    <mergeCell ref="B509:C509"/>
    <mergeCell ref="B510:C510"/>
    <mergeCell ref="B511:C513"/>
    <mergeCell ref="D511:E511"/>
    <mergeCell ref="D512:E512"/>
    <mergeCell ref="D513:E513"/>
    <mergeCell ref="B540:G540"/>
    <mergeCell ref="B542:C542"/>
    <mergeCell ref="B544:C544"/>
    <mergeCell ref="B545:C545"/>
    <mergeCell ref="B546:C546"/>
    <mergeCell ref="B547:C547"/>
    <mergeCell ref="B534:E534"/>
    <mergeCell ref="B535:F535"/>
    <mergeCell ref="C536:E536"/>
    <mergeCell ref="C537:E537"/>
    <mergeCell ref="C538:G538"/>
    <mergeCell ref="B539:G539"/>
    <mergeCell ref="B527:C527"/>
    <mergeCell ref="B529:C529"/>
    <mergeCell ref="B530:C530"/>
    <mergeCell ref="B531:E531"/>
    <mergeCell ref="B532:G532"/>
    <mergeCell ref="B533:F533"/>
    <mergeCell ref="B561:C561"/>
    <mergeCell ref="B562:C562"/>
    <mergeCell ref="B563:C563"/>
    <mergeCell ref="B564:C566"/>
    <mergeCell ref="D564:E564"/>
    <mergeCell ref="D565:E565"/>
    <mergeCell ref="D566:E566"/>
    <mergeCell ref="B555:C555"/>
    <mergeCell ref="B556:C556"/>
    <mergeCell ref="B557:C557"/>
    <mergeCell ref="B558:C558"/>
    <mergeCell ref="B559:C559"/>
    <mergeCell ref="B560:C560"/>
    <mergeCell ref="B548:C548"/>
    <mergeCell ref="B549:C549"/>
    <mergeCell ref="B550:E550"/>
    <mergeCell ref="B551:G551"/>
    <mergeCell ref="B552:G552"/>
    <mergeCell ref="B553:C553"/>
    <mergeCell ref="B580:C580"/>
    <mergeCell ref="B582:C582"/>
    <mergeCell ref="B583:C583"/>
    <mergeCell ref="B584:E584"/>
    <mergeCell ref="B585:G585"/>
    <mergeCell ref="B586:F586"/>
    <mergeCell ref="B574:C574"/>
    <mergeCell ref="B575:C575"/>
    <mergeCell ref="B576:C576"/>
    <mergeCell ref="B577:E577"/>
    <mergeCell ref="B578:G578"/>
    <mergeCell ref="B579:G579"/>
    <mergeCell ref="B567:G567"/>
    <mergeCell ref="B568:G568"/>
    <mergeCell ref="B569:C569"/>
    <mergeCell ref="B570:C570"/>
    <mergeCell ref="B572:C572"/>
    <mergeCell ref="B573:C573"/>
    <mergeCell ref="B601:C601"/>
    <mergeCell ref="B602:C602"/>
    <mergeCell ref="B603:E603"/>
    <mergeCell ref="B604:G604"/>
    <mergeCell ref="B605:G605"/>
    <mergeCell ref="B606:C606"/>
    <mergeCell ref="B593:G593"/>
    <mergeCell ref="B595:C595"/>
    <mergeCell ref="B597:C597"/>
    <mergeCell ref="B598:C598"/>
    <mergeCell ref="B599:C599"/>
    <mergeCell ref="B600:C600"/>
    <mergeCell ref="B587:E587"/>
    <mergeCell ref="B588:F588"/>
    <mergeCell ref="C589:E589"/>
    <mergeCell ref="C590:E590"/>
    <mergeCell ref="C591:G591"/>
    <mergeCell ref="B592:G592"/>
    <mergeCell ref="B620:G620"/>
    <mergeCell ref="B621:G621"/>
    <mergeCell ref="B622:C622"/>
    <mergeCell ref="B623:C623"/>
    <mergeCell ref="B625:C625"/>
    <mergeCell ref="B626:C626"/>
    <mergeCell ref="B614:C614"/>
    <mergeCell ref="B615:C615"/>
    <mergeCell ref="B616:C616"/>
    <mergeCell ref="B617:C619"/>
    <mergeCell ref="D617:E617"/>
    <mergeCell ref="D618:E618"/>
    <mergeCell ref="D619:E619"/>
    <mergeCell ref="B608:C608"/>
    <mergeCell ref="B609:C609"/>
    <mergeCell ref="B610:C610"/>
    <mergeCell ref="B611:C611"/>
    <mergeCell ref="B612:C612"/>
    <mergeCell ref="B613:C613"/>
    <mergeCell ref="B640:E640"/>
    <mergeCell ref="B641:F641"/>
    <mergeCell ref="C642:E642"/>
    <mergeCell ref="C643:E643"/>
    <mergeCell ref="C644:G644"/>
    <mergeCell ref="B645:G645"/>
    <mergeCell ref="B633:C633"/>
    <mergeCell ref="B635:C635"/>
    <mergeCell ref="B636:C636"/>
    <mergeCell ref="B637:E637"/>
    <mergeCell ref="B638:G638"/>
    <mergeCell ref="B639:F639"/>
    <mergeCell ref="B627:C627"/>
    <mergeCell ref="B628:C628"/>
    <mergeCell ref="B629:C629"/>
    <mergeCell ref="B630:E630"/>
    <mergeCell ref="B631:G631"/>
    <mergeCell ref="B632:G632"/>
    <mergeCell ref="B661:C661"/>
    <mergeCell ref="B662:C662"/>
    <mergeCell ref="B663:C663"/>
    <mergeCell ref="B664:C664"/>
    <mergeCell ref="B665:C665"/>
    <mergeCell ref="B666:C666"/>
    <mergeCell ref="B654:C654"/>
    <mergeCell ref="B655:C655"/>
    <mergeCell ref="B656:E656"/>
    <mergeCell ref="B657:G657"/>
    <mergeCell ref="B658:G658"/>
    <mergeCell ref="B659:C659"/>
    <mergeCell ref="B646:G646"/>
    <mergeCell ref="B648:C648"/>
    <mergeCell ref="B650:C650"/>
    <mergeCell ref="B651:C651"/>
    <mergeCell ref="B652:C652"/>
    <mergeCell ref="B653:C653"/>
    <mergeCell ref="B680:C680"/>
    <mergeCell ref="B681:C681"/>
    <mergeCell ref="B682:C682"/>
    <mergeCell ref="B683:E683"/>
    <mergeCell ref="B684:G684"/>
    <mergeCell ref="B685:G685"/>
    <mergeCell ref="B673:G673"/>
    <mergeCell ref="B674:G674"/>
    <mergeCell ref="B675:C675"/>
    <mergeCell ref="B676:C676"/>
    <mergeCell ref="B678:C678"/>
    <mergeCell ref="B679:C679"/>
    <mergeCell ref="B667:C667"/>
    <mergeCell ref="B668:C668"/>
    <mergeCell ref="B669:C669"/>
    <mergeCell ref="B670:C672"/>
    <mergeCell ref="D670:E670"/>
    <mergeCell ref="D671:E671"/>
    <mergeCell ref="D672:E672"/>
    <mergeCell ref="B699:G699"/>
    <mergeCell ref="B701:C701"/>
    <mergeCell ref="B703:C703"/>
    <mergeCell ref="B704:C704"/>
    <mergeCell ref="B705:C705"/>
    <mergeCell ref="B706:C706"/>
    <mergeCell ref="B693:E693"/>
    <mergeCell ref="B694:F694"/>
    <mergeCell ref="C695:E695"/>
    <mergeCell ref="C696:E696"/>
    <mergeCell ref="C697:G697"/>
    <mergeCell ref="B698:G698"/>
    <mergeCell ref="B686:C686"/>
    <mergeCell ref="B688:C688"/>
    <mergeCell ref="B689:C689"/>
    <mergeCell ref="B690:E690"/>
    <mergeCell ref="B691:G691"/>
    <mergeCell ref="B692:F692"/>
    <mergeCell ref="B720:C720"/>
    <mergeCell ref="B721:C721"/>
    <mergeCell ref="B722:C722"/>
    <mergeCell ref="B723:C725"/>
    <mergeCell ref="D723:E723"/>
    <mergeCell ref="D724:E724"/>
    <mergeCell ref="D725:E725"/>
    <mergeCell ref="B714:C714"/>
    <mergeCell ref="B715:C715"/>
    <mergeCell ref="B716:C716"/>
    <mergeCell ref="B717:C717"/>
    <mergeCell ref="B718:C718"/>
    <mergeCell ref="B719:C719"/>
    <mergeCell ref="B707:C707"/>
    <mergeCell ref="B708:C708"/>
    <mergeCell ref="B709:E709"/>
    <mergeCell ref="B710:G710"/>
    <mergeCell ref="B711:G711"/>
    <mergeCell ref="B712:C712"/>
    <mergeCell ref="B739:C739"/>
    <mergeCell ref="B741:C741"/>
    <mergeCell ref="B742:C742"/>
    <mergeCell ref="B743:E743"/>
    <mergeCell ref="B744:G744"/>
    <mergeCell ref="B745:F745"/>
    <mergeCell ref="B733:C733"/>
    <mergeCell ref="B734:C734"/>
    <mergeCell ref="B735:C735"/>
    <mergeCell ref="B736:E736"/>
    <mergeCell ref="B737:G737"/>
    <mergeCell ref="B738:G738"/>
    <mergeCell ref="B726:G726"/>
    <mergeCell ref="B727:G727"/>
    <mergeCell ref="B728:C728"/>
    <mergeCell ref="B729:C729"/>
    <mergeCell ref="B731:C731"/>
    <mergeCell ref="B732:C732"/>
    <mergeCell ref="B760:C760"/>
    <mergeCell ref="B761:C761"/>
    <mergeCell ref="B762:E762"/>
    <mergeCell ref="B763:G763"/>
    <mergeCell ref="B764:G764"/>
    <mergeCell ref="B765:C765"/>
    <mergeCell ref="B752:G752"/>
    <mergeCell ref="B754:C754"/>
    <mergeCell ref="B756:C756"/>
    <mergeCell ref="B757:C757"/>
    <mergeCell ref="B758:C758"/>
    <mergeCell ref="B759:C759"/>
    <mergeCell ref="B746:E746"/>
    <mergeCell ref="B747:F747"/>
    <mergeCell ref="C748:E748"/>
    <mergeCell ref="C749:E749"/>
    <mergeCell ref="C750:G750"/>
    <mergeCell ref="B751:G751"/>
    <mergeCell ref="B779:G779"/>
    <mergeCell ref="B780:G780"/>
    <mergeCell ref="B781:C781"/>
    <mergeCell ref="B782:C782"/>
    <mergeCell ref="B784:C784"/>
    <mergeCell ref="B785:C785"/>
    <mergeCell ref="B773:C773"/>
    <mergeCell ref="B774:C774"/>
    <mergeCell ref="B775:C775"/>
    <mergeCell ref="B776:C778"/>
    <mergeCell ref="D776:E776"/>
    <mergeCell ref="D777:E777"/>
    <mergeCell ref="D778:E778"/>
    <mergeCell ref="B767:C767"/>
    <mergeCell ref="B768:C768"/>
    <mergeCell ref="B769:C769"/>
    <mergeCell ref="B770:C770"/>
    <mergeCell ref="B771:C771"/>
    <mergeCell ref="B772:C772"/>
    <mergeCell ref="B799:E799"/>
    <mergeCell ref="B800:F800"/>
    <mergeCell ref="C801:E801"/>
    <mergeCell ref="C802:E802"/>
    <mergeCell ref="C803:G803"/>
    <mergeCell ref="B804:G804"/>
    <mergeCell ref="B792:C792"/>
    <mergeCell ref="B794:C794"/>
    <mergeCell ref="B795:C795"/>
    <mergeCell ref="B796:E796"/>
    <mergeCell ref="B797:G797"/>
    <mergeCell ref="B798:F798"/>
    <mergeCell ref="B786:C786"/>
    <mergeCell ref="B787:C787"/>
    <mergeCell ref="B788:C788"/>
    <mergeCell ref="B789:E789"/>
    <mergeCell ref="B790:G790"/>
    <mergeCell ref="B791:G791"/>
    <mergeCell ref="B820:C820"/>
    <mergeCell ref="B821:C821"/>
    <mergeCell ref="B822:C822"/>
    <mergeCell ref="B823:C823"/>
    <mergeCell ref="B824:C824"/>
    <mergeCell ref="B825:C825"/>
    <mergeCell ref="B813:C813"/>
    <mergeCell ref="B814:C814"/>
    <mergeCell ref="B815:E815"/>
    <mergeCell ref="B816:G816"/>
    <mergeCell ref="B817:G817"/>
    <mergeCell ref="B818:C818"/>
    <mergeCell ref="B805:G805"/>
    <mergeCell ref="B807:C807"/>
    <mergeCell ref="B809:C809"/>
    <mergeCell ref="B810:C810"/>
    <mergeCell ref="B811:C811"/>
    <mergeCell ref="B812:C812"/>
    <mergeCell ref="B839:C839"/>
    <mergeCell ref="B840:C840"/>
    <mergeCell ref="B841:C841"/>
    <mergeCell ref="B842:E842"/>
    <mergeCell ref="B843:G843"/>
    <mergeCell ref="B844:G844"/>
    <mergeCell ref="B832:G832"/>
    <mergeCell ref="B833:G833"/>
    <mergeCell ref="B834:C834"/>
    <mergeCell ref="B835:C835"/>
    <mergeCell ref="B837:C837"/>
    <mergeCell ref="B838:C838"/>
    <mergeCell ref="B826:C826"/>
    <mergeCell ref="B827:C827"/>
    <mergeCell ref="B828:C828"/>
    <mergeCell ref="B829:C831"/>
    <mergeCell ref="D829:E829"/>
    <mergeCell ref="D830:E830"/>
    <mergeCell ref="D831:E831"/>
    <mergeCell ref="B858:G858"/>
    <mergeCell ref="B860:C860"/>
    <mergeCell ref="B862:C862"/>
    <mergeCell ref="B863:C863"/>
    <mergeCell ref="B868:E868"/>
    <mergeCell ref="B869:G869"/>
    <mergeCell ref="B870:G870"/>
    <mergeCell ref="B871:C871"/>
    <mergeCell ref="B864:C864"/>
    <mergeCell ref="B852:E852"/>
    <mergeCell ref="B853:F853"/>
    <mergeCell ref="C854:E854"/>
    <mergeCell ref="C855:E855"/>
    <mergeCell ref="C856:G856"/>
    <mergeCell ref="B857:G857"/>
    <mergeCell ref="B845:C845"/>
    <mergeCell ref="B847:C847"/>
    <mergeCell ref="B848:C848"/>
    <mergeCell ref="B849:E849"/>
    <mergeCell ref="B850:G850"/>
    <mergeCell ref="B851:F851"/>
    <mergeCell ref="B890:C890"/>
    <mergeCell ref="B891:C891"/>
    <mergeCell ref="B892:C892"/>
    <mergeCell ref="B893:C893"/>
    <mergeCell ref="B894:C894"/>
    <mergeCell ref="B895:E895"/>
    <mergeCell ref="B886:G886"/>
    <mergeCell ref="B887:C887"/>
    <mergeCell ref="B888:C888"/>
    <mergeCell ref="B881:C881"/>
    <mergeCell ref="B882:C884"/>
    <mergeCell ref="D882:E882"/>
    <mergeCell ref="D883:E883"/>
    <mergeCell ref="D884:E884"/>
    <mergeCell ref="B865:C865"/>
    <mergeCell ref="B866:C866"/>
    <mergeCell ref="B867:C867"/>
    <mergeCell ref="B879:C879"/>
    <mergeCell ref="B885:G885"/>
    <mergeCell ref="B880:C880"/>
    <mergeCell ref="B874:C874"/>
    <mergeCell ref="B875:C875"/>
    <mergeCell ref="B876:C876"/>
    <mergeCell ref="B877:C877"/>
    <mergeCell ref="B873:C873"/>
    <mergeCell ref="C909:G909"/>
    <mergeCell ref="B910:G910"/>
    <mergeCell ref="B911:G911"/>
    <mergeCell ref="B913:C913"/>
    <mergeCell ref="B915:C915"/>
    <mergeCell ref="B916:C916"/>
    <mergeCell ref="B903:G903"/>
    <mergeCell ref="B904:F904"/>
    <mergeCell ref="B905:E905"/>
    <mergeCell ref="B906:F906"/>
    <mergeCell ref="C908:E908"/>
    <mergeCell ref="C907:E907"/>
    <mergeCell ref="B896:G896"/>
    <mergeCell ref="B897:G897"/>
    <mergeCell ref="B898:C898"/>
    <mergeCell ref="B900:C900"/>
    <mergeCell ref="B901:C901"/>
    <mergeCell ref="B902:E902"/>
    <mergeCell ref="B930:C930"/>
    <mergeCell ref="B931:C931"/>
    <mergeCell ref="B932:C932"/>
    <mergeCell ref="B933:C933"/>
    <mergeCell ref="B934:C934"/>
    <mergeCell ref="B935:C937"/>
    <mergeCell ref="B923:G923"/>
    <mergeCell ref="B924:C924"/>
    <mergeCell ref="B926:C926"/>
    <mergeCell ref="B927:C927"/>
    <mergeCell ref="B928:C928"/>
    <mergeCell ref="B929:C929"/>
    <mergeCell ref="B917:C917"/>
    <mergeCell ref="B918:C918"/>
    <mergeCell ref="B919:C919"/>
    <mergeCell ref="B920:C920"/>
    <mergeCell ref="B921:E921"/>
    <mergeCell ref="B922:G922"/>
    <mergeCell ref="B948:E948"/>
    <mergeCell ref="B949:G949"/>
    <mergeCell ref="B950:G950"/>
    <mergeCell ref="B951:C951"/>
    <mergeCell ref="B953:C953"/>
    <mergeCell ref="B954:C954"/>
    <mergeCell ref="B941:C941"/>
    <mergeCell ref="B943:C943"/>
    <mergeCell ref="B944:C944"/>
    <mergeCell ref="B945:C945"/>
    <mergeCell ref="B946:C946"/>
    <mergeCell ref="B947:C947"/>
    <mergeCell ref="D935:E935"/>
    <mergeCell ref="D936:E936"/>
    <mergeCell ref="D937:E937"/>
    <mergeCell ref="B938:G938"/>
    <mergeCell ref="B939:G939"/>
    <mergeCell ref="B940:C940"/>
    <mergeCell ref="B969:C969"/>
    <mergeCell ref="B970:C970"/>
    <mergeCell ref="B971:C971"/>
    <mergeCell ref="B972:C972"/>
    <mergeCell ref="B973:C973"/>
    <mergeCell ref="B974:E974"/>
    <mergeCell ref="C961:E961"/>
    <mergeCell ref="C962:G962"/>
    <mergeCell ref="B963:G963"/>
    <mergeCell ref="B964:G964"/>
    <mergeCell ref="B966:C966"/>
    <mergeCell ref="B968:C968"/>
    <mergeCell ref="B955:E955"/>
    <mergeCell ref="B956:G956"/>
    <mergeCell ref="B957:F957"/>
    <mergeCell ref="B958:E958"/>
    <mergeCell ref="B959:F959"/>
    <mergeCell ref="C960:E960"/>
    <mergeCell ref="D988:E988"/>
    <mergeCell ref="D989:E989"/>
    <mergeCell ref="D990:E990"/>
    <mergeCell ref="B991:G991"/>
    <mergeCell ref="B992:G992"/>
    <mergeCell ref="B993:C993"/>
    <mergeCell ref="B986:C986"/>
    <mergeCell ref="B980:C980"/>
    <mergeCell ref="B981:C981"/>
    <mergeCell ref="B982:C982"/>
    <mergeCell ref="B987:C987"/>
    <mergeCell ref="B988:C990"/>
    <mergeCell ref="B975:G975"/>
    <mergeCell ref="B976:G976"/>
    <mergeCell ref="B977:C977"/>
    <mergeCell ref="B983:C983"/>
    <mergeCell ref="B979:C979"/>
    <mergeCell ref="B985:C985"/>
    <mergeCell ref="B1008:E1008"/>
    <mergeCell ref="B1009:G1009"/>
    <mergeCell ref="B1010:F1010"/>
    <mergeCell ref="B1011:E1011"/>
    <mergeCell ref="B1012:F1012"/>
    <mergeCell ref="C1013:E1013"/>
    <mergeCell ref="B1001:E1001"/>
    <mergeCell ref="B1002:G1002"/>
    <mergeCell ref="B1003:G1003"/>
    <mergeCell ref="B1004:C1004"/>
    <mergeCell ref="B1006:C1006"/>
    <mergeCell ref="B1007:C1007"/>
    <mergeCell ref="B994:C994"/>
    <mergeCell ref="B996:C996"/>
    <mergeCell ref="B997:C997"/>
    <mergeCell ref="B998:C998"/>
    <mergeCell ref="B999:C999"/>
    <mergeCell ref="B1000:C1000"/>
    <mergeCell ref="B1028:G1028"/>
    <mergeCell ref="B1029:G1029"/>
    <mergeCell ref="B1030:C1030"/>
    <mergeCell ref="B1032:C1032"/>
    <mergeCell ref="B1033:C1033"/>
    <mergeCell ref="B1034:C1034"/>
    <mergeCell ref="B1022:C1022"/>
    <mergeCell ref="B1023:C1023"/>
    <mergeCell ref="B1024:C1024"/>
    <mergeCell ref="B1025:C1025"/>
    <mergeCell ref="B1026:C1026"/>
    <mergeCell ref="B1027:E1027"/>
    <mergeCell ref="C1014:E1014"/>
    <mergeCell ref="C1015:G1015"/>
    <mergeCell ref="B1016:G1016"/>
    <mergeCell ref="B1017:G1017"/>
    <mergeCell ref="B1019:C1019"/>
    <mergeCell ref="B1021:C1021"/>
    <mergeCell ref="B1047:C1047"/>
    <mergeCell ref="B1049:C1049"/>
    <mergeCell ref="B1050:C1050"/>
    <mergeCell ref="B1051:C1051"/>
    <mergeCell ref="B1052:C1052"/>
    <mergeCell ref="B1053:C1053"/>
    <mergeCell ref="D1041:E1041"/>
    <mergeCell ref="D1042:E1042"/>
    <mergeCell ref="D1043:E1043"/>
    <mergeCell ref="B1044:G1044"/>
    <mergeCell ref="B1045:G1045"/>
    <mergeCell ref="B1046:C1046"/>
    <mergeCell ref="B1035:C1035"/>
    <mergeCell ref="B1036:C1036"/>
    <mergeCell ref="B1038:C1038"/>
    <mergeCell ref="B1039:C1039"/>
    <mergeCell ref="B1040:C1040"/>
    <mergeCell ref="B1041:C1043"/>
    <mergeCell ref="C1067:E1067"/>
    <mergeCell ref="C1068:G1068"/>
    <mergeCell ref="B1069:G1069"/>
    <mergeCell ref="B1070:G1070"/>
    <mergeCell ref="B1072:C1072"/>
    <mergeCell ref="B1074:C1074"/>
    <mergeCell ref="B1061:E1061"/>
    <mergeCell ref="B1062:G1062"/>
    <mergeCell ref="B1063:F1063"/>
    <mergeCell ref="B1064:E1064"/>
    <mergeCell ref="B1065:F1065"/>
    <mergeCell ref="C1066:E1066"/>
    <mergeCell ref="B1054:E1054"/>
    <mergeCell ref="B1055:G1055"/>
    <mergeCell ref="B1056:G1056"/>
    <mergeCell ref="B1057:C1057"/>
    <mergeCell ref="B1059:C1059"/>
    <mergeCell ref="B1060:C1060"/>
    <mergeCell ref="B1088:C1088"/>
    <mergeCell ref="B1089:C1089"/>
    <mergeCell ref="B1091:C1091"/>
    <mergeCell ref="B1092:C1092"/>
    <mergeCell ref="B1093:C1093"/>
    <mergeCell ref="B1094:C1096"/>
    <mergeCell ref="B1081:G1081"/>
    <mergeCell ref="B1082:G1082"/>
    <mergeCell ref="B1083:C1083"/>
    <mergeCell ref="B1085:C1085"/>
    <mergeCell ref="B1086:C1086"/>
    <mergeCell ref="B1087:C1087"/>
    <mergeCell ref="B1075:C1075"/>
    <mergeCell ref="B1076:C1076"/>
    <mergeCell ref="B1077:C1077"/>
    <mergeCell ref="B1078:C1078"/>
    <mergeCell ref="B1079:C1079"/>
    <mergeCell ref="B1080:E1080"/>
    <mergeCell ref="B1107:E1107"/>
    <mergeCell ref="B1108:G1108"/>
    <mergeCell ref="B1109:G1109"/>
    <mergeCell ref="B1110:C1110"/>
    <mergeCell ref="B1112:C1112"/>
    <mergeCell ref="B1113:C1113"/>
    <mergeCell ref="B1100:C1100"/>
    <mergeCell ref="B1102:C1102"/>
    <mergeCell ref="B1103:C1103"/>
    <mergeCell ref="B1104:C1104"/>
    <mergeCell ref="B1105:C1105"/>
    <mergeCell ref="B1106:C1106"/>
    <mergeCell ref="D1094:E1094"/>
    <mergeCell ref="D1095:E1095"/>
    <mergeCell ref="D1096:E1096"/>
    <mergeCell ref="B1097:G1097"/>
    <mergeCell ref="B1098:G1098"/>
    <mergeCell ref="B1099:C1099"/>
    <mergeCell ref="B1182:C1182"/>
    <mergeCell ref="B1183:C1183"/>
    <mergeCell ref="B1184:C1184"/>
    <mergeCell ref="B1185:C1185"/>
    <mergeCell ref="B1186:C1186"/>
    <mergeCell ref="B1187:E1187"/>
    <mergeCell ref="C1174:E1174"/>
    <mergeCell ref="C1175:G1175"/>
    <mergeCell ref="B1176:G1176"/>
    <mergeCell ref="B1177:G1177"/>
    <mergeCell ref="B1179:C1179"/>
    <mergeCell ref="B1181:C1181"/>
    <mergeCell ref="B1114:E1114"/>
    <mergeCell ref="B1115:G1115"/>
    <mergeCell ref="B1116:F1116"/>
    <mergeCell ref="B1117:E1117"/>
    <mergeCell ref="B1118:F1118"/>
    <mergeCell ref="C1173:E1173"/>
    <mergeCell ref="C1121:G1121"/>
    <mergeCell ref="B1122:G1122"/>
    <mergeCell ref="B1123:G1123"/>
    <mergeCell ref="B1125:C1125"/>
    <mergeCell ref="C1119:E1119"/>
    <mergeCell ref="C1120:E1120"/>
    <mergeCell ref="B1131:C1131"/>
    <mergeCell ref="B1132:C1132"/>
    <mergeCell ref="B1133:E1133"/>
    <mergeCell ref="B1134:G1134"/>
    <mergeCell ref="B1127:C1127"/>
    <mergeCell ref="B1128:C1128"/>
    <mergeCell ref="B1129:C1129"/>
    <mergeCell ref="B1130:C1130"/>
    <mergeCell ref="D1201:E1201"/>
    <mergeCell ref="D1202:E1202"/>
    <mergeCell ref="D1203:E1203"/>
    <mergeCell ref="B1204:G1204"/>
    <mergeCell ref="B1205:G1205"/>
    <mergeCell ref="B1206:C1206"/>
    <mergeCell ref="B1195:C1195"/>
    <mergeCell ref="B1196:C1196"/>
    <mergeCell ref="B1198:C1198"/>
    <mergeCell ref="B1199:C1199"/>
    <mergeCell ref="B1200:C1200"/>
    <mergeCell ref="B1201:C1203"/>
    <mergeCell ref="B1188:G1188"/>
    <mergeCell ref="B1189:G1189"/>
    <mergeCell ref="B1190:C1190"/>
    <mergeCell ref="B1192:C1192"/>
    <mergeCell ref="B1193:C1193"/>
    <mergeCell ref="B1194:C1194"/>
    <mergeCell ref="B1221:E1221"/>
    <mergeCell ref="B1222:G1222"/>
    <mergeCell ref="B1223:F1223"/>
    <mergeCell ref="B1224:E1224"/>
    <mergeCell ref="B1225:F1225"/>
    <mergeCell ref="B1214:E1214"/>
    <mergeCell ref="B1215:G1215"/>
    <mergeCell ref="B1216:G1216"/>
    <mergeCell ref="B1217:C1217"/>
    <mergeCell ref="B1219:C1219"/>
    <mergeCell ref="B1220:C1220"/>
    <mergeCell ref="B1207:C1207"/>
    <mergeCell ref="B1209:C1209"/>
    <mergeCell ref="B1210:C1210"/>
    <mergeCell ref="B1211:C1211"/>
    <mergeCell ref="B1212:C1212"/>
    <mergeCell ref="B1213:C1213"/>
  </mergeCells>
  <phoneticPr fontId="0" type="noConversion"/>
  <hyperlinks>
    <hyperlink ref="H6" location="'ITEMS RESUMEN'!ESTUCO_Y_PINTURA" display="volver"/>
    <hyperlink ref="H32" location="'ITEMS RESUMEN'!ESTUCO_Y_PINTURA" display="volver"/>
    <hyperlink ref="H58" location="'ITEMS RESUMEN'!ESTUCO_Y_PINTURA" display="volver"/>
    <hyperlink ref="H85" location="'ITEMS RESUMEN'!ESTUCO_Y_PINTURA" display="volver"/>
    <hyperlink ref="H111" location="'ITEMS RESUMEN'!ESTUCO_Y_PINTURA" display="volver"/>
    <hyperlink ref="H138" location="'ITEMS RESUMEN'!ESTUCO_Y_PINTURA" display="volver"/>
    <hyperlink ref="H164" location="'ITEMS RESUMEN'!ESTUCO_Y_PINTURA" display="volver"/>
    <hyperlink ref="H191" location="'ITEMS RESUMEN'!ESTUCO_Y_PINTURA" display="volver"/>
    <hyperlink ref="H217" location="'ITEMS RESUMEN'!ESTUCO_Y_PINTURA" display="volver"/>
    <hyperlink ref="H244" location="'ITEMS RESUMEN'!ESTUCO_Y_PINTURA" display="volver"/>
    <hyperlink ref="H270" location="'ITEMS RESUMEN'!ESTUCO_Y_PINTURA" display="volver"/>
    <hyperlink ref="H296" location="'ITEMS RESUMEN'!ESTUCO_Y_PINTURA" display="volver"/>
    <hyperlink ref="H323" location="'ITEMS RESUMEN'!ESTUCO_Y_PINTURA" display="volver"/>
    <hyperlink ref="H349" location="'ITEMS RESUMEN'!ESTUCO_Y_PINTURA" display="volver"/>
    <hyperlink ref="H376" location="'ITEMS RESUMEN'!ESTUCO_Y_PINTURA" display="volver"/>
    <hyperlink ref="H402" location="'ITEMS RESUMEN'!ESTUCO_Y_PINTURA" display="volver"/>
    <hyperlink ref="H429" location="'ITEMS RESUMEN'!ESTUCO_Y_PINTURA" display="volver"/>
    <hyperlink ref="H455" location="'ITEMS RESUMEN'!ESTUCO_Y_PINTURA" display="volver"/>
    <hyperlink ref="H482" location="'ITEMS RESUMEN'!ESTUCO_Y_PINTURA" display="volver"/>
    <hyperlink ref="H508" location="'ITEMS RESUMEN'!ESTUCO_Y_PINTURA" display="volver"/>
    <hyperlink ref="H535" location="'ITEMS RESUMEN'!ESTUCO_Y_PINTURA" display="volver"/>
    <hyperlink ref="H561" location="'ITEMS RESUMEN'!ESTUCO_Y_PINTURA" display="volver"/>
    <hyperlink ref="H588" location="'ITEMS RESUMEN'!ESTUCO_Y_PINTURA" display="volver"/>
    <hyperlink ref="H614" location="'ITEMS RESUMEN'!ESTUCO_Y_PINTURA" display="volver"/>
    <hyperlink ref="H641" location="'ITEMS RESUMEN'!ESTUCO_Y_PINTURA" display="volver"/>
    <hyperlink ref="H667" location="'ITEMS RESUMEN'!ESTUCO_Y_PINTURA" display="volver"/>
    <hyperlink ref="H694" location="'ITEMS RESUMEN'!ESTUCO_Y_PINTURA" display="volver"/>
    <hyperlink ref="H720" location="'ITEMS RESUMEN'!ESTUCO_Y_PINTURA" display="volver"/>
    <hyperlink ref="H747" location="'ITEMS RESUMEN'!ESTUCO_Y_PINTURA" display="volver"/>
    <hyperlink ref="H773" location="'ITEMS RESUMEN'!ESTUCO_Y_PINTURA" display="volver"/>
    <hyperlink ref="H800" location="'ITEMS RESUMEN'!ESTUCO_Y_PINTURA" display="volver"/>
    <hyperlink ref="H826" location="'ITEMS RESUMEN'!ESTUCO_Y_PINTURA" display="volver"/>
    <hyperlink ref="H853" location="'ITEMS RESUMEN'!ESTUCO_Y_PINTURA" display="volver"/>
    <hyperlink ref="H879" location="'ITEMS RESUMEN'!ESTUCO_Y_PINTURA" display="volver"/>
    <hyperlink ref="H906" location="'ITEMS RESUMEN'!ESTUCO_Y_PINTURA" display="volver"/>
    <hyperlink ref="H932" location="'ITEMS RESUMEN'!ESTUCO_Y_PINTURA" display="volver"/>
    <hyperlink ref="H959" location="'ITEMS RESUMEN'!ESTUCO_Y_PINTURA" display="volver"/>
    <hyperlink ref="H985" location="'ITEMS RESUMEN'!ESTUCO_Y_PINTURA" display="volver"/>
    <hyperlink ref="H1012" location="'ITEMS RESUMEN'!ESTUCO_Y_PINTURA" display="volver"/>
    <hyperlink ref="H1038" location="'ITEMS RESUMEN'!ESTUCO_Y_PINTURA" display="volver"/>
    <hyperlink ref="H1065" location="'ITEMS RESUMEN'!ESTUCO_Y_PINTURA" display="volver"/>
    <hyperlink ref="H1091" location="'ITEMS RESUMEN'!ESTUCO_Y_PINTURA" display="volver"/>
    <hyperlink ref="H1118" location="'ITEMS RESUMEN'!ESTUCO_Y_PINTURA" display="volver"/>
    <hyperlink ref="H1144" location="'ITEMS RESUMEN'!ESTUCO_Y_PINTURA" display="volver"/>
    <hyperlink ref="H1171" location="'ITEMS RESUMEN'!ESTUCO_Y_PINTURA" display="volver"/>
    <hyperlink ref="H1198" location="'ITEMS RESUMEN'!ESTUCO_Y_PINTURA" display="volver"/>
    <hyperlink ref="H1225" location="'ITEMS RESUMEN'!ESTUCO_Y_PINTURA" display="volver"/>
  </hyperlinks>
  <printOptions horizontalCentered="1" verticalCentered="1"/>
  <pageMargins left="0" right="0" top="0" bottom="0" header="0" footer="0"/>
  <pageSetup scale="80" orientation="portrait" r:id="rId1"/>
  <headerFooter alignWithMargins="0"/>
  <rowBreaks count="22" manualBreakCount="22">
    <brk id="58" min="1" max="6" man="1"/>
    <brk id="111" min="1" max="6" man="1"/>
    <brk id="164" min="1" max="6" man="1"/>
    <brk id="217" min="1" max="6" man="1"/>
    <brk id="270" min="1" max="6" man="1"/>
    <brk id="323" min="1" max="6" man="1"/>
    <brk id="376" min="1" max="6" man="1"/>
    <brk id="429" min="1" max="6" man="1"/>
    <brk id="482" min="1" max="6" man="1"/>
    <brk id="535" min="1" max="6" man="1"/>
    <brk id="588" min="1" max="6" man="1"/>
    <brk id="641" min="1" max="6" man="1"/>
    <brk id="694" min="1" max="6" man="1"/>
    <brk id="747" min="1" max="6" man="1"/>
    <brk id="800" min="1" max="6" man="1"/>
    <brk id="853" min="1" max="6" man="1"/>
    <brk id="906" min="1" max="6" man="1"/>
    <brk id="959" min="1" max="6" man="1"/>
    <brk id="1012" min="1" max="6" man="1"/>
    <brk id="1065" min="1" max="6" man="1"/>
    <brk id="1118" min="1" max="6" man="1"/>
    <brk id="1171" min="1" max="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21">
    <tabColor indexed="45"/>
  </sheetPr>
  <dimension ref="A1:J854"/>
  <sheetViews>
    <sheetView topLeftCell="A256" zoomScale="115" zoomScaleNormal="115" zoomScaleSheetLayoutView="115" workbookViewId="0">
      <selection activeCell="H270" sqref="H270"/>
    </sheetView>
  </sheetViews>
  <sheetFormatPr baseColWidth="10" defaultRowHeight="12.75"/>
  <cols>
    <col min="2" max="2" width="12.7109375" style="231" customWidth="1"/>
    <col min="3" max="3" width="25.7109375" customWidth="1"/>
    <col min="4" max="4" width="12.7109375" customWidth="1"/>
    <col min="5" max="5" width="13.7109375" customWidth="1"/>
    <col min="6" max="6" width="14.7109375" customWidth="1"/>
    <col min="7" max="7" width="16.7109375" customWidth="1"/>
  </cols>
  <sheetData>
    <row r="1" spans="1:8" ht="19.5" thickTop="1">
      <c r="A1" s="95"/>
      <c r="B1" s="225"/>
      <c r="C1" s="848" t="s">
        <v>1054</v>
      </c>
      <c r="D1" s="848"/>
      <c r="E1" s="848"/>
      <c r="F1" s="848"/>
      <c r="G1" s="849"/>
    </row>
    <row r="2" spans="1:8" ht="18.75">
      <c r="A2" s="95"/>
      <c r="B2" s="226"/>
      <c r="C2" s="780" t="s">
        <v>1381</v>
      </c>
      <c r="D2" s="780"/>
      <c r="E2" s="780"/>
      <c r="F2" s="780"/>
      <c r="G2" s="850"/>
    </row>
    <row r="3" spans="1:8" ht="18.75">
      <c r="A3" s="95"/>
      <c r="B3" s="226"/>
      <c r="C3" s="781"/>
      <c r="D3" s="781"/>
      <c r="E3" s="781"/>
      <c r="F3" s="781"/>
      <c r="G3" s="851"/>
    </row>
    <row r="4" spans="1:8" ht="15.75">
      <c r="A4" s="95"/>
      <c r="B4" s="881" t="s">
        <v>780</v>
      </c>
      <c r="C4" s="852"/>
      <c r="D4" s="852"/>
      <c r="E4" s="852"/>
      <c r="F4" s="852"/>
      <c r="G4" s="853"/>
    </row>
    <row r="5" spans="1:8" ht="15.75" thickBot="1">
      <c r="A5" s="95"/>
      <c r="B5" s="227"/>
      <c r="C5" s="856"/>
      <c r="D5" s="856"/>
      <c r="E5" s="856"/>
      <c r="F5" s="856"/>
      <c r="G5" s="857"/>
    </row>
    <row r="6" spans="1:8" ht="13.5" thickTop="1">
      <c r="A6" s="95"/>
      <c r="B6" s="225" t="s">
        <v>303</v>
      </c>
      <c r="C6" s="843"/>
      <c r="D6" s="843"/>
      <c r="E6" s="843"/>
      <c r="F6" s="92" t="s">
        <v>781</v>
      </c>
      <c r="G6" s="93" t="s">
        <v>865</v>
      </c>
      <c r="H6" s="505" t="s">
        <v>1670</v>
      </c>
    </row>
    <row r="7" spans="1:8">
      <c r="A7" s="95"/>
      <c r="B7" s="226" t="s">
        <v>834</v>
      </c>
      <c r="C7" s="844" t="s">
        <v>413</v>
      </c>
      <c r="D7" s="844"/>
      <c r="E7" s="844"/>
      <c r="F7" s="15" t="s">
        <v>833</v>
      </c>
      <c r="G7" s="165" t="str">
        <f>'MANO DE OBRA'!D61</f>
        <v>Agosto de 2010</v>
      </c>
    </row>
    <row r="8" spans="1:8" ht="13.5" thickBot="1">
      <c r="A8" s="127"/>
      <c r="B8" s="228" t="s">
        <v>835</v>
      </c>
      <c r="C8" s="845" t="s">
        <v>418</v>
      </c>
      <c r="D8" s="845"/>
      <c r="E8" s="845"/>
      <c r="F8" s="845"/>
      <c r="G8" s="846"/>
    </row>
    <row r="9" spans="1:8" ht="14.25" thickTop="1" thickBot="1">
      <c r="A9" s="95"/>
      <c r="B9" s="986"/>
      <c r="C9" s="986"/>
      <c r="D9" s="986"/>
      <c r="E9" s="986"/>
      <c r="F9" s="986"/>
      <c r="G9" s="986"/>
    </row>
    <row r="10" spans="1:8" ht="13.5" thickTop="1">
      <c r="A10" s="95"/>
      <c r="B10" s="950" t="s">
        <v>304</v>
      </c>
      <c r="C10" s="951"/>
      <c r="D10" s="951"/>
      <c r="E10" s="951"/>
      <c r="F10" s="951"/>
      <c r="G10" s="952"/>
    </row>
    <row r="11" spans="1:8">
      <c r="A11" s="95"/>
      <c r="B11" s="229"/>
      <c r="C11" s="97"/>
      <c r="D11" s="98" t="s">
        <v>301</v>
      </c>
      <c r="E11" s="98" t="s">
        <v>1072</v>
      </c>
      <c r="F11" s="99" t="s">
        <v>839</v>
      </c>
      <c r="G11" s="107" t="s">
        <v>840</v>
      </c>
    </row>
    <row r="12" spans="1:8">
      <c r="A12" s="95"/>
      <c r="B12" s="982" t="s">
        <v>838</v>
      </c>
      <c r="C12" s="983"/>
      <c r="D12" s="100" t="s">
        <v>308</v>
      </c>
      <c r="E12" s="100" t="s">
        <v>305</v>
      </c>
      <c r="F12" s="101" t="s">
        <v>306</v>
      </c>
      <c r="G12" s="108" t="s">
        <v>310</v>
      </c>
    </row>
    <row r="13" spans="1:8">
      <c r="A13" s="95"/>
      <c r="B13" s="230"/>
      <c r="C13" s="102"/>
      <c r="D13" s="103"/>
      <c r="E13" s="103" t="s">
        <v>309</v>
      </c>
      <c r="F13" s="104" t="s">
        <v>307</v>
      </c>
      <c r="G13" s="109"/>
    </row>
    <row r="14" spans="1:8">
      <c r="A14" s="127"/>
      <c r="B14" s="841" t="str">
        <f>'MAQUINARIA Y EQUIPOS'!C28</f>
        <v>HERRAMIENTAS MENORES</v>
      </c>
      <c r="C14" s="842"/>
      <c r="D14" s="87">
        <v>1</v>
      </c>
      <c r="E14" s="82">
        <f>ROUND(G47*0.05,0)</f>
        <v>2249</v>
      </c>
      <c r="F14" s="81">
        <v>1</v>
      </c>
      <c r="G14" s="110">
        <f>ROUND(D14*E14/F14,0)</f>
        <v>2249</v>
      </c>
    </row>
    <row r="15" spans="1:8">
      <c r="A15" s="95"/>
      <c r="B15" s="854"/>
      <c r="C15" s="855"/>
      <c r="D15" s="37"/>
      <c r="E15" s="129"/>
      <c r="F15" s="83"/>
      <c r="G15" s="111"/>
    </row>
    <row r="16" spans="1:8">
      <c r="A16" s="95"/>
      <c r="B16" s="854"/>
      <c r="C16" s="855"/>
      <c r="D16" s="37"/>
      <c r="E16" s="129"/>
      <c r="F16" s="83"/>
      <c r="G16" s="111"/>
    </row>
    <row r="17" spans="1:8">
      <c r="A17" s="95"/>
      <c r="B17" s="854"/>
      <c r="C17" s="855"/>
      <c r="D17" s="89"/>
      <c r="E17" s="82"/>
      <c r="F17" s="83"/>
      <c r="G17" s="111"/>
    </row>
    <row r="18" spans="1:8">
      <c r="A18" s="95"/>
      <c r="B18" s="854" t="s">
        <v>841</v>
      </c>
      <c r="C18" s="855"/>
      <c r="D18" s="37"/>
      <c r="E18" s="82"/>
      <c r="F18" s="83"/>
      <c r="G18" s="111"/>
    </row>
    <row r="19" spans="1:8" ht="13.5" thickBot="1">
      <c r="A19" s="95"/>
      <c r="B19" s="942" t="s">
        <v>841</v>
      </c>
      <c r="C19" s="943"/>
      <c r="D19" s="77"/>
      <c r="E19" s="106"/>
      <c r="F19" s="86"/>
      <c r="G19" s="112"/>
    </row>
    <row r="20" spans="1:8" ht="14.25" thickTop="1" thickBot="1">
      <c r="A20" s="95"/>
      <c r="B20" s="946"/>
      <c r="C20" s="946"/>
      <c r="D20" s="946"/>
      <c r="E20" s="947"/>
      <c r="F20" s="119" t="s">
        <v>856</v>
      </c>
      <c r="G20" s="118">
        <f>SUM(G14:G19)</f>
        <v>2249</v>
      </c>
    </row>
    <row r="21" spans="1:8" ht="14.25" thickTop="1" thickBot="1">
      <c r="A21" s="95"/>
      <c r="B21" s="970"/>
      <c r="C21" s="970"/>
      <c r="D21" s="970"/>
      <c r="E21" s="970"/>
      <c r="F21" s="970"/>
      <c r="G21" s="970"/>
    </row>
    <row r="22" spans="1:8" ht="13.5" thickTop="1">
      <c r="A22" s="95"/>
      <c r="B22" s="950" t="s">
        <v>311</v>
      </c>
      <c r="C22" s="951"/>
      <c r="D22" s="951"/>
      <c r="E22" s="951"/>
      <c r="F22" s="951"/>
      <c r="G22" s="952"/>
    </row>
    <row r="23" spans="1:8">
      <c r="A23" s="95"/>
      <c r="B23" s="978" t="s">
        <v>838</v>
      </c>
      <c r="C23" s="979"/>
      <c r="D23" s="98" t="s">
        <v>842</v>
      </c>
      <c r="E23" s="98" t="s">
        <v>853</v>
      </c>
      <c r="F23" s="99" t="s">
        <v>1047</v>
      </c>
      <c r="G23" s="107" t="s">
        <v>840</v>
      </c>
    </row>
    <row r="24" spans="1:8">
      <c r="A24" s="95"/>
      <c r="B24" s="230"/>
      <c r="C24" s="102"/>
      <c r="D24" s="100"/>
      <c r="E24" s="100" t="s">
        <v>312</v>
      </c>
      <c r="F24" s="101" t="s">
        <v>313</v>
      </c>
      <c r="G24" s="108" t="s">
        <v>314</v>
      </c>
    </row>
    <row r="25" spans="1:8">
      <c r="A25" s="123"/>
      <c r="B25" s="841" t="s">
        <v>8</v>
      </c>
      <c r="C25" s="842"/>
      <c r="D25" s="87" t="s">
        <v>865</v>
      </c>
      <c r="E25" s="81">
        <v>1</v>
      </c>
      <c r="F25" s="80">
        <v>430000</v>
      </c>
      <c r="G25" s="110">
        <f>ROUND(E25*F25,0)</f>
        <v>430000</v>
      </c>
    </row>
    <row r="26" spans="1:8">
      <c r="A26" s="123"/>
      <c r="B26" s="854"/>
      <c r="C26" s="855"/>
      <c r="D26" s="37"/>
      <c r="E26" s="83"/>
      <c r="F26" s="82"/>
      <c r="G26" s="111"/>
    </row>
    <row r="27" spans="1:8">
      <c r="A27" s="123"/>
      <c r="B27" s="854"/>
      <c r="C27" s="855"/>
      <c r="D27" s="37"/>
      <c r="E27" s="83"/>
      <c r="F27" s="82"/>
      <c r="G27" s="111"/>
    </row>
    <row r="28" spans="1:8">
      <c r="A28" s="123"/>
      <c r="B28" s="854"/>
      <c r="C28" s="855"/>
      <c r="D28" s="37"/>
      <c r="E28" s="83"/>
      <c r="F28" s="82"/>
      <c r="G28" s="111"/>
    </row>
    <row r="29" spans="1:8">
      <c r="A29" s="95"/>
      <c r="B29" s="854"/>
      <c r="C29" s="855"/>
      <c r="D29" s="37"/>
      <c r="E29" s="83"/>
      <c r="F29" s="82"/>
      <c r="G29" s="111"/>
    </row>
    <row r="30" spans="1:8">
      <c r="A30" s="95"/>
      <c r="B30" s="854"/>
      <c r="C30" s="855"/>
      <c r="D30" s="37"/>
      <c r="E30" s="83"/>
      <c r="F30" s="82"/>
      <c r="G30" s="111"/>
    </row>
    <row r="31" spans="1:8">
      <c r="A31" s="95"/>
      <c r="B31" s="854"/>
      <c r="C31" s="855"/>
      <c r="D31" s="37"/>
      <c r="E31" s="83"/>
      <c r="F31" s="82"/>
      <c r="G31" s="111"/>
      <c r="H31" s="505" t="s">
        <v>1670</v>
      </c>
    </row>
    <row r="32" spans="1:8">
      <c r="A32" s="95"/>
      <c r="B32" s="938" t="s">
        <v>841</v>
      </c>
      <c r="C32" s="939"/>
      <c r="D32" s="53" t="s">
        <v>841</v>
      </c>
      <c r="E32" s="53"/>
      <c r="F32" s="82"/>
      <c r="G32" s="111"/>
    </row>
    <row r="33" spans="1:7" ht="13.5" thickBot="1">
      <c r="A33" s="95"/>
      <c r="B33" s="942" t="s">
        <v>841</v>
      </c>
      <c r="C33" s="943"/>
      <c r="D33" s="84" t="s">
        <v>841</v>
      </c>
      <c r="E33" s="84"/>
      <c r="F33" s="85"/>
      <c r="G33" s="112"/>
    </row>
    <row r="34" spans="1:7" ht="13.5" thickTop="1">
      <c r="A34" s="95"/>
      <c r="B34" s="946"/>
      <c r="C34" s="947"/>
      <c r="D34" s="801" t="s">
        <v>856</v>
      </c>
      <c r="E34" s="802"/>
      <c r="F34" s="9"/>
      <c r="G34" s="113">
        <f>SUM(G25:G33)</f>
        <v>430000</v>
      </c>
    </row>
    <row r="35" spans="1:7">
      <c r="A35" s="95"/>
      <c r="B35" s="948"/>
      <c r="C35" s="949"/>
      <c r="D35" s="801" t="s">
        <v>857</v>
      </c>
      <c r="E35" s="802"/>
      <c r="F35" s="79">
        <f>'MANO DE OBRA'!D60</f>
        <v>0.05</v>
      </c>
      <c r="G35" s="113">
        <f>ROUND(G34*F35,0)</f>
        <v>21500</v>
      </c>
    </row>
    <row r="36" spans="1:7" ht="13.5" thickBot="1">
      <c r="A36" s="95"/>
      <c r="B36" s="948"/>
      <c r="C36" s="949"/>
      <c r="D36" s="803" t="s">
        <v>320</v>
      </c>
      <c r="E36" s="804"/>
      <c r="F36" s="114"/>
      <c r="G36" s="118">
        <f>+G34+G35</f>
        <v>451500</v>
      </c>
    </row>
    <row r="37" spans="1:7" ht="14.25" thickTop="1" thickBot="1">
      <c r="A37" s="95"/>
      <c r="B37" s="970"/>
      <c r="C37" s="970"/>
      <c r="D37" s="970"/>
      <c r="E37" s="970"/>
      <c r="F37" s="970"/>
      <c r="G37" s="970"/>
    </row>
    <row r="38" spans="1:7" ht="13.5" thickTop="1">
      <c r="A38" s="95"/>
      <c r="B38" s="950" t="s">
        <v>858</v>
      </c>
      <c r="C38" s="951"/>
      <c r="D38" s="951"/>
      <c r="E38" s="951"/>
      <c r="F38" s="951"/>
      <c r="G38" s="952"/>
    </row>
    <row r="39" spans="1:7">
      <c r="A39" s="95"/>
      <c r="B39" s="978"/>
      <c r="C39" s="979"/>
      <c r="D39" s="98" t="s">
        <v>301</v>
      </c>
      <c r="E39" s="98" t="s">
        <v>859</v>
      </c>
      <c r="F39" s="99" t="s">
        <v>839</v>
      </c>
      <c r="G39" s="107" t="s">
        <v>840</v>
      </c>
    </row>
    <row r="40" spans="1:7">
      <c r="A40" s="95"/>
      <c r="B40" s="982" t="s">
        <v>838</v>
      </c>
      <c r="C40" s="983"/>
      <c r="D40" s="100" t="s">
        <v>316</v>
      </c>
      <c r="E40" s="100" t="s">
        <v>315</v>
      </c>
      <c r="F40" s="101" t="s">
        <v>306</v>
      </c>
      <c r="G40" s="108" t="s">
        <v>319</v>
      </c>
    </row>
    <row r="41" spans="1:7">
      <c r="A41" s="95"/>
      <c r="B41" s="230"/>
      <c r="C41" s="102"/>
      <c r="D41" s="103"/>
      <c r="E41" s="103" t="s">
        <v>317</v>
      </c>
      <c r="F41" s="104" t="s">
        <v>318</v>
      </c>
      <c r="G41" s="109"/>
    </row>
    <row r="42" spans="1:7">
      <c r="A42" s="95"/>
      <c r="B42" s="841" t="str">
        <f>'MANO DE OBRA'!B13</f>
        <v>AYUDANTE CUAD. TIPO DD</v>
      </c>
      <c r="C42" s="842"/>
      <c r="D42" s="87">
        <v>1</v>
      </c>
      <c r="E42" s="80">
        <f>'MANO DE OBRA'!E13</f>
        <v>49276</v>
      </c>
      <c r="F42" s="81">
        <v>3</v>
      </c>
      <c r="G42" s="110">
        <f>ROUND(D42*E42/F42,0)</f>
        <v>16425</v>
      </c>
    </row>
    <row r="43" spans="1:7">
      <c r="A43" s="95"/>
      <c r="B43" s="854" t="str">
        <f>'MANO DE OBRA'!B18</f>
        <v>OFICIAL CUAD. TIPO DD</v>
      </c>
      <c r="C43" s="855"/>
      <c r="D43" s="37">
        <v>1</v>
      </c>
      <c r="E43" s="82">
        <f>'MANO DE OBRA'!E18</f>
        <v>85666</v>
      </c>
      <c r="F43" s="83">
        <v>3</v>
      </c>
      <c r="G43" s="111">
        <f>ROUND(D43*E43/F43,0)</f>
        <v>28555</v>
      </c>
    </row>
    <row r="44" spans="1:7">
      <c r="A44" s="95"/>
      <c r="B44" s="854"/>
      <c r="C44" s="855"/>
      <c r="D44" s="89"/>
      <c r="E44" s="82"/>
      <c r="F44" s="83"/>
      <c r="G44" s="111"/>
    </row>
    <row r="45" spans="1:7">
      <c r="A45" s="95"/>
      <c r="B45" s="854" t="s">
        <v>841</v>
      </c>
      <c r="C45" s="855"/>
      <c r="D45" s="37"/>
      <c r="E45" s="82"/>
      <c r="F45" s="83"/>
      <c r="G45" s="111"/>
    </row>
    <row r="46" spans="1:7" ht="13.5" thickBot="1">
      <c r="A46" s="95"/>
      <c r="B46" s="980" t="s">
        <v>841</v>
      </c>
      <c r="C46" s="981"/>
      <c r="D46" s="77"/>
      <c r="E46" s="82"/>
      <c r="F46" s="86"/>
      <c r="G46" s="112"/>
    </row>
    <row r="47" spans="1:7" ht="14.25" thickTop="1" thickBot="1">
      <c r="A47" s="95"/>
      <c r="B47" s="946"/>
      <c r="C47" s="946"/>
      <c r="D47" s="946"/>
      <c r="E47" s="947"/>
      <c r="F47" s="120" t="s">
        <v>856</v>
      </c>
      <c r="G47" s="118">
        <f>SUM(G42:G46)</f>
        <v>44980</v>
      </c>
    </row>
    <row r="48" spans="1:7" ht="14.25" thickTop="1" thickBot="1">
      <c r="A48" s="95"/>
      <c r="B48" s="970"/>
      <c r="C48" s="970"/>
      <c r="D48" s="970"/>
      <c r="E48" s="970"/>
      <c r="F48" s="970"/>
      <c r="G48" s="970"/>
    </row>
    <row r="49" spans="1:8" ht="13.5" thickTop="1">
      <c r="A49" s="95"/>
      <c r="B49" s="950" t="s">
        <v>321</v>
      </c>
      <c r="C49" s="951"/>
      <c r="D49" s="951"/>
      <c r="E49" s="951"/>
      <c r="F49" s="951"/>
      <c r="G49" s="952"/>
    </row>
    <row r="50" spans="1:8">
      <c r="A50" s="95"/>
      <c r="B50" s="978" t="s">
        <v>838</v>
      </c>
      <c r="C50" s="979"/>
      <c r="D50" s="98" t="s">
        <v>301</v>
      </c>
      <c r="E50" s="98" t="s">
        <v>297</v>
      </c>
      <c r="F50" s="99" t="s">
        <v>839</v>
      </c>
      <c r="G50" s="107" t="s">
        <v>840</v>
      </c>
    </row>
    <row r="51" spans="1:8">
      <c r="A51" s="95"/>
      <c r="B51" s="230"/>
      <c r="C51" s="102"/>
      <c r="D51" s="103" t="s">
        <v>322</v>
      </c>
      <c r="E51" s="103" t="s">
        <v>323</v>
      </c>
      <c r="F51" s="104" t="s">
        <v>324</v>
      </c>
      <c r="G51" s="109" t="s">
        <v>325</v>
      </c>
    </row>
    <row r="52" spans="1:8">
      <c r="A52" s="95"/>
      <c r="B52" s="841"/>
      <c r="C52" s="842"/>
      <c r="D52" s="96"/>
      <c r="E52" s="96"/>
      <c r="F52" s="96"/>
      <c r="G52" s="116"/>
    </row>
    <row r="53" spans="1:8" ht="13.5" thickBot="1">
      <c r="A53" s="95"/>
      <c r="B53" s="980" t="s">
        <v>841</v>
      </c>
      <c r="C53" s="981"/>
      <c r="D53" s="77"/>
      <c r="E53" s="82"/>
      <c r="F53" s="86"/>
      <c r="G53" s="112"/>
    </row>
    <row r="54" spans="1:8" ht="14.25" thickTop="1" thickBot="1">
      <c r="A54" s="95"/>
      <c r="B54" s="946"/>
      <c r="C54" s="946"/>
      <c r="D54" s="946"/>
      <c r="E54" s="947"/>
      <c r="F54" s="120" t="s">
        <v>856</v>
      </c>
      <c r="G54" s="118">
        <f>SUM(G49:G53)</f>
        <v>0</v>
      </c>
    </row>
    <row r="55" spans="1:8" ht="14.25" thickTop="1" thickBot="1">
      <c r="A55" s="95"/>
      <c r="B55" s="970"/>
      <c r="C55" s="970"/>
      <c r="D55" s="970"/>
      <c r="E55" s="970"/>
      <c r="F55" s="970"/>
      <c r="G55" s="943"/>
    </row>
    <row r="56" spans="1:8" ht="13.5" thickTop="1">
      <c r="A56" s="95"/>
      <c r="B56" s="950" t="s">
        <v>326</v>
      </c>
      <c r="C56" s="951"/>
      <c r="D56" s="951"/>
      <c r="E56" s="951"/>
      <c r="F56" s="971"/>
      <c r="G56" s="121">
        <f>+G20+G36+G47</f>
        <v>498729</v>
      </c>
    </row>
    <row r="57" spans="1:8">
      <c r="A57" s="95"/>
      <c r="B57" s="972" t="s">
        <v>861</v>
      </c>
      <c r="C57" s="973"/>
      <c r="D57" s="973"/>
      <c r="E57" s="974"/>
      <c r="F57" s="128">
        <f>'MANO DE OBRA'!D59</f>
        <v>0</v>
      </c>
      <c r="G57" s="122">
        <f>ROUND(G56*F57,0)</f>
        <v>0</v>
      </c>
    </row>
    <row r="58" spans="1:8" ht="13.5" thickBot="1">
      <c r="A58" s="95"/>
      <c r="B58" s="975" t="s">
        <v>1049</v>
      </c>
      <c r="C58" s="976"/>
      <c r="D58" s="976"/>
      <c r="E58" s="976"/>
      <c r="F58" s="977"/>
      <c r="G58" s="118">
        <f>ROUND(G56+G57,-2)</f>
        <v>498700</v>
      </c>
      <c r="H58" s="505" t="s">
        <v>1670</v>
      </c>
    </row>
    <row r="59" spans="1:8" ht="13.5" thickTop="1">
      <c r="A59" s="95"/>
      <c r="B59" s="225" t="s">
        <v>303</v>
      </c>
      <c r="C59" s="843"/>
      <c r="D59" s="843"/>
      <c r="E59" s="843"/>
      <c r="F59" s="92" t="s">
        <v>781</v>
      </c>
      <c r="G59" s="93" t="s">
        <v>865</v>
      </c>
    </row>
    <row r="60" spans="1:8">
      <c r="A60" s="95"/>
      <c r="B60" s="226" t="s">
        <v>834</v>
      </c>
      <c r="C60" s="844" t="s">
        <v>413</v>
      </c>
      <c r="D60" s="844"/>
      <c r="E60" s="844"/>
      <c r="F60" s="15" t="s">
        <v>833</v>
      </c>
      <c r="G60" s="165" t="str">
        <f>'MANO DE OBRA'!D61</f>
        <v>Agosto de 2010</v>
      </c>
    </row>
    <row r="61" spans="1:8" ht="13.5" thickBot="1">
      <c r="A61" s="127"/>
      <c r="B61" s="228" t="s">
        <v>835</v>
      </c>
      <c r="C61" s="845" t="s">
        <v>419</v>
      </c>
      <c r="D61" s="845"/>
      <c r="E61" s="845"/>
      <c r="F61" s="845"/>
      <c r="G61" s="846"/>
    </row>
    <row r="62" spans="1:8" ht="14.25" thickTop="1" thickBot="1">
      <c r="A62" s="95"/>
      <c r="B62" s="986"/>
      <c r="C62" s="986"/>
      <c r="D62" s="986"/>
      <c r="E62" s="986"/>
      <c r="F62" s="986"/>
      <c r="G62" s="986"/>
    </row>
    <row r="63" spans="1:8" ht="13.5" thickTop="1">
      <c r="A63" s="95"/>
      <c r="B63" s="950" t="s">
        <v>304</v>
      </c>
      <c r="C63" s="951"/>
      <c r="D63" s="951"/>
      <c r="E63" s="951"/>
      <c r="F63" s="951"/>
      <c r="G63" s="952"/>
    </row>
    <row r="64" spans="1:8">
      <c r="A64" s="95"/>
      <c r="B64" s="229"/>
      <c r="C64" s="97"/>
      <c r="D64" s="98" t="s">
        <v>301</v>
      </c>
      <c r="E64" s="98" t="s">
        <v>1072</v>
      </c>
      <c r="F64" s="99" t="s">
        <v>839</v>
      </c>
      <c r="G64" s="107" t="s">
        <v>840</v>
      </c>
    </row>
    <row r="65" spans="1:7">
      <c r="A65" s="95"/>
      <c r="B65" s="982" t="s">
        <v>838</v>
      </c>
      <c r="C65" s="983"/>
      <c r="D65" s="100" t="s">
        <v>308</v>
      </c>
      <c r="E65" s="100" t="s">
        <v>305</v>
      </c>
      <c r="F65" s="101" t="s">
        <v>306</v>
      </c>
      <c r="G65" s="108" t="s">
        <v>310</v>
      </c>
    </row>
    <row r="66" spans="1:7">
      <c r="A66" s="95"/>
      <c r="B66" s="230"/>
      <c r="C66" s="102"/>
      <c r="D66" s="103"/>
      <c r="E66" s="103" t="s">
        <v>309</v>
      </c>
      <c r="F66" s="104" t="s">
        <v>307</v>
      </c>
      <c r="G66" s="109"/>
    </row>
    <row r="67" spans="1:7">
      <c r="A67" s="127"/>
      <c r="B67" s="841" t="str">
        <f>'MAQUINARIA Y EQUIPOS'!C28</f>
        <v>HERRAMIENTAS MENORES</v>
      </c>
      <c r="C67" s="842"/>
      <c r="D67" s="87">
        <v>1</v>
      </c>
      <c r="E67" s="82">
        <f>ROUND(G100*0.05,0)</f>
        <v>2249</v>
      </c>
      <c r="F67" s="81">
        <v>1</v>
      </c>
      <c r="G67" s="110">
        <f>ROUND(D67*E67/F67,0)</f>
        <v>2249</v>
      </c>
    </row>
    <row r="68" spans="1:7">
      <c r="A68" s="95"/>
      <c r="B68" s="854"/>
      <c r="C68" s="855"/>
      <c r="D68" s="37"/>
      <c r="E68" s="129"/>
      <c r="F68" s="83"/>
      <c r="G68" s="111"/>
    </row>
    <row r="69" spans="1:7">
      <c r="A69" s="95"/>
      <c r="B69" s="854"/>
      <c r="C69" s="855"/>
      <c r="D69" s="37"/>
      <c r="E69" s="129"/>
      <c r="F69" s="83"/>
      <c r="G69" s="111"/>
    </row>
    <row r="70" spans="1:7">
      <c r="A70" s="95"/>
      <c r="B70" s="854"/>
      <c r="C70" s="855"/>
      <c r="D70" s="89"/>
      <c r="E70" s="82"/>
      <c r="F70" s="83"/>
      <c r="G70" s="111"/>
    </row>
    <row r="71" spans="1:7">
      <c r="A71" s="95"/>
      <c r="B71" s="854" t="s">
        <v>841</v>
      </c>
      <c r="C71" s="855"/>
      <c r="D71" s="37"/>
      <c r="E71" s="82"/>
      <c r="F71" s="83"/>
      <c r="G71" s="111"/>
    </row>
    <row r="72" spans="1:7" ht="13.5" thickBot="1">
      <c r="A72" s="95"/>
      <c r="B72" s="942" t="s">
        <v>841</v>
      </c>
      <c r="C72" s="943"/>
      <c r="D72" s="77"/>
      <c r="E72" s="106"/>
      <c r="F72" s="86"/>
      <c r="G72" s="112"/>
    </row>
    <row r="73" spans="1:7" ht="14.25" thickTop="1" thickBot="1">
      <c r="A73" s="95"/>
      <c r="B73" s="946"/>
      <c r="C73" s="946"/>
      <c r="D73" s="946"/>
      <c r="E73" s="947"/>
      <c r="F73" s="119" t="s">
        <v>856</v>
      </c>
      <c r="G73" s="118">
        <f>SUM(G67:G72)</f>
        <v>2249</v>
      </c>
    </row>
    <row r="74" spans="1:7" ht="14.25" thickTop="1" thickBot="1">
      <c r="A74" s="95"/>
      <c r="B74" s="970"/>
      <c r="C74" s="970"/>
      <c r="D74" s="970"/>
      <c r="E74" s="970"/>
      <c r="F74" s="970"/>
      <c r="G74" s="970"/>
    </row>
    <row r="75" spans="1:7" ht="13.5" thickTop="1">
      <c r="A75" s="95"/>
      <c r="B75" s="950" t="s">
        <v>311</v>
      </c>
      <c r="C75" s="951"/>
      <c r="D75" s="951"/>
      <c r="E75" s="951"/>
      <c r="F75" s="951"/>
      <c r="G75" s="952"/>
    </row>
    <row r="76" spans="1:7">
      <c r="A76" s="95"/>
      <c r="B76" s="978" t="s">
        <v>838</v>
      </c>
      <c r="C76" s="979"/>
      <c r="D76" s="98" t="s">
        <v>842</v>
      </c>
      <c r="E76" s="98" t="s">
        <v>853</v>
      </c>
      <c r="F76" s="99" t="s">
        <v>1047</v>
      </c>
      <c r="G76" s="107" t="s">
        <v>840</v>
      </c>
    </row>
    <row r="77" spans="1:7">
      <c r="A77" s="95"/>
      <c r="B77" s="230"/>
      <c r="C77" s="102"/>
      <c r="D77" s="100"/>
      <c r="E77" s="100" t="s">
        <v>312</v>
      </c>
      <c r="F77" s="101" t="s">
        <v>313</v>
      </c>
      <c r="G77" s="108" t="s">
        <v>314</v>
      </c>
    </row>
    <row r="78" spans="1:7">
      <c r="A78" s="123"/>
      <c r="B78" s="841" t="s">
        <v>8</v>
      </c>
      <c r="C78" s="842"/>
      <c r="D78" s="87" t="s">
        <v>865</v>
      </c>
      <c r="E78" s="81">
        <v>1</v>
      </c>
      <c r="F78" s="80">
        <v>380000</v>
      </c>
      <c r="G78" s="110">
        <f>ROUND(E78*F78,0)</f>
        <v>380000</v>
      </c>
    </row>
    <row r="79" spans="1:7">
      <c r="A79" s="123"/>
      <c r="B79" s="854"/>
      <c r="C79" s="855"/>
      <c r="D79" s="37"/>
      <c r="E79" s="83"/>
      <c r="F79" s="82"/>
      <c r="G79" s="111"/>
    </row>
    <row r="80" spans="1:7">
      <c r="A80" s="123"/>
      <c r="B80" s="854"/>
      <c r="C80" s="855"/>
      <c r="D80" s="37"/>
      <c r="E80" s="83"/>
      <c r="F80" s="82"/>
      <c r="G80" s="111"/>
    </row>
    <row r="81" spans="1:8">
      <c r="A81" s="123"/>
      <c r="B81" s="854"/>
      <c r="C81" s="855"/>
      <c r="D81" s="37"/>
      <c r="E81" s="83"/>
      <c r="F81" s="82"/>
      <c r="G81" s="111"/>
    </row>
    <row r="82" spans="1:8">
      <c r="A82" s="95"/>
      <c r="B82" s="854"/>
      <c r="C82" s="855"/>
      <c r="D82" s="37"/>
      <c r="E82" s="83"/>
      <c r="F82" s="82"/>
      <c r="G82" s="111"/>
    </row>
    <row r="83" spans="1:8">
      <c r="A83" s="95"/>
      <c r="B83" s="854"/>
      <c r="C83" s="855"/>
      <c r="D83" s="37"/>
      <c r="E83" s="83"/>
      <c r="F83" s="82"/>
      <c r="G83" s="111"/>
    </row>
    <row r="84" spans="1:8">
      <c r="A84" s="95"/>
      <c r="B84" s="854"/>
      <c r="C84" s="855"/>
      <c r="D84" s="37"/>
      <c r="E84" s="83"/>
      <c r="F84" s="82"/>
      <c r="G84" s="111"/>
      <c r="H84" s="505" t="s">
        <v>1670</v>
      </c>
    </row>
    <row r="85" spans="1:8">
      <c r="A85" s="95"/>
      <c r="B85" s="938" t="s">
        <v>841</v>
      </c>
      <c r="C85" s="939"/>
      <c r="D85" s="53" t="s">
        <v>841</v>
      </c>
      <c r="E85" s="53"/>
      <c r="F85" s="82"/>
      <c r="G85" s="111"/>
    </row>
    <row r="86" spans="1:8" ht="13.5" thickBot="1">
      <c r="A86" s="95"/>
      <c r="B86" s="942" t="s">
        <v>841</v>
      </c>
      <c r="C86" s="943"/>
      <c r="D86" s="84" t="s">
        <v>841</v>
      </c>
      <c r="E86" s="84"/>
      <c r="F86" s="85"/>
      <c r="G86" s="112"/>
    </row>
    <row r="87" spans="1:8" ht="13.5" thickTop="1">
      <c r="A87" s="95"/>
      <c r="B87" s="946"/>
      <c r="C87" s="947"/>
      <c r="D87" s="801" t="s">
        <v>856</v>
      </c>
      <c r="E87" s="802"/>
      <c r="F87" s="9"/>
      <c r="G87" s="113">
        <f>SUM(G78:G86)</f>
        <v>380000</v>
      </c>
    </row>
    <row r="88" spans="1:8">
      <c r="A88" s="95"/>
      <c r="B88" s="948"/>
      <c r="C88" s="949"/>
      <c r="D88" s="801" t="s">
        <v>857</v>
      </c>
      <c r="E88" s="802"/>
      <c r="F88" s="79">
        <f>'MANO DE OBRA'!D113</f>
        <v>0</v>
      </c>
      <c r="G88" s="113">
        <f>ROUND(G87*F88,0)</f>
        <v>0</v>
      </c>
    </row>
    <row r="89" spans="1:8" ht="13.5" thickBot="1">
      <c r="A89" s="95"/>
      <c r="B89" s="948"/>
      <c r="C89" s="949"/>
      <c r="D89" s="803" t="s">
        <v>320</v>
      </c>
      <c r="E89" s="804"/>
      <c r="F89" s="114"/>
      <c r="G89" s="118">
        <f>+G87+G88</f>
        <v>380000</v>
      </c>
    </row>
    <row r="90" spans="1:8" ht="14.25" thickTop="1" thickBot="1">
      <c r="A90" s="95"/>
      <c r="B90" s="970"/>
      <c r="C90" s="970"/>
      <c r="D90" s="970"/>
      <c r="E90" s="970"/>
      <c r="F90" s="970"/>
      <c r="G90" s="970"/>
    </row>
    <row r="91" spans="1:8" ht="13.5" thickTop="1">
      <c r="A91" s="95"/>
      <c r="B91" s="950" t="s">
        <v>858</v>
      </c>
      <c r="C91" s="951"/>
      <c r="D91" s="951"/>
      <c r="E91" s="951"/>
      <c r="F91" s="951"/>
      <c r="G91" s="952"/>
    </row>
    <row r="92" spans="1:8">
      <c r="A92" s="95"/>
      <c r="B92" s="978"/>
      <c r="C92" s="979"/>
      <c r="D92" s="98" t="s">
        <v>301</v>
      </c>
      <c r="E92" s="98" t="s">
        <v>859</v>
      </c>
      <c r="F92" s="99" t="s">
        <v>839</v>
      </c>
      <c r="G92" s="107" t="s">
        <v>840</v>
      </c>
    </row>
    <row r="93" spans="1:8">
      <c r="A93" s="95"/>
      <c r="B93" s="982" t="s">
        <v>838</v>
      </c>
      <c r="C93" s="983"/>
      <c r="D93" s="100" t="s">
        <v>316</v>
      </c>
      <c r="E93" s="100" t="s">
        <v>315</v>
      </c>
      <c r="F93" s="101" t="s">
        <v>306</v>
      </c>
      <c r="G93" s="108" t="s">
        <v>319</v>
      </c>
    </row>
    <row r="94" spans="1:8">
      <c r="A94" s="95"/>
      <c r="B94" s="230"/>
      <c r="C94" s="102"/>
      <c r="D94" s="103"/>
      <c r="E94" s="103" t="s">
        <v>317</v>
      </c>
      <c r="F94" s="104" t="s">
        <v>318</v>
      </c>
      <c r="G94" s="109"/>
    </row>
    <row r="95" spans="1:8">
      <c r="A95" s="95"/>
      <c r="B95" s="841" t="str">
        <f>'MANO DE OBRA'!B13</f>
        <v>AYUDANTE CUAD. TIPO DD</v>
      </c>
      <c r="C95" s="842"/>
      <c r="D95" s="87">
        <v>1</v>
      </c>
      <c r="E95" s="80">
        <f>'MANO DE OBRA'!E13</f>
        <v>49276</v>
      </c>
      <c r="F95" s="81">
        <v>3</v>
      </c>
      <c r="G95" s="110">
        <f>ROUND(D95*E95/F95,0)</f>
        <v>16425</v>
      </c>
    </row>
    <row r="96" spans="1:8">
      <c r="A96" s="95"/>
      <c r="B96" s="854" t="str">
        <f>'MANO DE OBRA'!B18</f>
        <v>OFICIAL CUAD. TIPO DD</v>
      </c>
      <c r="C96" s="855"/>
      <c r="D96" s="37">
        <v>1</v>
      </c>
      <c r="E96" s="82">
        <f>'MANO DE OBRA'!E18</f>
        <v>85666</v>
      </c>
      <c r="F96" s="83">
        <v>3</v>
      </c>
      <c r="G96" s="111">
        <f>ROUND(D96*E96/F96,0)</f>
        <v>28555</v>
      </c>
    </row>
    <row r="97" spans="1:8">
      <c r="A97" s="95"/>
      <c r="B97" s="854"/>
      <c r="C97" s="855"/>
      <c r="D97" s="89"/>
      <c r="E97" s="82"/>
      <c r="F97" s="83"/>
      <c r="G97" s="111"/>
    </row>
    <row r="98" spans="1:8">
      <c r="A98" s="95"/>
      <c r="B98" s="854" t="s">
        <v>841</v>
      </c>
      <c r="C98" s="855"/>
      <c r="D98" s="37"/>
      <c r="E98" s="82"/>
      <c r="F98" s="83"/>
      <c r="G98" s="111"/>
    </row>
    <row r="99" spans="1:8" ht="13.5" thickBot="1">
      <c r="A99" s="95"/>
      <c r="B99" s="980" t="s">
        <v>841</v>
      </c>
      <c r="C99" s="981"/>
      <c r="D99" s="77"/>
      <c r="E99" s="82"/>
      <c r="F99" s="86"/>
      <c r="G99" s="112"/>
    </row>
    <row r="100" spans="1:8" ht="14.25" thickTop="1" thickBot="1">
      <c r="A100" s="95"/>
      <c r="B100" s="946"/>
      <c r="C100" s="946"/>
      <c r="D100" s="946"/>
      <c r="E100" s="947"/>
      <c r="F100" s="120" t="s">
        <v>856</v>
      </c>
      <c r="G100" s="118">
        <f>SUM(G95:G99)</f>
        <v>44980</v>
      </c>
    </row>
    <row r="101" spans="1:8" ht="14.25" thickTop="1" thickBot="1">
      <c r="A101" s="95"/>
      <c r="B101" s="970"/>
      <c r="C101" s="970"/>
      <c r="D101" s="970"/>
      <c r="E101" s="970"/>
      <c r="F101" s="970"/>
      <c r="G101" s="970"/>
    </row>
    <row r="102" spans="1:8" ht="13.5" thickTop="1">
      <c r="A102" s="95"/>
      <c r="B102" s="950" t="s">
        <v>321</v>
      </c>
      <c r="C102" s="951"/>
      <c r="D102" s="951"/>
      <c r="E102" s="951"/>
      <c r="F102" s="951"/>
      <c r="G102" s="952"/>
    </row>
    <row r="103" spans="1:8">
      <c r="A103" s="95"/>
      <c r="B103" s="978" t="s">
        <v>838</v>
      </c>
      <c r="C103" s="979"/>
      <c r="D103" s="98" t="s">
        <v>301</v>
      </c>
      <c r="E103" s="98" t="s">
        <v>297</v>
      </c>
      <c r="F103" s="99" t="s">
        <v>839</v>
      </c>
      <c r="G103" s="107" t="s">
        <v>840</v>
      </c>
    </row>
    <row r="104" spans="1:8">
      <c r="A104" s="95"/>
      <c r="B104" s="230"/>
      <c r="C104" s="102"/>
      <c r="D104" s="103" t="s">
        <v>322</v>
      </c>
      <c r="E104" s="103" t="s">
        <v>323</v>
      </c>
      <c r="F104" s="104" t="s">
        <v>324</v>
      </c>
      <c r="G104" s="109" t="s">
        <v>325</v>
      </c>
    </row>
    <row r="105" spans="1:8">
      <c r="A105" s="95"/>
      <c r="B105" s="841"/>
      <c r="C105" s="842"/>
      <c r="D105" s="96"/>
      <c r="E105" s="96"/>
      <c r="F105" s="96"/>
      <c r="G105" s="116"/>
    </row>
    <row r="106" spans="1:8" ht="13.5" thickBot="1">
      <c r="A106" s="95"/>
      <c r="B106" s="980" t="s">
        <v>841</v>
      </c>
      <c r="C106" s="981"/>
      <c r="D106" s="77"/>
      <c r="E106" s="82"/>
      <c r="F106" s="86"/>
      <c r="G106" s="112"/>
    </row>
    <row r="107" spans="1:8" ht="14.25" thickTop="1" thickBot="1">
      <c r="A107" s="95"/>
      <c r="B107" s="946"/>
      <c r="C107" s="946"/>
      <c r="D107" s="946"/>
      <c r="E107" s="947"/>
      <c r="F107" s="120" t="s">
        <v>856</v>
      </c>
      <c r="G107" s="118">
        <f>SUM(G102:G106)</f>
        <v>0</v>
      </c>
    </row>
    <row r="108" spans="1:8" ht="14.25" thickTop="1" thickBot="1">
      <c r="A108" s="95"/>
      <c r="B108" s="970"/>
      <c r="C108" s="970"/>
      <c r="D108" s="970"/>
      <c r="E108" s="970"/>
      <c r="F108" s="970"/>
      <c r="G108" s="943"/>
    </row>
    <row r="109" spans="1:8" ht="13.5" thickTop="1">
      <c r="A109" s="95"/>
      <c r="B109" s="950" t="s">
        <v>326</v>
      </c>
      <c r="C109" s="951"/>
      <c r="D109" s="951"/>
      <c r="E109" s="951"/>
      <c r="F109" s="971"/>
      <c r="G109" s="121">
        <f>+G73+G89+G100</f>
        <v>427229</v>
      </c>
    </row>
    <row r="110" spans="1:8">
      <c r="A110" s="95"/>
      <c r="B110" s="972" t="s">
        <v>861</v>
      </c>
      <c r="C110" s="973"/>
      <c r="D110" s="973"/>
      <c r="E110" s="974"/>
      <c r="F110" s="128">
        <f>'MANO DE OBRA'!D112</f>
        <v>0</v>
      </c>
      <c r="G110" s="122">
        <f>ROUND(G109*F110,0)</f>
        <v>0</v>
      </c>
    </row>
    <row r="111" spans="1:8" ht="13.5" thickBot="1">
      <c r="A111" s="95"/>
      <c r="B111" s="975" t="s">
        <v>1049</v>
      </c>
      <c r="C111" s="976"/>
      <c r="D111" s="976"/>
      <c r="E111" s="976"/>
      <c r="F111" s="977"/>
      <c r="G111" s="118">
        <f>ROUND(G109+G110,-2)</f>
        <v>427200</v>
      </c>
      <c r="H111" s="505" t="s">
        <v>1670</v>
      </c>
    </row>
    <row r="112" spans="1:8" ht="13.5" thickTop="1">
      <c r="A112" s="95"/>
      <c r="B112" s="225" t="s">
        <v>303</v>
      </c>
      <c r="C112" s="843"/>
      <c r="D112" s="843"/>
      <c r="E112" s="843"/>
      <c r="F112" s="92" t="s">
        <v>781</v>
      </c>
      <c r="G112" s="93" t="s">
        <v>865</v>
      </c>
    </row>
    <row r="113" spans="1:7">
      <c r="A113" s="95"/>
      <c r="B113" s="226" t="s">
        <v>834</v>
      </c>
      <c r="C113" s="844" t="s">
        <v>413</v>
      </c>
      <c r="D113" s="844"/>
      <c r="E113" s="844"/>
      <c r="F113" s="15" t="s">
        <v>833</v>
      </c>
      <c r="G113" s="165" t="str">
        <f>'MANO DE OBRA'!D61</f>
        <v>Agosto de 2010</v>
      </c>
    </row>
    <row r="114" spans="1:7" ht="13.5" thickBot="1">
      <c r="A114" s="127"/>
      <c r="B114" s="228" t="s">
        <v>835</v>
      </c>
      <c r="C114" s="845" t="s">
        <v>420</v>
      </c>
      <c r="D114" s="845"/>
      <c r="E114" s="845"/>
      <c r="F114" s="845"/>
      <c r="G114" s="846"/>
    </row>
    <row r="115" spans="1:7" ht="14.25" thickTop="1" thickBot="1">
      <c r="A115" s="95"/>
      <c r="B115" s="986"/>
      <c r="C115" s="986"/>
      <c r="D115" s="986"/>
      <c r="E115" s="986"/>
      <c r="F115" s="986"/>
      <c r="G115" s="986"/>
    </row>
    <row r="116" spans="1:7" ht="13.5" thickTop="1">
      <c r="A116" s="95"/>
      <c r="B116" s="950" t="s">
        <v>304</v>
      </c>
      <c r="C116" s="951"/>
      <c r="D116" s="951"/>
      <c r="E116" s="951"/>
      <c r="F116" s="951"/>
      <c r="G116" s="952"/>
    </row>
    <row r="117" spans="1:7">
      <c r="A117" s="95"/>
      <c r="B117" s="229"/>
      <c r="C117" s="97"/>
      <c r="D117" s="98" t="s">
        <v>301</v>
      </c>
      <c r="E117" s="98" t="s">
        <v>1072</v>
      </c>
      <c r="F117" s="99" t="s">
        <v>839</v>
      </c>
      <c r="G117" s="107" t="s">
        <v>840</v>
      </c>
    </row>
    <row r="118" spans="1:7">
      <c r="A118" s="95"/>
      <c r="B118" s="982" t="s">
        <v>838</v>
      </c>
      <c r="C118" s="983"/>
      <c r="D118" s="100" t="s">
        <v>308</v>
      </c>
      <c r="E118" s="100" t="s">
        <v>305</v>
      </c>
      <c r="F118" s="101" t="s">
        <v>306</v>
      </c>
      <c r="G118" s="108" t="s">
        <v>310</v>
      </c>
    </row>
    <row r="119" spans="1:7">
      <c r="A119" s="95"/>
      <c r="B119" s="230"/>
      <c r="C119" s="102"/>
      <c r="D119" s="103"/>
      <c r="E119" s="103" t="s">
        <v>309</v>
      </c>
      <c r="F119" s="104" t="s">
        <v>307</v>
      </c>
      <c r="G119" s="109"/>
    </row>
    <row r="120" spans="1:7">
      <c r="A120" s="127"/>
      <c r="B120" s="841" t="str">
        <f>'MAQUINARIA Y EQUIPOS'!C28</f>
        <v>HERRAMIENTAS MENORES</v>
      </c>
      <c r="C120" s="842"/>
      <c r="D120" s="87">
        <v>1</v>
      </c>
      <c r="E120" s="82">
        <f>ROUND(G153*0.05,0)</f>
        <v>2249</v>
      </c>
      <c r="F120" s="81">
        <v>1</v>
      </c>
      <c r="G120" s="110">
        <f>ROUND(D120*E120/F120,0)</f>
        <v>2249</v>
      </c>
    </row>
    <row r="121" spans="1:7">
      <c r="A121" s="95"/>
      <c r="B121" s="854"/>
      <c r="C121" s="855"/>
      <c r="D121" s="37"/>
      <c r="E121" s="129"/>
      <c r="F121" s="83"/>
      <c r="G121" s="111"/>
    </row>
    <row r="122" spans="1:7">
      <c r="A122" s="95"/>
      <c r="B122" s="854"/>
      <c r="C122" s="855"/>
      <c r="D122" s="37"/>
      <c r="E122" s="129"/>
      <c r="F122" s="83"/>
      <c r="G122" s="111"/>
    </row>
    <row r="123" spans="1:7">
      <c r="A123" s="95"/>
      <c r="B123" s="854"/>
      <c r="C123" s="855"/>
      <c r="D123" s="89"/>
      <c r="E123" s="82"/>
      <c r="F123" s="83"/>
      <c r="G123" s="111"/>
    </row>
    <row r="124" spans="1:7">
      <c r="A124" s="95"/>
      <c r="B124" s="854" t="s">
        <v>841</v>
      </c>
      <c r="C124" s="855"/>
      <c r="D124" s="37"/>
      <c r="E124" s="82"/>
      <c r="F124" s="83"/>
      <c r="G124" s="111"/>
    </row>
    <row r="125" spans="1:7" ht="13.5" thickBot="1">
      <c r="A125" s="95"/>
      <c r="B125" s="942" t="s">
        <v>841</v>
      </c>
      <c r="C125" s="943"/>
      <c r="D125" s="77"/>
      <c r="E125" s="106"/>
      <c r="F125" s="86"/>
      <c r="G125" s="112"/>
    </row>
    <row r="126" spans="1:7" ht="14.25" thickTop="1" thickBot="1">
      <c r="A126" s="95"/>
      <c r="B126" s="946"/>
      <c r="C126" s="946"/>
      <c r="D126" s="946"/>
      <c r="E126" s="947"/>
      <c r="F126" s="119" t="s">
        <v>856</v>
      </c>
      <c r="G126" s="118">
        <f>SUM(G120:G125)</f>
        <v>2249</v>
      </c>
    </row>
    <row r="127" spans="1:7" ht="14.25" thickTop="1" thickBot="1">
      <c r="A127" s="95"/>
      <c r="B127" s="970"/>
      <c r="C127" s="970"/>
      <c r="D127" s="970"/>
      <c r="E127" s="970"/>
      <c r="F127" s="970"/>
      <c r="G127" s="970"/>
    </row>
    <row r="128" spans="1:7" ht="13.5" thickTop="1">
      <c r="A128" s="95"/>
      <c r="B128" s="950" t="s">
        <v>311</v>
      </c>
      <c r="C128" s="951"/>
      <c r="D128" s="951"/>
      <c r="E128" s="951"/>
      <c r="F128" s="951"/>
      <c r="G128" s="952"/>
    </row>
    <row r="129" spans="1:8">
      <c r="A129" s="95"/>
      <c r="B129" s="978" t="s">
        <v>838</v>
      </c>
      <c r="C129" s="979"/>
      <c r="D129" s="98" t="s">
        <v>842</v>
      </c>
      <c r="E129" s="98" t="s">
        <v>853</v>
      </c>
      <c r="F129" s="99" t="s">
        <v>1047</v>
      </c>
      <c r="G129" s="107" t="s">
        <v>840</v>
      </c>
    </row>
    <row r="130" spans="1:8">
      <c r="A130" s="95"/>
      <c r="B130" s="230"/>
      <c r="C130" s="102"/>
      <c r="D130" s="100"/>
      <c r="E130" s="100" t="s">
        <v>312</v>
      </c>
      <c r="F130" s="101" t="s">
        <v>313</v>
      </c>
      <c r="G130" s="108" t="s">
        <v>314</v>
      </c>
    </row>
    <row r="131" spans="1:8">
      <c r="A131" s="123"/>
      <c r="B131" s="841" t="s">
        <v>8</v>
      </c>
      <c r="C131" s="842"/>
      <c r="D131" s="87" t="s">
        <v>865</v>
      </c>
      <c r="E131" s="81">
        <v>1</v>
      </c>
      <c r="F131" s="80">
        <v>200000</v>
      </c>
      <c r="G131" s="110">
        <f>ROUND(E131*F131,0)</f>
        <v>200000</v>
      </c>
    </row>
    <row r="132" spans="1:8">
      <c r="A132" s="123"/>
      <c r="B132" s="854"/>
      <c r="C132" s="855"/>
      <c r="D132" s="37"/>
      <c r="E132" s="83"/>
      <c r="F132" s="82"/>
      <c r="G132" s="111"/>
    </row>
    <row r="133" spans="1:8">
      <c r="A133" s="123"/>
      <c r="B133" s="854"/>
      <c r="C133" s="855"/>
      <c r="D133" s="37"/>
      <c r="E133" s="83"/>
      <c r="F133" s="82"/>
      <c r="G133" s="111"/>
    </row>
    <row r="134" spans="1:8">
      <c r="A134" s="123"/>
      <c r="B134" s="854"/>
      <c r="C134" s="855"/>
      <c r="D134" s="37"/>
      <c r="E134" s="83"/>
      <c r="F134" s="82"/>
      <c r="G134" s="111"/>
    </row>
    <row r="135" spans="1:8">
      <c r="A135" s="95"/>
      <c r="B135" s="854"/>
      <c r="C135" s="855"/>
      <c r="D135" s="37"/>
      <c r="E135" s="83"/>
      <c r="F135" s="82"/>
      <c r="G135" s="111"/>
    </row>
    <row r="136" spans="1:8">
      <c r="A136" s="95"/>
      <c r="B136" s="854"/>
      <c r="C136" s="855"/>
      <c r="D136" s="37"/>
      <c r="E136" s="83"/>
      <c r="F136" s="82"/>
      <c r="G136" s="111"/>
    </row>
    <row r="137" spans="1:8">
      <c r="A137" s="95"/>
      <c r="B137" s="854"/>
      <c r="C137" s="855"/>
      <c r="D137" s="37"/>
      <c r="E137" s="83"/>
      <c r="F137" s="82"/>
      <c r="G137" s="111"/>
      <c r="H137" s="505" t="s">
        <v>1670</v>
      </c>
    </row>
    <row r="138" spans="1:8">
      <c r="A138" s="95"/>
      <c r="B138" s="938" t="s">
        <v>841</v>
      </c>
      <c r="C138" s="939"/>
      <c r="D138" s="53" t="s">
        <v>841</v>
      </c>
      <c r="E138" s="53"/>
      <c r="F138" s="82"/>
      <c r="G138" s="111"/>
    </row>
    <row r="139" spans="1:8" ht="13.5" thickBot="1">
      <c r="A139" s="95"/>
      <c r="B139" s="942" t="s">
        <v>841</v>
      </c>
      <c r="C139" s="943"/>
      <c r="D139" s="84" t="s">
        <v>841</v>
      </c>
      <c r="E139" s="84"/>
      <c r="F139" s="85"/>
      <c r="G139" s="112"/>
    </row>
    <row r="140" spans="1:8" ht="13.5" thickTop="1">
      <c r="A140" s="95"/>
      <c r="B140" s="946"/>
      <c r="C140" s="947"/>
      <c r="D140" s="801" t="s">
        <v>856</v>
      </c>
      <c r="E140" s="802"/>
      <c r="F140" s="9"/>
      <c r="G140" s="113">
        <f>SUM(G131:G139)</f>
        <v>200000</v>
      </c>
    </row>
    <row r="141" spans="1:8">
      <c r="A141" s="95"/>
      <c r="B141" s="948"/>
      <c r="C141" s="949"/>
      <c r="D141" s="801" t="s">
        <v>857</v>
      </c>
      <c r="E141" s="802"/>
      <c r="F141" s="79">
        <f>'MANO DE OBRA'!D166</f>
        <v>0</v>
      </c>
      <c r="G141" s="113">
        <f>ROUND(G140*F141,0)</f>
        <v>0</v>
      </c>
    </row>
    <row r="142" spans="1:8" ht="13.5" thickBot="1">
      <c r="A142" s="95"/>
      <c r="B142" s="948"/>
      <c r="C142" s="949"/>
      <c r="D142" s="803" t="s">
        <v>320</v>
      </c>
      <c r="E142" s="804"/>
      <c r="F142" s="114"/>
      <c r="G142" s="118">
        <f>+G140+G141</f>
        <v>200000</v>
      </c>
    </row>
    <row r="143" spans="1:8" ht="14.25" thickTop="1" thickBot="1">
      <c r="A143" s="95"/>
      <c r="B143" s="970"/>
      <c r="C143" s="970"/>
      <c r="D143" s="970"/>
      <c r="E143" s="970"/>
      <c r="F143" s="970"/>
      <c r="G143" s="970"/>
    </row>
    <row r="144" spans="1:8" ht="13.5" thickTop="1">
      <c r="A144" s="95"/>
      <c r="B144" s="950" t="s">
        <v>858</v>
      </c>
      <c r="C144" s="951"/>
      <c r="D144" s="951"/>
      <c r="E144" s="951"/>
      <c r="F144" s="951"/>
      <c r="G144" s="952"/>
    </row>
    <row r="145" spans="1:7">
      <c r="A145" s="95"/>
      <c r="B145" s="978"/>
      <c r="C145" s="979"/>
      <c r="D145" s="98" t="s">
        <v>301</v>
      </c>
      <c r="E145" s="98" t="s">
        <v>859</v>
      </c>
      <c r="F145" s="99" t="s">
        <v>839</v>
      </c>
      <c r="G145" s="107" t="s">
        <v>840</v>
      </c>
    </row>
    <row r="146" spans="1:7">
      <c r="A146" s="95"/>
      <c r="B146" s="982" t="s">
        <v>838</v>
      </c>
      <c r="C146" s="983"/>
      <c r="D146" s="100" t="s">
        <v>316</v>
      </c>
      <c r="E146" s="100" t="s">
        <v>315</v>
      </c>
      <c r="F146" s="101" t="s">
        <v>306</v>
      </c>
      <c r="G146" s="108" t="s">
        <v>319</v>
      </c>
    </row>
    <row r="147" spans="1:7">
      <c r="A147" s="95"/>
      <c r="B147" s="230"/>
      <c r="C147" s="102"/>
      <c r="D147" s="103"/>
      <c r="E147" s="103" t="s">
        <v>317</v>
      </c>
      <c r="F147" s="104" t="s">
        <v>318</v>
      </c>
      <c r="G147" s="109"/>
    </row>
    <row r="148" spans="1:7">
      <c r="A148" s="95"/>
      <c r="B148" s="841" t="str">
        <f>'MANO DE OBRA'!B13</f>
        <v>AYUDANTE CUAD. TIPO DD</v>
      </c>
      <c r="C148" s="842"/>
      <c r="D148" s="87">
        <v>1</v>
      </c>
      <c r="E148" s="80">
        <f>'MANO DE OBRA'!E13</f>
        <v>49276</v>
      </c>
      <c r="F148" s="81">
        <v>3</v>
      </c>
      <c r="G148" s="110">
        <f>ROUND(D148*E148/F148,0)</f>
        <v>16425</v>
      </c>
    </row>
    <row r="149" spans="1:7">
      <c r="A149" s="95"/>
      <c r="B149" s="854" t="str">
        <f>'MANO DE OBRA'!B18</f>
        <v>OFICIAL CUAD. TIPO DD</v>
      </c>
      <c r="C149" s="855"/>
      <c r="D149" s="37">
        <v>1</v>
      </c>
      <c r="E149" s="82">
        <f>'MANO DE OBRA'!E18</f>
        <v>85666</v>
      </c>
      <c r="F149" s="83">
        <v>3</v>
      </c>
      <c r="G149" s="111">
        <f>ROUND(D149*E149/F149,0)</f>
        <v>28555</v>
      </c>
    </row>
    <row r="150" spans="1:7">
      <c r="A150" s="95"/>
      <c r="B150" s="854"/>
      <c r="C150" s="855"/>
      <c r="D150" s="89"/>
      <c r="E150" s="82"/>
      <c r="F150" s="83"/>
      <c r="G150" s="111"/>
    </row>
    <row r="151" spans="1:7">
      <c r="A151" s="95"/>
      <c r="B151" s="854" t="s">
        <v>841</v>
      </c>
      <c r="C151" s="855"/>
      <c r="D151" s="37"/>
      <c r="E151" s="82"/>
      <c r="F151" s="83"/>
      <c r="G151" s="111"/>
    </row>
    <row r="152" spans="1:7" ht="13.5" thickBot="1">
      <c r="A152" s="95"/>
      <c r="B152" s="980" t="s">
        <v>841</v>
      </c>
      <c r="C152" s="981"/>
      <c r="D152" s="77"/>
      <c r="E152" s="82"/>
      <c r="F152" s="86"/>
      <c r="G152" s="112"/>
    </row>
    <row r="153" spans="1:7" ht="14.25" thickTop="1" thickBot="1">
      <c r="A153" s="95"/>
      <c r="B153" s="946"/>
      <c r="C153" s="946"/>
      <c r="D153" s="946"/>
      <c r="E153" s="947"/>
      <c r="F153" s="120" t="s">
        <v>856</v>
      </c>
      <c r="G153" s="118">
        <f>SUM(G148:G152)</f>
        <v>44980</v>
      </c>
    </row>
    <row r="154" spans="1:7" ht="14.25" thickTop="1" thickBot="1">
      <c r="A154" s="95"/>
      <c r="B154" s="970"/>
      <c r="C154" s="970"/>
      <c r="D154" s="970"/>
      <c r="E154" s="970"/>
      <c r="F154" s="970"/>
      <c r="G154" s="970"/>
    </row>
    <row r="155" spans="1:7" ht="13.5" thickTop="1">
      <c r="A155" s="95"/>
      <c r="B155" s="950" t="s">
        <v>321</v>
      </c>
      <c r="C155" s="951"/>
      <c r="D155" s="951"/>
      <c r="E155" s="951"/>
      <c r="F155" s="951"/>
      <c r="G155" s="952"/>
    </row>
    <row r="156" spans="1:7">
      <c r="A156" s="95"/>
      <c r="B156" s="978" t="s">
        <v>838</v>
      </c>
      <c r="C156" s="979"/>
      <c r="D156" s="98" t="s">
        <v>301</v>
      </c>
      <c r="E156" s="98" t="s">
        <v>297</v>
      </c>
      <c r="F156" s="99" t="s">
        <v>839</v>
      </c>
      <c r="G156" s="107" t="s">
        <v>840</v>
      </c>
    </row>
    <row r="157" spans="1:7">
      <c r="A157" s="95"/>
      <c r="B157" s="230"/>
      <c r="C157" s="102"/>
      <c r="D157" s="103" t="s">
        <v>322</v>
      </c>
      <c r="E157" s="103" t="s">
        <v>323</v>
      </c>
      <c r="F157" s="104" t="s">
        <v>324</v>
      </c>
      <c r="G157" s="109" t="s">
        <v>325</v>
      </c>
    </row>
    <row r="158" spans="1:7">
      <c r="A158" s="95"/>
      <c r="B158" s="841"/>
      <c r="C158" s="842"/>
      <c r="D158" s="96"/>
      <c r="E158" s="96"/>
      <c r="F158" s="96"/>
      <c r="G158" s="116"/>
    </row>
    <row r="159" spans="1:7" ht="13.5" thickBot="1">
      <c r="A159" s="95"/>
      <c r="B159" s="980" t="s">
        <v>841</v>
      </c>
      <c r="C159" s="981"/>
      <c r="D159" s="77"/>
      <c r="E159" s="82"/>
      <c r="F159" s="86"/>
      <c r="G159" s="112"/>
    </row>
    <row r="160" spans="1:7" ht="14.25" thickTop="1" thickBot="1">
      <c r="A160" s="95"/>
      <c r="B160" s="946"/>
      <c r="C160" s="946"/>
      <c r="D160" s="946"/>
      <c r="E160" s="947"/>
      <c r="F160" s="120" t="s">
        <v>856</v>
      </c>
      <c r="G160" s="118">
        <f>SUM(G155:G159)</f>
        <v>0</v>
      </c>
    </row>
    <row r="161" spans="1:8" ht="14.25" thickTop="1" thickBot="1">
      <c r="A161" s="95"/>
      <c r="B161" s="970"/>
      <c r="C161" s="970"/>
      <c r="D161" s="970"/>
      <c r="E161" s="970"/>
      <c r="F161" s="970"/>
      <c r="G161" s="943"/>
    </row>
    <row r="162" spans="1:8" ht="13.5" thickTop="1">
      <c r="A162" s="95"/>
      <c r="B162" s="950" t="s">
        <v>326</v>
      </c>
      <c r="C162" s="951"/>
      <c r="D162" s="951"/>
      <c r="E162" s="951"/>
      <c r="F162" s="971"/>
      <c r="G162" s="121">
        <f>+G126+G142+G153</f>
        <v>247229</v>
      </c>
    </row>
    <row r="163" spans="1:8">
      <c r="A163" s="95"/>
      <c r="B163" s="972" t="s">
        <v>861</v>
      </c>
      <c r="C163" s="973"/>
      <c r="D163" s="973"/>
      <c r="E163" s="974"/>
      <c r="F163" s="128">
        <f>'MANO DE OBRA'!D165</f>
        <v>0</v>
      </c>
      <c r="G163" s="122">
        <f>ROUND(G162*F163,0)</f>
        <v>0</v>
      </c>
    </row>
    <row r="164" spans="1:8" ht="13.5" thickBot="1">
      <c r="A164" s="95"/>
      <c r="B164" s="975" t="s">
        <v>1049</v>
      </c>
      <c r="C164" s="976"/>
      <c r="D164" s="976"/>
      <c r="E164" s="976"/>
      <c r="F164" s="977"/>
      <c r="G164" s="118">
        <f>ROUND(G162+G163,-2)</f>
        <v>247200</v>
      </c>
      <c r="H164" s="505" t="s">
        <v>1670</v>
      </c>
    </row>
    <row r="165" spans="1:8" ht="13.5" thickTop="1">
      <c r="A165" s="95"/>
      <c r="B165" s="225" t="s">
        <v>303</v>
      </c>
      <c r="C165" s="843"/>
      <c r="D165" s="843"/>
      <c r="E165" s="843"/>
      <c r="F165" s="92" t="s">
        <v>781</v>
      </c>
      <c r="G165" s="93" t="s">
        <v>865</v>
      </c>
    </row>
    <row r="166" spans="1:8">
      <c r="A166" s="95"/>
      <c r="B166" s="226" t="s">
        <v>834</v>
      </c>
      <c r="C166" s="844" t="s">
        <v>1483</v>
      </c>
      <c r="D166" s="844"/>
      <c r="E166" s="844"/>
      <c r="F166" s="15" t="s">
        <v>833</v>
      </c>
      <c r="G166" s="165" t="str">
        <f>'MANO DE OBRA'!D61</f>
        <v>Agosto de 2010</v>
      </c>
    </row>
    <row r="167" spans="1:8" ht="13.5" thickBot="1">
      <c r="A167" s="127"/>
      <c r="B167" s="228" t="s">
        <v>835</v>
      </c>
      <c r="C167" s="1001" t="s">
        <v>1484</v>
      </c>
      <c r="D167" s="1001"/>
      <c r="E167" s="1001"/>
      <c r="F167" s="1001"/>
      <c r="G167" s="1002"/>
    </row>
    <row r="168" spans="1:8" ht="14.25" thickTop="1" thickBot="1">
      <c r="A168" s="95"/>
      <c r="B168" s="986"/>
      <c r="C168" s="986"/>
      <c r="D168" s="986"/>
      <c r="E168" s="986"/>
      <c r="F168" s="986"/>
      <c r="G168" s="986"/>
    </row>
    <row r="169" spans="1:8" ht="13.5" thickTop="1">
      <c r="A169" s="95"/>
      <c r="B169" s="950" t="s">
        <v>304</v>
      </c>
      <c r="C169" s="951"/>
      <c r="D169" s="951"/>
      <c r="E169" s="951"/>
      <c r="F169" s="951"/>
      <c r="G169" s="952"/>
    </row>
    <row r="170" spans="1:8">
      <c r="A170" s="95"/>
      <c r="B170" s="229"/>
      <c r="C170" s="97"/>
      <c r="D170" s="98" t="s">
        <v>301</v>
      </c>
      <c r="E170" s="98" t="s">
        <v>1072</v>
      </c>
      <c r="F170" s="99" t="s">
        <v>839</v>
      </c>
      <c r="G170" s="107" t="s">
        <v>840</v>
      </c>
    </row>
    <row r="171" spans="1:8">
      <c r="A171" s="95"/>
      <c r="B171" s="982" t="s">
        <v>838</v>
      </c>
      <c r="C171" s="983"/>
      <c r="D171" s="100" t="s">
        <v>308</v>
      </c>
      <c r="E171" s="100" t="s">
        <v>305</v>
      </c>
      <c r="F171" s="101" t="s">
        <v>306</v>
      </c>
      <c r="G171" s="108" t="s">
        <v>310</v>
      </c>
    </row>
    <row r="172" spans="1:8">
      <c r="A172" s="95"/>
      <c r="B172" s="230"/>
      <c r="C172" s="102"/>
      <c r="D172" s="103"/>
      <c r="E172" s="103" t="s">
        <v>309</v>
      </c>
      <c r="F172" s="104" t="s">
        <v>307</v>
      </c>
      <c r="G172" s="109"/>
    </row>
    <row r="173" spans="1:8">
      <c r="A173" s="127"/>
      <c r="B173" s="841" t="str">
        <f>'MAQUINARIA Y EQUIPOS'!C28</f>
        <v>HERRAMIENTAS MENORES</v>
      </c>
      <c r="C173" s="842"/>
      <c r="D173" s="87">
        <v>1</v>
      </c>
      <c r="E173" s="82">
        <f>ROUND(G206*0.05,0)</f>
        <v>590</v>
      </c>
      <c r="F173" s="81">
        <v>1</v>
      </c>
      <c r="G173" s="110">
        <f>ROUND(D173*E173/F173,0)</f>
        <v>590</v>
      </c>
    </row>
    <row r="174" spans="1:8">
      <c r="A174" s="95"/>
      <c r="B174" s="854"/>
      <c r="C174" s="855"/>
      <c r="D174" s="37"/>
      <c r="E174" s="129"/>
      <c r="F174" s="83"/>
      <c r="G174" s="111"/>
    </row>
    <row r="175" spans="1:8">
      <c r="A175" s="95"/>
      <c r="B175" s="854"/>
      <c r="C175" s="855"/>
      <c r="D175" s="37"/>
      <c r="E175" s="129"/>
      <c r="F175" s="83"/>
      <c r="G175" s="111"/>
    </row>
    <row r="176" spans="1:8">
      <c r="A176" s="95"/>
      <c r="B176" s="854"/>
      <c r="C176" s="855"/>
      <c r="D176" s="89"/>
      <c r="E176" s="82"/>
      <c r="F176" s="83"/>
      <c r="G176" s="111"/>
    </row>
    <row r="177" spans="1:8">
      <c r="A177" s="95"/>
      <c r="B177" s="854" t="s">
        <v>841</v>
      </c>
      <c r="C177" s="855"/>
      <c r="D177" s="37"/>
      <c r="E177" s="82"/>
      <c r="F177" s="83"/>
      <c r="G177" s="111"/>
    </row>
    <row r="178" spans="1:8" ht="13.5" thickBot="1">
      <c r="A178" s="95"/>
      <c r="B178" s="942" t="s">
        <v>841</v>
      </c>
      <c r="C178" s="943"/>
      <c r="D178" s="77"/>
      <c r="E178" s="106"/>
      <c r="F178" s="86"/>
      <c r="G178" s="112"/>
    </row>
    <row r="179" spans="1:8" ht="14.25" thickTop="1" thickBot="1">
      <c r="A179" s="95"/>
      <c r="B179" s="946"/>
      <c r="C179" s="946"/>
      <c r="D179" s="946"/>
      <c r="E179" s="947"/>
      <c r="F179" s="119" t="s">
        <v>856</v>
      </c>
      <c r="G179" s="118">
        <f>SUM(G173:G178)</f>
        <v>590</v>
      </c>
    </row>
    <row r="180" spans="1:8" ht="14.25" thickTop="1" thickBot="1">
      <c r="A180" s="95"/>
      <c r="B180" s="970"/>
      <c r="C180" s="970"/>
      <c r="D180" s="970"/>
      <c r="E180" s="970"/>
      <c r="F180" s="970"/>
      <c r="G180" s="970"/>
    </row>
    <row r="181" spans="1:8" ht="13.5" thickTop="1">
      <c r="A181" s="95"/>
      <c r="B181" s="950" t="s">
        <v>311</v>
      </c>
      <c r="C181" s="951"/>
      <c r="D181" s="951"/>
      <c r="E181" s="951"/>
      <c r="F181" s="951"/>
      <c r="G181" s="952"/>
    </row>
    <row r="182" spans="1:8">
      <c r="A182" s="95"/>
      <c r="B182" s="978" t="s">
        <v>838</v>
      </c>
      <c r="C182" s="979"/>
      <c r="D182" s="98" t="s">
        <v>842</v>
      </c>
      <c r="E182" s="98" t="s">
        <v>853</v>
      </c>
      <c r="F182" s="99" t="s">
        <v>1047</v>
      </c>
      <c r="G182" s="107" t="s">
        <v>840</v>
      </c>
    </row>
    <row r="183" spans="1:8">
      <c r="A183" s="95"/>
      <c r="B183" s="230"/>
      <c r="C183" s="102"/>
      <c r="D183" s="100"/>
      <c r="E183" s="100" t="s">
        <v>312</v>
      </c>
      <c r="F183" s="101" t="s">
        <v>313</v>
      </c>
      <c r="G183" s="108" t="s">
        <v>314</v>
      </c>
    </row>
    <row r="184" spans="1:8">
      <c r="A184" s="123"/>
      <c r="B184" s="841" t="str">
        <f>MATERIALES2!C182</f>
        <v>PUERTA FORTEC 0.90x2.00 M</v>
      </c>
      <c r="C184" s="842"/>
      <c r="D184" s="87" t="s">
        <v>865</v>
      </c>
      <c r="E184" s="81">
        <v>1</v>
      </c>
      <c r="F184" s="80">
        <f>MATERIALES2!E182</f>
        <v>110000</v>
      </c>
      <c r="G184" s="110">
        <f>ROUND(E184*F184,0)</f>
        <v>110000</v>
      </c>
    </row>
    <row r="185" spans="1:8">
      <c r="A185" s="123"/>
      <c r="B185" s="854"/>
      <c r="C185" s="855"/>
      <c r="D185" s="37"/>
      <c r="E185" s="83"/>
      <c r="F185" s="82"/>
      <c r="G185" s="111"/>
    </row>
    <row r="186" spans="1:8">
      <c r="A186" s="123"/>
      <c r="B186" s="854"/>
      <c r="C186" s="855"/>
      <c r="D186" s="37"/>
      <c r="E186" s="83"/>
      <c r="F186" s="82"/>
      <c r="G186" s="111"/>
    </row>
    <row r="187" spans="1:8">
      <c r="A187" s="123"/>
      <c r="B187" s="854"/>
      <c r="C187" s="855"/>
      <c r="D187" s="37"/>
      <c r="E187" s="83"/>
      <c r="F187" s="82"/>
      <c r="G187" s="111"/>
    </row>
    <row r="188" spans="1:8">
      <c r="A188" s="95"/>
      <c r="B188" s="854"/>
      <c r="C188" s="855"/>
      <c r="D188" s="37"/>
      <c r="E188" s="83"/>
      <c r="F188" s="82"/>
      <c r="G188" s="111"/>
    </row>
    <row r="189" spans="1:8">
      <c r="A189" s="95"/>
      <c r="B189" s="854"/>
      <c r="C189" s="855"/>
      <c r="D189" s="37"/>
      <c r="E189" s="83"/>
      <c r="F189" s="82"/>
      <c r="G189" s="111"/>
    </row>
    <row r="190" spans="1:8">
      <c r="A190" s="95"/>
      <c r="B190" s="854"/>
      <c r="C190" s="855"/>
      <c r="D190" s="37"/>
      <c r="E190" s="83"/>
      <c r="F190" s="82"/>
      <c r="G190" s="111"/>
      <c r="H190" s="505" t="s">
        <v>1670</v>
      </c>
    </row>
    <row r="191" spans="1:8">
      <c r="A191" s="95"/>
      <c r="B191" s="938" t="s">
        <v>841</v>
      </c>
      <c r="C191" s="939"/>
      <c r="D191" s="53" t="s">
        <v>841</v>
      </c>
      <c r="E191" s="53"/>
      <c r="F191" s="82"/>
      <c r="G191" s="111"/>
    </row>
    <row r="192" spans="1:8" ht="13.5" thickBot="1">
      <c r="A192" s="95"/>
      <c r="B192" s="942" t="s">
        <v>841</v>
      </c>
      <c r="C192" s="943"/>
      <c r="D192" s="84" t="s">
        <v>841</v>
      </c>
      <c r="E192" s="84"/>
      <c r="F192" s="85"/>
      <c r="G192" s="112"/>
    </row>
    <row r="193" spans="1:7" ht="13.5" thickTop="1">
      <c r="A193" s="95"/>
      <c r="B193" s="946"/>
      <c r="C193" s="947"/>
      <c r="D193" s="801" t="s">
        <v>856</v>
      </c>
      <c r="E193" s="802"/>
      <c r="F193" s="9"/>
      <c r="G193" s="113">
        <f>SUM(G184:G192)</f>
        <v>110000</v>
      </c>
    </row>
    <row r="194" spans="1:7">
      <c r="A194" s="95"/>
      <c r="B194" s="948"/>
      <c r="C194" s="949"/>
      <c r="D194" s="801" t="s">
        <v>857</v>
      </c>
      <c r="E194" s="802"/>
      <c r="F194" s="79">
        <f>'MANO DE OBRA'!D60</f>
        <v>0.05</v>
      </c>
      <c r="G194" s="113">
        <f>ROUND(G193*F194,0)</f>
        <v>5500</v>
      </c>
    </row>
    <row r="195" spans="1:7" ht="13.5" thickBot="1">
      <c r="A195" s="95"/>
      <c r="B195" s="948"/>
      <c r="C195" s="949"/>
      <c r="D195" s="803" t="s">
        <v>320</v>
      </c>
      <c r="E195" s="804"/>
      <c r="F195" s="114"/>
      <c r="G195" s="118">
        <f>+G193+G194</f>
        <v>115500</v>
      </c>
    </row>
    <row r="196" spans="1:7" ht="14.25" thickTop="1" thickBot="1">
      <c r="A196" s="95"/>
      <c r="B196" s="970"/>
      <c r="C196" s="970"/>
      <c r="D196" s="970"/>
      <c r="E196" s="970"/>
      <c r="F196" s="970"/>
      <c r="G196" s="970"/>
    </row>
    <row r="197" spans="1:7" ht="13.5" thickTop="1">
      <c r="A197" s="95"/>
      <c r="B197" s="950" t="s">
        <v>858</v>
      </c>
      <c r="C197" s="951"/>
      <c r="D197" s="951"/>
      <c r="E197" s="951"/>
      <c r="F197" s="951"/>
      <c r="G197" s="952"/>
    </row>
    <row r="198" spans="1:7">
      <c r="A198" s="95"/>
      <c r="B198" s="978"/>
      <c r="C198" s="979"/>
      <c r="D198" s="98" t="s">
        <v>301</v>
      </c>
      <c r="E198" s="98" t="s">
        <v>859</v>
      </c>
      <c r="F198" s="99" t="s">
        <v>839</v>
      </c>
      <c r="G198" s="107" t="s">
        <v>840</v>
      </c>
    </row>
    <row r="199" spans="1:7">
      <c r="A199" s="95"/>
      <c r="B199" s="982" t="s">
        <v>838</v>
      </c>
      <c r="C199" s="983"/>
      <c r="D199" s="100" t="s">
        <v>316</v>
      </c>
      <c r="E199" s="100" t="s">
        <v>315</v>
      </c>
      <c r="F199" s="101" t="s">
        <v>306</v>
      </c>
      <c r="G199" s="108" t="s">
        <v>319</v>
      </c>
    </row>
    <row r="200" spans="1:7">
      <c r="A200" s="95"/>
      <c r="B200" s="230"/>
      <c r="C200" s="102"/>
      <c r="D200" s="103"/>
      <c r="E200" s="103" t="s">
        <v>317</v>
      </c>
      <c r="F200" s="104" t="s">
        <v>318</v>
      </c>
      <c r="G200" s="109"/>
    </row>
    <row r="201" spans="1:7">
      <c r="A201" s="95"/>
      <c r="B201" s="841" t="str">
        <f>'MANO DE OBRA'!B13</f>
        <v>AYUDANTE CUAD. TIPO DD</v>
      </c>
      <c r="C201" s="842"/>
      <c r="D201" s="87">
        <v>1</v>
      </c>
      <c r="E201" s="80">
        <f>'MANO DE OBRA'!E13</f>
        <v>49276</v>
      </c>
      <c r="F201" s="81">
        <v>11.43</v>
      </c>
      <c r="G201" s="110">
        <f>ROUND(D201*E201/F201,0)</f>
        <v>4311</v>
      </c>
    </row>
    <row r="202" spans="1:7">
      <c r="A202" s="95"/>
      <c r="B202" s="854" t="str">
        <f>'MANO DE OBRA'!B18</f>
        <v>OFICIAL CUAD. TIPO DD</v>
      </c>
      <c r="C202" s="855"/>
      <c r="D202" s="37">
        <v>1</v>
      </c>
      <c r="E202" s="82">
        <f>'MANO DE OBRA'!E18</f>
        <v>85666</v>
      </c>
      <c r="F202" s="83">
        <v>11.43</v>
      </c>
      <c r="G202" s="111">
        <f>ROUND(D202*E202/F202,0)</f>
        <v>7495</v>
      </c>
    </row>
    <row r="203" spans="1:7">
      <c r="A203" s="95"/>
      <c r="B203" s="854"/>
      <c r="C203" s="855"/>
      <c r="D203" s="89"/>
      <c r="E203" s="82"/>
      <c r="F203" s="83"/>
      <c r="G203" s="111"/>
    </row>
    <row r="204" spans="1:7">
      <c r="A204" s="95"/>
      <c r="B204" s="854" t="s">
        <v>841</v>
      </c>
      <c r="C204" s="855"/>
      <c r="D204" s="37"/>
      <c r="E204" s="82"/>
      <c r="F204" s="83"/>
      <c r="G204" s="111"/>
    </row>
    <row r="205" spans="1:7" ht="13.5" thickBot="1">
      <c r="A205" s="95"/>
      <c r="B205" s="980" t="s">
        <v>841</v>
      </c>
      <c r="C205" s="981"/>
      <c r="D205" s="77"/>
      <c r="E205" s="82"/>
      <c r="F205" s="86"/>
      <c r="G205" s="112"/>
    </row>
    <row r="206" spans="1:7" ht="14.25" thickTop="1" thickBot="1">
      <c r="A206" s="95"/>
      <c r="B206" s="946"/>
      <c r="C206" s="946"/>
      <c r="D206" s="946"/>
      <c r="E206" s="947"/>
      <c r="F206" s="120" t="s">
        <v>856</v>
      </c>
      <c r="G206" s="118">
        <f>SUM(G201:G205)</f>
        <v>11806</v>
      </c>
    </row>
    <row r="207" spans="1:7" ht="14.25" thickTop="1" thickBot="1">
      <c r="A207" s="95"/>
      <c r="B207" s="970"/>
      <c r="C207" s="970"/>
      <c r="D207" s="970"/>
      <c r="E207" s="970"/>
      <c r="F207" s="970"/>
      <c r="G207" s="970"/>
    </row>
    <row r="208" spans="1:7" ht="13.5" thickTop="1">
      <c r="A208" s="95"/>
      <c r="B208" s="950" t="s">
        <v>321</v>
      </c>
      <c r="C208" s="951"/>
      <c r="D208" s="951"/>
      <c r="E208" s="951"/>
      <c r="F208" s="951"/>
      <c r="G208" s="952"/>
    </row>
    <row r="209" spans="1:8">
      <c r="A209" s="95"/>
      <c r="B209" s="978" t="s">
        <v>838</v>
      </c>
      <c r="C209" s="979"/>
      <c r="D209" s="98" t="s">
        <v>301</v>
      </c>
      <c r="E209" s="98" t="s">
        <v>297</v>
      </c>
      <c r="F209" s="99" t="s">
        <v>839</v>
      </c>
      <c r="G209" s="107" t="s">
        <v>840</v>
      </c>
    </row>
    <row r="210" spans="1:8">
      <c r="A210" s="95"/>
      <c r="B210" s="230"/>
      <c r="C210" s="102"/>
      <c r="D210" s="103" t="s">
        <v>322</v>
      </c>
      <c r="E210" s="103" t="s">
        <v>323</v>
      </c>
      <c r="F210" s="104" t="s">
        <v>324</v>
      </c>
      <c r="G210" s="109" t="s">
        <v>325</v>
      </c>
    </row>
    <row r="211" spans="1:8">
      <c r="A211" s="95"/>
      <c r="B211" s="841"/>
      <c r="C211" s="842"/>
      <c r="D211" s="96"/>
      <c r="E211" s="96"/>
      <c r="F211" s="96"/>
      <c r="G211" s="116"/>
    </row>
    <row r="212" spans="1:8" ht="13.5" thickBot="1">
      <c r="A212" s="95"/>
      <c r="B212" s="980" t="s">
        <v>841</v>
      </c>
      <c r="C212" s="981"/>
      <c r="D212" s="77"/>
      <c r="E212" s="82"/>
      <c r="F212" s="86"/>
      <c r="G212" s="112"/>
    </row>
    <row r="213" spans="1:8" ht="14.25" thickTop="1" thickBot="1">
      <c r="A213" s="95"/>
      <c r="B213" s="946"/>
      <c r="C213" s="946"/>
      <c r="D213" s="946"/>
      <c r="E213" s="947"/>
      <c r="F213" s="120" t="s">
        <v>856</v>
      </c>
      <c r="G213" s="118">
        <f>SUM(G208:G212)</f>
        <v>0</v>
      </c>
    </row>
    <row r="214" spans="1:8" ht="14.25" thickTop="1" thickBot="1">
      <c r="A214" s="95"/>
      <c r="B214" s="970"/>
      <c r="C214" s="970"/>
      <c r="D214" s="970"/>
      <c r="E214" s="970"/>
      <c r="F214" s="970"/>
      <c r="G214" s="943"/>
    </row>
    <row r="215" spans="1:8" ht="13.5" thickTop="1">
      <c r="A215" s="95"/>
      <c r="B215" s="950" t="s">
        <v>326</v>
      </c>
      <c r="C215" s="951"/>
      <c r="D215" s="951"/>
      <c r="E215" s="951"/>
      <c r="F215" s="971"/>
      <c r="G215" s="121">
        <f>+G179+G195+G206</f>
        <v>127896</v>
      </c>
    </row>
    <row r="216" spans="1:8">
      <c r="A216" s="95"/>
      <c r="B216" s="972" t="s">
        <v>861</v>
      </c>
      <c r="C216" s="973"/>
      <c r="D216" s="973"/>
      <c r="E216" s="974"/>
      <c r="F216" s="128">
        <f>'MANO DE OBRA'!D59</f>
        <v>0</v>
      </c>
      <c r="G216" s="122">
        <f>ROUND(G215*F216,0)</f>
        <v>0</v>
      </c>
    </row>
    <row r="217" spans="1:8" ht="13.5" thickBot="1">
      <c r="A217" s="95"/>
      <c r="B217" s="975" t="s">
        <v>1049</v>
      </c>
      <c r="C217" s="976"/>
      <c r="D217" s="976"/>
      <c r="E217" s="976"/>
      <c r="F217" s="977"/>
      <c r="G217" s="118">
        <f>ROUND(G215+G216,-2)</f>
        <v>127900</v>
      </c>
      <c r="H217" s="505" t="s">
        <v>1670</v>
      </c>
    </row>
    <row r="218" spans="1:8" ht="13.5" thickTop="1">
      <c r="A218" s="95"/>
      <c r="B218" s="225" t="s">
        <v>303</v>
      </c>
      <c r="C218" s="843"/>
      <c r="D218" s="843"/>
      <c r="E218" s="843"/>
      <c r="F218" s="92" t="s">
        <v>781</v>
      </c>
      <c r="G218" s="93" t="s">
        <v>865</v>
      </c>
    </row>
    <row r="219" spans="1:8">
      <c r="A219" s="95"/>
      <c r="B219" s="226" t="s">
        <v>834</v>
      </c>
      <c r="C219" s="844" t="s">
        <v>1483</v>
      </c>
      <c r="D219" s="844"/>
      <c r="E219" s="844"/>
      <c r="F219" s="15" t="s">
        <v>833</v>
      </c>
      <c r="G219" s="165" t="str">
        <f>'MANO DE OBRA'!D61</f>
        <v>Agosto de 2010</v>
      </c>
    </row>
    <row r="220" spans="1:8" ht="13.5" thickBot="1">
      <c r="A220" s="127"/>
      <c r="B220" s="228" t="s">
        <v>835</v>
      </c>
      <c r="C220" s="1001" t="s">
        <v>1485</v>
      </c>
      <c r="D220" s="1001"/>
      <c r="E220" s="1001"/>
      <c r="F220" s="1001"/>
      <c r="G220" s="1002"/>
    </row>
    <row r="221" spans="1:8" ht="14.25" thickTop="1" thickBot="1">
      <c r="A221" s="95"/>
      <c r="B221" s="986"/>
      <c r="C221" s="986"/>
      <c r="D221" s="986"/>
      <c r="E221" s="986"/>
      <c r="F221" s="986"/>
      <c r="G221" s="986"/>
    </row>
    <row r="222" spans="1:8" ht="13.5" thickTop="1">
      <c r="A222" s="95"/>
      <c r="B222" s="950" t="s">
        <v>304</v>
      </c>
      <c r="C222" s="951"/>
      <c r="D222" s="951"/>
      <c r="E222" s="951"/>
      <c r="F222" s="951"/>
      <c r="G222" s="952"/>
    </row>
    <row r="223" spans="1:8">
      <c r="A223" s="95"/>
      <c r="B223" s="229"/>
      <c r="C223" s="97"/>
      <c r="D223" s="98" t="s">
        <v>301</v>
      </c>
      <c r="E223" s="98" t="s">
        <v>1072</v>
      </c>
      <c r="F223" s="99" t="s">
        <v>839</v>
      </c>
      <c r="G223" s="107" t="s">
        <v>840</v>
      </c>
    </row>
    <row r="224" spans="1:8">
      <c r="A224" s="95"/>
      <c r="B224" s="982" t="s">
        <v>838</v>
      </c>
      <c r="C224" s="983"/>
      <c r="D224" s="100" t="s">
        <v>308</v>
      </c>
      <c r="E224" s="100" t="s">
        <v>305</v>
      </c>
      <c r="F224" s="101" t="s">
        <v>306</v>
      </c>
      <c r="G224" s="108" t="s">
        <v>310</v>
      </c>
    </row>
    <row r="225" spans="1:7">
      <c r="A225" s="95"/>
      <c r="B225" s="230"/>
      <c r="C225" s="102"/>
      <c r="D225" s="103"/>
      <c r="E225" s="103" t="s">
        <v>309</v>
      </c>
      <c r="F225" s="104" t="s">
        <v>307</v>
      </c>
      <c r="G225" s="109"/>
    </row>
    <row r="226" spans="1:7">
      <c r="A226" s="127"/>
      <c r="B226" s="841" t="str">
        <f>'MAQUINARIA Y EQUIPOS'!C28</f>
        <v>HERRAMIENTAS MENORES</v>
      </c>
      <c r="C226" s="842"/>
      <c r="D226" s="87">
        <v>1</v>
      </c>
      <c r="E226" s="82">
        <f>ROUND(G259*0.05,0)</f>
        <v>590</v>
      </c>
      <c r="F226" s="81">
        <v>1</v>
      </c>
      <c r="G226" s="110">
        <f>ROUND(D226*E226/F226,0)</f>
        <v>590</v>
      </c>
    </row>
    <row r="227" spans="1:7">
      <c r="A227" s="95"/>
      <c r="B227" s="854"/>
      <c r="C227" s="855"/>
      <c r="D227" s="37"/>
      <c r="E227" s="129"/>
      <c r="F227" s="83"/>
      <c r="G227" s="111"/>
    </row>
    <row r="228" spans="1:7">
      <c r="A228" s="95"/>
      <c r="B228" s="854"/>
      <c r="C228" s="855"/>
      <c r="D228" s="37"/>
      <c r="E228" s="129"/>
      <c r="F228" s="83"/>
      <c r="G228" s="111"/>
    </row>
    <row r="229" spans="1:7">
      <c r="A229" s="95"/>
      <c r="B229" s="854"/>
      <c r="C229" s="855"/>
      <c r="D229" s="89"/>
      <c r="E229" s="82"/>
      <c r="F229" s="83"/>
      <c r="G229" s="111"/>
    </row>
    <row r="230" spans="1:7">
      <c r="A230" s="95"/>
      <c r="B230" s="854" t="s">
        <v>841</v>
      </c>
      <c r="C230" s="855"/>
      <c r="D230" s="37"/>
      <c r="E230" s="82"/>
      <c r="F230" s="83"/>
      <c r="G230" s="111"/>
    </row>
    <row r="231" spans="1:7" ht="13.5" thickBot="1">
      <c r="A231" s="95"/>
      <c r="B231" s="942" t="s">
        <v>841</v>
      </c>
      <c r="C231" s="943"/>
      <c r="D231" s="77"/>
      <c r="E231" s="106"/>
      <c r="F231" s="86"/>
      <c r="G231" s="112"/>
    </row>
    <row r="232" spans="1:7" ht="14.25" thickTop="1" thickBot="1">
      <c r="A232" s="95"/>
      <c r="B232" s="946"/>
      <c r="C232" s="946"/>
      <c r="D232" s="946"/>
      <c r="E232" s="947"/>
      <c r="F232" s="119" t="s">
        <v>856</v>
      </c>
      <c r="G232" s="118">
        <f>SUM(G226:G231)</f>
        <v>590</v>
      </c>
    </row>
    <row r="233" spans="1:7" ht="14.25" thickTop="1" thickBot="1">
      <c r="A233" s="95"/>
      <c r="B233" s="970"/>
      <c r="C233" s="970"/>
      <c r="D233" s="970"/>
      <c r="E233" s="970"/>
      <c r="F233" s="970"/>
      <c r="G233" s="970"/>
    </row>
    <row r="234" spans="1:7" ht="13.5" thickTop="1">
      <c r="A234" s="95"/>
      <c r="B234" s="950" t="s">
        <v>311</v>
      </c>
      <c r="C234" s="951"/>
      <c r="D234" s="951"/>
      <c r="E234" s="951"/>
      <c r="F234" s="951"/>
      <c r="G234" s="952"/>
    </row>
    <row r="235" spans="1:7">
      <c r="A235" s="95"/>
      <c r="B235" s="978" t="s">
        <v>838</v>
      </c>
      <c r="C235" s="979"/>
      <c r="D235" s="98" t="s">
        <v>842</v>
      </c>
      <c r="E235" s="98" t="s">
        <v>853</v>
      </c>
      <c r="F235" s="99" t="s">
        <v>1047</v>
      </c>
      <c r="G235" s="107" t="s">
        <v>840</v>
      </c>
    </row>
    <row r="236" spans="1:7">
      <c r="A236" s="95"/>
      <c r="B236" s="230"/>
      <c r="C236" s="102"/>
      <c r="D236" s="100"/>
      <c r="E236" s="100" t="s">
        <v>312</v>
      </c>
      <c r="F236" s="101" t="s">
        <v>313</v>
      </c>
      <c r="G236" s="108" t="s">
        <v>314</v>
      </c>
    </row>
    <row r="237" spans="1:7">
      <c r="A237" s="123"/>
      <c r="B237" s="841" t="str">
        <f>MATERIALES2!C183</f>
        <v>PUERTA FORTEC 1.00x2.00 M</v>
      </c>
      <c r="C237" s="842"/>
      <c r="D237" s="87" t="s">
        <v>865</v>
      </c>
      <c r="E237" s="81">
        <v>1</v>
      </c>
      <c r="F237" s="80">
        <f>MATERIALES2!E183</f>
        <v>120000</v>
      </c>
      <c r="G237" s="110">
        <f>ROUND(E237*F237,0)</f>
        <v>120000</v>
      </c>
    </row>
    <row r="238" spans="1:7">
      <c r="A238" s="123"/>
      <c r="B238" s="854"/>
      <c r="C238" s="855"/>
      <c r="D238" s="37"/>
      <c r="E238" s="83"/>
      <c r="F238" s="82"/>
      <c r="G238" s="111"/>
    </row>
    <row r="239" spans="1:7">
      <c r="A239" s="123"/>
      <c r="B239" s="854"/>
      <c r="C239" s="855"/>
      <c r="D239" s="37"/>
      <c r="E239" s="83"/>
      <c r="F239" s="82"/>
      <c r="G239" s="111"/>
    </row>
    <row r="240" spans="1:7">
      <c r="A240" s="123"/>
      <c r="B240" s="854"/>
      <c r="C240" s="855"/>
      <c r="D240" s="37"/>
      <c r="E240" s="83"/>
      <c r="F240" s="82"/>
      <c r="G240" s="111"/>
    </row>
    <row r="241" spans="1:8">
      <c r="A241" s="95"/>
      <c r="B241" s="854"/>
      <c r="C241" s="855"/>
      <c r="D241" s="37"/>
      <c r="E241" s="83"/>
      <c r="F241" s="82"/>
      <c r="G241" s="111"/>
    </row>
    <row r="242" spans="1:8">
      <c r="A242" s="95"/>
      <c r="B242" s="854"/>
      <c r="C242" s="855"/>
      <c r="D242" s="37"/>
      <c r="E242" s="83"/>
      <c r="F242" s="82"/>
      <c r="G242" s="111"/>
    </row>
    <row r="243" spans="1:8">
      <c r="A243" s="95"/>
      <c r="B243" s="854"/>
      <c r="C243" s="855"/>
      <c r="D243" s="37"/>
      <c r="E243" s="83"/>
      <c r="F243" s="82"/>
      <c r="G243" s="111"/>
      <c r="H243" s="505" t="s">
        <v>1670</v>
      </c>
    </row>
    <row r="244" spans="1:8">
      <c r="A244" s="95"/>
      <c r="B244" s="938" t="s">
        <v>841</v>
      </c>
      <c r="C244" s="939"/>
      <c r="D244" s="53" t="s">
        <v>841</v>
      </c>
      <c r="E244" s="53"/>
      <c r="F244" s="82"/>
      <c r="G244" s="111"/>
    </row>
    <row r="245" spans="1:8" ht="13.5" thickBot="1">
      <c r="A245" s="95"/>
      <c r="B245" s="942" t="s">
        <v>841</v>
      </c>
      <c r="C245" s="943"/>
      <c r="D245" s="84" t="s">
        <v>841</v>
      </c>
      <c r="E245" s="84"/>
      <c r="F245" s="85"/>
      <c r="G245" s="112"/>
    </row>
    <row r="246" spans="1:8" ht="13.5" thickTop="1">
      <c r="A246" s="95"/>
      <c r="B246" s="946"/>
      <c r="C246" s="947"/>
      <c r="D246" s="801" t="s">
        <v>856</v>
      </c>
      <c r="E246" s="802"/>
      <c r="F246" s="9"/>
      <c r="G246" s="113">
        <f>SUM(G237:G245)</f>
        <v>120000</v>
      </c>
    </row>
    <row r="247" spans="1:8">
      <c r="A247" s="95"/>
      <c r="B247" s="948"/>
      <c r="C247" s="949"/>
      <c r="D247" s="801" t="s">
        <v>857</v>
      </c>
      <c r="E247" s="802"/>
      <c r="F247" s="79">
        <f>'MANO DE OBRA'!D60</f>
        <v>0.05</v>
      </c>
      <c r="G247" s="113">
        <f>ROUND(G246*F247,0)</f>
        <v>6000</v>
      </c>
    </row>
    <row r="248" spans="1:8" ht="13.5" thickBot="1">
      <c r="A248" s="95"/>
      <c r="B248" s="948"/>
      <c r="C248" s="949"/>
      <c r="D248" s="803" t="s">
        <v>320</v>
      </c>
      <c r="E248" s="804"/>
      <c r="F248" s="114"/>
      <c r="G248" s="118">
        <f>+G246+G247</f>
        <v>126000</v>
      </c>
    </row>
    <row r="249" spans="1:8" ht="14.25" thickTop="1" thickBot="1">
      <c r="A249" s="95"/>
      <c r="B249" s="970"/>
      <c r="C249" s="970"/>
      <c r="D249" s="970"/>
      <c r="E249" s="970"/>
      <c r="F249" s="970"/>
      <c r="G249" s="970"/>
    </row>
    <row r="250" spans="1:8" ht="13.5" thickTop="1">
      <c r="A250" s="95"/>
      <c r="B250" s="950" t="s">
        <v>858</v>
      </c>
      <c r="C250" s="951"/>
      <c r="D250" s="951"/>
      <c r="E250" s="951"/>
      <c r="F250" s="951"/>
      <c r="G250" s="952"/>
    </row>
    <row r="251" spans="1:8">
      <c r="A251" s="95"/>
      <c r="B251" s="978"/>
      <c r="C251" s="979"/>
      <c r="D251" s="98" t="s">
        <v>301</v>
      </c>
      <c r="E251" s="98" t="s">
        <v>859</v>
      </c>
      <c r="F251" s="99" t="s">
        <v>839</v>
      </c>
      <c r="G251" s="107" t="s">
        <v>840</v>
      </c>
    </row>
    <row r="252" spans="1:8">
      <c r="A252" s="95"/>
      <c r="B252" s="982" t="s">
        <v>838</v>
      </c>
      <c r="C252" s="983"/>
      <c r="D252" s="100" t="s">
        <v>316</v>
      </c>
      <c r="E252" s="100" t="s">
        <v>315</v>
      </c>
      <c r="F252" s="101" t="s">
        <v>306</v>
      </c>
      <c r="G252" s="108" t="s">
        <v>319</v>
      </c>
    </row>
    <row r="253" spans="1:8">
      <c r="A253" s="95"/>
      <c r="B253" s="230"/>
      <c r="C253" s="102"/>
      <c r="D253" s="103"/>
      <c r="E253" s="103" t="s">
        <v>317</v>
      </c>
      <c r="F253" s="104" t="s">
        <v>318</v>
      </c>
      <c r="G253" s="109"/>
    </row>
    <row r="254" spans="1:8">
      <c r="A254" s="95"/>
      <c r="B254" s="841" t="str">
        <f>'MANO DE OBRA'!B13</f>
        <v>AYUDANTE CUAD. TIPO DD</v>
      </c>
      <c r="C254" s="842"/>
      <c r="D254" s="87">
        <v>1</v>
      </c>
      <c r="E254" s="80">
        <f>'MANO DE OBRA'!E13</f>
        <v>49276</v>
      </c>
      <c r="F254" s="81">
        <v>11.43</v>
      </c>
      <c r="G254" s="110">
        <f>ROUND(D254*E254/F254,0)</f>
        <v>4311</v>
      </c>
    </row>
    <row r="255" spans="1:8">
      <c r="A255" s="95"/>
      <c r="B255" s="854" t="str">
        <f>'MANO DE OBRA'!B18</f>
        <v>OFICIAL CUAD. TIPO DD</v>
      </c>
      <c r="C255" s="855"/>
      <c r="D255" s="37">
        <v>1</v>
      </c>
      <c r="E255" s="82">
        <f>'MANO DE OBRA'!E18</f>
        <v>85666</v>
      </c>
      <c r="F255" s="83">
        <v>11.43</v>
      </c>
      <c r="G255" s="111">
        <f>ROUND(D255*E255/F255,0)</f>
        <v>7495</v>
      </c>
    </row>
    <row r="256" spans="1:8">
      <c r="A256" s="95"/>
      <c r="B256" s="854"/>
      <c r="C256" s="855"/>
      <c r="D256" s="89"/>
      <c r="E256" s="82"/>
      <c r="F256" s="83"/>
      <c r="G256" s="111"/>
    </row>
    <row r="257" spans="1:8">
      <c r="A257" s="95"/>
      <c r="B257" s="854" t="s">
        <v>841</v>
      </c>
      <c r="C257" s="855"/>
      <c r="D257" s="37"/>
      <c r="E257" s="82"/>
      <c r="F257" s="83"/>
      <c r="G257" s="111"/>
    </row>
    <row r="258" spans="1:8" ht="13.5" thickBot="1">
      <c r="A258" s="95"/>
      <c r="B258" s="980" t="s">
        <v>841</v>
      </c>
      <c r="C258" s="981"/>
      <c r="D258" s="77"/>
      <c r="E258" s="82"/>
      <c r="F258" s="86"/>
      <c r="G258" s="112"/>
    </row>
    <row r="259" spans="1:8" ht="14.25" thickTop="1" thickBot="1">
      <c r="A259" s="95"/>
      <c r="B259" s="946"/>
      <c r="C259" s="946"/>
      <c r="D259" s="946"/>
      <c r="E259" s="947"/>
      <c r="F259" s="120" t="s">
        <v>856</v>
      </c>
      <c r="G259" s="118">
        <f>SUM(G254:G258)</f>
        <v>11806</v>
      </c>
    </row>
    <row r="260" spans="1:8" ht="14.25" thickTop="1" thickBot="1">
      <c r="A260" s="95"/>
      <c r="B260" s="970"/>
      <c r="C260" s="970"/>
      <c r="D260" s="970"/>
      <c r="E260" s="970"/>
      <c r="F260" s="970"/>
      <c r="G260" s="970"/>
    </row>
    <row r="261" spans="1:8" ht="13.5" thickTop="1">
      <c r="A261" s="95"/>
      <c r="B261" s="950" t="s">
        <v>321</v>
      </c>
      <c r="C261" s="951"/>
      <c r="D261" s="951"/>
      <c r="E261" s="951"/>
      <c r="F261" s="951"/>
      <c r="G261" s="952"/>
    </row>
    <row r="262" spans="1:8">
      <c r="A262" s="95"/>
      <c r="B262" s="978" t="s">
        <v>838</v>
      </c>
      <c r="C262" s="979"/>
      <c r="D262" s="98" t="s">
        <v>301</v>
      </c>
      <c r="E262" s="98" t="s">
        <v>297</v>
      </c>
      <c r="F262" s="99" t="s">
        <v>839</v>
      </c>
      <c r="G262" s="107" t="s">
        <v>840</v>
      </c>
    </row>
    <row r="263" spans="1:8">
      <c r="A263" s="95"/>
      <c r="B263" s="230"/>
      <c r="C263" s="102"/>
      <c r="D263" s="103" t="s">
        <v>322</v>
      </c>
      <c r="E263" s="103" t="s">
        <v>323</v>
      </c>
      <c r="F263" s="104" t="s">
        <v>324</v>
      </c>
      <c r="G263" s="109" t="s">
        <v>325</v>
      </c>
    </row>
    <row r="264" spans="1:8">
      <c r="A264" s="95"/>
      <c r="B264" s="841"/>
      <c r="C264" s="842"/>
      <c r="D264" s="96"/>
      <c r="E264" s="96"/>
      <c r="F264" s="96"/>
      <c r="G264" s="116"/>
    </row>
    <row r="265" spans="1:8" ht="13.5" thickBot="1">
      <c r="A265" s="95"/>
      <c r="B265" s="980" t="s">
        <v>841</v>
      </c>
      <c r="C265" s="981"/>
      <c r="D265" s="77"/>
      <c r="E265" s="82"/>
      <c r="F265" s="86"/>
      <c r="G265" s="112"/>
    </row>
    <row r="266" spans="1:8" ht="14.25" thickTop="1" thickBot="1">
      <c r="A266" s="95"/>
      <c r="B266" s="946"/>
      <c r="C266" s="946"/>
      <c r="D266" s="946"/>
      <c r="E266" s="947"/>
      <c r="F266" s="120" t="s">
        <v>856</v>
      </c>
      <c r="G266" s="118">
        <f>SUM(G261:G265)</f>
        <v>0</v>
      </c>
    </row>
    <row r="267" spans="1:8" ht="14.25" thickTop="1" thickBot="1">
      <c r="A267" s="95"/>
      <c r="B267" s="970"/>
      <c r="C267" s="970"/>
      <c r="D267" s="970"/>
      <c r="E267" s="970"/>
      <c r="F267" s="970"/>
      <c r="G267" s="943"/>
    </row>
    <row r="268" spans="1:8" ht="13.5" thickTop="1">
      <c r="A268" s="95"/>
      <c r="B268" s="950" t="s">
        <v>326</v>
      </c>
      <c r="C268" s="951"/>
      <c r="D268" s="951"/>
      <c r="E268" s="951"/>
      <c r="F268" s="971"/>
      <c r="G268" s="121">
        <f>+G232+G248+G259</f>
        <v>138396</v>
      </c>
    </row>
    <row r="269" spans="1:8">
      <c r="A269" s="95"/>
      <c r="B269" s="972" t="s">
        <v>861</v>
      </c>
      <c r="C269" s="973"/>
      <c r="D269" s="973"/>
      <c r="E269" s="974"/>
      <c r="F269" s="128">
        <f>'MANO DE OBRA'!D59</f>
        <v>0</v>
      </c>
      <c r="G269" s="122">
        <f>ROUND(G268*F269,0)</f>
        <v>0</v>
      </c>
    </row>
    <row r="270" spans="1:8" ht="13.5" thickBot="1">
      <c r="A270" s="95"/>
      <c r="B270" s="975" t="s">
        <v>1049</v>
      </c>
      <c r="C270" s="976"/>
      <c r="D270" s="976"/>
      <c r="E270" s="976"/>
      <c r="F270" s="977"/>
      <c r="G270" s="118">
        <f>ROUND(G268+G269,-2)</f>
        <v>138400</v>
      </c>
      <c r="H270" s="505" t="s">
        <v>1670</v>
      </c>
    </row>
    <row r="271" spans="1:8" ht="13.5" thickTop="1">
      <c r="A271" s="95"/>
      <c r="B271" s="225" t="s">
        <v>303</v>
      </c>
      <c r="C271" s="843"/>
      <c r="D271" s="843"/>
      <c r="E271" s="843"/>
      <c r="F271" s="92" t="s">
        <v>781</v>
      </c>
      <c r="G271" s="93" t="s">
        <v>865</v>
      </c>
    </row>
    <row r="272" spans="1:8">
      <c r="A272" s="95"/>
      <c r="B272" s="226" t="s">
        <v>834</v>
      </c>
      <c r="C272" s="844" t="s">
        <v>1483</v>
      </c>
      <c r="D272" s="844"/>
      <c r="E272" s="844"/>
      <c r="F272" s="15" t="s">
        <v>833</v>
      </c>
      <c r="G272" s="165" t="str">
        <f>'MANO DE OBRA'!D61</f>
        <v>Agosto de 2010</v>
      </c>
    </row>
    <row r="273" spans="1:7" ht="13.5" thickBot="1">
      <c r="A273" s="127"/>
      <c r="B273" s="228" t="s">
        <v>835</v>
      </c>
      <c r="C273" s="1001" t="s">
        <v>1486</v>
      </c>
      <c r="D273" s="1001"/>
      <c r="E273" s="1001"/>
      <c r="F273" s="1001"/>
      <c r="G273" s="1002"/>
    </row>
    <row r="274" spans="1:7" ht="14.25" thickTop="1" thickBot="1">
      <c r="A274" s="95"/>
      <c r="B274" s="986" t="s">
        <v>1409</v>
      </c>
      <c r="C274" s="986"/>
      <c r="D274" s="986"/>
      <c r="E274" s="986"/>
      <c r="F274" s="986"/>
      <c r="G274" s="986"/>
    </row>
    <row r="275" spans="1:7" ht="13.5" thickTop="1">
      <c r="A275" s="95"/>
      <c r="B275" s="950" t="s">
        <v>304</v>
      </c>
      <c r="C275" s="951"/>
      <c r="D275" s="951"/>
      <c r="E275" s="951"/>
      <c r="F275" s="951"/>
      <c r="G275" s="952"/>
    </row>
    <row r="276" spans="1:7">
      <c r="A276" s="95"/>
      <c r="B276" s="229"/>
      <c r="C276" s="97"/>
      <c r="D276" s="98" t="s">
        <v>301</v>
      </c>
      <c r="E276" s="98" t="s">
        <v>1072</v>
      </c>
      <c r="F276" s="99" t="s">
        <v>839</v>
      </c>
      <c r="G276" s="107" t="s">
        <v>840</v>
      </c>
    </row>
    <row r="277" spans="1:7">
      <c r="A277" s="95"/>
      <c r="B277" s="982" t="s">
        <v>838</v>
      </c>
      <c r="C277" s="983"/>
      <c r="D277" s="100" t="s">
        <v>308</v>
      </c>
      <c r="E277" s="100" t="s">
        <v>305</v>
      </c>
      <c r="F277" s="101" t="s">
        <v>306</v>
      </c>
      <c r="G277" s="108" t="s">
        <v>310</v>
      </c>
    </row>
    <row r="278" spans="1:7">
      <c r="A278" s="95"/>
      <c r="B278" s="230"/>
      <c r="C278" s="102"/>
      <c r="D278" s="103"/>
      <c r="E278" s="103" t="s">
        <v>309</v>
      </c>
      <c r="F278" s="104" t="s">
        <v>307</v>
      </c>
      <c r="G278" s="109"/>
    </row>
    <row r="279" spans="1:7">
      <c r="A279" s="127"/>
      <c r="B279" s="841" t="str">
        <f>'MAQUINARIA Y EQUIPOS'!C28</f>
        <v>HERRAMIENTAS MENORES</v>
      </c>
      <c r="C279" s="842"/>
      <c r="D279" s="87">
        <v>1</v>
      </c>
      <c r="E279" s="82">
        <f>ROUND(G312*0.05,0)</f>
        <v>590</v>
      </c>
      <c r="F279" s="81">
        <v>1</v>
      </c>
      <c r="G279" s="110">
        <f>ROUND(D279*E279/F279,0)</f>
        <v>590</v>
      </c>
    </row>
    <row r="280" spans="1:7">
      <c r="A280" s="95"/>
      <c r="B280" s="854"/>
      <c r="C280" s="855"/>
      <c r="D280" s="37"/>
      <c r="E280" s="129"/>
      <c r="F280" s="83"/>
      <c r="G280" s="111"/>
    </row>
    <row r="281" spans="1:7">
      <c r="A281" s="95"/>
      <c r="B281" s="854"/>
      <c r="C281" s="855"/>
      <c r="D281" s="37"/>
      <c r="E281" s="129"/>
      <c r="F281" s="83"/>
      <c r="G281" s="111"/>
    </row>
    <row r="282" spans="1:7">
      <c r="A282" s="95"/>
      <c r="B282" s="854"/>
      <c r="C282" s="855"/>
      <c r="D282" s="89"/>
      <c r="E282" s="82"/>
      <c r="F282" s="83"/>
      <c r="G282" s="111"/>
    </row>
    <row r="283" spans="1:7">
      <c r="A283" s="95"/>
      <c r="B283" s="854" t="s">
        <v>841</v>
      </c>
      <c r="C283" s="855"/>
      <c r="D283" s="37"/>
      <c r="E283" s="82"/>
      <c r="F283" s="83"/>
      <c r="G283" s="111"/>
    </row>
    <row r="284" spans="1:7" ht="13.5" thickBot="1">
      <c r="A284" s="95"/>
      <c r="B284" s="942" t="s">
        <v>841</v>
      </c>
      <c r="C284" s="943"/>
      <c r="D284" s="77"/>
      <c r="E284" s="106"/>
      <c r="F284" s="86"/>
      <c r="G284" s="112"/>
    </row>
    <row r="285" spans="1:7" ht="14.25" thickTop="1" thickBot="1">
      <c r="A285" s="95"/>
      <c r="B285" s="946"/>
      <c r="C285" s="946"/>
      <c r="D285" s="946"/>
      <c r="E285" s="947"/>
      <c r="F285" s="119" t="s">
        <v>856</v>
      </c>
      <c r="G285" s="118">
        <f>SUM(G279:G284)</f>
        <v>590</v>
      </c>
    </row>
    <row r="286" spans="1:7" ht="14.25" thickTop="1" thickBot="1">
      <c r="A286" s="95"/>
      <c r="B286" s="970"/>
      <c r="C286" s="970"/>
      <c r="D286" s="970"/>
      <c r="E286" s="970"/>
      <c r="F286" s="970"/>
      <c r="G286" s="970"/>
    </row>
    <row r="287" spans="1:7" ht="13.5" thickTop="1">
      <c r="A287" s="95"/>
      <c r="B287" s="950" t="s">
        <v>311</v>
      </c>
      <c r="C287" s="951"/>
      <c r="D287" s="951"/>
      <c r="E287" s="951"/>
      <c r="F287" s="951"/>
      <c r="G287" s="952"/>
    </row>
    <row r="288" spans="1:7">
      <c r="A288" s="95"/>
      <c r="B288" s="978" t="s">
        <v>838</v>
      </c>
      <c r="C288" s="979"/>
      <c r="D288" s="98" t="s">
        <v>842</v>
      </c>
      <c r="E288" s="98" t="s">
        <v>853</v>
      </c>
      <c r="F288" s="99" t="s">
        <v>1047</v>
      </c>
      <c r="G288" s="107" t="s">
        <v>840</v>
      </c>
    </row>
    <row r="289" spans="1:8">
      <c r="A289" s="95"/>
      <c r="B289" s="230"/>
      <c r="C289" s="102"/>
      <c r="D289" s="100"/>
      <c r="E289" s="100" t="s">
        <v>312</v>
      </c>
      <c r="F289" s="101" t="s">
        <v>313</v>
      </c>
      <c r="G289" s="108" t="s">
        <v>314</v>
      </c>
    </row>
    <row r="290" spans="1:8">
      <c r="A290" s="123"/>
      <c r="B290" s="841" t="str">
        <f>MATERIALES2!C184</f>
        <v>PUERTA PIZANO 0.70x2.00 M</v>
      </c>
      <c r="C290" s="842"/>
      <c r="D290" s="87" t="s">
        <v>865</v>
      </c>
      <c r="E290" s="81">
        <v>1</v>
      </c>
      <c r="F290" s="80">
        <f>MATERIALES2!E184</f>
        <v>110000</v>
      </c>
      <c r="G290" s="110">
        <f>ROUND(E290*F290,0)</f>
        <v>110000</v>
      </c>
    </row>
    <row r="291" spans="1:8">
      <c r="A291" s="123"/>
      <c r="B291" s="854"/>
      <c r="C291" s="855"/>
      <c r="D291" s="37"/>
      <c r="E291" s="83"/>
      <c r="F291" s="82"/>
      <c r="G291" s="111"/>
    </row>
    <row r="292" spans="1:8">
      <c r="A292" s="123"/>
      <c r="B292" s="854"/>
      <c r="C292" s="855"/>
      <c r="D292" s="37"/>
      <c r="E292" s="83"/>
      <c r="F292" s="82"/>
      <c r="G292" s="111"/>
    </row>
    <row r="293" spans="1:8">
      <c r="A293" s="123"/>
      <c r="B293" s="854"/>
      <c r="C293" s="855"/>
      <c r="D293" s="37"/>
      <c r="E293" s="83"/>
      <c r="F293" s="82"/>
      <c r="G293" s="111"/>
    </row>
    <row r="294" spans="1:8">
      <c r="A294" s="95"/>
      <c r="B294" s="854"/>
      <c r="C294" s="855"/>
      <c r="D294" s="37"/>
      <c r="E294" s="83"/>
      <c r="F294" s="82"/>
      <c r="G294" s="111"/>
    </row>
    <row r="295" spans="1:8">
      <c r="A295" s="95"/>
      <c r="B295" s="854"/>
      <c r="C295" s="855"/>
      <c r="D295" s="37"/>
      <c r="E295" s="83"/>
      <c r="F295" s="82"/>
      <c r="G295" s="111"/>
    </row>
    <row r="296" spans="1:8">
      <c r="A296" s="95"/>
      <c r="B296" s="854"/>
      <c r="C296" s="855"/>
      <c r="D296" s="37"/>
      <c r="E296" s="83"/>
      <c r="F296" s="82"/>
      <c r="G296" s="111"/>
      <c r="H296" s="505" t="s">
        <v>1670</v>
      </c>
    </row>
    <row r="297" spans="1:8">
      <c r="A297" s="95"/>
      <c r="B297" s="938" t="s">
        <v>841</v>
      </c>
      <c r="C297" s="939"/>
      <c r="D297" s="53" t="s">
        <v>841</v>
      </c>
      <c r="E297" s="53"/>
      <c r="F297" s="82"/>
      <c r="G297" s="111"/>
    </row>
    <row r="298" spans="1:8" ht="13.5" thickBot="1">
      <c r="A298" s="95"/>
      <c r="B298" s="942" t="s">
        <v>841</v>
      </c>
      <c r="C298" s="943"/>
      <c r="D298" s="84" t="s">
        <v>841</v>
      </c>
      <c r="E298" s="84"/>
      <c r="F298" s="85"/>
      <c r="G298" s="112"/>
    </row>
    <row r="299" spans="1:8" ht="13.5" thickTop="1">
      <c r="A299" s="95"/>
      <c r="B299" s="946"/>
      <c r="C299" s="947"/>
      <c r="D299" s="801" t="s">
        <v>856</v>
      </c>
      <c r="E299" s="802"/>
      <c r="F299" s="9"/>
      <c r="G299" s="113">
        <f>SUM(G290:G298)</f>
        <v>110000</v>
      </c>
    </row>
    <row r="300" spans="1:8">
      <c r="A300" s="95"/>
      <c r="B300" s="948"/>
      <c r="C300" s="949"/>
      <c r="D300" s="801" t="s">
        <v>857</v>
      </c>
      <c r="E300" s="802"/>
      <c r="F300" s="79">
        <f>'MANO DE OBRA'!D60</f>
        <v>0.05</v>
      </c>
      <c r="G300" s="113">
        <f>ROUND(G299*F300,0)</f>
        <v>5500</v>
      </c>
    </row>
    <row r="301" spans="1:8" ht="13.5" thickBot="1">
      <c r="A301" s="95"/>
      <c r="B301" s="948"/>
      <c r="C301" s="949"/>
      <c r="D301" s="803" t="s">
        <v>320</v>
      </c>
      <c r="E301" s="804"/>
      <c r="F301" s="114"/>
      <c r="G301" s="118">
        <f>+G299+G300</f>
        <v>115500</v>
      </c>
    </row>
    <row r="302" spans="1:8" ht="14.25" thickTop="1" thickBot="1">
      <c r="A302" s="95"/>
      <c r="B302" s="970"/>
      <c r="C302" s="970"/>
      <c r="D302" s="970"/>
      <c r="E302" s="970"/>
      <c r="F302" s="970"/>
      <c r="G302" s="970"/>
    </row>
    <row r="303" spans="1:8" ht="13.5" thickTop="1">
      <c r="A303" s="95"/>
      <c r="B303" s="950" t="s">
        <v>858</v>
      </c>
      <c r="C303" s="951"/>
      <c r="D303" s="951"/>
      <c r="E303" s="951"/>
      <c r="F303" s="951"/>
      <c r="G303" s="952"/>
    </row>
    <row r="304" spans="1:8">
      <c r="A304" s="95"/>
      <c r="B304" s="978"/>
      <c r="C304" s="979"/>
      <c r="D304" s="98" t="s">
        <v>301</v>
      </c>
      <c r="E304" s="98" t="s">
        <v>859</v>
      </c>
      <c r="F304" s="99" t="s">
        <v>839</v>
      </c>
      <c r="G304" s="107" t="s">
        <v>840</v>
      </c>
    </row>
    <row r="305" spans="1:7">
      <c r="A305" s="95"/>
      <c r="B305" s="982" t="s">
        <v>838</v>
      </c>
      <c r="C305" s="983"/>
      <c r="D305" s="100" t="s">
        <v>316</v>
      </c>
      <c r="E305" s="100" t="s">
        <v>315</v>
      </c>
      <c r="F305" s="101" t="s">
        <v>306</v>
      </c>
      <c r="G305" s="108" t="s">
        <v>319</v>
      </c>
    </row>
    <row r="306" spans="1:7">
      <c r="A306" s="95"/>
      <c r="B306" s="230"/>
      <c r="C306" s="102"/>
      <c r="D306" s="103"/>
      <c r="E306" s="103" t="s">
        <v>317</v>
      </c>
      <c r="F306" s="104" t="s">
        <v>318</v>
      </c>
      <c r="G306" s="109"/>
    </row>
    <row r="307" spans="1:7">
      <c r="A307" s="95"/>
      <c r="B307" s="841" t="str">
        <f>'MANO DE OBRA'!B13</f>
        <v>AYUDANTE CUAD. TIPO DD</v>
      </c>
      <c r="C307" s="842"/>
      <c r="D307" s="87">
        <v>1</v>
      </c>
      <c r="E307" s="80">
        <f>'MANO DE OBRA'!E13</f>
        <v>49276</v>
      </c>
      <c r="F307" s="81">
        <v>11.43</v>
      </c>
      <c r="G307" s="110">
        <f>ROUND(D307*E307/F307,0)</f>
        <v>4311</v>
      </c>
    </row>
    <row r="308" spans="1:7">
      <c r="A308" s="95"/>
      <c r="B308" s="854" t="str">
        <f>'MANO DE OBRA'!B18</f>
        <v>OFICIAL CUAD. TIPO DD</v>
      </c>
      <c r="C308" s="855"/>
      <c r="D308" s="37">
        <v>1</v>
      </c>
      <c r="E308" s="82">
        <f>'MANO DE OBRA'!E18</f>
        <v>85666</v>
      </c>
      <c r="F308" s="83">
        <v>11.43</v>
      </c>
      <c r="G308" s="111">
        <f>ROUND(D308*E308/F308,0)</f>
        <v>7495</v>
      </c>
    </row>
    <row r="309" spans="1:7">
      <c r="A309" s="95"/>
      <c r="B309" s="854"/>
      <c r="C309" s="855"/>
      <c r="D309" s="89"/>
      <c r="E309" s="82"/>
      <c r="F309" s="83"/>
      <c r="G309" s="111"/>
    </row>
    <row r="310" spans="1:7">
      <c r="A310" s="95"/>
      <c r="B310" s="854" t="s">
        <v>841</v>
      </c>
      <c r="C310" s="855"/>
      <c r="D310" s="37"/>
      <c r="E310" s="82"/>
      <c r="F310" s="83"/>
      <c r="G310" s="111"/>
    </row>
    <row r="311" spans="1:7" ht="13.5" thickBot="1">
      <c r="A311" s="95"/>
      <c r="B311" s="980" t="s">
        <v>841</v>
      </c>
      <c r="C311" s="981"/>
      <c r="D311" s="77"/>
      <c r="E311" s="82"/>
      <c r="F311" s="86"/>
      <c r="G311" s="112"/>
    </row>
    <row r="312" spans="1:7" ht="14.25" thickTop="1" thickBot="1">
      <c r="A312" s="95"/>
      <c r="B312" s="946"/>
      <c r="C312" s="946"/>
      <c r="D312" s="946"/>
      <c r="E312" s="947"/>
      <c r="F312" s="120" t="s">
        <v>856</v>
      </c>
      <c r="G312" s="118">
        <f>SUM(G307:G311)</f>
        <v>11806</v>
      </c>
    </row>
    <row r="313" spans="1:7" ht="14.25" thickTop="1" thickBot="1">
      <c r="A313" s="95"/>
      <c r="B313" s="970"/>
      <c r="C313" s="970"/>
      <c r="D313" s="970"/>
      <c r="E313" s="970"/>
      <c r="F313" s="970"/>
      <c r="G313" s="970"/>
    </row>
    <row r="314" spans="1:7" ht="13.5" thickTop="1">
      <c r="A314" s="95"/>
      <c r="B314" s="950" t="s">
        <v>321</v>
      </c>
      <c r="C314" s="951"/>
      <c r="D314" s="951"/>
      <c r="E314" s="951"/>
      <c r="F314" s="951"/>
      <c r="G314" s="952"/>
    </row>
    <row r="315" spans="1:7">
      <c r="A315" s="95"/>
      <c r="B315" s="978" t="s">
        <v>838</v>
      </c>
      <c r="C315" s="979"/>
      <c r="D315" s="98" t="s">
        <v>301</v>
      </c>
      <c r="E315" s="98" t="s">
        <v>297</v>
      </c>
      <c r="F315" s="99" t="s">
        <v>839</v>
      </c>
      <c r="G315" s="107" t="s">
        <v>840</v>
      </c>
    </row>
    <row r="316" spans="1:7">
      <c r="A316" s="95"/>
      <c r="B316" s="230"/>
      <c r="C316" s="102"/>
      <c r="D316" s="103" t="s">
        <v>322</v>
      </c>
      <c r="E316" s="103" t="s">
        <v>323</v>
      </c>
      <c r="F316" s="104" t="s">
        <v>324</v>
      </c>
      <c r="G316" s="109" t="s">
        <v>325</v>
      </c>
    </row>
    <row r="317" spans="1:7">
      <c r="A317" s="95"/>
      <c r="B317" s="841"/>
      <c r="C317" s="842"/>
      <c r="D317" s="96"/>
      <c r="E317" s="96"/>
      <c r="F317" s="96"/>
      <c r="G317" s="116"/>
    </row>
    <row r="318" spans="1:7" ht="13.5" thickBot="1">
      <c r="A318" s="95"/>
      <c r="B318" s="980" t="s">
        <v>841</v>
      </c>
      <c r="C318" s="981"/>
      <c r="D318" s="77"/>
      <c r="E318" s="82"/>
      <c r="F318" s="86"/>
      <c r="G318" s="112"/>
    </row>
    <row r="319" spans="1:7" ht="14.25" thickTop="1" thickBot="1">
      <c r="A319" s="95"/>
      <c r="B319" s="946"/>
      <c r="C319" s="946"/>
      <c r="D319" s="946"/>
      <c r="E319" s="947"/>
      <c r="F319" s="120" t="s">
        <v>856</v>
      </c>
      <c r="G319" s="118">
        <f>SUM(G314:G318)</f>
        <v>0</v>
      </c>
    </row>
    <row r="320" spans="1:7" ht="14.25" thickTop="1" thickBot="1">
      <c r="A320" s="95"/>
      <c r="B320" s="970"/>
      <c r="C320" s="970"/>
      <c r="D320" s="970"/>
      <c r="E320" s="970"/>
      <c r="F320" s="970"/>
      <c r="G320" s="943"/>
    </row>
    <row r="321" spans="1:8" ht="13.5" thickTop="1">
      <c r="A321" s="95"/>
      <c r="B321" s="950" t="s">
        <v>326</v>
      </c>
      <c r="C321" s="951"/>
      <c r="D321" s="951"/>
      <c r="E321" s="951"/>
      <c r="F321" s="971"/>
      <c r="G321" s="121">
        <f>+G285+G301+G312</f>
        <v>127896</v>
      </c>
    </row>
    <row r="322" spans="1:8">
      <c r="A322" s="95"/>
      <c r="B322" s="972" t="s">
        <v>861</v>
      </c>
      <c r="C322" s="973"/>
      <c r="D322" s="973"/>
      <c r="E322" s="974"/>
      <c r="F322" s="128">
        <f>'MANO DE OBRA'!D59</f>
        <v>0</v>
      </c>
      <c r="G322" s="122">
        <f>ROUND(G321*F322,0)</f>
        <v>0</v>
      </c>
    </row>
    <row r="323" spans="1:8" ht="13.5" thickBot="1">
      <c r="A323" s="95"/>
      <c r="B323" s="975" t="s">
        <v>1049</v>
      </c>
      <c r="C323" s="976"/>
      <c r="D323" s="976"/>
      <c r="E323" s="976"/>
      <c r="F323" s="977"/>
      <c r="G323" s="118">
        <f>ROUND(G321+G322,-2)</f>
        <v>127900</v>
      </c>
      <c r="H323" s="505" t="s">
        <v>1670</v>
      </c>
    </row>
    <row r="324" spans="1:8" ht="13.5" thickTop="1">
      <c r="A324" s="95"/>
      <c r="B324" s="225" t="s">
        <v>303</v>
      </c>
      <c r="C324" s="843"/>
      <c r="D324" s="843"/>
      <c r="E324" s="843"/>
      <c r="F324" s="92" t="s">
        <v>781</v>
      </c>
      <c r="G324" s="93" t="s">
        <v>865</v>
      </c>
    </row>
    <row r="325" spans="1:8">
      <c r="A325" s="95"/>
      <c r="B325" s="226" t="s">
        <v>834</v>
      </c>
      <c r="C325" s="844" t="s">
        <v>1483</v>
      </c>
      <c r="D325" s="844"/>
      <c r="E325" s="844"/>
      <c r="F325" s="15" t="s">
        <v>833</v>
      </c>
      <c r="G325" s="165" t="str">
        <f>'MANO DE OBRA'!D61</f>
        <v>Agosto de 2010</v>
      </c>
    </row>
    <row r="326" spans="1:8" ht="13.5" thickBot="1">
      <c r="A326" s="127"/>
      <c r="B326" s="228" t="s">
        <v>835</v>
      </c>
      <c r="C326" s="1001" t="s">
        <v>1487</v>
      </c>
      <c r="D326" s="1001"/>
      <c r="E326" s="1001"/>
      <c r="F326" s="1001"/>
      <c r="G326" s="1002"/>
    </row>
    <row r="327" spans="1:8" ht="14.25" thickTop="1" thickBot="1">
      <c r="A327" s="95"/>
      <c r="B327" s="986" t="s">
        <v>1409</v>
      </c>
      <c r="C327" s="986"/>
      <c r="D327" s="986"/>
      <c r="E327" s="986"/>
      <c r="F327" s="986"/>
      <c r="G327" s="986"/>
    </row>
    <row r="328" spans="1:8" ht="13.5" thickTop="1">
      <c r="A328" s="95"/>
      <c r="B328" s="950" t="s">
        <v>304</v>
      </c>
      <c r="C328" s="951"/>
      <c r="D328" s="951"/>
      <c r="E328" s="951"/>
      <c r="F328" s="951"/>
      <c r="G328" s="952"/>
    </row>
    <row r="329" spans="1:8">
      <c r="A329" s="95"/>
      <c r="B329" s="229"/>
      <c r="C329" s="97"/>
      <c r="D329" s="98" t="s">
        <v>301</v>
      </c>
      <c r="E329" s="98" t="s">
        <v>1072</v>
      </c>
      <c r="F329" s="99" t="s">
        <v>839</v>
      </c>
      <c r="G329" s="107" t="s">
        <v>840</v>
      </c>
    </row>
    <row r="330" spans="1:8">
      <c r="A330" s="95"/>
      <c r="B330" s="982" t="s">
        <v>838</v>
      </c>
      <c r="C330" s="983"/>
      <c r="D330" s="100" t="s">
        <v>308</v>
      </c>
      <c r="E330" s="100" t="s">
        <v>305</v>
      </c>
      <c r="F330" s="101" t="s">
        <v>306</v>
      </c>
      <c r="G330" s="108" t="s">
        <v>310</v>
      </c>
    </row>
    <row r="331" spans="1:8">
      <c r="A331" s="95"/>
      <c r="B331" s="230"/>
      <c r="C331" s="102"/>
      <c r="D331" s="103"/>
      <c r="E331" s="103" t="s">
        <v>309</v>
      </c>
      <c r="F331" s="104" t="s">
        <v>307</v>
      </c>
      <c r="G331" s="109"/>
    </row>
    <row r="332" spans="1:8">
      <c r="A332" s="127"/>
      <c r="B332" s="841" t="str">
        <f>'MAQUINARIA Y EQUIPOS'!C28</f>
        <v>HERRAMIENTAS MENORES</v>
      </c>
      <c r="C332" s="842"/>
      <c r="D332" s="87">
        <v>1</v>
      </c>
      <c r="E332" s="82">
        <f>ROUND(G365*0.05,0)</f>
        <v>590</v>
      </c>
      <c r="F332" s="81">
        <v>1</v>
      </c>
      <c r="G332" s="110">
        <f>ROUND(D332*E332/F332,0)</f>
        <v>590</v>
      </c>
    </row>
    <row r="333" spans="1:8">
      <c r="A333" s="95"/>
      <c r="B333" s="854"/>
      <c r="C333" s="855"/>
      <c r="D333" s="37"/>
      <c r="E333" s="129"/>
      <c r="F333" s="83"/>
      <c r="G333" s="111"/>
    </row>
    <row r="334" spans="1:8">
      <c r="A334" s="95"/>
      <c r="B334" s="854"/>
      <c r="C334" s="855"/>
      <c r="D334" s="37"/>
      <c r="E334" s="129"/>
      <c r="F334" s="83"/>
      <c r="G334" s="111"/>
    </row>
    <row r="335" spans="1:8">
      <c r="A335" s="95"/>
      <c r="B335" s="854"/>
      <c r="C335" s="855"/>
      <c r="D335" s="89"/>
      <c r="E335" s="82"/>
      <c r="F335" s="83"/>
      <c r="G335" s="111"/>
    </row>
    <row r="336" spans="1:8">
      <c r="A336" s="95"/>
      <c r="B336" s="854" t="s">
        <v>841</v>
      </c>
      <c r="C336" s="855"/>
      <c r="D336" s="37"/>
      <c r="E336" s="82"/>
      <c r="F336" s="83"/>
      <c r="G336" s="111"/>
    </row>
    <row r="337" spans="1:8" ht="13.5" thickBot="1">
      <c r="A337" s="95"/>
      <c r="B337" s="942" t="s">
        <v>841</v>
      </c>
      <c r="C337" s="943"/>
      <c r="D337" s="77"/>
      <c r="E337" s="106"/>
      <c r="F337" s="86"/>
      <c r="G337" s="112"/>
    </row>
    <row r="338" spans="1:8" ht="14.25" thickTop="1" thickBot="1">
      <c r="A338" s="95"/>
      <c r="B338" s="946"/>
      <c r="C338" s="946"/>
      <c r="D338" s="946"/>
      <c r="E338" s="947"/>
      <c r="F338" s="119" t="s">
        <v>856</v>
      </c>
      <c r="G338" s="118">
        <f>SUM(G332:G337)</f>
        <v>590</v>
      </c>
    </row>
    <row r="339" spans="1:8" ht="14.25" thickTop="1" thickBot="1">
      <c r="A339" s="95"/>
      <c r="B339" s="970"/>
      <c r="C339" s="970"/>
      <c r="D339" s="970"/>
      <c r="E339" s="970"/>
      <c r="F339" s="970"/>
      <c r="G339" s="970"/>
    </row>
    <row r="340" spans="1:8" ht="13.5" thickTop="1">
      <c r="A340" s="95"/>
      <c r="B340" s="950" t="s">
        <v>311</v>
      </c>
      <c r="C340" s="951"/>
      <c r="D340" s="951"/>
      <c r="E340" s="951"/>
      <c r="F340" s="951"/>
      <c r="G340" s="952"/>
    </row>
    <row r="341" spans="1:8">
      <c r="A341" s="95"/>
      <c r="B341" s="978" t="s">
        <v>838</v>
      </c>
      <c r="C341" s="979"/>
      <c r="D341" s="98" t="s">
        <v>842</v>
      </c>
      <c r="E341" s="98" t="s">
        <v>853</v>
      </c>
      <c r="F341" s="99" t="s">
        <v>1047</v>
      </c>
      <c r="G341" s="107" t="s">
        <v>840</v>
      </c>
    </row>
    <row r="342" spans="1:8">
      <c r="A342" s="95"/>
      <c r="B342" s="230"/>
      <c r="C342" s="102"/>
      <c r="D342" s="100"/>
      <c r="E342" s="100" t="s">
        <v>312</v>
      </c>
      <c r="F342" s="101" t="s">
        <v>313</v>
      </c>
      <c r="G342" s="108" t="s">
        <v>314</v>
      </c>
    </row>
    <row r="343" spans="1:8">
      <c r="A343" s="123"/>
      <c r="B343" s="841" t="str">
        <f>MATERIALES2!C185</f>
        <v>PUERTA PIZANO 0.80x2.00 M</v>
      </c>
      <c r="C343" s="842"/>
      <c r="D343" s="87" t="s">
        <v>865</v>
      </c>
      <c r="E343" s="81">
        <v>1</v>
      </c>
      <c r="F343" s="80">
        <f>MATERIALES2!E185</f>
        <v>130000</v>
      </c>
      <c r="G343" s="110">
        <f>ROUND(E343*F343,0)</f>
        <v>130000</v>
      </c>
    </row>
    <row r="344" spans="1:8">
      <c r="A344" s="123"/>
      <c r="B344" s="854"/>
      <c r="C344" s="855"/>
      <c r="D344" s="37"/>
      <c r="E344" s="83"/>
      <c r="F344" s="82"/>
      <c r="G344" s="111"/>
    </row>
    <row r="345" spans="1:8">
      <c r="A345" s="123"/>
      <c r="B345" s="854"/>
      <c r="C345" s="855"/>
      <c r="D345" s="37"/>
      <c r="E345" s="83"/>
      <c r="F345" s="82"/>
      <c r="G345" s="111"/>
    </row>
    <row r="346" spans="1:8">
      <c r="A346" s="123"/>
      <c r="B346" s="854"/>
      <c r="C346" s="855"/>
      <c r="D346" s="37"/>
      <c r="E346" s="83"/>
      <c r="F346" s="82"/>
      <c r="G346" s="111"/>
    </row>
    <row r="347" spans="1:8">
      <c r="A347" s="95"/>
      <c r="B347" s="854"/>
      <c r="C347" s="855"/>
      <c r="D347" s="37"/>
      <c r="E347" s="83"/>
      <c r="F347" s="82"/>
      <c r="G347" s="111"/>
    </row>
    <row r="348" spans="1:8">
      <c r="A348" s="95"/>
      <c r="B348" s="854"/>
      <c r="C348" s="855"/>
      <c r="D348" s="37"/>
      <c r="E348" s="83"/>
      <c r="F348" s="82"/>
      <c r="G348" s="111"/>
    </row>
    <row r="349" spans="1:8">
      <c r="A349" s="95"/>
      <c r="B349" s="854"/>
      <c r="C349" s="855"/>
      <c r="D349" s="37"/>
      <c r="E349" s="83"/>
      <c r="F349" s="82"/>
      <c r="G349" s="111"/>
      <c r="H349" s="505" t="s">
        <v>1670</v>
      </c>
    </row>
    <row r="350" spans="1:8">
      <c r="A350" s="95"/>
      <c r="B350" s="938" t="s">
        <v>841</v>
      </c>
      <c r="C350" s="939"/>
      <c r="D350" s="53" t="s">
        <v>841</v>
      </c>
      <c r="E350" s="53"/>
      <c r="F350" s="82"/>
      <c r="G350" s="111"/>
    </row>
    <row r="351" spans="1:8" ht="13.5" thickBot="1">
      <c r="A351" s="95"/>
      <c r="B351" s="942" t="s">
        <v>841</v>
      </c>
      <c r="C351" s="943"/>
      <c r="D351" s="84" t="s">
        <v>841</v>
      </c>
      <c r="E351" s="84"/>
      <c r="F351" s="85"/>
      <c r="G351" s="112"/>
    </row>
    <row r="352" spans="1:8" ht="13.5" thickTop="1">
      <c r="A352" s="95"/>
      <c r="B352" s="946"/>
      <c r="C352" s="947"/>
      <c r="D352" s="801" t="s">
        <v>856</v>
      </c>
      <c r="E352" s="802"/>
      <c r="F352" s="9"/>
      <c r="G352" s="113">
        <f>SUM(G343:G351)</f>
        <v>130000</v>
      </c>
    </row>
    <row r="353" spans="1:7">
      <c r="A353" s="95"/>
      <c r="B353" s="948"/>
      <c r="C353" s="949"/>
      <c r="D353" s="801" t="s">
        <v>857</v>
      </c>
      <c r="E353" s="802"/>
      <c r="F353" s="79">
        <f>'MANO DE OBRA'!D60</f>
        <v>0.05</v>
      </c>
      <c r="G353" s="113">
        <f>ROUND(G352*F353,0)</f>
        <v>6500</v>
      </c>
    </row>
    <row r="354" spans="1:7" ht="13.5" thickBot="1">
      <c r="A354" s="95"/>
      <c r="B354" s="948"/>
      <c r="C354" s="949"/>
      <c r="D354" s="803" t="s">
        <v>320</v>
      </c>
      <c r="E354" s="804"/>
      <c r="F354" s="114"/>
      <c r="G354" s="118">
        <f>+G352+G353</f>
        <v>136500</v>
      </c>
    </row>
    <row r="355" spans="1:7" ht="14.25" thickTop="1" thickBot="1">
      <c r="A355" s="95"/>
      <c r="B355" s="970"/>
      <c r="C355" s="970"/>
      <c r="D355" s="970"/>
      <c r="E355" s="970"/>
      <c r="F355" s="970"/>
      <c r="G355" s="970"/>
    </row>
    <row r="356" spans="1:7" ht="13.5" thickTop="1">
      <c r="A356" s="95"/>
      <c r="B356" s="950" t="s">
        <v>858</v>
      </c>
      <c r="C356" s="951"/>
      <c r="D356" s="951"/>
      <c r="E356" s="951"/>
      <c r="F356" s="951"/>
      <c r="G356" s="952"/>
    </row>
    <row r="357" spans="1:7">
      <c r="A357" s="95"/>
      <c r="B357" s="978"/>
      <c r="C357" s="979"/>
      <c r="D357" s="98" t="s">
        <v>301</v>
      </c>
      <c r="E357" s="98" t="s">
        <v>859</v>
      </c>
      <c r="F357" s="99" t="s">
        <v>839</v>
      </c>
      <c r="G357" s="107" t="s">
        <v>840</v>
      </c>
    </row>
    <row r="358" spans="1:7">
      <c r="A358" s="95"/>
      <c r="B358" s="982" t="s">
        <v>838</v>
      </c>
      <c r="C358" s="983"/>
      <c r="D358" s="100" t="s">
        <v>316</v>
      </c>
      <c r="E358" s="100" t="s">
        <v>315</v>
      </c>
      <c r="F358" s="101" t="s">
        <v>306</v>
      </c>
      <c r="G358" s="108" t="s">
        <v>319</v>
      </c>
    </row>
    <row r="359" spans="1:7">
      <c r="A359" s="95"/>
      <c r="B359" s="230"/>
      <c r="C359" s="102"/>
      <c r="D359" s="103"/>
      <c r="E359" s="103" t="s">
        <v>317</v>
      </c>
      <c r="F359" s="104" t="s">
        <v>318</v>
      </c>
      <c r="G359" s="109"/>
    </row>
    <row r="360" spans="1:7">
      <c r="A360" s="95"/>
      <c r="B360" s="841" t="str">
        <f>'MANO DE OBRA'!B13</f>
        <v>AYUDANTE CUAD. TIPO DD</v>
      </c>
      <c r="C360" s="842"/>
      <c r="D360" s="87">
        <v>1</v>
      </c>
      <c r="E360" s="80">
        <f>'MANO DE OBRA'!E13</f>
        <v>49276</v>
      </c>
      <c r="F360" s="81">
        <v>11.43</v>
      </c>
      <c r="G360" s="110">
        <f>ROUND(D360*E360/F360,0)</f>
        <v>4311</v>
      </c>
    </row>
    <row r="361" spans="1:7">
      <c r="A361" s="95"/>
      <c r="B361" s="854" t="str">
        <f>'MANO DE OBRA'!B18</f>
        <v>OFICIAL CUAD. TIPO DD</v>
      </c>
      <c r="C361" s="855"/>
      <c r="D361" s="37">
        <v>1</v>
      </c>
      <c r="E361" s="82">
        <f>'MANO DE OBRA'!E18</f>
        <v>85666</v>
      </c>
      <c r="F361" s="83">
        <v>11.43</v>
      </c>
      <c r="G361" s="111">
        <f>ROUND(D361*E361/F361,0)</f>
        <v>7495</v>
      </c>
    </row>
    <row r="362" spans="1:7">
      <c r="A362" s="95"/>
      <c r="B362" s="854"/>
      <c r="C362" s="855"/>
      <c r="D362" s="89"/>
      <c r="E362" s="82"/>
      <c r="F362" s="83"/>
      <c r="G362" s="111"/>
    </row>
    <row r="363" spans="1:7">
      <c r="A363" s="95"/>
      <c r="B363" s="854" t="s">
        <v>841</v>
      </c>
      <c r="C363" s="855"/>
      <c r="D363" s="37"/>
      <c r="E363" s="82"/>
      <c r="F363" s="83"/>
      <c r="G363" s="111"/>
    </row>
    <row r="364" spans="1:7" ht="13.5" thickBot="1">
      <c r="A364" s="95"/>
      <c r="B364" s="980" t="s">
        <v>841</v>
      </c>
      <c r="C364" s="981"/>
      <c r="D364" s="77"/>
      <c r="E364" s="82"/>
      <c r="F364" s="86"/>
      <c r="G364" s="112"/>
    </row>
    <row r="365" spans="1:7" ht="14.25" thickTop="1" thickBot="1">
      <c r="A365" s="95"/>
      <c r="B365" s="946"/>
      <c r="C365" s="946"/>
      <c r="D365" s="946"/>
      <c r="E365" s="947"/>
      <c r="F365" s="120" t="s">
        <v>856</v>
      </c>
      <c r="G365" s="118">
        <f>SUM(G360:G364)</f>
        <v>11806</v>
      </c>
    </row>
    <row r="366" spans="1:7" ht="14.25" thickTop="1" thickBot="1">
      <c r="A366" s="95"/>
      <c r="B366" s="970"/>
      <c r="C366" s="970"/>
      <c r="D366" s="970"/>
      <c r="E366" s="970"/>
      <c r="F366" s="970"/>
      <c r="G366" s="970"/>
    </row>
    <row r="367" spans="1:7" ht="13.5" thickTop="1">
      <c r="A367" s="95"/>
      <c r="B367" s="950" t="s">
        <v>321</v>
      </c>
      <c r="C367" s="951"/>
      <c r="D367" s="951"/>
      <c r="E367" s="951"/>
      <c r="F367" s="951"/>
      <c r="G367" s="952"/>
    </row>
    <row r="368" spans="1:7">
      <c r="A368" s="95"/>
      <c r="B368" s="978" t="s">
        <v>838</v>
      </c>
      <c r="C368" s="979"/>
      <c r="D368" s="98" t="s">
        <v>301</v>
      </c>
      <c r="E368" s="98" t="s">
        <v>297</v>
      </c>
      <c r="F368" s="99" t="s">
        <v>839</v>
      </c>
      <c r="G368" s="107" t="s">
        <v>840</v>
      </c>
    </row>
    <row r="369" spans="1:8">
      <c r="A369" s="95"/>
      <c r="B369" s="230"/>
      <c r="C369" s="102"/>
      <c r="D369" s="103" t="s">
        <v>322</v>
      </c>
      <c r="E369" s="103" t="s">
        <v>323</v>
      </c>
      <c r="F369" s="104" t="s">
        <v>324</v>
      </c>
      <c r="G369" s="109" t="s">
        <v>325</v>
      </c>
    </row>
    <row r="370" spans="1:8">
      <c r="A370" s="95"/>
      <c r="B370" s="841"/>
      <c r="C370" s="842"/>
      <c r="D370" s="96"/>
      <c r="E370" s="96"/>
      <c r="F370" s="96"/>
      <c r="G370" s="116"/>
    </row>
    <row r="371" spans="1:8" ht="13.5" thickBot="1">
      <c r="A371" s="95"/>
      <c r="B371" s="980" t="s">
        <v>841</v>
      </c>
      <c r="C371" s="981"/>
      <c r="D371" s="77"/>
      <c r="E371" s="82"/>
      <c r="F371" s="86"/>
      <c r="G371" s="112"/>
    </row>
    <row r="372" spans="1:8" ht="14.25" thickTop="1" thickBot="1">
      <c r="A372" s="95"/>
      <c r="B372" s="946"/>
      <c r="C372" s="946"/>
      <c r="D372" s="946"/>
      <c r="E372" s="947"/>
      <c r="F372" s="120" t="s">
        <v>856</v>
      </c>
      <c r="G372" s="118">
        <f>SUM(G367:G371)</f>
        <v>0</v>
      </c>
    </row>
    <row r="373" spans="1:8" ht="14.25" thickTop="1" thickBot="1">
      <c r="A373" s="95"/>
      <c r="B373" s="970"/>
      <c r="C373" s="970"/>
      <c r="D373" s="970"/>
      <c r="E373" s="970"/>
      <c r="F373" s="970"/>
      <c r="G373" s="943"/>
    </row>
    <row r="374" spans="1:8" ht="13.5" thickTop="1">
      <c r="A374" s="95"/>
      <c r="B374" s="950" t="s">
        <v>326</v>
      </c>
      <c r="C374" s="951"/>
      <c r="D374" s="951"/>
      <c r="E374" s="951"/>
      <c r="F374" s="971"/>
      <c r="G374" s="121">
        <f>+G338+G354+G365</f>
        <v>148896</v>
      </c>
    </row>
    <row r="375" spans="1:8">
      <c r="A375" s="95"/>
      <c r="B375" s="972" t="s">
        <v>861</v>
      </c>
      <c r="C375" s="973"/>
      <c r="D375" s="973"/>
      <c r="E375" s="974"/>
      <c r="F375" s="128">
        <f>'MANO DE OBRA'!D59</f>
        <v>0</v>
      </c>
      <c r="G375" s="122">
        <f>ROUND(G374*F375,0)</f>
        <v>0</v>
      </c>
    </row>
    <row r="376" spans="1:8" ht="13.5" thickBot="1">
      <c r="A376" s="95"/>
      <c r="B376" s="975" t="s">
        <v>1049</v>
      </c>
      <c r="C376" s="976"/>
      <c r="D376" s="976"/>
      <c r="E376" s="976"/>
      <c r="F376" s="977"/>
      <c r="G376" s="118">
        <f>ROUND(G374+G375,-2)</f>
        <v>148900</v>
      </c>
      <c r="H376" s="505" t="s">
        <v>1670</v>
      </c>
    </row>
    <row r="377" spans="1:8" ht="13.5" thickTop="1">
      <c r="A377" s="95"/>
      <c r="B377" s="225" t="s">
        <v>303</v>
      </c>
      <c r="C377" s="843"/>
      <c r="D377" s="843"/>
      <c r="E377" s="843"/>
      <c r="F377" s="92" t="s">
        <v>781</v>
      </c>
      <c r="G377" s="93" t="s">
        <v>865</v>
      </c>
    </row>
    <row r="378" spans="1:8">
      <c r="A378" s="95"/>
      <c r="B378" s="226" t="s">
        <v>834</v>
      </c>
      <c r="C378" s="844" t="s">
        <v>1483</v>
      </c>
      <c r="D378" s="844"/>
      <c r="E378" s="844"/>
      <c r="F378" s="15" t="s">
        <v>833</v>
      </c>
      <c r="G378" s="165" t="str">
        <f>'MANO DE OBRA'!D61</f>
        <v>Agosto de 2010</v>
      </c>
    </row>
    <row r="379" spans="1:8" ht="13.5" thickBot="1">
      <c r="A379" s="127"/>
      <c r="B379" s="228" t="s">
        <v>835</v>
      </c>
      <c r="C379" s="845" t="s">
        <v>1491</v>
      </c>
      <c r="D379" s="845"/>
      <c r="E379" s="845"/>
      <c r="F379" s="845"/>
      <c r="G379" s="846"/>
    </row>
    <row r="380" spans="1:8" ht="14.25" thickTop="1" thickBot="1">
      <c r="A380" s="95"/>
      <c r="B380" s="986" t="s">
        <v>1409</v>
      </c>
      <c r="C380" s="986"/>
      <c r="D380" s="986"/>
      <c r="E380" s="986"/>
      <c r="F380" s="986"/>
      <c r="G380" s="986"/>
    </row>
    <row r="381" spans="1:8" ht="13.5" thickTop="1">
      <c r="A381" s="95"/>
      <c r="B381" s="950" t="s">
        <v>304</v>
      </c>
      <c r="C381" s="951"/>
      <c r="D381" s="951"/>
      <c r="E381" s="951"/>
      <c r="F381" s="951"/>
      <c r="G381" s="952"/>
    </row>
    <row r="382" spans="1:8">
      <c r="A382" s="95"/>
      <c r="B382" s="229"/>
      <c r="C382" s="97"/>
      <c r="D382" s="98" t="s">
        <v>301</v>
      </c>
      <c r="E382" s="98" t="s">
        <v>1072</v>
      </c>
      <c r="F382" s="99" t="s">
        <v>839</v>
      </c>
      <c r="G382" s="107" t="s">
        <v>840</v>
      </c>
    </row>
    <row r="383" spans="1:8">
      <c r="A383" s="95"/>
      <c r="B383" s="982" t="s">
        <v>838</v>
      </c>
      <c r="C383" s="983"/>
      <c r="D383" s="100" t="s">
        <v>308</v>
      </c>
      <c r="E383" s="100" t="s">
        <v>305</v>
      </c>
      <c r="F383" s="101" t="s">
        <v>306</v>
      </c>
      <c r="G383" s="108" t="s">
        <v>310</v>
      </c>
    </row>
    <row r="384" spans="1:8">
      <c r="A384" s="95"/>
      <c r="B384" s="230"/>
      <c r="C384" s="102"/>
      <c r="D384" s="103"/>
      <c r="E384" s="103" t="s">
        <v>309</v>
      </c>
      <c r="F384" s="104" t="s">
        <v>307</v>
      </c>
      <c r="G384" s="109"/>
    </row>
    <row r="385" spans="1:7">
      <c r="A385" s="127"/>
      <c r="B385" s="841" t="str">
        <f>'MAQUINARIA Y EQUIPOS'!$C$28</f>
        <v>HERRAMIENTAS MENORES</v>
      </c>
      <c r="C385" s="842"/>
      <c r="D385" s="87">
        <v>1</v>
      </c>
      <c r="E385" s="82">
        <f>ROUND(G418*0.05,0)</f>
        <v>1928</v>
      </c>
      <c r="F385" s="81">
        <v>1</v>
      </c>
      <c r="G385" s="110">
        <f>ROUND(D385*E385/F385,0)</f>
        <v>1928</v>
      </c>
    </row>
    <row r="386" spans="1:7">
      <c r="A386" s="95"/>
      <c r="B386" s="854"/>
      <c r="C386" s="855"/>
      <c r="D386" s="37"/>
      <c r="E386" s="129"/>
      <c r="F386" s="83"/>
      <c r="G386" s="111"/>
    </row>
    <row r="387" spans="1:7">
      <c r="A387" s="95"/>
      <c r="B387" s="854"/>
      <c r="C387" s="855"/>
      <c r="D387" s="37"/>
      <c r="E387" s="129"/>
      <c r="F387" s="83"/>
      <c r="G387" s="111"/>
    </row>
    <row r="388" spans="1:7">
      <c r="A388" s="95"/>
      <c r="B388" s="854"/>
      <c r="C388" s="855"/>
      <c r="D388" s="89"/>
      <c r="E388" s="82"/>
      <c r="F388" s="83"/>
      <c r="G388" s="111"/>
    </row>
    <row r="389" spans="1:7">
      <c r="A389" s="95"/>
      <c r="B389" s="854" t="s">
        <v>841</v>
      </c>
      <c r="C389" s="855"/>
      <c r="D389" s="37"/>
      <c r="E389" s="82"/>
      <c r="F389" s="83"/>
      <c r="G389" s="111"/>
    </row>
    <row r="390" spans="1:7" ht="13.5" thickBot="1">
      <c r="A390" s="95"/>
      <c r="B390" s="942" t="s">
        <v>841</v>
      </c>
      <c r="C390" s="943"/>
      <c r="D390" s="77"/>
      <c r="E390" s="106"/>
      <c r="F390" s="86"/>
      <c r="G390" s="112"/>
    </row>
    <row r="391" spans="1:7" ht="14.25" thickTop="1" thickBot="1">
      <c r="A391" s="95"/>
      <c r="B391" s="946"/>
      <c r="C391" s="946"/>
      <c r="D391" s="946"/>
      <c r="E391" s="947"/>
      <c r="F391" s="119" t="s">
        <v>856</v>
      </c>
      <c r="G391" s="118">
        <f>SUM(G385:G390)</f>
        <v>1928</v>
      </c>
    </row>
    <row r="392" spans="1:7" ht="14.25" thickTop="1" thickBot="1">
      <c r="A392" s="95"/>
      <c r="B392" s="970"/>
      <c r="C392" s="970"/>
      <c r="D392" s="970"/>
      <c r="E392" s="970"/>
      <c r="F392" s="970"/>
      <c r="G392" s="970"/>
    </row>
    <row r="393" spans="1:7" ht="13.5" thickTop="1">
      <c r="A393" s="95"/>
      <c r="B393" s="950" t="s">
        <v>311</v>
      </c>
      <c r="C393" s="951"/>
      <c r="D393" s="951"/>
      <c r="E393" s="951"/>
      <c r="F393" s="951"/>
      <c r="G393" s="952"/>
    </row>
    <row r="394" spans="1:7">
      <c r="A394" s="95"/>
      <c r="B394" s="978" t="s">
        <v>838</v>
      </c>
      <c r="C394" s="979"/>
      <c r="D394" s="98" t="s">
        <v>842</v>
      </c>
      <c r="E394" s="98" t="s">
        <v>853</v>
      </c>
      <c r="F394" s="99" t="s">
        <v>1047</v>
      </c>
      <c r="G394" s="107" t="s">
        <v>840</v>
      </c>
    </row>
    <row r="395" spans="1:7">
      <c r="A395" s="95"/>
      <c r="B395" s="230"/>
      <c r="C395" s="102"/>
      <c r="D395" s="100"/>
      <c r="E395" s="100" t="s">
        <v>312</v>
      </c>
      <c r="F395" s="101" t="s">
        <v>313</v>
      </c>
      <c r="G395" s="108" t="s">
        <v>314</v>
      </c>
    </row>
    <row r="396" spans="1:7">
      <c r="A396" s="123"/>
      <c r="B396" s="841" t="str">
        <f>MATERIALES2!$C$179</f>
        <v>PUERTA FORTEC 0.60x2.00 M</v>
      </c>
      <c r="C396" s="842"/>
      <c r="D396" s="87" t="s">
        <v>865</v>
      </c>
      <c r="E396" s="81">
        <v>1</v>
      </c>
      <c r="F396" s="80">
        <f>MATERIALES2!$E$179</f>
        <v>50000</v>
      </c>
      <c r="G396" s="110">
        <f t="shared" ref="G396:G401" si="0">ROUND(E396*F396,0)</f>
        <v>50000</v>
      </c>
    </row>
    <row r="397" spans="1:7">
      <c r="A397" s="123"/>
      <c r="B397" s="854" t="str">
        <f>MATERIALES2!$C$186</f>
        <v>MARCO MADERA PARA PUERTA</v>
      </c>
      <c r="C397" s="855"/>
      <c r="D397" s="37" t="s">
        <v>865</v>
      </c>
      <c r="E397" s="83">
        <v>1</v>
      </c>
      <c r="F397" s="82">
        <f>MATERIALES2!$E$186</f>
        <v>56760</v>
      </c>
      <c r="G397" s="111">
        <f t="shared" si="0"/>
        <v>56760</v>
      </c>
    </row>
    <row r="398" spans="1:7">
      <c r="A398" s="123"/>
      <c r="B398" s="854" t="str">
        <f>MATERIALES2!$C$194</f>
        <v>BISAGRA 3"x3" PESADA</v>
      </c>
      <c r="C398" s="855"/>
      <c r="D398" s="37" t="s">
        <v>865</v>
      </c>
      <c r="E398" s="83">
        <v>1.5</v>
      </c>
      <c r="F398" s="82">
        <f>MATERIALES2!$E$194</f>
        <v>2460</v>
      </c>
      <c r="G398" s="111">
        <f t="shared" si="0"/>
        <v>3690</v>
      </c>
    </row>
    <row r="399" spans="1:7">
      <c r="A399" s="123"/>
      <c r="B399" s="854" t="str">
        <f>MATERIALES2!$C$254</f>
        <v>TORNILLO LAMINA 3"</v>
      </c>
      <c r="C399" s="855"/>
      <c r="D399" s="37" t="s">
        <v>865</v>
      </c>
      <c r="E399" s="83">
        <v>6</v>
      </c>
      <c r="F399" s="82">
        <f>MATERIALES2!$E$254</f>
        <v>385</v>
      </c>
      <c r="G399" s="111">
        <f t="shared" si="0"/>
        <v>2310</v>
      </c>
    </row>
    <row r="400" spans="1:7">
      <c r="A400" s="123"/>
      <c r="B400" s="854" t="str">
        <f>MATERIALES2!$C$256</f>
        <v>CHAZOS 3/8"</v>
      </c>
      <c r="C400" s="855"/>
      <c r="D400" s="37" t="s">
        <v>865</v>
      </c>
      <c r="E400" s="83">
        <v>6</v>
      </c>
      <c r="F400" s="82">
        <f>MATERIALES2!$E$256</f>
        <v>1275</v>
      </c>
      <c r="G400" s="111">
        <f t="shared" si="0"/>
        <v>7650</v>
      </c>
    </row>
    <row r="401" spans="1:8">
      <c r="A401" s="123"/>
      <c r="B401" s="854" t="str">
        <f>MATERIALES2!$C$197</f>
        <v>CERRADURA YALE 5304 ALUMINIO</v>
      </c>
      <c r="C401" s="855"/>
      <c r="D401" s="37" t="s">
        <v>865</v>
      </c>
      <c r="E401" s="83">
        <v>1</v>
      </c>
      <c r="F401" s="82">
        <f>MATERIALES2!$E$197</f>
        <v>36210</v>
      </c>
      <c r="G401" s="111">
        <f t="shared" si="0"/>
        <v>36210</v>
      </c>
    </row>
    <row r="402" spans="1:8">
      <c r="A402" s="95"/>
      <c r="B402" s="854"/>
      <c r="C402" s="855"/>
      <c r="D402" s="37"/>
      <c r="E402" s="83"/>
      <c r="F402" s="82"/>
      <c r="G402" s="111"/>
      <c r="H402" s="505" t="s">
        <v>1670</v>
      </c>
    </row>
    <row r="403" spans="1:8">
      <c r="A403" s="95"/>
      <c r="B403" s="938" t="s">
        <v>841</v>
      </c>
      <c r="C403" s="939"/>
      <c r="D403" s="53" t="s">
        <v>841</v>
      </c>
      <c r="E403" s="53"/>
      <c r="F403" s="82"/>
      <c r="G403" s="111"/>
    </row>
    <row r="404" spans="1:8" ht="13.5" thickBot="1">
      <c r="A404" s="95"/>
      <c r="B404" s="942" t="s">
        <v>841</v>
      </c>
      <c r="C404" s="943"/>
      <c r="D404" s="84" t="s">
        <v>841</v>
      </c>
      <c r="E404" s="84"/>
      <c r="F404" s="85"/>
      <c r="G404" s="112"/>
    </row>
    <row r="405" spans="1:8" ht="13.5" thickTop="1">
      <c r="A405" s="95"/>
      <c r="B405" s="946"/>
      <c r="C405" s="947"/>
      <c r="D405" s="801" t="s">
        <v>856</v>
      </c>
      <c r="E405" s="802"/>
      <c r="F405" s="9"/>
      <c r="G405" s="113">
        <f>SUM(G396:G404)</f>
        <v>156620</v>
      </c>
    </row>
    <row r="406" spans="1:8">
      <c r="A406" s="95"/>
      <c r="B406" s="948"/>
      <c r="C406" s="949"/>
      <c r="D406" s="801" t="s">
        <v>857</v>
      </c>
      <c r="E406" s="802"/>
      <c r="F406" s="79">
        <f>'MANO DE OBRA'!$D$60</f>
        <v>0.05</v>
      </c>
      <c r="G406" s="113">
        <f>ROUND(G405*F406,0)</f>
        <v>7831</v>
      </c>
    </row>
    <row r="407" spans="1:8" ht="13.5" thickBot="1">
      <c r="A407" s="95"/>
      <c r="B407" s="948"/>
      <c r="C407" s="949"/>
      <c r="D407" s="803" t="s">
        <v>320</v>
      </c>
      <c r="E407" s="804"/>
      <c r="F407" s="114"/>
      <c r="G407" s="118">
        <f>+G405+G406</f>
        <v>164451</v>
      </c>
    </row>
    <row r="408" spans="1:8" ht="14.25" thickTop="1" thickBot="1">
      <c r="A408" s="95"/>
      <c r="B408" s="970"/>
      <c r="C408" s="970"/>
      <c r="D408" s="970"/>
      <c r="E408" s="970"/>
      <c r="F408" s="970"/>
      <c r="G408" s="970"/>
    </row>
    <row r="409" spans="1:8" ht="13.5" thickTop="1">
      <c r="A409" s="95"/>
      <c r="B409" s="950" t="s">
        <v>858</v>
      </c>
      <c r="C409" s="951"/>
      <c r="D409" s="951"/>
      <c r="E409" s="951"/>
      <c r="F409" s="951"/>
      <c r="G409" s="952"/>
    </row>
    <row r="410" spans="1:8">
      <c r="A410" s="95"/>
      <c r="B410" s="978"/>
      <c r="C410" s="979"/>
      <c r="D410" s="98" t="s">
        <v>301</v>
      </c>
      <c r="E410" s="98" t="s">
        <v>859</v>
      </c>
      <c r="F410" s="99" t="s">
        <v>839</v>
      </c>
      <c r="G410" s="107" t="s">
        <v>840</v>
      </c>
    </row>
    <row r="411" spans="1:8">
      <c r="A411" s="95"/>
      <c r="B411" s="982" t="s">
        <v>838</v>
      </c>
      <c r="C411" s="983"/>
      <c r="D411" s="100" t="s">
        <v>316</v>
      </c>
      <c r="E411" s="100" t="s">
        <v>315</v>
      </c>
      <c r="F411" s="101" t="s">
        <v>306</v>
      </c>
      <c r="G411" s="108" t="s">
        <v>319</v>
      </c>
    </row>
    <row r="412" spans="1:8">
      <c r="A412" s="95"/>
      <c r="B412" s="230"/>
      <c r="C412" s="102"/>
      <c r="D412" s="103"/>
      <c r="E412" s="103" t="s">
        <v>317</v>
      </c>
      <c r="F412" s="104" t="s">
        <v>318</v>
      </c>
      <c r="G412" s="109"/>
    </row>
    <row r="413" spans="1:8">
      <c r="A413" s="95"/>
      <c r="B413" s="841" t="str">
        <f>'MANO DE OBRA'!$B$13</f>
        <v>AYUDANTE CUAD. TIPO DD</v>
      </c>
      <c r="C413" s="842"/>
      <c r="D413" s="87">
        <v>1</v>
      </c>
      <c r="E413" s="80">
        <f>'MANO DE OBRA'!$E$13</f>
        <v>49276</v>
      </c>
      <c r="F413" s="81">
        <v>3.5</v>
      </c>
      <c r="G413" s="110">
        <f>ROUND(D413*E413/F413,0)</f>
        <v>14079</v>
      </c>
    </row>
    <row r="414" spans="1:8">
      <c r="A414" s="95"/>
      <c r="B414" s="854" t="str">
        <f>'MANO DE OBRA'!$B$18</f>
        <v>OFICIAL CUAD. TIPO DD</v>
      </c>
      <c r="C414" s="855"/>
      <c r="D414" s="37">
        <v>1</v>
      </c>
      <c r="E414" s="82">
        <f>'MANO DE OBRA'!$E$18</f>
        <v>85666</v>
      </c>
      <c r="F414" s="83">
        <v>3.5</v>
      </c>
      <c r="G414" s="111">
        <f>ROUND(D414*E414/F414,0)</f>
        <v>24476</v>
      </c>
    </row>
    <row r="415" spans="1:8">
      <c r="A415" s="95"/>
      <c r="B415" s="854"/>
      <c r="C415" s="855"/>
      <c r="D415" s="89"/>
      <c r="E415" s="82"/>
      <c r="F415" s="83"/>
      <c r="G415" s="111"/>
    </row>
    <row r="416" spans="1:8">
      <c r="A416" s="95"/>
      <c r="B416" s="854" t="s">
        <v>841</v>
      </c>
      <c r="C416" s="855"/>
      <c r="D416" s="37"/>
      <c r="E416" s="82"/>
      <c r="F416" s="83"/>
      <c r="G416" s="111"/>
    </row>
    <row r="417" spans="1:8" ht="13.5" thickBot="1">
      <c r="A417" s="95"/>
      <c r="B417" s="980" t="s">
        <v>841</v>
      </c>
      <c r="C417" s="981"/>
      <c r="D417" s="77"/>
      <c r="E417" s="82"/>
      <c r="F417" s="86"/>
      <c r="G417" s="112"/>
    </row>
    <row r="418" spans="1:8" ht="14.25" thickTop="1" thickBot="1">
      <c r="A418" s="95"/>
      <c r="B418" s="946"/>
      <c r="C418" s="946"/>
      <c r="D418" s="946"/>
      <c r="E418" s="947"/>
      <c r="F418" s="120" t="s">
        <v>856</v>
      </c>
      <c r="G418" s="118">
        <f>SUM(G413:G417)</f>
        <v>38555</v>
      </c>
    </row>
    <row r="419" spans="1:8" ht="14.25" thickTop="1" thickBot="1">
      <c r="A419" s="95"/>
      <c r="B419" s="970"/>
      <c r="C419" s="970"/>
      <c r="D419" s="970"/>
      <c r="E419" s="970"/>
      <c r="F419" s="970"/>
      <c r="G419" s="970"/>
    </row>
    <row r="420" spans="1:8" ht="13.5" thickTop="1">
      <c r="A420" s="95"/>
      <c r="B420" s="950" t="s">
        <v>321</v>
      </c>
      <c r="C420" s="951"/>
      <c r="D420" s="951"/>
      <c r="E420" s="951"/>
      <c r="F420" s="951"/>
      <c r="G420" s="952"/>
    </row>
    <row r="421" spans="1:8">
      <c r="A421" s="95"/>
      <c r="B421" s="978" t="s">
        <v>838</v>
      </c>
      <c r="C421" s="979"/>
      <c r="D421" s="98" t="s">
        <v>301</v>
      </c>
      <c r="E421" s="98" t="s">
        <v>297</v>
      </c>
      <c r="F421" s="99" t="s">
        <v>839</v>
      </c>
      <c r="G421" s="107" t="s">
        <v>840</v>
      </c>
    </row>
    <row r="422" spans="1:8">
      <c r="A422" s="95"/>
      <c r="B422" s="230"/>
      <c r="C422" s="102"/>
      <c r="D422" s="103" t="s">
        <v>322</v>
      </c>
      <c r="E422" s="103" t="s">
        <v>323</v>
      </c>
      <c r="F422" s="104" t="s">
        <v>324</v>
      </c>
      <c r="G422" s="109" t="s">
        <v>325</v>
      </c>
    </row>
    <row r="423" spans="1:8">
      <c r="A423" s="95"/>
      <c r="B423" s="841"/>
      <c r="C423" s="842"/>
      <c r="D423" s="96"/>
      <c r="E423" s="96"/>
      <c r="F423" s="96"/>
      <c r="G423" s="116"/>
    </row>
    <row r="424" spans="1:8" ht="13.5" thickBot="1">
      <c r="A424" s="95"/>
      <c r="B424" s="980" t="s">
        <v>841</v>
      </c>
      <c r="C424" s="981"/>
      <c r="D424" s="77"/>
      <c r="E424" s="82"/>
      <c r="F424" s="86"/>
      <c r="G424" s="112"/>
    </row>
    <row r="425" spans="1:8" ht="14.25" thickTop="1" thickBot="1">
      <c r="A425" s="95"/>
      <c r="B425" s="946"/>
      <c r="C425" s="946"/>
      <c r="D425" s="946"/>
      <c r="E425" s="947"/>
      <c r="F425" s="120" t="s">
        <v>856</v>
      </c>
      <c r="G425" s="118">
        <f>SUM(G420:G424)</f>
        <v>0</v>
      </c>
    </row>
    <row r="426" spans="1:8" ht="14.25" thickTop="1" thickBot="1">
      <c r="A426" s="95"/>
      <c r="B426" s="970"/>
      <c r="C426" s="970"/>
      <c r="D426" s="970"/>
      <c r="E426" s="970"/>
      <c r="F426" s="970"/>
      <c r="G426" s="943"/>
    </row>
    <row r="427" spans="1:8" ht="13.5" thickTop="1">
      <c r="A427" s="95"/>
      <c r="B427" s="950" t="s">
        <v>326</v>
      </c>
      <c r="C427" s="951"/>
      <c r="D427" s="951"/>
      <c r="E427" s="951"/>
      <c r="F427" s="971"/>
      <c r="G427" s="121">
        <f>+G391+G407+G418</f>
        <v>204934</v>
      </c>
    </row>
    <row r="428" spans="1:8">
      <c r="A428" s="95"/>
      <c r="B428" s="972" t="s">
        <v>861</v>
      </c>
      <c r="C428" s="973"/>
      <c r="D428" s="973"/>
      <c r="E428" s="974"/>
      <c r="F428" s="128">
        <f>'MANO DE OBRA'!$D$59</f>
        <v>0</v>
      </c>
      <c r="G428" s="122">
        <f>ROUND(G427*F428,0)</f>
        <v>0</v>
      </c>
    </row>
    <row r="429" spans="1:8" ht="13.5" thickBot="1">
      <c r="A429" s="95"/>
      <c r="B429" s="975" t="s">
        <v>1049</v>
      </c>
      <c r="C429" s="976"/>
      <c r="D429" s="976"/>
      <c r="E429" s="976"/>
      <c r="F429" s="977"/>
      <c r="G429" s="118">
        <f>ROUND(G427+G428,-2)</f>
        <v>204900</v>
      </c>
      <c r="H429" s="505" t="s">
        <v>1670</v>
      </c>
    </row>
    <row r="430" spans="1:8" ht="13.5" thickTop="1">
      <c r="A430" s="95"/>
      <c r="B430" s="225" t="s">
        <v>303</v>
      </c>
      <c r="C430" s="843"/>
      <c r="D430" s="843"/>
      <c r="E430" s="843"/>
      <c r="F430" s="92" t="s">
        <v>781</v>
      </c>
      <c r="G430" s="93" t="s">
        <v>865</v>
      </c>
    </row>
    <row r="431" spans="1:8">
      <c r="A431" s="95"/>
      <c r="B431" s="226" t="s">
        <v>834</v>
      </c>
      <c r="C431" s="844" t="s">
        <v>412</v>
      </c>
      <c r="D431" s="844"/>
      <c r="E431" s="844"/>
      <c r="F431" s="15" t="s">
        <v>833</v>
      </c>
      <c r="G431" s="165" t="str">
        <f>'MANO DE OBRA'!D61</f>
        <v>Agosto de 2010</v>
      </c>
    </row>
    <row r="432" spans="1:8" ht="27.75" customHeight="1" thickBot="1">
      <c r="A432" s="127"/>
      <c r="B432" s="228" t="s">
        <v>835</v>
      </c>
      <c r="C432" s="940" t="s">
        <v>414</v>
      </c>
      <c r="D432" s="940"/>
      <c r="E432" s="940"/>
      <c r="F432" s="940"/>
      <c r="G432" s="941"/>
    </row>
    <row r="433" spans="1:7" ht="14.25" thickTop="1" thickBot="1">
      <c r="A433" s="95"/>
      <c r="B433" s="986" t="s">
        <v>1409</v>
      </c>
      <c r="C433" s="986"/>
      <c r="D433" s="986"/>
      <c r="E433" s="986"/>
      <c r="F433" s="986"/>
      <c r="G433" s="986"/>
    </row>
    <row r="434" spans="1:7" ht="13.5" thickTop="1">
      <c r="A434" s="95"/>
      <c r="B434" s="950" t="s">
        <v>304</v>
      </c>
      <c r="C434" s="951"/>
      <c r="D434" s="951"/>
      <c r="E434" s="951"/>
      <c r="F434" s="951"/>
      <c r="G434" s="952"/>
    </row>
    <row r="435" spans="1:7">
      <c r="A435" s="95"/>
      <c r="B435" s="229"/>
      <c r="C435" s="97"/>
      <c r="D435" s="98" t="s">
        <v>301</v>
      </c>
      <c r="E435" s="98" t="s">
        <v>1072</v>
      </c>
      <c r="F435" s="99" t="s">
        <v>839</v>
      </c>
      <c r="G435" s="107" t="s">
        <v>840</v>
      </c>
    </row>
    <row r="436" spans="1:7">
      <c r="A436" s="95"/>
      <c r="B436" s="982" t="s">
        <v>838</v>
      </c>
      <c r="C436" s="983"/>
      <c r="D436" s="100" t="s">
        <v>308</v>
      </c>
      <c r="E436" s="100" t="s">
        <v>305</v>
      </c>
      <c r="F436" s="101" t="s">
        <v>306</v>
      </c>
      <c r="G436" s="108" t="s">
        <v>310</v>
      </c>
    </row>
    <row r="437" spans="1:7">
      <c r="A437" s="95"/>
      <c r="B437" s="230"/>
      <c r="C437" s="102"/>
      <c r="D437" s="103"/>
      <c r="E437" s="103" t="s">
        <v>309</v>
      </c>
      <c r="F437" s="104" t="s">
        <v>307</v>
      </c>
      <c r="G437" s="109"/>
    </row>
    <row r="438" spans="1:7">
      <c r="A438" s="127"/>
      <c r="B438" s="841" t="str">
        <f>'MAQUINARIA Y EQUIPOS'!$C$28</f>
        <v>HERRAMIENTAS MENORES</v>
      </c>
      <c r="C438" s="842"/>
      <c r="D438" s="87">
        <v>1</v>
      </c>
      <c r="E438" s="82">
        <f>ROUND(G471*0.05,0)</f>
        <v>1928</v>
      </c>
      <c r="F438" s="81">
        <v>1</v>
      </c>
      <c r="G438" s="110">
        <f>ROUND(D438*E438/F438,0)</f>
        <v>1928</v>
      </c>
    </row>
    <row r="439" spans="1:7">
      <c r="A439" s="95"/>
      <c r="B439" s="854"/>
      <c r="C439" s="855"/>
      <c r="D439" s="37"/>
      <c r="E439" s="129"/>
      <c r="F439" s="83"/>
      <c r="G439" s="111"/>
    </row>
    <row r="440" spans="1:7">
      <c r="A440" s="95"/>
      <c r="B440" s="854"/>
      <c r="C440" s="855"/>
      <c r="D440" s="37"/>
      <c r="E440" s="129"/>
      <c r="F440" s="83"/>
      <c r="G440" s="111"/>
    </row>
    <row r="441" spans="1:7">
      <c r="A441" s="95"/>
      <c r="B441" s="854"/>
      <c r="C441" s="855"/>
      <c r="D441" s="89"/>
      <c r="E441" s="82"/>
      <c r="F441" s="83"/>
      <c r="G441" s="111"/>
    </row>
    <row r="442" spans="1:7">
      <c r="A442" s="95"/>
      <c r="B442" s="854" t="s">
        <v>841</v>
      </c>
      <c r="C442" s="855"/>
      <c r="D442" s="37"/>
      <c r="E442" s="82"/>
      <c r="F442" s="83"/>
      <c r="G442" s="111"/>
    </row>
    <row r="443" spans="1:7" ht="13.5" thickBot="1">
      <c r="A443" s="95"/>
      <c r="B443" s="942" t="s">
        <v>841</v>
      </c>
      <c r="C443" s="943"/>
      <c r="D443" s="77"/>
      <c r="E443" s="106"/>
      <c r="F443" s="86"/>
      <c r="G443" s="112"/>
    </row>
    <row r="444" spans="1:7" ht="14.25" thickTop="1" thickBot="1">
      <c r="A444" s="95"/>
      <c r="B444" s="946"/>
      <c r="C444" s="946"/>
      <c r="D444" s="946"/>
      <c r="E444" s="947"/>
      <c r="F444" s="119" t="s">
        <v>856</v>
      </c>
      <c r="G444" s="118">
        <f>SUM(G438:G443)</f>
        <v>1928</v>
      </c>
    </row>
    <row r="445" spans="1:7" ht="14.25" thickTop="1" thickBot="1">
      <c r="A445" s="95"/>
      <c r="B445" s="970"/>
      <c r="C445" s="970"/>
      <c r="D445" s="970"/>
      <c r="E445" s="970"/>
      <c r="F445" s="970"/>
      <c r="G445" s="970"/>
    </row>
    <row r="446" spans="1:7" ht="13.5" thickTop="1">
      <c r="A446" s="95"/>
      <c r="B446" s="950" t="s">
        <v>311</v>
      </c>
      <c r="C446" s="951"/>
      <c r="D446" s="951"/>
      <c r="E446" s="951"/>
      <c r="F446" s="951"/>
      <c r="G446" s="952"/>
    </row>
    <row r="447" spans="1:7">
      <c r="A447" s="95"/>
      <c r="B447" s="978" t="s">
        <v>838</v>
      </c>
      <c r="C447" s="979"/>
      <c r="D447" s="98" t="s">
        <v>842</v>
      </c>
      <c r="E447" s="98" t="s">
        <v>853</v>
      </c>
      <c r="F447" s="99" t="s">
        <v>1047</v>
      </c>
      <c r="G447" s="107" t="s">
        <v>840</v>
      </c>
    </row>
    <row r="448" spans="1:7">
      <c r="A448" s="95"/>
      <c r="B448" s="230"/>
      <c r="C448" s="102"/>
      <c r="D448" s="100"/>
      <c r="E448" s="100" t="s">
        <v>312</v>
      </c>
      <c r="F448" s="101" t="s">
        <v>313</v>
      </c>
      <c r="G448" s="108" t="s">
        <v>314</v>
      </c>
    </row>
    <row r="449" spans="1:8">
      <c r="A449" s="123"/>
      <c r="B449" s="841" t="str">
        <f>MATERIALES2!$C$180</f>
        <v>PUERTA FORTEC 0.70x2.00 M</v>
      </c>
      <c r="C449" s="842"/>
      <c r="D449" s="87" t="s">
        <v>865</v>
      </c>
      <c r="E449" s="81">
        <v>1</v>
      </c>
      <c r="F449" s="80">
        <f>MATERIALES2!$E$180</f>
        <v>74000</v>
      </c>
      <c r="G449" s="110">
        <f t="shared" ref="G449:G454" si="1">ROUND(E449*F449,0)</f>
        <v>74000</v>
      </c>
    </row>
    <row r="450" spans="1:8">
      <c r="A450" s="123"/>
      <c r="B450" s="854" t="str">
        <f>MATERIALES2!$C$186</f>
        <v>MARCO MADERA PARA PUERTA</v>
      </c>
      <c r="C450" s="855"/>
      <c r="D450" s="37" t="s">
        <v>865</v>
      </c>
      <c r="E450" s="83">
        <v>1</v>
      </c>
      <c r="F450" s="82">
        <f>MATERIALES2!$E$186</f>
        <v>56760</v>
      </c>
      <c r="G450" s="111">
        <f t="shared" si="1"/>
        <v>56760</v>
      </c>
    </row>
    <row r="451" spans="1:8">
      <c r="A451" s="123"/>
      <c r="B451" s="854" t="str">
        <f>MATERIALES2!$C$194</f>
        <v>BISAGRA 3"x3" PESADA</v>
      </c>
      <c r="C451" s="855"/>
      <c r="D451" s="37" t="s">
        <v>865</v>
      </c>
      <c r="E451" s="83">
        <v>1.5</v>
      </c>
      <c r="F451" s="82">
        <f>MATERIALES2!$E$194</f>
        <v>2460</v>
      </c>
      <c r="G451" s="111">
        <f t="shared" si="1"/>
        <v>3690</v>
      </c>
    </row>
    <row r="452" spans="1:8">
      <c r="A452" s="123"/>
      <c r="B452" s="854" t="str">
        <f>MATERIALES2!$C$254</f>
        <v>TORNILLO LAMINA 3"</v>
      </c>
      <c r="C452" s="855"/>
      <c r="D452" s="37" t="s">
        <v>865</v>
      </c>
      <c r="E452" s="83">
        <v>6</v>
      </c>
      <c r="F452" s="82">
        <f>MATERIALES2!$E$254</f>
        <v>385</v>
      </c>
      <c r="G452" s="111">
        <f t="shared" si="1"/>
        <v>2310</v>
      </c>
    </row>
    <row r="453" spans="1:8">
      <c r="A453" s="123"/>
      <c r="B453" s="854" t="str">
        <f>MATERIALES2!$C$256</f>
        <v>CHAZOS 3/8"</v>
      </c>
      <c r="C453" s="855"/>
      <c r="D453" s="37" t="s">
        <v>865</v>
      </c>
      <c r="E453" s="83">
        <v>6</v>
      </c>
      <c r="F453" s="82">
        <f>MATERIALES2!$E$256</f>
        <v>1275</v>
      </c>
      <c r="G453" s="111">
        <f t="shared" si="1"/>
        <v>7650</v>
      </c>
    </row>
    <row r="454" spans="1:8">
      <c r="A454" s="123"/>
      <c r="B454" s="854" t="str">
        <f>MATERIALES2!$C$197</f>
        <v>CERRADURA YALE 5304 ALUMINIO</v>
      </c>
      <c r="C454" s="855"/>
      <c r="D454" s="37" t="s">
        <v>865</v>
      </c>
      <c r="E454" s="83">
        <v>1</v>
      </c>
      <c r="F454" s="82">
        <f>MATERIALES2!$E$197</f>
        <v>36210</v>
      </c>
      <c r="G454" s="111">
        <f t="shared" si="1"/>
        <v>36210</v>
      </c>
    </row>
    <row r="455" spans="1:8">
      <c r="A455" s="95"/>
      <c r="B455" s="854"/>
      <c r="C455" s="855"/>
      <c r="D455" s="37"/>
      <c r="E455" s="83"/>
      <c r="F455" s="82"/>
      <c r="G455" s="111"/>
      <c r="H455" s="505" t="s">
        <v>1670</v>
      </c>
    </row>
    <row r="456" spans="1:8">
      <c r="A456" s="95"/>
      <c r="B456" s="938" t="s">
        <v>841</v>
      </c>
      <c r="C456" s="939"/>
      <c r="D456" s="53" t="s">
        <v>841</v>
      </c>
      <c r="E456" s="53"/>
      <c r="F456" s="82"/>
      <c r="G456" s="111"/>
    </row>
    <row r="457" spans="1:8" ht="13.5" thickBot="1">
      <c r="A457" s="95"/>
      <c r="B457" s="942" t="s">
        <v>841</v>
      </c>
      <c r="C457" s="943"/>
      <c r="D457" s="84" t="s">
        <v>841</v>
      </c>
      <c r="E457" s="84"/>
      <c r="F457" s="85"/>
      <c r="G457" s="112"/>
    </row>
    <row r="458" spans="1:8" ht="13.5" thickTop="1">
      <c r="A458" s="95"/>
      <c r="B458" s="946"/>
      <c r="C458" s="947"/>
      <c r="D458" s="801" t="s">
        <v>856</v>
      </c>
      <c r="E458" s="802"/>
      <c r="F458" s="9"/>
      <c r="G458" s="113">
        <f>SUM(G449:G457)</f>
        <v>180620</v>
      </c>
    </row>
    <row r="459" spans="1:8">
      <c r="A459" s="95"/>
      <c r="B459" s="948"/>
      <c r="C459" s="949"/>
      <c r="D459" s="801" t="s">
        <v>857</v>
      </c>
      <c r="E459" s="802"/>
      <c r="F459" s="79">
        <f>'MANO DE OBRA'!$D$60</f>
        <v>0.05</v>
      </c>
      <c r="G459" s="113">
        <f>ROUND(G458*F459,0)</f>
        <v>9031</v>
      </c>
    </row>
    <row r="460" spans="1:8" ht="13.5" thickBot="1">
      <c r="A460" s="95"/>
      <c r="B460" s="948"/>
      <c r="C460" s="949"/>
      <c r="D460" s="803" t="s">
        <v>320</v>
      </c>
      <c r="E460" s="804"/>
      <c r="F460" s="114"/>
      <c r="G460" s="118">
        <f>+G458+G459</f>
        <v>189651</v>
      </c>
    </row>
    <row r="461" spans="1:8" ht="14.25" thickTop="1" thickBot="1">
      <c r="A461" s="95"/>
      <c r="B461" s="970"/>
      <c r="C461" s="970"/>
      <c r="D461" s="970"/>
      <c r="E461" s="970"/>
      <c r="F461" s="970"/>
      <c r="G461" s="970"/>
    </row>
    <row r="462" spans="1:8" ht="13.5" thickTop="1">
      <c r="A462" s="95"/>
      <c r="B462" s="950" t="s">
        <v>858</v>
      </c>
      <c r="C462" s="951"/>
      <c r="D462" s="951"/>
      <c r="E462" s="951"/>
      <c r="F462" s="951"/>
      <c r="G462" s="952"/>
    </row>
    <row r="463" spans="1:8">
      <c r="A463" s="95"/>
      <c r="B463" s="978"/>
      <c r="C463" s="979"/>
      <c r="D463" s="98" t="s">
        <v>301</v>
      </c>
      <c r="E463" s="98" t="s">
        <v>859</v>
      </c>
      <c r="F463" s="99" t="s">
        <v>839</v>
      </c>
      <c r="G463" s="107" t="s">
        <v>840</v>
      </c>
    </row>
    <row r="464" spans="1:8">
      <c r="A464" s="95"/>
      <c r="B464" s="982" t="s">
        <v>838</v>
      </c>
      <c r="C464" s="983"/>
      <c r="D464" s="100" t="s">
        <v>316</v>
      </c>
      <c r="E464" s="100" t="s">
        <v>315</v>
      </c>
      <c r="F464" s="101" t="s">
        <v>306</v>
      </c>
      <c r="G464" s="108" t="s">
        <v>319</v>
      </c>
    </row>
    <row r="465" spans="1:7">
      <c r="A465" s="95"/>
      <c r="B465" s="230"/>
      <c r="C465" s="102"/>
      <c r="D465" s="103"/>
      <c r="E465" s="103" t="s">
        <v>317</v>
      </c>
      <c r="F465" s="104" t="s">
        <v>318</v>
      </c>
      <c r="G465" s="109"/>
    </row>
    <row r="466" spans="1:7">
      <c r="A466" s="95"/>
      <c r="B466" s="841" t="str">
        <f>'MANO DE OBRA'!$B$13</f>
        <v>AYUDANTE CUAD. TIPO DD</v>
      </c>
      <c r="C466" s="842"/>
      <c r="D466" s="87">
        <v>1</v>
      </c>
      <c r="E466" s="80">
        <f>'MANO DE OBRA'!$E$13</f>
        <v>49276</v>
      </c>
      <c r="F466" s="81">
        <v>3.5</v>
      </c>
      <c r="G466" s="110">
        <f>ROUND(D466*E466/F466,0)</f>
        <v>14079</v>
      </c>
    </row>
    <row r="467" spans="1:7">
      <c r="A467" s="95"/>
      <c r="B467" s="854" t="str">
        <f>'MANO DE OBRA'!$B$18</f>
        <v>OFICIAL CUAD. TIPO DD</v>
      </c>
      <c r="C467" s="855"/>
      <c r="D467" s="37">
        <v>1</v>
      </c>
      <c r="E467" s="82">
        <f>'MANO DE OBRA'!$E$18</f>
        <v>85666</v>
      </c>
      <c r="F467" s="83">
        <v>3.5</v>
      </c>
      <c r="G467" s="111">
        <f>ROUND(D467*E467/F467,0)</f>
        <v>24476</v>
      </c>
    </row>
    <row r="468" spans="1:7">
      <c r="A468" s="95"/>
      <c r="B468" s="854"/>
      <c r="C468" s="855"/>
      <c r="D468" s="89"/>
      <c r="E468" s="82"/>
      <c r="F468" s="83"/>
      <c r="G468" s="111"/>
    </row>
    <row r="469" spans="1:7">
      <c r="A469" s="95"/>
      <c r="B469" s="854" t="s">
        <v>841</v>
      </c>
      <c r="C469" s="855"/>
      <c r="D469" s="37"/>
      <c r="E469" s="82"/>
      <c r="F469" s="83"/>
      <c r="G469" s="111"/>
    </row>
    <row r="470" spans="1:7" ht="13.5" thickBot="1">
      <c r="A470" s="95"/>
      <c r="B470" s="980" t="s">
        <v>841</v>
      </c>
      <c r="C470" s="981"/>
      <c r="D470" s="77"/>
      <c r="E470" s="82"/>
      <c r="F470" s="86"/>
      <c r="G470" s="112"/>
    </row>
    <row r="471" spans="1:7" ht="14.25" thickTop="1" thickBot="1">
      <c r="A471" s="95"/>
      <c r="B471" s="946"/>
      <c r="C471" s="946"/>
      <c r="D471" s="946"/>
      <c r="E471" s="947"/>
      <c r="F471" s="120" t="s">
        <v>856</v>
      </c>
      <c r="G471" s="118">
        <f>SUM(G466:G470)</f>
        <v>38555</v>
      </c>
    </row>
    <row r="472" spans="1:7" ht="14.25" thickTop="1" thickBot="1">
      <c r="A472" s="95"/>
      <c r="B472" s="970"/>
      <c r="C472" s="970"/>
      <c r="D472" s="970"/>
      <c r="E472" s="970"/>
      <c r="F472" s="970"/>
      <c r="G472" s="970"/>
    </row>
    <row r="473" spans="1:7" ht="13.5" thickTop="1">
      <c r="A473" s="95"/>
      <c r="B473" s="950" t="s">
        <v>321</v>
      </c>
      <c r="C473" s="951"/>
      <c r="D473" s="951"/>
      <c r="E473" s="951"/>
      <c r="F473" s="951"/>
      <c r="G473" s="952"/>
    </row>
    <row r="474" spans="1:7">
      <c r="A474" s="95"/>
      <c r="B474" s="978" t="s">
        <v>838</v>
      </c>
      <c r="C474" s="979"/>
      <c r="D474" s="98" t="s">
        <v>301</v>
      </c>
      <c r="E474" s="98" t="s">
        <v>297</v>
      </c>
      <c r="F474" s="99" t="s">
        <v>839</v>
      </c>
      <c r="G474" s="107" t="s">
        <v>840</v>
      </c>
    </row>
    <row r="475" spans="1:7">
      <c r="A475" s="95"/>
      <c r="B475" s="230"/>
      <c r="C475" s="102"/>
      <c r="D475" s="103" t="s">
        <v>322</v>
      </c>
      <c r="E475" s="103" t="s">
        <v>323</v>
      </c>
      <c r="F475" s="104" t="s">
        <v>324</v>
      </c>
      <c r="G475" s="109" t="s">
        <v>325</v>
      </c>
    </row>
    <row r="476" spans="1:7">
      <c r="A476" s="95"/>
      <c r="B476" s="841"/>
      <c r="C476" s="842"/>
      <c r="D476" s="96"/>
      <c r="E476" s="96"/>
      <c r="F476" s="96"/>
      <c r="G476" s="116"/>
    </row>
    <row r="477" spans="1:7" ht="13.5" thickBot="1">
      <c r="A477" s="95"/>
      <c r="B477" s="980" t="s">
        <v>841</v>
      </c>
      <c r="C477" s="981"/>
      <c r="D477" s="77"/>
      <c r="E477" s="82"/>
      <c r="F477" s="86"/>
      <c r="G477" s="112"/>
    </row>
    <row r="478" spans="1:7" ht="14.25" thickTop="1" thickBot="1">
      <c r="A478" s="95"/>
      <c r="B478" s="946"/>
      <c r="C478" s="946"/>
      <c r="D478" s="946"/>
      <c r="E478" s="947"/>
      <c r="F478" s="120" t="s">
        <v>856</v>
      </c>
      <c r="G478" s="118">
        <f>SUM(G473:G477)</f>
        <v>0</v>
      </c>
    </row>
    <row r="479" spans="1:7" ht="14.25" thickTop="1" thickBot="1">
      <c r="A479" s="95"/>
      <c r="B479" s="970"/>
      <c r="C479" s="970"/>
      <c r="D479" s="970"/>
      <c r="E479" s="970"/>
      <c r="F479" s="970"/>
      <c r="G479" s="943"/>
    </row>
    <row r="480" spans="1:7" ht="13.5" thickTop="1">
      <c r="A480" s="95"/>
      <c r="B480" s="950" t="s">
        <v>326</v>
      </c>
      <c r="C480" s="951"/>
      <c r="D480" s="951"/>
      <c r="E480" s="951"/>
      <c r="F480" s="971"/>
      <c r="G480" s="121">
        <f>+G444+G460+G471</f>
        <v>230134</v>
      </c>
    </row>
    <row r="481" spans="1:8">
      <c r="A481" s="95"/>
      <c r="B481" s="972" t="s">
        <v>861</v>
      </c>
      <c r="C481" s="973"/>
      <c r="D481" s="973"/>
      <c r="E481" s="974"/>
      <c r="F481" s="128">
        <f>'MANO DE OBRA'!$D$59</f>
        <v>0</v>
      </c>
      <c r="G481" s="122">
        <f>ROUND(G480*F481,0)</f>
        <v>0</v>
      </c>
    </row>
    <row r="482" spans="1:8" ht="13.5" thickBot="1">
      <c r="A482" s="95"/>
      <c r="B482" s="975" t="s">
        <v>1049</v>
      </c>
      <c r="C482" s="976"/>
      <c r="D482" s="976"/>
      <c r="E482" s="976"/>
      <c r="F482" s="977"/>
      <c r="G482" s="118">
        <f>ROUND(G480+G481,-2)</f>
        <v>230100</v>
      </c>
      <c r="H482" s="505" t="s">
        <v>1670</v>
      </c>
    </row>
    <row r="483" spans="1:8" ht="13.5" thickTop="1">
      <c r="A483" s="95"/>
      <c r="B483" s="225" t="s">
        <v>303</v>
      </c>
      <c r="C483" s="843"/>
      <c r="D483" s="843"/>
      <c r="E483" s="843"/>
      <c r="F483" s="92" t="s">
        <v>781</v>
      </c>
      <c r="G483" s="93" t="s">
        <v>865</v>
      </c>
    </row>
    <row r="484" spans="1:8">
      <c r="A484" s="95"/>
      <c r="B484" s="226" t="s">
        <v>834</v>
      </c>
      <c r="C484" s="844" t="s">
        <v>413</v>
      </c>
      <c r="D484" s="844"/>
      <c r="E484" s="844"/>
      <c r="F484" s="15" t="s">
        <v>833</v>
      </c>
      <c r="G484" s="165" t="str">
        <f>'MANO DE OBRA'!D61</f>
        <v>Agosto de 2010</v>
      </c>
    </row>
    <row r="485" spans="1:8" ht="27.75" customHeight="1" thickBot="1">
      <c r="A485" s="127"/>
      <c r="B485" s="228" t="s">
        <v>835</v>
      </c>
      <c r="C485" s="940" t="s">
        <v>415</v>
      </c>
      <c r="D485" s="940"/>
      <c r="E485" s="940"/>
      <c r="F485" s="940"/>
      <c r="G485" s="941"/>
    </row>
    <row r="486" spans="1:8" ht="14.25" thickTop="1" thickBot="1">
      <c r="A486" s="95"/>
      <c r="B486" s="986" t="s">
        <v>1409</v>
      </c>
      <c r="C486" s="986"/>
      <c r="D486" s="986"/>
      <c r="E486" s="986"/>
      <c r="F486" s="986"/>
      <c r="G486" s="986"/>
    </row>
    <row r="487" spans="1:8" ht="13.5" thickTop="1">
      <c r="A487" s="95"/>
      <c r="B487" s="950" t="s">
        <v>304</v>
      </c>
      <c r="C487" s="951"/>
      <c r="D487" s="951"/>
      <c r="E487" s="951"/>
      <c r="F487" s="951"/>
      <c r="G487" s="952"/>
    </row>
    <row r="488" spans="1:8">
      <c r="A488" s="95"/>
      <c r="B488" s="229"/>
      <c r="C488" s="97"/>
      <c r="D488" s="98" t="s">
        <v>301</v>
      </c>
      <c r="E488" s="98" t="s">
        <v>1072</v>
      </c>
      <c r="F488" s="99" t="s">
        <v>839</v>
      </c>
      <c r="G488" s="107" t="s">
        <v>840</v>
      </c>
    </row>
    <row r="489" spans="1:8">
      <c r="A489" s="95"/>
      <c r="B489" s="982" t="s">
        <v>838</v>
      </c>
      <c r="C489" s="983"/>
      <c r="D489" s="100" t="s">
        <v>308</v>
      </c>
      <c r="E489" s="100" t="s">
        <v>305</v>
      </c>
      <c r="F489" s="101" t="s">
        <v>306</v>
      </c>
      <c r="G489" s="108" t="s">
        <v>310</v>
      </c>
    </row>
    <row r="490" spans="1:8">
      <c r="A490" s="95"/>
      <c r="B490" s="230"/>
      <c r="C490" s="102"/>
      <c r="D490" s="103"/>
      <c r="E490" s="103" t="s">
        <v>309</v>
      </c>
      <c r="F490" s="104" t="s">
        <v>307</v>
      </c>
      <c r="G490" s="109"/>
    </row>
    <row r="491" spans="1:8">
      <c r="A491" s="127"/>
      <c r="B491" s="841" t="str">
        <f>'MAQUINARIA Y EQUIPOS'!$C$28</f>
        <v>HERRAMIENTAS MENORES</v>
      </c>
      <c r="C491" s="842"/>
      <c r="D491" s="87">
        <v>1</v>
      </c>
      <c r="E491" s="82">
        <f>ROUND(G524*0.05,0)</f>
        <v>1928</v>
      </c>
      <c r="F491" s="81">
        <v>1</v>
      </c>
      <c r="G491" s="110">
        <f>ROUND(D491*E491/F491,0)</f>
        <v>1928</v>
      </c>
    </row>
    <row r="492" spans="1:8">
      <c r="A492" s="95"/>
      <c r="B492" s="854"/>
      <c r="C492" s="855"/>
      <c r="D492" s="37"/>
      <c r="E492" s="129"/>
      <c r="F492" s="83"/>
      <c r="G492" s="111"/>
    </row>
    <row r="493" spans="1:8">
      <c r="A493" s="95"/>
      <c r="B493" s="854"/>
      <c r="C493" s="855"/>
      <c r="D493" s="37"/>
      <c r="E493" s="129"/>
      <c r="F493" s="83"/>
      <c r="G493" s="111"/>
    </row>
    <row r="494" spans="1:8">
      <c r="A494" s="95"/>
      <c r="B494" s="854"/>
      <c r="C494" s="855"/>
      <c r="D494" s="89"/>
      <c r="E494" s="82"/>
      <c r="F494" s="83"/>
      <c r="G494" s="111"/>
    </row>
    <row r="495" spans="1:8">
      <c r="A495" s="95"/>
      <c r="B495" s="854" t="s">
        <v>841</v>
      </c>
      <c r="C495" s="855"/>
      <c r="D495" s="37"/>
      <c r="E495" s="82"/>
      <c r="F495" s="83"/>
      <c r="G495" s="111"/>
    </row>
    <row r="496" spans="1:8" ht="13.5" thickBot="1">
      <c r="A496" s="95"/>
      <c r="B496" s="942" t="s">
        <v>841</v>
      </c>
      <c r="C496" s="943"/>
      <c r="D496" s="77"/>
      <c r="E496" s="106"/>
      <c r="F496" s="86"/>
      <c r="G496" s="112"/>
    </row>
    <row r="497" spans="1:8" ht="14.25" thickTop="1" thickBot="1">
      <c r="A497" s="95"/>
      <c r="B497" s="946"/>
      <c r="C497" s="946"/>
      <c r="D497" s="946"/>
      <c r="E497" s="947"/>
      <c r="F497" s="119" t="s">
        <v>856</v>
      </c>
      <c r="G497" s="118">
        <f>SUM(G491:G496)</f>
        <v>1928</v>
      </c>
    </row>
    <row r="498" spans="1:8" ht="14.25" thickTop="1" thickBot="1">
      <c r="A498" s="95"/>
      <c r="B498" s="970"/>
      <c r="C498" s="970"/>
      <c r="D498" s="970"/>
      <c r="E498" s="970"/>
      <c r="F498" s="970"/>
      <c r="G498" s="970"/>
    </row>
    <row r="499" spans="1:8" ht="13.5" thickTop="1">
      <c r="A499" s="95"/>
      <c r="B499" s="950" t="s">
        <v>311</v>
      </c>
      <c r="C499" s="951"/>
      <c r="D499" s="951"/>
      <c r="E499" s="951"/>
      <c r="F499" s="951"/>
      <c r="G499" s="952"/>
    </row>
    <row r="500" spans="1:8">
      <c r="A500" s="95"/>
      <c r="B500" s="978" t="s">
        <v>838</v>
      </c>
      <c r="C500" s="979"/>
      <c r="D500" s="98" t="s">
        <v>842</v>
      </c>
      <c r="E500" s="98" t="s">
        <v>853</v>
      </c>
      <c r="F500" s="99" t="s">
        <v>1047</v>
      </c>
      <c r="G500" s="107" t="s">
        <v>840</v>
      </c>
    </row>
    <row r="501" spans="1:8">
      <c r="A501" s="95"/>
      <c r="B501" s="230"/>
      <c r="C501" s="102"/>
      <c r="D501" s="100"/>
      <c r="E501" s="100" t="s">
        <v>312</v>
      </c>
      <c r="F501" s="101" t="s">
        <v>313</v>
      </c>
      <c r="G501" s="108" t="s">
        <v>314</v>
      </c>
    </row>
    <row r="502" spans="1:8">
      <c r="A502" s="123"/>
      <c r="B502" s="841" t="str">
        <f>MATERIALES2!$C$181</f>
        <v>PUERTA FORTEC 0.80x2.00 M</v>
      </c>
      <c r="C502" s="842"/>
      <c r="D502" s="87" t="s">
        <v>865</v>
      </c>
      <c r="E502" s="81">
        <v>1</v>
      </c>
      <c r="F502" s="80">
        <f>MATERIALES2!$E$181</f>
        <v>91000</v>
      </c>
      <c r="G502" s="110">
        <f t="shared" ref="G502:G507" si="2">ROUND(E502*F502,0)</f>
        <v>91000</v>
      </c>
    </row>
    <row r="503" spans="1:8">
      <c r="A503" s="123"/>
      <c r="B503" s="854" t="str">
        <f>MATERIALES2!$C$186</f>
        <v>MARCO MADERA PARA PUERTA</v>
      </c>
      <c r="C503" s="855"/>
      <c r="D503" s="37" t="s">
        <v>865</v>
      </c>
      <c r="E503" s="83">
        <v>1</v>
      </c>
      <c r="F503" s="82">
        <f>MATERIALES2!$E$186</f>
        <v>56760</v>
      </c>
      <c r="G503" s="111">
        <f t="shared" si="2"/>
        <v>56760</v>
      </c>
    </row>
    <row r="504" spans="1:8">
      <c r="A504" s="123"/>
      <c r="B504" s="854" t="str">
        <f>MATERIALES2!$C$194</f>
        <v>BISAGRA 3"x3" PESADA</v>
      </c>
      <c r="C504" s="855"/>
      <c r="D504" s="37" t="s">
        <v>865</v>
      </c>
      <c r="E504" s="83">
        <v>1.5</v>
      </c>
      <c r="F504" s="82">
        <f>MATERIALES2!$E$194</f>
        <v>2460</v>
      </c>
      <c r="G504" s="111">
        <f t="shared" si="2"/>
        <v>3690</v>
      </c>
    </row>
    <row r="505" spans="1:8">
      <c r="A505" s="123"/>
      <c r="B505" s="854" t="str">
        <f>MATERIALES2!$C$254</f>
        <v>TORNILLO LAMINA 3"</v>
      </c>
      <c r="C505" s="855"/>
      <c r="D505" s="37" t="s">
        <v>865</v>
      </c>
      <c r="E505" s="83">
        <v>6</v>
      </c>
      <c r="F505" s="82">
        <f>MATERIALES2!$E$254</f>
        <v>385</v>
      </c>
      <c r="G505" s="111">
        <f t="shared" si="2"/>
        <v>2310</v>
      </c>
    </row>
    <row r="506" spans="1:8">
      <c r="A506" s="123"/>
      <c r="B506" s="854" t="str">
        <f>MATERIALES2!$C$256</f>
        <v>CHAZOS 3/8"</v>
      </c>
      <c r="C506" s="855"/>
      <c r="D506" s="37" t="s">
        <v>865</v>
      </c>
      <c r="E506" s="83">
        <v>6</v>
      </c>
      <c r="F506" s="82">
        <f>MATERIALES2!$E$256</f>
        <v>1275</v>
      </c>
      <c r="G506" s="111">
        <f t="shared" si="2"/>
        <v>7650</v>
      </c>
    </row>
    <row r="507" spans="1:8">
      <c r="A507" s="123"/>
      <c r="B507" s="854" t="str">
        <f>MATERIALES2!$C$197</f>
        <v>CERRADURA YALE 5304 ALUMINIO</v>
      </c>
      <c r="C507" s="855"/>
      <c r="D507" s="37" t="s">
        <v>865</v>
      </c>
      <c r="E507" s="83">
        <v>1</v>
      </c>
      <c r="F507" s="82">
        <f>MATERIALES2!$E$197</f>
        <v>36210</v>
      </c>
      <c r="G507" s="111">
        <f t="shared" si="2"/>
        <v>36210</v>
      </c>
    </row>
    <row r="508" spans="1:8">
      <c r="A508" s="95"/>
      <c r="B508" s="854"/>
      <c r="C508" s="855"/>
      <c r="D508" s="37"/>
      <c r="E508" s="83"/>
      <c r="F508" s="82"/>
      <c r="G508" s="111"/>
      <c r="H508" s="505" t="s">
        <v>1670</v>
      </c>
    </row>
    <row r="509" spans="1:8">
      <c r="A509" s="95"/>
      <c r="B509" s="938" t="s">
        <v>841</v>
      </c>
      <c r="C509" s="939"/>
      <c r="D509" s="53" t="s">
        <v>841</v>
      </c>
      <c r="E509" s="53"/>
      <c r="F509" s="82"/>
      <c r="G509" s="111"/>
    </row>
    <row r="510" spans="1:8" ht="13.5" thickBot="1">
      <c r="A510" s="95"/>
      <c r="B510" s="942" t="s">
        <v>841</v>
      </c>
      <c r="C510" s="943"/>
      <c r="D510" s="84" t="s">
        <v>841</v>
      </c>
      <c r="E510" s="84"/>
      <c r="F510" s="85"/>
      <c r="G510" s="112"/>
    </row>
    <row r="511" spans="1:8" ht="13.5" thickTop="1">
      <c r="A511" s="95"/>
      <c r="B511" s="946"/>
      <c r="C511" s="947"/>
      <c r="D511" s="801" t="s">
        <v>856</v>
      </c>
      <c r="E511" s="802"/>
      <c r="F511" s="9"/>
      <c r="G511" s="113">
        <f>SUM(G502:G510)</f>
        <v>197620</v>
      </c>
    </row>
    <row r="512" spans="1:8">
      <c r="A512" s="95"/>
      <c r="B512" s="948"/>
      <c r="C512" s="949"/>
      <c r="D512" s="801" t="s">
        <v>857</v>
      </c>
      <c r="E512" s="802"/>
      <c r="F512" s="79">
        <f>'MANO DE OBRA'!$D$60</f>
        <v>0.05</v>
      </c>
      <c r="G512" s="113">
        <f>ROUND(G511*F512,0)</f>
        <v>9881</v>
      </c>
    </row>
    <row r="513" spans="1:7" ht="13.5" thickBot="1">
      <c r="A513" s="95"/>
      <c r="B513" s="948"/>
      <c r="C513" s="949"/>
      <c r="D513" s="803" t="s">
        <v>320</v>
      </c>
      <c r="E513" s="804"/>
      <c r="F513" s="114"/>
      <c r="G513" s="118">
        <f>+G511+G512</f>
        <v>207501</v>
      </c>
    </row>
    <row r="514" spans="1:7" ht="14.25" thickTop="1" thickBot="1">
      <c r="A514" s="95"/>
      <c r="B514" s="970"/>
      <c r="C514" s="970"/>
      <c r="D514" s="970"/>
      <c r="E514" s="970"/>
      <c r="F514" s="970"/>
      <c r="G514" s="970"/>
    </row>
    <row r="515" spans="1:7" ht="13.5" thickTop="1">
      <c r="A515" s="95"/>
      <c r="B515" s="950" t="s">
        <v>858</v>
      </c>
      <c r="C515" s="951"/>
      <c r="D515" s="951"/>
      <c r="E515" s="951"/>
      <c r="F515" s="951"/>
      <c r="G515" s="952"/>
    </row>
    <row r="516" spans="1:7">
      <c r="A516" s="95"/>
      <c r="B516" s="978"/>
      <c r="C516" s="979"/>
      <c r="D516" s="98" t="s">
        <v>301</v>
      </c>
      <c r="E516" s="98" t="s">
        <v>859</v>
      </c>
      <c r="F516" s="99" t="s">
        <v>839</v>
      </c>
      <c r="G516" s="107" t="s">
        <v>840</v>
      </c>
    </row>
    <row r="517" spans="1:7">
      <c r="A517" s="95"/>
      <c r="B517" s="982" t="s">
        <v>838</v>
      </c>
      <c r="C517" s="983"/>
      <c r="D517" s="100" t="s">
        <v>316</v>
      </c>
      <c r="E517" s="100" t="s">
        <v>315</v>
      </c>
      <c r="F517" s="101" t="s">
        <v>306</v>
      </c>
      <c r="G517" s="108" t="s">
        <v>319</v>
      </c>
    </row>
    <row r="518" spans="1:7">
      <c r="A518" s="95"/>
      <c r="B518" s="230"/>
      <c r="C518" s="102"/>
      <c r="D518" s="103"/>
      <c r="E518" s="103" t="s">
        <v>317</v>
      </c>
      <c r="F518" s="104" t="s">
        <v>318</v>
      </c>
      <c r="G518" s="109"/>
    </row>
    <row r="519" spans="1:7">
      <c r="A519" s="95"/>
      <c r="B519" s="841" t="str">
        <f>'MANO DE OBRA'!$B$13</f>
        <v>AYUDANTE CUAD. TIPO DD</v>
      </c>
      <c r="C519" s="842"/>
      <c r="D519" s="87">
        <v>1</v>
      </c>
      <c r="E519" s="80">
        <f>'MANO DE OBRA'!$E$13</f>
        <v>49276</v>
      </c>
      <c r="F519" s="81">
        <v>3.5</v>
      </c>
      <c r="G519" s="110">
        <f>ROUND(D519*E519/F519,0)</f>
        <v>14079</v>
      </c>
    </row>
    <row r="520" spans="1:7">
      <c r="A520" s="95"/>
      <c r="B520" s="854" t="str">
        <f>'MANO DE OBRA'!$B$18</f>
        <v>OFICIAL CUAD. TIPO DD</v>
      </c>
      <c r="C520" s="855"/>
      <c r="D520" s="37">
        <v>1</v>
      </c>
      <c r="E520" s="82">
        <f>'MANO DE OBRA'!$E$18</f>
        <v>85666</v>
      </c>
      <c r="F520" s="83">
        <v>3.5</v>
      </c>
      <c r="G520" s="111">
        <f>ROUND(D520*E520/F520,0)</f>
        <v>24476</v>
      </c>
    </row>
    <row r="521" spans="1:7">
      <c r="A521" s="95"/>
      <c r="B521" s="854"/>
      <c r="C521" s="855"/>
      <c r="D521" s="89"/>
      <c r="E521" s="82"/>
      <c r="F521" s="83"/>
      <c r="G521" s="111"/>
    </row>
    <row r="522" spans="1:7">
      <c r="A522" s="95"/>
      <c r="B522" s="854" t="s">
        <v>841</v>
      </c>
      <c r="C522" s="855"/>
      <c r="D522" s="37"/>
      <c r="E522" s="82"/>
      <c r="F522" s="83"/>
      <c r="G522" s="111"/>
    </row>
    <row r="523" spans="1:7" ht="13.5" thickBot="1">
      <c r="A523" s="95"/>
      <c r="B523" s="980" t="s">
        <v>841</v>
      </c>
      <c r="C523" s="981"/>
      <c r="D523" s="77"/>
      <c r="E523" s="82"/>
      <c r="F523" s="86"/>
      <c r="G523" s="112"/>
    </row>
    <row r="524" spans="1:7" ht="14.25" thickTop="1" thickBot="1">
      <c r="A524" s="95"/>
      <c r="B524" s="946"/>
      <c r="C524" s="946"/>
      <c r="D524" s="946"/>
      <c r="E524" s="947"/>
      <c r="F524" s="120" t="s">
        <v>856</v>
      </c>
      <c r="G524" s="118">
        <f>SUM(G519:G523)</f>
        <v>38555</v>
      </c>
    </row>
    <row r="525" spans="1:7" ht="14.25" thickTop="1" thickBot="1">
      <c r="A525" s="95"/>
      <c r="B525" s="970"/>
      <c r="C525" s="970"/>
      <c r="D525" s="970"/>
      <c r="E525" s="970"/>
      <c r="F525" s="970"/>
      <c r="G525" s="970"/>
    </row>
    <row r="526" spans="1:7" ht="13.5" thickTop="1">
      <c r="A526" s="95"/>
      <c r="B526" s="950" t="s">
        <v>321</v>
      </c>
      <c r="C526" s="951"/>
      <c r="D526" s="951"/>
      <c r="E526" s="951"/>
      <c r="F526" s="951"/>
      <c r="G526" s="952"/>
    </row>
    <row r="527" spans="1:7">
      <c r="A527" s="95"/>
      <c r="B527" s="978" t="s">
        <v>838</v>
      </c>
      <c r="C527" s="979"/>
      <c r="D527" s="98" t="s">
        <v>301</v>
      </c>
      <c r="E527" s="98" t="s">
        <v>297</v>
      </c>
      <c r="F527" s="99" t="s">
        <v>839</v>
      </c>
      <c r="G527" s="107" t="s">
        <v>840</v>
      </c>
    </row>
    <row r="528" spans="1:7">
      <c r="A528" s="95"/>
      <c r="B528" s="230"/>
      <c r="C528" s="102"/>
      <c r="D528" s="103" t="s">
        <v>322</v>
      </c>
      <c r="E528" s="103" t="s">
        <v>323</v>
      </c>
      <c r="F528" s="104" t="s">
        <v>324</v>
      </c>
      <c r="G528" s="109" t="s">
        <v>325</v>
      </c>
    </row>
    <row r="529" spans="1:8">
      <c r="A529" s="95"/>
      <c r="B529" s="841"/>
      <c r="C529" s="842"/>
      <c r="D529" s="96"/>
      <c r="E529" s="96"/>
      <c r="F529" s="96"/>
      <c r="G529" s="116"/>
    </row>
    <row r="530" spans="1:8" ht="13.5" thickBot="1">
      <c r="A530" s="95"/>
      <c r="B530" s="980" t="s">
        <v>841</v>
      </c>
      <c r="C530" s="981"/>
      <c r="D530" s="77"/>
      <c r="E530" s="82"/>
      <c r="F530" s="86"/>
      <c r="G530" s="112"/>
    </row>
    <row r="531" spans="1:8" ht="14.25" thickTop="1" thickBot="1">
      <c r="A531" s="95"/>
      <c r="B531" s="946"/>
      <c r="C531" s="946"/>
      <c r="D531" s="946"/>
      <c r="E531" s="947"/>
      <c r="F531" s="120" t="s">
        <v>856</v>
      </c>
      <c r="G531" s="118">
        <f>SUM(G526:G530)</f>
        <v>0</v>
      </c>
    </row>
    <row r="532" spans="1:8" ht="14.25" thickTop="1" thickBot="1">
      <c r="A532" s="95"/>
      <c r="B532" s="970"/>
      <c r="C532" s="970"/>
      <c r="D532" s="970"/>
      <c r="E532" s="970"/>
      <c r="F532" s="970"/>
      <c r="G532" s="943"/>
    </row>
    <row r="533" spans="1:8" ht="13.5" thickTop="1">
      <c r="A533" s="95"/>
      <c r="B533" s="950" t="s">
        <v>326</v>
      </c>
      <c r="C533" s="951"/>
      <c r="D533" s="951"/>
      <c r="E533" s="951"/>
      <c r="F533" s="971"/>
      <c r="G533" s="121">
        <f>+G497+G513+G524</f>
        <v>247984</v>
      </c>
    </row>
    <row r="534" spans="1:8">
      <c r="A534" s="95"/>
      <c r="B534" s="972" t="s">
        <v>861</v>
      </c>
      <c r="C534" s="973"/>
      <c r="D534" s="973"/>
      <c r="E534" s="974"/>
      <c r="F534" s="128">
        <f>'MANO DE OBRA'!$D$59</f>
        <v>0</v>
      </c>
      <c r="G534" s="122">
        <f>ROUND(G533*F534,0)</f>
        <v>0</v>
      </c>
    </row>
    <row r="535" spans="1:8" ht="13.5" thickBot="1">
      <c r="A535" s="95"/>
      <c r="B535" s="975" t="s">
        <v>1049</v>
      </c>
      <c r="C535" s="976"/>
      <c r="D535" s="976"/>
      <c r="E535" s="976"/>
      <c r="F535" s="977"/>
      <c r="G535" s="118">
        <f>ROUND(G533+G534,-2)</f>
        <v>248000</v>
      </c>
      <c r="H535" s="505" t="s">
        <v>1670</v>
      </c>
    </row>
    <row r="536" spans="1:8" ht="13.5" thickTop="1">
      <c r="A536" s="95"/>
      <c r="B536" s="225" t="s">
        <v>303</v>
      </c>
      <c r="C536" s="843"/>
      <c r="D536" s="843"/>
      <c r="E536" s="843"/>
      <c r="F536" s="92" t="s">
        <v>781</v>
      </c>
      <c r="G536" s="93" t="s">
        <v>865</v>
      </c>
    </row>
    <row r="537" spans="1:8">
      <c r="A537" s="95"/>
      <c r="B537" s="226" t="s">
        <v>834</v>
      </c>
      <c r="C537" s="844" t="s">
        <v>413</v>
      </c>
      <c r="D537" s="844"/>
      <c r="E537" s="844"/>
      <c r="F537" s="15" t="s">
        <v>833</v>
      </c>
      <c r="G537" s="165" t="str">
        <f>'MANO DE OBRA'!D61</f>
        <v>Agosto de 2010</v>
      </c>
    </row>
    <row r="538" spans="1:8" ht="24.75" customHeight="1" thickBot="1">
      <c r="A538" s="127"/>
      <c r="B538" s="228" t="s">
        <v>835</v>
      </c>
      <c r="C538" s="940" t="s">
        <v>416</v>
      </c>
      <c r="D538" s="940"/>
      <c r="E538" s="940"/>
      <c r="F538" s="940"/>
      <c r="G538" s="941"/>
    </row>
    <row r="539" spans="1:8" ht="14.25" thickTop="1" thickBot="1">
      <c r="A539" s="95"/>
      <c r="B539" s="986" t="s">
        <v>1409</v>
      </c>
      <c r="C539" s="986"/>
      <c r="D539" s="986"/>
      <c r="E539" s="986"/>
      <c r="F539" s="986"/>
      <c r="G539" s="986"/>
    </row>
    <row r="540" spans="1:8" ht="13.5" thickTop="1">
      <c r="A540" s="95"/>
      <c r="B540" s="950" t="s">
        <v>304</v>
      </c>
      <c r="C540" s="951"/>
      <c r="D540" s="951"/>
      <c r="E540" s="951"/>
      <c r="F540" s="951"/>
      <c r="G540" s="952"/>
    </row>
    <row r="541" spans="1:8">
      <c r="A541" s="95"/>
      <c r="B541" s="229"/>
      <c r="C541" s="97"/>
      <c r="D541" s="98" t="s">
        <v>301</v>
      </c>
      <c r="E541" s="98" t="s">
        <v>1072</v>
      </c>
      <c r="F541" s="99" t="s">
        <v>839</v>
      </c>
      <c r="G541" s="107" t="s">
        <v>840</v>
      </c>
    </row>
    <row r="542" spans="1:8">
      <c r="A542" s="95"/>
      <c r="B542" s="982" t="s">
        <v>838</v>
      </c>
      <c r="C542" s="983"/>
      <c r="D542" s="100" t="s">
        <v>308</v>
      </c>
      <c r="E542" s="100" t="s">
        <v>305</v>
      </c>
      <c r="F542" s="101" t="s">
        <v>306</v>
      </c>
      <c r="G542" s="108" t="s">
        <v>310</v>
      </c>
    </row>
    <row r="543" spans="1:8">
      <c r="A543" s="95"/>
      <c r="B543" s="230"/>
      <c r="C543" s="102"/>
      <c r="D543" s="103"/>
      <c r="E543" s="103" t="s">
        <v>309</v>
      </c>
      <c r="F543" s="104" t="s">
        <v>307</v>
      </c>
      <c r="G543" s="109"/>
    </row>
    <row r="544" spans="1:8">
      <c r="A544" s="127"/>
      <c r="B544" s="841" t="str">
        <f>'MAQUINARIA Y EQUIPOS'!$C$28</f>
        <v>HERRAMIENTAS MENORES</v>
      </c>
      <c r="C544" s="842"/>
      <c r="D544" s="87">
        <v>1</v>
      </c>
      <c r="E544" s="82">
        <f>ROUND(G577*0.05,0)</f>
        <v>1928</v>
      </c>
      <c r="F544" s="81">
        <v>1</v>
      </c>
      <c r="G544" s="110">
        <f>ROUND(D544*E544/F544,0)</f>
        <v>1928</v>
      </c>
    </row>
    <row r="545" spans="1:7">
      <c r="A545" s="95"/>
      <c r="B545" s="854"/>
      <c r="C545" s="855"/>
      <c r="D545" s="37"/>
      <c r="E545" s="129"/>
      <c r="F545" s="83"/>
      <c r="G545" s="111"/>
    </row>
    <row r="546" spans="1:7">
      <c r="A546" s="95"/>
      <c r="B546" s="854"/>
      <c r="C546" s="855"/>
      <c r="D546" s="37"/>
      <c r="E546" s="129"/>
      <c r="F546" s="83"/>
      <c r="G546" s="111"/>
    </row>
    <row r="547" spans="1:7">
      <c r="A547" s="95"/>
      <c r="B547" s="854"/>
      <c r="C547" s="855"/>
      <c r="D547" s="89"/>
      <c r="E547" s="82"/>
      <c r="F547" s="83"/>
      <c r="G547" s="111"/>
    </row>
    <row r="548" spans="1:7">
      <c r="A548" s="95"/>
      <c r="B548" s="854" t="s">
        <v>841</v>
      </c>
      <c r="C548" s="855"/>
      <c r="D548" s="37"/>
      <c r="E548" s="82"/>
      <c r="F548" s="83"/>
      <c r="G548" s="111"/>
    </row>
    <row r="549" spans="1:7" ht="13.5" thickBot="1">
      <c r="A549" s="95"/>
      <c r="B549" s="942" t="s">
        <v>841</v>
      </c>
      <c r="C549" s="943"/>
      <c r="D549" s="77"/>
      <c r="E549" s="106"/>
      <c r="F549" s="86"/>
      <c r="G549" s="112"/>
    </row>
    <row r="550" spans="1:7" ht="14.25" thickTop="1" thickBot="1">
      <c r="A550" s="95"/>
      <c r="B550" s="946"/>
      <c r="C550" s="946"/>
      <c r="D550" s="946"/>
      <c r="E550" s="947"/>
      <c r="F550" s="119" t="s">
        <v>856</v>
      </c>
      <c r="G550" s="118">
        <f>SUM(G544:G549)</f>
        <v>1928</v>
      </c>
    </row>
    <row r="551" spans="1:7" ht="14.25" thickTop="1" thickBot="1">
      <c r="A551" s="95"/>
      <c r="B551" s="970"/>
      <c r="C551" s="970"/>
      <c r="D551" s="970"/>
      <c r="E551" s="970"/>
      <c r="F551" s="970"/>
      <c r="G551" s="970"/>
    </row>
    <row r="552" spans="1:7" ht="13.5" thickTop="1">
      <c r="A552" s="95"/>
      <c r="B552" s="950" t="s">
        <v>311</v>
      </c>
      <c r="C552" s="951"/>
      <c r="D552" s="951"/>
      <c r="E552" s="951"/>
      <c r="F552" s="951"/>
      <c r="G552" s="952"/>
    </row>
    <row r="553" spans="1:7">
      <c r="A553" s="95"/>
      <c r="B553" s="978" t="s">
        <v>838</v>
      </c>
      <c r="C553" s="979"/>
      <c r="D553" s="98" t="s">
        <v>842</v>
      </c>
      <c r="E553" s="98" t="s">
        <v>853</v>
      </c>
      <c r="F553" s="99" t="s">
        <v>1047</v>
      </c>
      <c r="G553" s="107" t="s">
        <v>840</v>
      </c>
    </row>
    <row r="554" spans="1:7">
      <c r="A554" s="95"/>
      <c r="B554" s="230"/>
      <c r="C554" s="102"/>
      <c r="D554" s="100"/>
      <c r="E554" s="100" t="s">
        <v>312</v>
      </c>
      <c r="F554" s="101" t="s">
        <v>313</v>
      </c>
      <c r="G554" s="108" t="s">
        <v>314</v>
      </c>
    </row>
    <row r="555" spans="1:7">
      <c r="A555" s="123"/>
      <c r="B555" s="841" t="str">
        <f>MATERIALES2!$C$182</f>
        <v>PUERTA FORTEC 0.90x2.00 M</v>
      </c>
      <c r="C555" s="842"/>
      <c r="D555" s="87" t="s">
        <v>865</v>
      </c>
      <c r="E555" s="81">
        <v>1</v>
      </c>
      <c r="F555" s="80">
        <f>MATERIALES2!$E$182</f>
        <v>110000</v>
      </c>
      <c r="G555" s="110">
        <f t="shared" ref="G555:G560" si="3">ROUND(E555*F555,0)</f>
        <v>110000</v>
      </c>
    </row>
    <row r="556" spans="1:7">
      <c r="A556" s="123"/>
      <c r="B556" s="854" t="str">
        <f>MATERIALES2!$C$186</f>
        <v>MARCO MADERA PARA PUERTA</v>
      </c>
      <c r="C556" s="855"/>
      <c r="D556" s="37" t="s">
        <v>865</v>
      </c>
      <c r="E556" s="83">
        <v>1</v>
      </c>
      <c r="F556" s="82">
        <f>MATERIALES2!$E$186</f>
        <v>56760</v>
      </c>
      <c r="G556" s="111">
        <f t="shared" si="3"/>
        <v>56760</v>
      </c>
    </row>
    <row r="557" spans="1:7">
      <c r="A557" s="123"/>
      <c r="B557" s="854" t="str">
        <f>MATERIALES2!$C$194</f>
        <v>BISAGRA 3"x3" PESADA</v>
      </c>
      <c r="C557" s="855"/>
      <c r="D557" s="37" t="s">
        <v>865</v>
      </c>
      <c r="E557" s="83">
        <v>1.5</v>
      </c>
      <c r="F557" s="82">
        <f>MATERIALES2!$E$194</f>
        <v>2460</v>
      </c>
      <c r="G557" s="111">
        <f t="shared" si="3"/>
        <v>3690</v>
      </c>
    </row>
    <row r="558" spans="1:7">
      <c r="A558" s="123"/>
      <c r="B558" s="854" t="str">
        <f>MATERIALES2!$C$254</f>
        <v>TORNILLO LAMINA 3"</v>
      </c>
      <c r="C558" s="855"/>
      <c r="D558" s="37" t="s">
        <v>865</v>
      </c>
      <c r="E558" s="83">
        <v>6</v>
      </c>
      <c r="F558" s="82">
        <f>MATERIALES2!$E$254</f>
        <v>385</v>
      </c>
      <c r="G558" s="111">
        <f t="shared" si="3"/>
        <v>2310</v>
      </c>
    </row>
    <row r="559" spans="1:7">
      <c r="A559" s="123"/>
      <c r="B559" s="854" t="str">
        <f>MATERIALES2!$C$256</f>
        <v>CHAZOS 3/8"</v>
      </c>
      <c r="C559" s="855"/>
      <c r="D559" s="37" t="s">
        <v>865</v>
      </c>
      <c r="E559" s="83">
        <v>6</v>
      </c>
      <c r="F559" s="82">
        <f>MATERIALES2!$E$256</f>
        <v>1275</v>
      </c>
      <c r="G559" s="111">
        <f t="shared" si="3"/>
        <v>7650</v>
      </c>
    </row>
    <row r="560" spans="1:7">
      <c r="A560" s="123"/>
      <c r="B560" s="854" t="str">
        <f>MATERIALES2!$C$197</f>
        <v>CERRADURA YALE 5304 ALUMINIO</v>
      </c>
      <c r="C560" s="855"/>
      <c r="D560" s="37" t="s">
        <v>865</v>
      </c>
      <c r="E560" s="83">
        <v>1</v>
      </c>
      <c r="F560" s="82">
        <f>MATERIALES2!$E$197</f>
        <v>36210</v>
      </c>
      <c r="G560" s="111">
        <f t="shared" si="3"/>
        <v>36210</v>
      </c>
    </row>
    <row r="561" spans="1:8">
      <c r="A561" s="95"/>
      <c r="B561" s="854"/>
      <c r="C561" s="855"/>
      <c r="D561" s="37"/>
      <c r="E561" s="83"/>
      <c r="F561" s="82"/>
      <c r="G561" s="111"/>
      <c r="H561" s="505" t="s">
        <v>1670</v>
      </c>
    </row>
    <row r="562" spans="1:8">
      <c r="A562" s="95"/>
      <c r="B562" s="938" t="s">
        <v>841</v>
      </c>
      <c r="C562" s="939"/>
      <c r="D562" s="53" t="s">
        <v>841</v>
      </c>
      <c r="E562" s="53"/>
      <c r="F562" s="82"/>
      <c r="G562" s="111"/>
    </row>
    <row r="563" spans="1:8" ht="13.5" thickBot="1">
      <c r="A563" s="95"/>
      <c r="B563" s="942" t="s">
        <v>841</v>
      </c>
      <c r="C563" s="943"/>
      <c r="D563" s="84" t="s">
        <v>841</v>
      </c>
      <c r="E563" s="84"/>
      <c r="F563" s="85"/>
      <c r="G563" s="112"/>
    </row>
    <row r="564" spans="1:8" ht="13.5" thickTop="1">
      <c r="A564" s="95"/>
      <c r="B564" s="946"/>
      <c r="C564" s="947"/>
      <c r="D564" s="801" t="s">
        <v>856</v>
      </c>
      <c r="E564" s="802"/>
      <c r="F564" s="9"/>
      <c r="G564" s="113">
        <f>SUM(G555:G563)</f>
        <v>216620</v>
      </c>
    </row>
    <row r="565" spans="1:8">
      <c r="A565" s="95"/>
      <c r="B565" s="948"/>
      <c r="C565" s="949"/>
      <c r="D565" s="801" t="s">
        <v>857</v>
      </c>
      <c r="E565" s="802"/>
      <c r="F565" s="79">
        <f>'MANO DE OBRA'!$D$60</f>
        <v>0.05</v>
      </c>
      <c r="G565" s="113">
        <f>ROUND(G564*F565,0)</f>
        <v>10831</v>
      </c>
    </row>
    <row r="566" spans="1:8" ht="13.5" thickBot="1">
      <c r="A566" s="95"/>
      <c r="B566" s="948"/>
      <c r="C566" s="949"/>
      <c r="D566" s="803" t="s">
        <v>320</v>
      </c>
      <c r="E566" s="804"/>
      <c r="F566" s="114"/>
      <c r="G566" s="118">
        <f>+G564+G565</f>
        <v>227451</v>
      </c>
    </row>
    <row r="567" spans="1:8" ht="14.25" thickTop="1" thickBot="1">
      <c r="A567" s="95"/>
      <c r="B567" s="970"/>
      <c r="C567" s="970"/>
      <c r="D567" s="970"/>
      <c r="E567" s="970"/>
      <c r="F567" s="970"/>
      <c r="G567" s="970"/>
    </row>
    <row r="568" spans="1:8" ht="13.5" thickTop="1">
      <c r="A568" s="95"/>
      <c r="B568" s="950" t="s">
        <v>858</v>
      </c>
      <c r="C568" s="951"/>
      <c r="D568" s="951"/>
      <c r="E568" s="951"/>
      <c r="F568" s="951"/>
      <c r="G568" s="952"/>
    </row>
    <row r="569" spans="1:8">
      <c r="A569" s="95"/>
      <c r="B569" s="978"/>
      <c r="C569" s="979"/>
      <c r="D569" s="98" t="s">
        <v>301</v>
      </c>
      <c r="E569" s="98" t="s">
        <v>859</v>
      </c>
      <c r="F569" s="99" t="s">
        <v>839</v>
      </c>
      <c r="G569" s="107" t="s">
        <v>840</v>
      </c>
    </row>
    <row r="570" spans="1:8">
      <c r="A570" s="95"/>
      <c r="B570" s="982" t="s">
        <v>838</v>
      </c>
      <c r="C570" s="983"/>
      <c r="D570" s="100" t="s">
        <v>316</v>
      </c>
      <c r="E570" s="100" t="s">
        <v>315</v>
      </c>
      <c r="F570" s="101" t="s">
        <v>306</v>
      </c>
      <c r="G570" s="108" t="s">
        <v>319</v>
      </c>
    </row>
    <row r="571" spans="1:8">
      <c r="A571" s="95"/>
      <c r="B571" s="230"/>
      <c r="C571" s="102"/>
      <c r="D571" s="103"/>
      <c r="E571" s="103" t="s">
        <v>317</v>
      </c>
      <c r="F571" s="104" t="s">
        <v>318</v>
      </c>
      <c r="G571" s="109"/>
    </row>
    <row r="572" spans="1:8">
      <c r="A572" s="95"/>
      <c r="B572" s="841" t="str">
        <f>'MANO DE OBRA'!$B$13</f>
        <v>AYUDANTE CUAD. TIPO DD</v>
      </c>
      <c r="C572" s="842"/>
      <c r="D572" s="87">
        <v>1</v>
      </c>
      <c r="E572" s="80">
        <f>'MANO DE OBRA'!$E$13</f>
        <v>49276</v>
      </c>
      <c r="F572" s="81">
        <v>3.5</v>
      </c>
      <c r="G572" s="110">
        <f>ROUND(D572*E572/F572,0)</f>
        <v>14079</v>
      </c>
    </row>
    <row r="573" spans="1:8">
      <c r="A573" s="95"/>
      <c r="B573" s="854" t="str">
        <f>'MANO DE OBRA'!$B$18</f>
        <v>OFICIAL CUAD. TIPO DD</v>
      </c>
      <c r="C573" s="855"/>
      <c r="D573" s="37">
        <v>1</v>
      </c>
      <c r="E573" s="82">
        <f>'MANO DE OBRA'!$E$18</f>
        <v>85666</v>
      </c>
      <c r="F573" s="83">
        <v>3.5</v>
      </c>
      <c r="G573" s="111">
        <f>ROUND(D573*E573/F573,0)</f>
        <v>24476</v>
      </c>
    </row>
    <row r="574" spans="1:8">
      <c r="A574" s="95"/>
      <c r="B574" s="854"/>
      <c r="C574" s="855"/>
      <c r="D574" s="89"/>
      <c r="E574" s="82"/>
      <c r="F574" s="83"/>
      <c r="G574" s="111"/>
    </row>
    <row r="575" spans="1:8">
      <c r="A575" s="95"/>
      <c r="B575" s="854" t="s">
        <v>841</v>
      </c>
      <c r="C575" s="855"/>
      <c r="D575" s="37"/>
      <c r="E575" s="82"/>
      <c r="F575" s="83"/>
      <c r="G575" s="111"/>
    </row>
    <row r="576" spans="1:8" ht="13.5" thickBot="1">
      <c r="A576" s="95"/>
      <c r="B576" s="980" t="s">
        <v>841</v>
      </c>
      <c r="C576" s="981"/>
      <c r="D576" s="77"/>
      <c r="E576" s="82"/>
      <c r="F576" s="86"/>
      <c r="G576" s="112"/>
    </row>
    <row r="577" spans="1:8" ht="14.25" thickTop="1" thickBot="1">
      <c r="A577" s="95"/>
      <c r="B577" s="946"/>
      <c r="C577" s="946"/>
      <c r="D577" s="946"/>
      <c r="E577" s="947"/>
      <c r="F577" s="120" t="s">
        <v>856</v>
      </c>
      <c r="G577" s="118">
        <f>SUM(G572:G576)</f>
        <v>38555</v>
      </c>
    </row>
    <row r="578" spans="1:8" ht="14.25" thickTop="1" thickBot="1">
      <c r="A578" s="95"/>
      <c r="B578" s="970"/>
      <c r="C578" s="970"/>
      <c r="D578" s="970"/>
      <c r="E578" s="970"/>
      <c r="F578" s="970"/>
      <c r="G578" s="970"/>
    </row>
    <row r="579" spans="1:8" ht="13.5" thickTop="1">
      <c r="A579" s="95"/>
      <c r="B579" s="950" t="s">
        <v>321</v>
      </c>
      <c r="C579" s="951"/>
      <c r="D579" s="951"/>
      <c r="E579" s="951"/>
      <c r="F579" s="951"/>
      <c r="G579" s="952"/>
    </row>
    <row r="580" spans="1:8">
      <c r="A580" s="95"/>
      <c r="B580" s="978" t="s">
        <v>838</v>
      </c>
      <c r="C580" s="979"/>
      <c r="D580" s="98" t="s">
        <v>301</v>
      </c>
      <c r="E580" s="98" t="s">
        <v>297</v>
      </c>
      <c r="F580" s="99" t="s">
        <v>839</v>
      </c>
      <c r="G580" s="107" t="s">
        <v>840</v>
      </c>
    </row>
    <row r="581" spans="1:8">
      <c r="A581" s="95"/>
      <c r="B581" s="230"/>
      <c r="C581" s="102"/>
      <c r="D581" s="103" t="s">
        <v>322</v>
      </c>
      <c r="E581" s="103" t="s">
        <v>323</v>
      </c>
      <c r="F581" s="104" t="s">
        <v>324</v>
      </c>
      <c r="G581" s="109" t="s">
        <v>325</v>
      </c>
    </row>
    <row r="582" spans="1:8">
      <c r="A582" s="95"/>
      <c r="B582" s="841"/>
      <c r="C582" s="842"/>
      <c r="D582" s="96"/>
      <c r="E582" s="96"/>
      <c r="F582" s="96"/>
      <c r="G582" s="116"/>
    </row>
    <row r="583" spans="1:8" ht="13.5" thickBot="1">
      <c r="A583" s="95"/>
      <c r="B583" s="980" t="s">
        <v>841</v>
      </c>
      <c r="C583" s="981"/>
      <c r="D583" s="77"/>
      <c r="E583" s="82"/>
      <c r="F583" s="86"/>
      <c r="G583" s="112"/>
    </row>
    <row r="584" spans="1:8" ht="14.25" thickTop="1" thickBot="1">
      <c r="A584" s="95"/>
      <c r="B584" s="946"/>
      <c r="C584" s="946"/>
      <c r="D584" s="946"/>
      <c r="E584" s="947"/>
      <c r="F584" s="120" t="s">
        <v>856</v>
      </c>
      <c r="G584" s="118">
        <f>SUM(G579:G583)</f>
        <v>0</v>
      </c>
    </row>
    <row r="585" spans="1:8" ht="14.25" thickTop="1" thickBot="1">
      <c r="A585" s="95"/>
      <c r="B585" s="970"/>
      <c r="C585" s="970"/>
      <c r="D585" s="970"/>
      <c r="E585" s="970"/>
      <c r="F585" s="970"/>
      <c r="G585" s="943"/>
    </row>
    <row r="586" spans="1:8" ht="13.5" thickTop="1">
      <c r="A586" s="95"/>
      <c r="B586" s="950" t="s">
        <v>326</v>
      </c>
      <c r="C586" s="951"/>
      <c r="D586" s="951"/>
      <c r="E586" s="951"/>
      <c r="F586" s="971"/>
      <c r="G586" s="121">
        <f>+G550+G566+G577</f>
        <v>267934</v>
      </c>
    </row>
    <row r="587" spans="1:8">
      <c r="A587" s="95"/>
      <c r="B587" s="972" t="s">
        <v>861</v>
      </c>
      <c r="C587" s="973"/>
      <c r="D587" s="973"/>
      <c r="E587" s="974"/>
      <c r="F587" s="128">
        <f>'MANO DE OBRA'!$D$59</f>
        <v>0</v>
      </c>
      <c r="G587" s="122">
        <f>ROUND(G586*F587,0)</f>
        <v>0</v>
      </c>
    </row>
    <row r="588" spans="1:8" ht="13.5" thickBot="1">
      <c r="A588" s="95"/>
      <c r="B588" s="975" t="s">
        <v>1049</v>
      </c>
      <c r="C588" s="976"/>
      <c r="D588" s="976"/>
      <c r="E588" s="976"/>
      <c r="F588" s="977"/>
      <c r="G588" s="118">
        <f>ROUND(G586+G587,-2)</f>
        <v>267900</v>
      </c>
      <c r="H588" s="505" t="s">
        <v>1670</v>
      </c>
    </row>
    <row r="589" spans="1:8" ht="13.5" thickTop="1">
      <c r="A589" s="95"/>
      <c r="B589" s="225" t="s">
        <v>303</v>
      </c>
      <c r="C589" s="843"/>
      <c r="D589" s="843"/>
      <c r="E589" s="843"/>
      <c r="F589" s="92" t="s">
        <v>781</v>
      </c>
      <c r="G589" s="93" t="s">
        <v>865</v>
      </c>
    </row>
    <row r="590" spans="1:8">
      <c r="A590" s="95"/>
      <c r="B590" s="226" t="s">
        <v>834</v>
      </c>
      <c r="C590" s="844" t="s">
        <v>413</v>
      </c>
      <c r="D590" s="844"/>
      <c r="E590" s="844"/>
      <c r="F590" s="15" t="s">
        <v>833</v>
      </c>
      <c r="G590" s="165" t="str">
        <f>'MANO DE OBRA'!D61</f>
        <v>Agosto de 2010</v>
      </c>
    </row>
    <row r="591" spans="1:8" ht="29.25" customHeight="1" thickBot="1">
      <c r="A591" s="127"/>
      <c r="B591" s="228" t="s">
        <v>835</v>
      </c>
      <c r="C591" s="940" t="s">
        <v>417</v>
      </c>
      <c r="D591" s="940"/>
      <c r="E591" s="940"/>
      <c r="F591" s="940"/>
      <c r="G591" s="941"/>
    </row>
    <row r="592" spans="1:8" ht="14.25" thickTop="1" thickBot="1">
      <c r="A592" s="95"/>
      <c r="B592" s="986" t="s">
        <v>1409</v>
      </c>
      <c r="C592" s="986"/>
      <c r="D592" s="986"/>
      <c r="E592" s="986"/>
      <c r="F592" s="986"/>
      <c r="G592" s="986"/>
    </row>
    <row r="593" spans="1:7" ht="13.5" thickTop="1">
      <c r="A593" s="95"/>
      <c r="B593" s="950" t="s">
        <v>304</v>
      </c>
      <c r="C593" s="951"/>
      <c r="D593" s="951"/>
      <c r="E593" s="951"/>
      <c r="F593" s="951"/>
      <c r="G593" s="952"/>
    </row>
    <row r="594" spans="1:7">
      <c r="A594" s="95"/>
      <c r="B594" s="229"/>
      <c r="C594" s="97"/>
      <c r="D594" s="98" t="s">
        <v>301</v>
      </c>
      <c r="E594" s="98" t="s">
        <v>1072</v>
      </c>
      <c r="F594" s="99" t="s">
        <v>839</v>
      </c>
      <c r="G594" s="107" t="s">
        <v>840</v>
      </c>
    </row>
    <row r="595" spans="1:7">
      <c r="A595" s="95"/>
      <c r="B595" s="982" t="s">
        <v>838</v>
      </c>
      <c r="C595" s="983"/>
      <c r="D595" s="100" t="s">
        <v>308</v>
      </c>
      <c r="E595" s="100" t="s">
        <v>305</v>
      </c>
      <c r="F595" s="101" t="s">
        <v>306</v>
      </c>
      <c r="G595" s="108" t="s">
        <v>310</v>
      </c>
    </row>
    <row r="596" spans="1:7">
      <c r="A596" s="95"/>
      <c r="B596" s="230"/>
      <c r="C596" s="102"/>
      <c r="D596" s="103"/>
      <c r="E596" s="103" t="s">
        <v>309</v>
      </c>
      <c r="F596" s="104" t="s">
        <v>307</v>
      </c>
      <c r="G596" s="109"/>
    </row>
    <row r="597" spans="1:7">
      <c r="A597" s="127"/>
      <c r="B597" s="841" t="str">
        <f>'MAQUINARIA Y EQUIPOS'!$C$28</f>
        <v>HERRAMIENTAS MENORES</v>
      </c>
      <c r="C597" s="842"/>
      <c r="D597" s="87">
        <v>1</v>
      </c>
      <c r="E597" s="82">
        <f>ROUND(G630*0.05,0)</f>
        <v>2249</v>
      </c>
      <c r="F597" s="81">
        <v>1</v>
      </c>
      <c r="G597" s="110">
        <f>ROUND(D597*E597/F597,0)</f>
        <v>2249</v>
      </c>
    </row>
    <row r="598" spans="1:7">
      <c r="A598" s="95"/>
      <c r="B598" s="854"/>
      <c r="C598" s="855"/>
      <c r="D598" s="37"/>
      <c r="E598" s="129"/>
      <c r="F598" s="83"/>
      <c r="G598" s="111"/>
    </row>
    <row r="599" spans="1:7">
      <c r="A599" s="95"/>
      <c r="B599" s="854"/>
      <c r="C599" s="855"/>
      <c r="D599" s="37"/>
      <c r="E599" s="129"/>
      <c r="F599" s="83"/>
      <c r="G599" s="111"/>
    </row>
    <row r="600" spans="1:7">
      <c r="A600" s="95"/>
      <c r="B600" s="854"/>
      <c r="C600" s="855"/>
      <c r="D600" s="89"/>
      <c r="E600" s="82"/>
      <c r="F600" s="83"/>
      <c r="G600" s="111"/>
    </row>
    <row r="601" spans="1:7">
      <c r="A601" s="95"/>
      <c r="B601" s="854" t="s">
        <v>841</v>
      </c>
      <c r="C601" s="855"/>
      <c r="D601" s="37"/>
      <c r="E601" s="82"/>
      <c r="F601" s="83"/>
      <c r="G601" s="111"/>
    </row>
    <row r="602" spans="1:7" ht="13.5" thickBot="1">
      <c r="A602" s="95"/>
      <c r="B602" s="942" t="s">
        <v>841</v>
      </c>
      <c r="C602" s="943"/>
      <c r="D602" s="77"/>
      <c r="E602" s="106"/>
      <c r="F602" s="86"/>
      <c r="G602" s="112"/>
    </row>
    <row r="603" spans="1:7" ht="14.25" thickTop="1" thickBot="1">
      <c r="A603" s="95"/>
      <c r="B603" s="946"/>
      <c r="C603" s="946"/>
      <c r="D603" s="946"/>
      <c r="E603" s="947"/>
      <c r="F603" s="119" t="s">
        <v>856</v>
      </c>
      <c r="G603" s="118">
        <f>SUM(G597:G602)</f>
        <v>2249</v>
      </c>
    </row>
    <row r="604" spans="1:7" ht="14.25" thickTop="1" thickBot="1">
      <c r="A604" s="95"/>
      <c r="B604" s="970"/>
      <c r="C604" s="970"/>
      <c r="D604" s="970"/>
      <c r="E604" s="970"/>
      <c r="F604" s="970"/>
      <c r="G604" s="970"/>
    </row>
    <row r="605" spans="1:7" ht="13.5" thickTop="1">
      <c r="A605" s="95"/>
      <c r="B605" s="950" t="s">
        <v>311</v>
      </c>
      <c r="C605" s="951"/>
      <c r="D605" s="951"/>
      <c r="E605" s="951"/>
      <c r="F605" s="951"/>
      <c r="G605" s="952"/>
    </row>
    <row r="606" spans="1:7">
      <c r="A606" s="95"/>
      <c r="B606" s="978" t="s">
        <v>838</v>
      </c>
      <c r="C606" s="979"/>
      <c r="D606" s="98" t="s">
        <v>842</v>
      </c>
      <c r="E606" s="98" t="s">
        <v>853</v>
      </c>
      <c r="F606" s="99" t="s">
        <v>1047</v>
      </c>
      <c r="G606" s="107" t="s">
        <v>840</v>
      </c>
    </row>
    <row r="607" spans="1:7">
      <c r="A607" s="95"/>
      <c r="B607" s="230"/>
      <c r="C607" s="102"/>
      <c r="D607" s="100"/>
      <c r="E607" s="100" t="s">
        <v>312</v>
      </c>
      <c r="F607" s="101" t="s">
        <v>313</v>
      </c>
      <c r="G607" s="108" t="s">
        <v>314</v>
      </c>
    </row>
    <row r="608" spans="1:7">
      <c r="A608" s="123"/>
      <c r="B608" s="841" t="str">
        <f>MATERIALES2!$C$183</f>
        <v>PUERTA FORTEC 1.00x2.00 M</v>
      </c>
      <c r="C608" s="842"/>
      <c r="D608" s="87" t="s">
        <v>865</v>
      </c>
      <c r="E608" s="81">
        <v>1</v>
      </c>
      <c r="F608" s="80">
        <f>MATERIALES2!$E$183</f>
        <v>120000</v>
      </c>
      <c r="G608" s="110">
        <f t="shared" ref="G608:G613" si="4">ROUND(E608*F608,0)</f>
        <v>120000</v>
      </c>
    </row>
    <row r="609" spans="1:10">
      <c r="A609" s="123"/>
      <c r="B609" s="854" t="str">
        <f>MATERIALES2!$C$186</f>
        <v>MARCO MADERA PARA PUERTA</v>
      </c>
      <c r="C609" s="855"/>
      <c r="D609" s="37" t="s">
        <v>865</v>
      </c>
      <c r="E609" s="83">
        <v>1</v>
      </c>
      <c r="F609" s="82">
        <f>MATERIALES2!$E$186</f>
        <v>56760</v>
      </c>
      <c r="G609" s="111">
        <f t="shared" si="4"/>
        <v>56760</v>
      </c>
      <c r="I609" s="1055"/>
      <c r="J609" s="1055"/>
    </row>
    <row r="610" spans="1:10">
      <c r="A610" s="123"/>
      <c r="B610" s="854" t="str">
        <f>MATERIALES2!$C$194</f>
        <v>BISAGRA 3"x3" PESADA</v>
      </c>
      <c r="C610" s="855"/>
      <c r="D610" s="37" t="s">
        <v>865</v>
      </c>
      <c r="E610" s="83">
        <v>1.5</v>
      </c>
      <c r="F610" s="82">
        <f>MATERIALES2!$E$194</f>
        <v>2460</v>
      </c>
      <c r="G610" s="111">
        <f t="shared" si="4"/>
        <v>3690</v>
      </c>
      <c r="I610" s="1055"/>
      <c r="J610" s="1055"/>
    </row>
    <row r="611" spans="1:10">
      <c r="A611" s="123"/>
      <c r="B611" s="854" t="str">
        <f>MATERIALES2!$C$254</f>
        <v>TORNILLO LAMINA 3"</v>
      </c>
      <c r="C611" s="855"/>
      <c r="D611" s="37" t="s">
        <v>865</v>
      </c>
      <c r="E611" s="83">
        <v>6</v>
      </c>
      <c r="F611" s="82">
        <f>MATERIALES2!$E$254</f>
        <v>385</v>
      </c>
      <c r="G611" s="111">
        <f t="shared" si="4"/>
        <v>2310</v>
      </c>
      <c r="I611" s="1055"/>
      <c r="J611" s="1055"/>
    </row>
    <row r="612" spans="1:10">
      <c r="A612" s="123"/>
      <c r="B612" s="854" t="str">
        <f>MATERIALES2!$C$256</f>
        <v>CHAZOS 3/8"</v>
      </c>
      <c r="C612" s="855"/>
      <c r="D612" s="37" t="s">
        <v>865</v>
      </c>
      <c r="E612" s="83">
        <v>6</v>
      </c>
      <c r="F612" s="82">
        <f>MATERIALES2!$E$256</f>
        <v>1275</v>
      </c>
      <c r="G612" s="111">
        <f t="shared" si="4"/>
        <v>7650</v>
      </c>
      <c r="I612" s="1055"/>
      <c r="J612" s="1055"/>
    </row>
    <row r="613" spans="1:10">
      <c r="A613" s="123"/>
      <c r="B613" s="854" t="str">
        <f>MATERIALES2!$C$197</f>
        <v>CERRADURA YALE 5304 ALUMINIO</v>
      </c>
      <c r="C613" s="855"/>
      <c r="D613" s="37" t="s">
        <v>865</v>
      </c>
      <c r="E613" s="83">
        <v>1</v>
      </c>
      <c r="F613" s="82">
        <f>MATERIALES2!$E$197</f>
        <v>36210</v>
      </c>
      <c r="G613" s="111">
        <f t="shared" si="4"/>
        <v>36210</v>
      </c>
    </row>
    <row r="614" spans="1:10">
      <c r="A614" s="95"/>
      <c r="B614" s="854"/>
      <c r="C614" s="855"/>
      <c r="D614" s="37"/>
      <c r="E614" s="83"/>
      <c r="F614" s="82"/>
      <c r="G614" s="111"/>
      <c r="H614" s="505" t="s">
        <v>1670</v>
      </c>
    </row>
    <row r="615" spans="1:10">
      <c r="A615" s="95"/>
      <c r="B615" s="938" t="s">
        <v>841</v>
      </c>
      <c r="C615" s="939"/>
      <c r="D615" s="53" t="s">
        <v>841</v>
      </c>
      <c r="E615" s="53"/>
      <c r="F615" s="82"/>
      <c r="G615" s="111"/>
    </row>
    <row r="616" spans="1:10" ht="13.5" thickBot="1">
      <c r="A616" s="95"/>
      <c r="B616" s="942" t="s">
        <v>841</v>
      </c>
      <c r="C616" s="943"/>
      <c r="D616" s="84" t="s">
        <v>841</v>
      </c>
      <c r="E616" s="84"/>
      <c r="F616" s="85"/>
      <c r="G616" s="112"/>
    </row>
    <row r="617" spans="1:10" ht="13.5" thickTop="1">
      <c r="A617" s="95"/>
      <c r="B617" s="946"/>
      <c r="C617" s="947"/>
      <c r="D617" s="801" t="s">
        <v>856</v>
      </c>
      <c r="E617" s="802"/>
      <c r="F617" s="9"/>
      <c r="G617" s="113">
        <f>SUM(G608:G616)</f>
        <v>226620</v>
      </c>
    </row>
    <row r="618" spans="1:10">
      <c r="A618" s="95"/>
      <c r="B618" s="948"/>
      <c r="C618" s="949"/>
      <c r="D618" s="801" t="s">
        <v>857</v>
      </c>
      <c r="E618" s="802"/>
      <c r="F618" s="79">
        <f>'MANO DE OBRA'!$D$60</f>
        <v>0.05</v>
      </c>
      <c r="G618" s="113">
        <f>ROUND(G617*F618,0)</f>
        <v>11331</v>
      </c>
    </row>
    <row r="619" spans="1:10" ht="13.5" thickBot="1">
      <c r="A619" s="95"/>
      <c r="B619" s="948"/>
      <c r="C619" s="949"/>
      <c r="D619" s="803" t="s">
        <v>320</v>
      </c>
      <c r="E619" s="804"/>
      <c r="F619" s="114"/>
      <c r="G619" s="118">
        <f>+G617+G618</f>
        <v>237951</v>
      </c>
    </row>
    <row r="620" spans="1:10" ht="14.25" thickTop="1" thickBot="1">
      <c r="A620" s="95"/>
      <c r="B620" s="970"/>
      <c r="C620" s="970"/>
      <c r="D620" s="970"/>
      <c r="E620" s="970"/>
      <c r="F620" s="970"/>
      <c r="G620" s="970"/>
    </row>
    <row r="621" spans="1:10" ht="13.5" thickTop="1">
      <c r="A621" s="95"/>
      <c r="B621" s="950" t="s">
        <v>858</v>
      </c>
      <c r="C621" s="951"/>
      <c r="D621" s="951"/>
      <c r="E621" s="951"/>
      <c r="F621" s="951"/>
      <c r="G621" s="952"/>
    </row>
    <row r="622" spans="1:10">
      <c r="A622" s="95"/>
      <c r="B622" s="978"/>
      <c r="C622" s="979"/>
      <c r="D622" s="98" t="s">
        <v>301</v>
      </c>
      <c r="E622" s="98" t="s">
        <v>859</v>
      </c>
      <c r="F622" s="99" t="s">
        <v>839</v>
      </c>
      <c r="G622" s="107" t="s">
        <v>840</v>
      </c>
    </row>
    <row r="623" spans="1:10">
      <c r="A623" s="95"/>
      <c r="B623" s="982" t="s">
        <v>838</v>
      </c>
      <c r="C623" s="983"/>
      <c r="D623" s="100" t="s">
        <v>316</v>
      </c>
      <c r="E623" s="100" t="s">
        <v>315</v>
      </c>
      <c r="F623" s="101" t="s">
        <v>306</v>
      </c>
      <c r="G623" s="108" t="s">
        <v>319</v>
      </c>
    </row>
    <row r="624" spans="1:10">
      <c r="A624" s="95"/>
      <c r="B624" s="230"/>
      <c r="C624" s="102"/>
      <c r="D624" s="103"/>
      <c r="E624" s="103" t="s">
        <v>317</v>
      </c>
      <c r="F624" s="104" t="s">
        <v>318</v>
      </c>
      <c r="G624" s="109"/>
    </row>
    <row r="625" spans="1:7">
      <c r="A625" s="95"/>
      <c r="B625" s="841" t="str">
        <f>'MANO DE OBRA'!$B$13</f>
        <v>AYUDANTE CUAD. TIPO DD</v>
      </c>
      <c r="C625" s="842"/>
      <c r="D625" s="87">
        <v>1</v>
      </c>
      <c r="E625" s="80">
        <f>'MANO DE OBRA'!$E$13</f>
        <v>49276</v>
      </c>
      <c r="F625" s="81">
        <v>3</v>
      </c>
      <c r="G625" s="110">
        <f>ROUND(D625*E625/F625,0)</f>
        <v>16425</v>
      </c>
    </row>
    <row r="626" spans="1:7">
      <c r="A626" s="95"/>
      <c r="B626" s="854" t="str">
        <f>'MANO DE OBRA'!$B$18</f>
        <v>OFICIAL CUAD. TIPO DD</v>
      </c>
      <c r="C626" s="855"/>
      <c r="D626" s="37">
        <v>1</v>
      </c>
      <c r="E626" s="82">
        <f>'MANO DE OBRA'!$E$18</f>
        <v>85666</v>
      </c>
      <c r="F626" s="83">
        <v>3</v>
      </c>
      <c r="G626" s="111">
        <f>ROUND(D626*E626/F626,0)</f>
        <v>28555</v>
      </c>
    </row>
    <row r="627" spans="1:7">
      <c r="A627" s="95"/>
      <c r="B627" s="854"/>
      <c r="C627" s="855"/>
      <c r="D627" s="89"/>
      <c r="E627" s="82"/>
      <c r="F627" s="83"/>
      <c r="G627" s="111"/>
    </row>
    <row r="628" spans="1:7">
      <c r="A628" s="95"/>
      <c r="B628" s="854" t="s">
        <v>841</v>
      </c>
      <c r="C628" s="855"/>
      <c r="D628" s="37"/>
      <c r="E628" s="82"/>
      <c r="F628" s="83"/>
      <c r="G628" s="111"/>
    </row>
    <row r="629" spans="1:7" ht="13.5" thickBot="1">
      <c r="A629" s="95"/>
      <c r="B629" s="980" t="s">
        <v>841</v>
      </c>
      <c r="C629" s="981"/>
      <c r="D629" s="77"/>
      <c r="E629" s="82"/>
      <c r="F629" s="86"/>
      <c r="G629" s="112"/>
    </row>
    <row r="630" spans="1:7" ht="14.25" thickTop="1" thickBot="1">
      <c r="A630" s="95"/>
      <c r="B630" s="946"/>
      <c r="C630" s="946"/>
      <c r="D630" s="946"/>
      <c r="E630" s="947"/>
      <c r="F630" s="120" t="s">
        <v>856</v>
      </c>
      <c r="G630" s="118">
        <f>SUM(G625:G629)</f>
        <v>44980</v>
      </c>
    </row>
    <row r="631" spans="1:7" ht="14.25" thickTop="1" thickBot="1">
      <c r="A631" s="95"/>
      <c r="B631" s="970"/>
      <c r="C631" s="970"/>
      <c r="D631" s="970"/>
      <c r="E631" s="970"/>
      <c r="F631" s="970"/>
      <c r="G631" s="970"/>
    </row>
    <row r="632" spans="1:7" ht="13.5" thickTop="1">
      <c r="A632" s="95"/>
      <c r="B632" s="950" t="s">
        <v>321</v>
      </c>
      <c r="C632" s="951"/>
      <c r="D632" s="951"/>
      <c r="E632" s="951"/>
      <c r="F632" s="951"/>
      <c r="G632" s="952"/>
    </row>
    <row r="633" spans="1:7">
      <c r="A633" s="95"/>
      <c r="B633" s="978" t="s">
        <v>838</v>
      </c>
      <c r="C633" s="979"/>
      <c r="D633" s="98" t="s">
        <v>301</v>
      </c>
      <c r="E633" s="98" t="s">
        <v>297</v>
      </c>
      <c r="F633" s="99" t="s">
        <v>839</v>
      </c>
      <c r="G633" s="107" t="s">
        <v>840</v>
      </c>
    </row>
    <row r="634" spans="1:7">
      <c r="A634" s="95"/>
      <c r="B634" s="230"/>
      <c r="C634" s="102"/>
      <c r="D634" s="103" t="s">
        <v>322</v>
      </c>
      <c r="E634" s="103" t="s">
        <v>323</v>
      </c>
      <c r="F634" s="104" t="s">
        <v>324</v>
      </c>
      <c r="G634" s="109" t="s">
        <v>325</v>
      </c>
    </row>
    <row r="635" spans="1:7">
      <c r="A635" s="95"/>
      <c r="B635" s="841"/>
      <c r="C635" s="842"/>
      <c r="D635" s="96"/>
      <c r="E635" s="96"/>
      <c r="F635" s="96"/>
      <c r="G635" s="116"/>
    </row>
    <row r="636" spans="1:7" ht="13.5" thickBot="1">
      <c r="A636" s="95"/>
      <c r="B636" s="980" t="s">
        <v>841</v>
      </c>
      <c r="C636" s="981"/>
      <c r="D636" s="77"/>
      <c r="E636" s="82"/>
      <c r="F636" s="86"/>
      <c r="G636" s="112"/>
    </row>
    <row r="637" spans="1:7" ht="14.25" thickTop="1" thickBot="1">
      <c r="A637" s="95"/>
      <c r="B637" s="946"/>
      <c r="C637" s="946"/>
      <c r="D637" s="946"/>
      <c r="E637" s="947"/>
      <c r="F637" s="120" t="s">
        <v>856</v>
      </c>
      <c r="G637" s="118">
        <f>SUM(G632:G636)</f>
        <v>0</v>
      </c>
    </row>
    <row r="638" spans="1:7" ht="14.25" thickTop="1" thickBot="1">
      <c r="A638" s="95"/>
      <c r="B638" s="970"/>
      <c r="C638" s="970"/>
      <c r="D638" s="970"/>
      <c r="E638" s="970"/>
      <c r="F638" s="970"/>
      <c r="G638" s="943"/>
    </row>
    <row r="639" spans="1:7" ht="13.5" thickTop="1">
      <c r="A639" s="95"/>
      <c r="B639" s="950" t="s">
        <v>326</v>
      </c>
      <c r="C639" s="951"/>
      <c r="D639" s="951"/>
      <c r="E639" s="951"/>
      <c r="F639" s="971"/>
      <c r="G639" s="121">
        <f>+G603+G619+G630</f>
        <v>285180</v>
      </c>
    </row>
    <row r="640" spans="1:7">
      <c r="A640" s="95"/>
      <c r="B640" s="972" t="s">
        <v>861</v>
      </c>
      <c r="C640" s="973"/>
      <c r="D640" s="973"/>
      <c r="E640" s="974"/>
      <c r="F640" s="128">
        <f>'MANO DE OBRA'!$D$59</f>
        <v>0</v>
      </c>
      <c r="G640" s="122">
        <f>ROUND(G639*F640,0)</f>
        <v>0</v>
      </c>
    </row>
    <row r="641" spans="1:8" ht="13.5" thickBot="1">
      <c r="A641" s="95"/>
      <c r="B641" s="975" t="s">
        <v>1049</v>
      </c>
      <c r="C641" s="976"/>
      <c r="D641" s="976"/>
      <c r="E641" s="976"/>
      <c r="F641" s="977"/>
      <c r="G641" s="118">
        <f>ROUND(G639+G640,-2)</f>
        <v>285200</v>
      </c>
      <c r="H641" s="505" t="s">
        <v>1670</v>
      </c>
    </row>
    <row r="642" spans="1:8" ht="13.5" thickTop="1">
      <c r="A642" s="95"/>
      <c r="B642" s="225" t="s">
        <v>303</v>
      </c>
      <c r="C642" s="843"/>
      <c r="D642" s="843"/>
      <c r="E642" s="843"/>
      <c r="F642" s="92" t="s">
        <v>781</v>
      </c>
      <c r="G642" s="93" t="s">
        <v>865</v>
      </c>
    </row>
    <row r="643" spans="1:8">
      <c r="A643" s="95"/>
      <c r="B643" s="226" t="s">
        <v>834</v>
      </c>
      <c r="C643" s="844" t="s">
        <v>1483</v>
      </c>
      <c r="D643" s="844"/>
      <c r="E643" s="844"/>
      <c r="F643" s="15" t="s">
        <v>833</v>
      </c>
      <c r="G643" s="165" t="str">
        <f>'MANO DE OBRA'!D61</f>
        <v>Agosto de 2010</v>
      </c>
    </row>
    <row r="644" spans="1:8" ht="13.5" thickBot="1">
      <c r="A644" s="127"/>
      <c r="B644" s="228" t="s">
        <v>835</v>
      </c>
      <c r="C644" s="1001" t="s">
        <v>1504</v>
      </c>
      <c r="D644" s="1001"/>
      <c r="E644" s="1001"/>
      <c r="F644" s="1001"/>
      <c r="G644" s="1002"/>
    </row>
    <row r="645" spans="1:8" ht="14.25" thickTop="1" thickBot="1">
      <c r="A645" s="95"/>
      <c r="B645" s="986" t="s">
        <v>1409</v>
      </c>
      <c r="C645" s="986"/>
      <c r="D645" s="986"/>
      <c r="E645" s="986"/>
      <c r="F645" s="986"/>
      <c r="G645" s="986"/>
    </row>
    <row r="646" spans="1:8" ht="13.5" thickTop="1">
      <c r="A646" s="95"/>
      <c r="B646" s="950" t="s">
        <v>304</v>
      </c>
      <c r="C646" s="951"/>
      <c r="D646" s="951"/>
      <c r="E646" s="951"/>
      <c r="F646" s="951"/>
      <c r="G646" s="952"/>
    </row>
    <row r="647" spans="1:8">
      <c r="A647" s="95"/>
      <c r="B647" s="229"/>
      <c r="C647" s="97"/>
      <c r="D647" s="98" t="s">
        <v>301</v>
      </c>
      <c r="E647" s="98" t="s">
        <v>1072</v>
      </c>
      <c r="F647" s="99" t="s">
        <v>839</v>
      </c>
      <c r="G647" s="107" t="s">
        <v>840</v>
      </c>
    </row>
    <row r="648" spans="1:8">
      <c r="A648" s="95"/>
      <c r="B648" s="982" t="s">
        <v>838</v>
      </c>
      <c r="C648" s="983"/>
      <c r="D648" s="100" t="s">
        <v>308</v>
      </c>
      <c r="E648" s="100" t="s">
        <v>305</v>
      </c>
      <c r="F648" s="101" t="s">
        <v>306</v>
      </c>
      <c r="G648" s="108" t="s">
        <v>310</v>
      </c>
    </row>
    <row r="649" spans="1:8">
      <c r="A649" s="95"/>
      <c r="B649" s="230"/>
      <c r="C649" s="102"/>
      <c r="D649" s="103"/>
      <c r="E649" s="103" t="s">
        <v>309</v>
      </c>
      <c r="F649" s="104" t="s">
        <v>307</v>
      </c>
      <c r="G649" s="109"/>
    </row>
    <row r="650" spans="1:8">
      <c r="A650" s="127"/>
      <c r="B650" s="841" t="str">
        <f>'MAQUINARIA Y EQUIPOS'!$C$28</f>
        <v>HERRAMIENTAS MENORES</v>
      </c>
      <c r="C650" s="842"/>
      <c r="D650" s="87">
        <v>1</v>
      </c>
      <c r="E650" s="82">
        <f>ROUND(G683*0.05,0)</f>
        <v>2527</v>
      </c>
      <c r="F650" s="81">
        <v>1</v>
      </c>
      <c r="G650" s="110">
        <f>ROUND(D650*E650/F650,0)</f>
        <v>2527</v>
      </c>
    </row>
    <row r="651" spans="1:8">
      <c r="A651" s="95"/>
      <c r="B651" s="854"/>
      <c r="C651" s="855"/>
      <c r="D651" s="37"/>
      <c r="E651" s="129"/>
      <c r="F651" s="83"/>
      <c r="G651" s="111"/>
    </row>
    <row r="652" spans="1:8">
      <c r="A652" s="95"/>
      <c r="B652" s="854"/>
      <c r="C652" s="855"/>
      <c r="D652" s="37"/>
      <c r="E652" s="129"/>
      <c r="F652" s="83"/>
      <c r="G652" s="111"/>
    </row>
    <row r="653" spans="1:8">
      <c r="A653" s="95"/>
      <c r="B653" s="854"/>
      <c r="C653" s="855"/>
      <c r="D653" s="89"/>
      <c r="E653" s="82"/>
      <c r="F653" s="83"/>
      <c r="G653" s="111"/>
    </row>
    <row r="654" spans="1:8">
      <c r="A654" s="95"/>
      <c r="B654" s="854" t="s">
        <v>841</v>
      </c>
      <c r="C654" s="855"/>
      <c r="D654" s="37"/>
      <c r="E654" s="82"/>
      <c r="F654" s="83"/>
      <c r="G654" s="111"/>
    </row>
    <row r="655" spans="1:8" ht="13.5" thickBot="1">
      <c r="A655" s="95"/>
      <c r="B655" s="942" t="s">
        <v>841</v>
      </c>
      <c r="C655" s="943"/>
      <c r="D655" s="77"/>
      <c r="E655" s="106"/>
      <c r="F655" s="86"/>
      <c r="G655" s="112"/>
    </row>
    <row r="656" spans="1:8" ht="14.25" thickTop="1" thickBot="1">
      <c r="A656" s="95"/>
      <c r="B656" s="946"/>
      <c r="C656" s="946"/>
      <c r="D656" s="946"/>
      <c r="E656" s="947"/>
      <c r="F656" s="119" t="s">
        <v>856</v>
      </c>
      <c r="G656" s="118">
        <f>SUM(G650:G655)</f>
        <v>2527</v>
      </c>
    </row>
    <row r="657" spans="1:8" ht="14.25" thickTop="1" thickBot="1">
      <c r="A657" s="95"/>
      <c r="B657" s="970"/>
      <c r="C657" s="970"/>
      <c r="D657" s="970"/>
      <c r="E657" s="970"/>
      <c r="F657" s="970"/>
      <c r="G657" s="970"/>
    </row>
    <row r="658" spans="1:8" ht="13.5" thickTop="1">
      <c r="A658" s="95"/>
      <c r="B658" s="950" t="s">
        <v>311</v>
      </c>
      <c r="C658" s="951"/>
      <c r="D658" s="951"/>
      <c r="E658" s="951"/>
      <c r="F658" s="951"/>
      <c r="G658" s="952"/>
    </row>
    <row r="659" spans="1:8">
      <c r="A659" s="95"/>
      <c r="B659" s="978" t="s">
        <v>838</v>
      </c>
      <c r="C659" s="979"/>
      <c r="D659" s="98" t="s">
        <v>842</v>
      </c>
      <c r="E659" s="98" t="s">
        <v>853</v>
      </c>
      <c r="F659" s="99" t="s">
        <v>1047</v>
      </c>
      <c r="G659" s="107" t="s">
        <v>840</v>
      </c>
    </row>
    <row r="660" spans="1:8">
      <c r="A660" s="95"/>
      <c r="B660" s="230"/>
      <c r="C660" s="102"/>
      <c r="D660" s="100"/>
      <c r="E660" s="100" t="s">
        <v>312</v>
      </c>
      <c r="F660" s="101" t="s">
        <v>313</v>
      </c>
      <c r="G660" s="108" t="s">
        <v>314</v>
      </c>
    </row>
    <row r="661" spans="1:8">
      <c r="A661" s="123"/>
      <c r="B661" s="841" t="str">
        <f>MATERIALES2!$C$184</f>
        <v>PUERTA PIZANO 0.70x2.00 M</v>
      </c>
      <c r="C661" s="842"/>
      <c r="D661" s="87" t="s">
        <v>865</v>
      </c>
      <c r="E661" s="81">
        <v>1</v>
      </c>
      <c r="F661" s="80">
        <f>MATERIALES2!$E$184</f>
        <v>110000</v>
      </c>
      <c r="G661" s="110">
        <f t="shared" ref="G661:G666" si="5">ROUND(E661*F661,0)</f>
        <v>110000</v>
      </c>
    </row>
    <row r="662" spans="1:8">
      <c r="A662" s="123"/>
      <c r="B662" s="854" t="str">
        <f>MATERIALES2!$C$186</f>
        <v>MARCO MADERA PARA PUERTA</v>
      </c>
      <c r="C662" s="855"/>
      <c r="D662" s="37" t="s">
        <v>865</v>
      </c>
      <c r="E662" s="83">
        <v>1</v>
      </c>
      <c r="F662" s="82">
        <f>MATERIALES2!$E$186</f>
        <v>56760</v>
      </c>
      <c r="G662" s="111">
        <f t="shared" si="5"/>
        <v>56760</v>
      </c>
    </row>
    <row r="663" spans="1:8">
      <c r="A663" s="123"/>
      <c r="B663" s="854" t="str">
        <f>MATERIALES2!$C$194</f>
        <v>BISAGRA 3"x3" PESADA</v>
      </c>
      <c r="C663" s="855"/>
      <c r="D663" s="37" t="s">
        <v>865</v>
      </c>
      <c r="E663" s="83">
        <v>1.5</v>
      </c>
      <c r="F663" s="82">
        <f>MATERIALES2!$E$194</f>
        <v>2460</v>
      </c>
      <c r="G663" s="111">
        <f t="shared" si="5"/>
        <v>3690</v>
      </c>
    </row>
    <row r="664" spans="1:8">
      <c r="A664" s="123"/>
      <c r="B664" s="854" t="str">
        <f>MATERIALES2!$C$254</f>
        <v>TORNILLO LAMINA 3"</v>
      </c>
      <c r="C664" s="855"/>
      <c r="D664" s="37" t="s">
        <v>865</v>
      </c>
      <c r="E664" s="83">
        <v>6</v>
      </c>
      <c r="F664" s="82">
        <f>MATERIALES2!$E$254</f>
        <v>385</v>
      </c>
      <c r="G664" s="111">
        <f t="shared" si="5"/>
        <v>2310</v>
      </c>
    </row>
    <row r="665" spans="1:8">
      <c r="A665" s="123"/>
      <c r="B665" s="854" t="str">
        <f>MATERIALES2!$C$256</f>
        <v>CHAZOS 3/8"</v>
      </c>
      <c r="C665" s="855"/>
      <c r="D665" s="37" t="s">
        <v>865</v>
      </c>
      <c r="E665" s="83">
        <v>6</v>
      </c>
      <c r="F665" s="82">
        <f>MATERIALES2!$E$256</f>
        <v>1275</v>
      </c>
      <c r="G665" s="111">
        <f t="shared" si="5"/>
        <v>7650</v>
      </c>
    </row>
    <row r="666" spans="1:8">
      <c r="A666" s="123"/>
      <c r="B666" s="854" t="str">
        <f>MATERIALES2!$C$198</f>
        <v>CERRADURA SAFE 141 BAÑOS</v>
      </c>
      <c r="C666" s="855"/>
      <c r="D666" s="37" t="s">
        <v>865</v>
      </c>
      <c r="E666" s="83">
        <v>1</v>
      </c>
      <c r="F666" s="82">
        <f>MATERIALES2!$E$198</f>
        <v>20150</v>
      </c>
      <c r="G666" s="111">
        <f t="shared" si="5"/>
        <v>20150</v>
      </c>
    </row>
    <row r="667" spans="1:8">
      <c r="A667" s="95"/>
      <c r="B667" s="854"/>
      <c r="C667" s="855"/>
      <c r="D667" s="37"/>
      <c r="E667" s="83"/>
      <c r="F667" s="82"/>
      <c r="G667" s="111"/>
      <c r="H667" s="505" t="s">
        <v>1670</v>
      </c>
    </row>
    <row r="668" spans="1:8">
      <c r="A668" s="95"/>
      <c r="B668" s="938" t="s">
        <v>841</v>
      </c>
      <c r="C668" s="939"/>
      <c r="D668" s="53" t="s">
        <v>841</v>
      </c>
      <c r="E668" s="53"/>
      <c r="F668" s="82"/>
      <c r="G668" s="111"/>
    </row>
    <row r="669" spans="1:8" ht="13.5" thickBot="1">
      <c r="A669" s="95"/>
      <c r="B669" s="942" t="s">
        <v>841</v>
      </c>
      <c r="C669" s="943"/>
      <c r="D669" s="84" t="s">
        <v>841</v>
      </c>
      <c r="E669" s="84"/>
      <c r="F669" s="85"/>
      <c r="G669" s="112"/>
    </row>
    <row r="670" spans="1:8" ht="13.5" thickTop="1">
      <c r="A670" s="95"/>
      <c r="B670" s="946"/>
      <c r="C670" s="947"/>
      <c r="D670" s="801" t="s">
        <v>856</v>
      </c>
      <c r="E670" s="802"/>
      <c r="F670" s="9"/>
      <c r="G670" s="113">
        <f>SUM(G661:G669)</f>
        <v>200560</v>
      </c>
    </row>
    <row r="671" spans="1:8">
      <c r="A671" s="95"/>
      <c r="B671" s="948"/>
      <c r="C671" s="949"/>
      <c r="D671" s="801" t="s">
        <v>857</v>
      </c>
      <c r="E671" s="802"/>
      <c r="F671" s="79">
        <f>'MANO DE OBRA'!$D$60</f>
        <v>0.05</v>
      </c>
      <c r="G671" s="113">
        <f>ROUND(G670*F671,0)</f>
        <v>10028</v>
      </c>
    </row>
    <row r="672" spans="1:8" ht="13.5" thickBot="1">
      <c r="A672" s="95"/>
      <c r="B672" s="948"/>
      <c r="C672" s="949"/>
      <c r="D672" s="803" t="s">
        <v>320</v>
      </c>
      <c r="E672" s="804"/>
      <c r="F672" s="114"/>
      <c r="G672" s="118">
        <f>+G670+G671</f>
        <v>210588</v>
      </c>
    </row>
    <row r="673" spans="1:7" ht="14.25" thickTop="1" thickBot="1">
      <c r="A673" s="95"/>
      <c r="B673" s="970"/>
      <c r="C673" s="970"/>
      <c r="D673" s="970"/>
      <c r="E673" s="970"/>
      <c r="F673" s="970"/>
      <c r="G673" s="970"/>
    </row>
    <row r="674" spans="1:7" ht="13.5" thickTop="1">
      <c r="A674" s="95"/>
      <c r="B674" s="950" t="s">
        <v>858</v>
      </c>
      <c r="C674" s="951"/>
      <c r="D674" s="951"/>
      <c r="E674" s="951"/>
      <c r="F674" s="951"/>
      <c r="G674" s="952"/>
    </row>
    <row r="675" spans="1:7">
      <c r="A675" s="95"/>
      <c r="B675" s="978"/>
      <c r="C675" s="979"/>
      <c r="D675" s="98" t="s">
        <v>301</v>
      </c>
      <c r="E675" s="98" t="s">
        <v>859</v>
      </c>
      <c r="F675" s="99" t="s">
        <v>839</v>
      </c>
      <c r="G675" s="107" t="s">
        <v>840</v>
      </c>
    </row>
    <row r="676" spans="1:7">
      <c r="A676" s="95"/>
      <c r="B676" s="982" t="s">
        <v>838</v>
      </c>
      <c r="C676" s="983"/>
      <c r="D676" s="100" t="s">
        <v>316</v>
      </c>
      <c r="E676" s="100" t="s">
        <v>315</v>
      </c>
      <c r="F676" s="101" t="s">
        <v>306</v>
      </c>
      <c r="G676" s="108" t="s">
        <v>319</v>
      </c>
    </row>
    <row r="677" spans="1:7">
      <c r="A677" s="95"/>
      <c r="B677" s="230"/>
      <c r="C677" s="102"/>
      <c r="D677" s="103"/>
      <c r="E677" s="103" t="s">
        <v>317</v>
      </c>
      <c r="F677" s="104" t="s">
        <v>318</v>
      </c>
      <c r="G677" s="109"/>
    </row>
    <row r="678" spans="1:7">
      <c r="A678" s="95"/>
      <c r="B678" s="841" t="str">
        <f>'MANO DE OBRA'!$B$13</f>
        <v>AYUDANTE CUAD. TIPO DD</v>
      </c>
      <c r="C678" s="842"/>
      <c r="D678" s="87">
        <v>1</v>
      </c>
      <c r="E678" s="80">
        <f>'MANO DE OBRA'!$E$13</f>
        <v>49276</v>
      </c>
      <c r="F678" s="81">
        <v>2.67</v>
      </c>
      <c r="G678" s="110">
        <f>ROUND(D678*E678/F678,0)</f>
        <v>18455</v>
      </c>
    </row>
    <row r="679" spans="1:7">
      <c r="A679" s="95"/>
      <c r="B679" s="854" t="str">
        <f>'MANO DE OBRA'!$B$18</f>
        <v>OFICIAL CUAD. TIPO DD</v>
      </c>
      <c r="C679" s="855"/>
      <c r="D679" s="37">
        <v>1</v>
      </c>
      <c r="E679" s="82">
        <f>'MANO DE OBRA'!$E$18</f>
        <v>85666</v>
      </c>
      <c r="F679" s="83">
        <v>2.67</v>
      </c>
      <c r="G679" s="111">
        <f>ROUND(D679*E679/F679,0)</f>
        <v>32085</v>
      </c>
    </row>
    <row r="680" spans="1:7">
      <c r="A680" s="95"/>
      <c r="B680" s="854"/>
      <c r="C680" s="855"/>
      <c r="D680" s="89"/>
      <c r="E680" s="82"/>
      <c r="F680" s="83"/>
      <c r="G680" s="111"/>
    </row>
    <row r="681" spans="1:7">
      <c r="A681" s="95"/>
      <c r="B681" s="854" t="s">
        <v>841</v>
      </c>
      <c r="C681" s="855"/>
      <c r="D681" s="37"/>
      <c r="E681" s="82"/>
      <c r="F681" s="83"/>
      <c r="G681" s="111"/>
    </row>
    <row r="682" spans="1:7" ht="13.5" thickBot="1">
      <c r="A682" s="95"/>
      <c r="B682" s="980" t="s">
        <v>841</v>
      </c>
      <c r="C682" s="981"/>
      <c r="D682" s="77"/>
      <c r="E682" s="82"/>
      <c r="F682" s="86"/>
      <c r="G682" s="112"/>
    </row>
    <row r="683" spans="1:7" ht="14.25" thickTop="1" thickBot="1">
      <c r="A683" s="95"/>
      <c r="B683" s="946"/>
      <c r="C683" s="946"/>
      <c r="D683" s="946"/>
      <c r="E683" s="947"/>
      <c r="F683" s="120" t="s">
        <v>856</v>
      </c>
      <c r="G683" s="118">
        <f>SUM(G678:G682)</f>
        <v>50540</v>
      </c>
    </row>
    <row r="684" spans="1:7" ht="14.25" thickTop="1" thickBot="1">
      <c r="A684" s="95"/>
      <c r="B684" s="970"/>
      <c r="C684" s="970"/>
      <c r="D684" s="970"/>
      <c r="E684" s="970"/>
      <c r="F684" s="970"/>
      <c r="G684" s="970"/>
    </row>
    <row r="685" spans="1:7" ht="13.5" thickTop="1">
      <c r="A685" s="95"/>
      <c r="B685" s="950" t="s">
        <v>321</v>
      </c>
      <c r="C685" s="951"/>
      <c r="D685" s="951"/>
      <c r="E685" s="951"/>
      <c r="F685" s="951"/>
      <c r="G685" s="952"/>
    </row>
    <row r="686" spans="1:7">
      <c r="A686" s="95"/>
      <c r="B686" s="978" t="s">
        <v>838</v>
      </c>
      <c r="C686" s="979"/>
      <c r="D686" s="98" t="s">
        <v>301</v>
      </c>
      <c r="E686" s="98" t="s">
        <v>297</v>
      </c>
      <c r="F686" s="99" t="s">
        <v>839</v>
      </c>
      <c r="G686" s="107" t="s">
        <v>840</v>
      </c>
    </row>
    <row r="687" spans="1:7">
      <c r="A687" s="95"/>
      <c r="B687" s="230"/>
      <c r="C687" s="102"/>
      <c r="D687" s="103" t="s">
        <v>322</v>
      </c>
      <c r="E687" s="103" t="s">
        <v>323</v>
      </c>
      <c r="F687" s="104" t="s">
        <v>324</v>
      </c>
      <c r="G687" s="109" t="s">
        <v>325</v>
      </c>
    </row>
    <row r="688" spans="1:7">
      <c r="A688" s="95"/>
      <c r="B688" s="841"/>
      <c r="C688" s="842"/>
      <c r="D688" s="96"/>
      <c r="E688" s="96"/>
      <c r="F688" s="96"/>
      <c r="G688" s="116"/>
    </row>
    <row r="689" spans="1:8" ht="13.5" thickBot="1">
      <c r="A689" s="95"/>
      <c r="B689" s="980" t="s">
        <v>841</v>
      </c>
      <c r="C689" s="981"/>
      <c r="D689" s="77"/>
      <c r="E689" s="82"/>
      <c r="F689" s="86"/>
      <c r="G689" s="112"/>
    </row>
    <row r="690" spans="1:8" ht="14.25" thickTop="1" thickBot="1">
      <c r="A690" s="95"/>
      <c r="B690" s="946"/>
      <c r="C690" s="946"/>
      <c r="D690" s="946"/>
      <c r="E690" s="947"/>
      <c r="F690" s="120" t="s">
        <v>856</v>
      </c>
      <c r="G690" s="118">
        <f>SUM(G685:G689)</f>
        <v>0</v>
      </c>
    </row>
    <row r="691" spans="1:8" ht="14.25" thickTop="1" thickBot="1">
      <c r="A691" s="95"/>
      <c r="B691" s="970"/>
      <c r="C691" s="970"/>
      <c r="D691" s="970"/>
      <c r="E691" s="970"/>
      <c r="F691" s="970"/>
      <c r="G691" s="943"/>
    </row>
    <row r="692" spans="1:8" ht="13.5" thickTop="1">
      <c r="A692" s="95"/>
      <c r="B692" s="950" t="s">
        <v>326</v>
      </c>
      <c r="C692" s="951"/>
      <c r="D692" s="951"/>
      <c r="E692" s="951"/>
      <c r="F692" s="971"/>
      <c r="G692" s="121">
        <f>+G656+G672+G683</f>
        <v>263655</v>
      </c>
    </row>
    <row r="693" spans="1:8">
      <c r="A693" s="95"/>
      <c r="B693" s="972" t="s">
        <v>861</v>
      </c>
      <c r="C693" s="973"/>
      <c r="D693" s="973"/>
      <c r="E693" s="974"/>
      <c r="F693" s="128">
        <f>'MANO DE OBRA'!$D$59</f>
        <v>0</v>
      </c>
      <c r="G693" s="122">
        <f>ROUND(G692*F693,0)</f>
        <v>0</v>
      </c>
    </row>
    <row r="694" spans="1:8" ht="13.5" thickBot="1">
      <c r="A694" s="95"/>
      <c r="B694" s="975" t="s">
        <v>1049</v>
      </c>
      <c r="C694" s="976"/>
      <c r="D694" s="976"/>
      <c r="E694" s="976"/>
      <c r="F694" s="977"/>
      <c r="G694" s="118">
        <f>ROUND(G692+G693,-2)</f>
        <v>263700</v>
      </c>
      <c r="H694" s="505" t="s">
        <v>1670</v>
      </c>
    </row>
    <row r="695" spans="1:8" ht="13.5" thickTop="1">
      <c r="A695" s="95"/>
      <c r="B695" s="225" t="s">
        <v>303</v>
      </c>
      <c r="C695" s="843"/>
      <c r="D695" s="843"/>
      <c r="E695" s="843"/>
      <c r="F695" s="92" t="s">
        <v>781</v>
      </c>
      <c r="G695" s="93" t="s">
        <v>865</v>
      </c>
    </row>
    <row r="696" spans="1:8">
      <c r="A696" s="95"/>
      <c r="B696" s="226" t="s">
        <v>834</v>
      </c>
      <c r="C696" s="844" t="s">
        <v>1483</v>
      </c>
      <c r="D696" s="844"/>
      <c r="E696" s="844"/>
      <c r="F696" s="15" t="s">
        <v>833</v>
      </c>
      <c r="G696" s="165" t="str">
        <f>'MANO DE OBRA'!D61</f>
        <v>Agosto de 2010</v>
      </c>
    </row>
    <row r="697" spans="1:8" ht="13.5" thickBot="1">
      <c r="A697" s="127"/>
      <c r="B697" s="228" t="s">
        <v>835</v>
      </c>
      <c r="C697" s="1001" t="s">
        <v>1505</v>
      </c>
      <c r="D697" s="1001"/>
      <c r="E697" s="1001"/>
      <c r="F697" s="1001"/>
      <c r="G697" s="1002"/>
    </row>
    <row r="698" spans="1:8" ht="14.25" thickTop="1" thickBot="1">
      <c r="A698" s="95"/>
      <c r="B698" s="986" t="s">
        <v>1409</v>
      </c>
      <c r="C698" s="986"/>
      <c r="D698" s="986"/>
      <c r="E698" s="986"/>
      <c r="F698" s="986"/>
      <c r="G698" s="986"/>
    </row>
    <row r="699" spans="1:8" ht="13.5" thickTop="1">
      <c r="A699" s="95"/>
      <c r="B699" s="950" t="s">
        <v>304</v>
      </c>
      <c r="C699" s="951"/>
      <c r="D699" s="951"/>
      <c r="E699" s="951"/>
      <c r="F699" s="951"/>
      <c r="G699" s="952"/>
    </row>
    <row r="700" spans="1:8">
      <c r="A700" s="95"/>
      <c r="B700" s="229"/>
      <c r="C700" s="97"/>
      <c r="D700" s="98" t="s">
        <v>301</v>
      </c>
      <c r="E700" s="98" t="s">
        <v>1072</v>
      </c>
      <c r="F700" s="99" t="s">
        <v>839</v>
      </c>
      <c r="G700" s="107" t="s">
        <v>840</v>
      </c>
    </row>
    <row r="701" spans="1:8">
      <c r="A701" s="95"/>
      <c r="B701" s="982" t="s">
        <v>838</v>
      </c>
      <c r="C701" s="983"/>
      <c r="D701" s="100" t="s">
        <v>308</v>
      </c>
      <c r="E701" s="100" t="s">
        <v>305</v>
      </c>
      <c r="F701" s="101" t="s">
        <v>306</v>
      </c>
      <c r="G701" s="108" t="s">
        <v>310</v>
      </c>
    </row>
    <row r="702" spans="1:8">
      <c r="A702" s="95"/>
      <c r="B702" s="230"/>
      <c r="C702" s="102"/>
      <c r="D702" s="103"/>
      <c r="E702" s="103" t="s">
        <v>309</v>
      </c>
      <c r="F702" s="104" t="s">
        <v>307</v>
      </c>
      <c r="G702" s="109"/>
    </row>
    <row r="703" spans="1:8">
      <c r="A703" s="127"/>
      <c r="B703" s="841" t="str">
        <f>'MAQUINARIA Y EQUIPOS'!$C$28</f>
        <v>HERRAMIENTAS MENORES</v>
      </c>
      <c r="C703" s="842"/>
      <c r="D703" s="87">
        <v>1</v>
      </c>
      <c r="E703" s="82">
        <f>ROUND(G736*0.05,0)</f>
        <v>2527</v>
      </c>
      <c r="F703" s="81">
        <v>1</v>
      </c>
      <c r="G703" s="110">
        <f>ROUND(D703*E703/F703,0)</f>
        <v>2527</v>
      </c>
    </row>
    <row r="704" spans="1:8">
      <c r="A704" s="95"/>
      <c r="B704" s="854"/>
      <c r="C704" s="855"/>
      <c r="D704" s="37"/>
      <c r="E704" s="129"/>
      <c r="F704" s="83"/>
      <c r="G704" s="111"/>
    </row>
    <row r="705" spans="1:8">
      <c r="A705" s="95"/>
      <c r="B705" s="854"/>
      <c r="C705" s="855"/>
      <c r="D705" s="37"/>
      <c r="E705" s="129"/>
      <c r="F705" s="83"/>
      <c r="G705" s="111"/>
    </row>
    <row r="706" spans="1:8">
      <c r="A706" s="95"/>
      <c r="B706" s="854"/>
      <c r="C706" s="855"/>
      <c r="D706" s="89"/>
      <c r="E706" s="82"/>
      <c r="F706" s="83"/>
      <c r="G706" s="111"/>
    </row>
    <row r="707" spans="1:8">
      <c r="A707" s="95"/>
      <c r="B707" s="854" t="s">
        <v>841</v>
      </c>
      <c r="C707" s="855"/>
      <c r="D707" s="37"/>
      <c r="E707" s="82"/>
      <c r="F707" s="83"/>
      <c r="G707" s="111"/>
    </row>
    <row r="708" spans="1:8" ht="13.5" thickBot="1">
      <c r="A708" s="95"/>
      <c r="B708" s="942" t="s">
        <v>841</v>
      </c>
      <c r="C708" s="943"/>
      <c r="D708" s="77"/>
      <c r="E708" s="106"/>
      <c r="F708" s="86"/>
      <c r="G708" s="112"/>
    </row>
    <row r="709" spans="1:8" ht="14.25" thickTop="1" thickBot="1">
      <c r="A709" s="95"/>
      <c r="B709" s="946"/>
      <c r="C709" s="946"/>
      <c r="D709" s="946"/>
      <c r="E709" s="947"/>
      <c r="F709" s="119" t="s">
        <v>856</v>
      </c>
      <c r="G709" s="118">
        <f>SUM(G703:G708)</f>
        <v>2527</v>
      </c>
    </row>
    <row r="710" spans="1:8" ht="14.25" thickTop="1" thickBot="1">
      <c r="A710" s="95"/>
      <c r="B710" s="970"/>
      <c r="C710" s="970"/>
      <c r="D710" s="970"/>
      <c r="E710" s="970"/>
      <c r="F710" s="970"/>
      <c r="G710" s="970"/>
    </row>
    <row r="711" spans="1:8" ht="13.5" thickTop="1">
      <c r="A711" s="95"/>
      <c r="B711" s="950" t="s">
        <v>311</v>
      </c>
      <c r="C711" s="951"/>
      <c r="D711" s="951"/>
      <c r="E711" s="951"/>
      <c r="F711" s="951"/>
      <c r="G711" s="952"/>
    </row>
    <row r="712" spans="1:8">
      <c r="A712" s="95"/>
      <c r="B712" s="978" t="s">
        <v>838</v>
      </c>
      <c r="C712" s="979"/>
      <c r="D712" s="98" t="s">
        <v>842</v>
      </c>
      <c r="E712" s="98" t="s">
        <v>853</v>
      </c>
      <c r="F712" s="99" t="s">
        <v>1047</v>
      </c>
      <c r="G712" s="107" t="s">
        <v>840</v>
      </c>
    </row>
    <row r="713" spans="1:8">
      <c r="A713" s="95"/>
      <c r="B713" s="230"/>
      <c r="C713" s="102"/>
      <c r="D713" s="100"/>
      <c r="E713" s="100" t="s">
        <v>312</v>
      </c>
      <c r="F713" s="101" t="s">
        <v>313</v>
      </c>
      <c r="G713" s="108" t="s">
        <v>314</v>
      </c>
    </row>
    <row r="714" spans="1:8">
      <c r="A714" s="123"/>
      <c r="B714" s="841" t="str">
        <f>MATERIALES2!$C$185</f>
        <v>PUERTA PIZANO 0.80x2.00 M</v>
      </c>
      <c r="C714" s="842"/>
      <c r="D714" s="87" t="s">
        <v>865</v>
      </c>
      <c r="E714" s="81">
        <v>1</v>
      </c>
      <c r="F714" s="80">
        <f>MATERIALES2!$E$185</f>
        <v>130000</v>
      </c>
      <c r="G714" s="110">
        <f t="shared" ref="G714:G719" si="6">ROUND(E714*F714,0)</f>
        <v>130000</v>
      </c>
    </row>
    <row r="715" spans="1:8">
      <c r="A715" s="123"/>
      <c r="B715" s="854" t="str">
        <f>MATERIALES2!$C$186</f>
        <v>MARCO MADERA PARA PUERTA</v>
      </c>
      <c r="C715" s="855"/>
      <c r="D715" s="37" t="s">
        <v>865</v>
      </c>
      <c r="E715" s="83">
        <v>1</v>
      </c>
      <c r="F715" s="82">
        <f>MATERIALES2!$E$186</f>
        <v>56760</v>
      </c>
      <c r="G715" s="111">
        <f t="shared" si="6"/>
        <v>56760</v>
      </c>
    </row>
    <row r="716" spans="1:8">
      <c r="A716" s="123"/>
      <c r="B716" s="854" t="str">
        <f>MATERIALES2!$C$194</f>
        <v>BISAGRA 3"x3" PESADA</v>
      </c>
      <c r="C716" s="855"/>
      <c r="D716" s="37" t="s">
        <v>865</v>
      </c>
      <c r="E716" s="83">
        <v>1.5</v>
      </c>
      <c r="F716" s="82">
        <f>MATERIALES2!$E$194</f>
        <v>2460</v>
      </c>
      <c r="G716" s="111">
        <f t="shared" si="6"/>
        <v>3690</v>
      </c>
    </row>
    <row r="717" spans="1:8">
      <c r="A717" s="123"/>
      <c r="B717" s="854" t="str">
        <f>MATERIALES2!$C$254</f>
        <v>TORNILLO LAMINA 3"</v>
      </c>
      <c r="C717" s="855"/>
      <c r="D717" s="37" t="s">
        <v>865</v>
      </c>
      <c r="E717" s="83">
        <v>6</v>
      </c>
      <c r="F717" s="82">
        <f>MATERIALES2!$E$254</f>
        <v>385</v>
      </c>
      <c r="G717" s="111">
        <f t="shared" si="6"/>
        <v>2310</v>
      </c>
    </row>
    <row r="718" spans="1:8">
      <c r="A718" s="123"/>
      <c r="B718" s="854" t="str">
        <f>MATERIALES2!$C$256</f>
        <v>CHAZOS 3/8"</v>
      </c>
      <c r="C718" s="855"/>
      <c r="D718" s="37" t="s">
        <v>865</v>
      </c>
      <c r="E718" s="83">
        <v>6</v>
      </c>
      <c r="F718" s="82">
        <f>MATERIALES2!$E$256</f>
        <v>1275</v>
      </c>
      <c r="G718" s="111">
        <f t="shared" si="6"/>
        <v>7650</v>
      </c>
    </row>
    <row r="719" spans="1:8">
      <c r="A719" s="123"/>
      <c r="B719" s="854" t="str">
        <f>MATERIALES2!$C$197</f>
        <v>CERRADURA YALE 5304 ALUMINIO</v>
      </c>
      <c r="C719" s="855"/>
      <c r="D719" s="37" t="s">
        <v>865</v>
      </c>
      <c r="E719" s="83">
        <v>1</v>
      </c>
      <c r="F719" s="82">
        <f>MATERIALES2!$E$197</f>
        <v>36210</v>
      </c>
      <c r="G719" s="111">
        <f t="shared" si="6"/>
        <v>36210</v>
      </c>
    </row>
    <row r="720" spans="1:8">
      <c r="A720" s="95"/>
      <c r="B720" s="854"/>
      <c r="C720" s="855"/>
      <c r="D720" s="37"/>
      <c r="E720" s="83"/>
      <c r="F720" s="82"/>
      <c r="G720" s="111"/>
      <c r="H720" s="505" t="s">
        <v>1670</v>
      </c>
    </row>
    <row r="721" spans="1:7">
      <c r="A721" s="95"/>
      <c r="B721" s="938" t="s">
        <v>841</v>
      </c>
      <c r="C721" s="939"/>
      <c r="D721" s="53" t="s">
        <v>841</v>
      </c>
      <c r="E721" s="53"/>
      <c r="F721" s="82"/>
      <c r="G721" s="111"/>
    </row>
    <row r="722" spans="1:7" ht="13.5" thickBot="1">
      <c r="A722" s="95"/>
      <c r="B722" s="942" t="s">
        <v>841</v>
      </c>
      <c r="C722" s="943"/>
      <c r="D722" s="84" t="s">
        <v>841</v>
      </c>
      <c r="E722" s="84"/>
      <c r="F722" s="85"/>
      <c r="G722" s="112"/>
    </row>
    <row r="723" spans="1:7" ht="13.5" thickTop="1">
      <c r="A723" s="95"/>
      <c r="B723" s="946"/>
      <c r="C723" s="947"/>
      <c r="D723" s="801" t="s">
        <v>856</v>
      </c>
      <c r="E723" s="802"/>
      <c r="F723" s="9"/>
      <c r="G723" s="113">
        <f>SUM(G714:G722)</f>
        <v>236620</v>
      </c>
    </row>
    <row r="724" spans="1:7">
      <c r="A724" s="95"/>
      <c r="B724" s="948"/>
      <c r="C724" s="949"/>
      <c r="D724" s="801" t="s">
        <v>857</v>
      </c>
      <c r="E724" s="802"/>
      <c r="F724" s="79">
        <f>'MANO DE OBRA'!$D$60</f>
        <v>0.05</v>
      </c>
      <c r="G724" s="113">
        <f>ROUND(G723*F724,0)</f>
        <v>11831</v>
      </c>
    </row>
    <row r="725" spans="1:7" ht="13.5" thickBot="1">
      <c r="A725" s="95"/>
      <c r="B725" s="948"/>
      <c r="C725" s="949"/>
      <c r="D725" s="803" t="s">
        <v>320</v>
      </c>
      <c r="E725" s="804"/>
      <c r="F725" s="114"/>
      <c r="G725" s="118">
        <f>+G723+G724</f>
        <v>248451</v>
      </c>
    </row>
    <row r="726" spans="1:7" ht="14.25" thickTop="1" thickBot="1">
      <c r="A726" s="95"/>
      <c r="B726" s="970"/>
      <c r="C726" s="970"/>
      <c r="D726" s="970"/>
      <c r="E726" s="970"/>
      <c r="F726" s="970"/>
      <c r="G726" s="970"/>
    </row>
    <row r="727" spans="1:7" ht="13.5" thickTop="1">
      <c r="A727" s="95"/>
      <c r="B727" s="950" t="s">
        <v>858</v>
      </c>
      <c r="C727" s="951"/>
      <c r="D727" s="951"/>
      <c r="E727" s="951"/>
      <c r="F727" s="951"/>
      <c r="G727" s="952"/>
    </row>
    <row r="728" spans="1:7">
      <c r="A728" s="95"/>
      <c r="B728" s="978"/>
      <c r="C728" s="979"/>
      <c r="D728" s="98" t="s">
        <v>301</v>
      </c>
      <c r="E728" s="98" t="s">
        <v>859</v>
      </c>
      <c r="F728" s="99" t="s">
        <v>839</v>
      </c>
      <c r="G728" s="107" t="s">
        <v>840</v>
      </c>
    </row>
    <row r="729" spans="1:7">
      <c r="A729" s="95"/>
      <c r="B729" s="982" t="s">
        <v>838</v>
      </c>
      <c r="C729" s="983"/>
      <c r="D729" s="100" t="s">
        <v>316</v>
      </c>
      <c r="E729" s="100" t="s">
        <v>315</v>
      </c>
      <c r="F729" s="101" t="s">
        <v>306</v>
      </c>
      <c r="G729" s="108" t="s">
        <v>319</v>
      </c>
    </row>
    <row r="730" spans="1:7">
      <c r="A730" s="95"/>
      <c r="B730" s="230"/>
      <c r="C730" s="102"/>
      <c r="D730" s="103"/>
      <c r="E730" s="103" t="s">
        <v>317</v>
      </c>
      <c r="F730" s="104" t="s">
        <v>318</v>
      </c>
      <c r="G730" s="109"/>
    </row>
    <row r="731" spans="1:7">
      <c r="A731" s="95"/>
      <c r="B731" s="841" t="str">
        <f>'MANO DE OBRA'!$B$13</f>
        <v>AYUDANTE CUAD. TIPO DD</v>
      </c>
      <c r="C731" s="842"/>
      <c r="D731" s="87">
        <v>1</v>
      </c>
      <c r="E731" s="80">
        <f>'MANO DE OBRA'!$E$13</f>
        <v>49276</v>
      </c>
      <c r="F731" s="81">
        <v>2.67</v>
      </c>
      <c r="G731" s="110">
        <f>ROUND(D731*E731/F731,0)</f>
        <v>18455</v>
      </c>
    </row>
    <row r="732" spans="1:7">
      <c r="A732" s="95"/>
      <c r="B732" s="854" t="str">
        <f>'MANO DE OBRA'!$B$18</f>
        <v>OFICIAL CUAD. TIPO DD</v>
      </c>
      <c r="C732" s="855"/>
      <c r="D732" s="37">
        <v>1</v>
      </c>
      <c r="E732" s="82">
        <f>'MANO DE OBRA'!$E$18</f>
        <v>85666</v>
      </c>
      <c r="F732" s="83">
        <v>2.67</v>
      </c>
      <c r="G732" s="111">
        <f>ROUND(D732*E732/F732,0)</f>
        <v>32085</v>
      </c>
    </row>
    <row r="733" spans="1:7">
      <c r="A733" s="95"/>
      <c r="B733" s="854"/>
      <c r="C733" s="855"/>
      <c r="D733" s="89"/>
      <c r="E733" s="82"/>
      <c r="F733" s="83"/>
      <c r="G733" s="111"/>
    </row>
    <row r="734" spans="1:7">
      <c r="A734" s="95"/>
      <c r="B734" s="854" t="s">
        <v>841</v>
      </c>
      <c r="C734" s="855"/>
      <c r="D734" s="37"/>
      <c r="E734" s="82"/>
      <c r="F734" s="83"/>
      <c r="G734" s="111"/>
    </row>
    <row r="735" spans="1:7" ht="13.5" thickBot="1">
      <c r="A735" s="95"/>
      <c r="B735" s="980" t="s">
        <v>841</v>
      </c>
      <c r="C735" s="981"/>
      <c r="D735" s="77"/>
      <c r="E735" s="82"/>
      <c r="F735" s="86"/>
      <c r="G735" s="112"/>
    </row>
    <row r="736" spans="1:7" ht="14.25" thickTop="1" thickBot="1">
      <c r="A736" s="95"/>
      <c r="B736" s="946"/>
      <c r="C736" s="946"/>
      <c r="D736" s="946"/>
      <c r="E736" s="947"/>
      <c r="F736" s="120" t="s">
        <v>856</v>
      </c>
      <c r="G736" s="118">
        <f>SUM(G731:G735)</f>
        <v>50540</v>
      </c>
    </row>
    <row r="737" spans="1:8" ht="14.25" thickTop="1" thickBot="1">
      <c r="A737" s="95"/>
      <c r="B737" s="970"/>
      <c r="C737" s="970"/>
      <c r="D737" s="970"/>
      <c r="E737" s="970"/>
      <c r="F737" s="970"/>
      <c r="G737" s="970"/>
    </row>
    <row r="738" spans="1:8" ht="13.5" thickTop="1">
      <c r="A738" s="95"/>
      <c r="B738" s="950" t="s">
        <v>321</v>
      </c>
      <c r="C738" s="951"/>
      <c r="D738" s="951"/>
      <c r="E738" s="951"/>
      <c r="F738" s="951"/>
      <c r="G738" s="952"/>
    </row>
    <row r="739" spans="1:8">
      <c r="A739" s="95"/>
      <c r="B739" s="978" t="s">
        <v>838</v>
      </c>
      <c r="C739" s="979"/>
      <c r="D739" s="98" t="s">
        <v>301</v>
      </c>
      <c r="E739" s="98" t="s">
        <v>297</v>
      </c>
      <c r="F739" s="99" t="s">
        <v>839</v>
      </c>
      <c r="G739" s="107" t="s">
        <v>840</v>
      </c>
    </row>
    <row r="740" spans="1:8">
      <c r="A740" s="95"/>
      <c r="B740" s="230"/>
      <c r="C740" s="102"/>
      <c r="D740" s="103" t="s">
        <v>322</v>
      </c>
      <c r="E740" s="103" t="s">
        <v>323</v>
      </c>
      <c r="F740" s="104" t="s">
        <v>324</v>
      </c>
      <c r="G740" s="109" t="s">
        <v>325</v>
      </c>
    </row>
    <row r="741" spans="1:8">
      <c r="A741" s="95"/>
      <c r="B741" s="841"/>
      <c r="C741" s="842"/>
      <c r="D741" s="96"/>
      <c r="E741" s="96"/>
      <c r="F741" s="96"/>
      <c r="G741" s="116"/>
    </row>
    <row r="742" spans="1:8" ht="13.5" thickBot="1">
      <c r="A742" s="95"/>
      <c r="B742" s="980" t="s">
        <v>841</v>
      </c>
      <c r="C742" s="981"/>
      <c r="D742" s="77"/>
      <c r="E742" s="82"/>
      <c r="F742" s="86"/>
      <c r="G742" s="112"/>
    </row>
    <row r="743" spans="1:8" ht="14.25" thickTop="1" thickBot="1">
      <c r="A743" s="95"/>
      <c r="B743" s="946"/>
      <c r="C743" s="946"/>
      <c r="D743" s="946"/>
      <c r="E743" s="947"/>
      <c r="F743" s="120" t="s">
        <v>856</v>
      </c>
      <c r="G743" s="118">
        <f>SUM(G738:G742)</f>
        <v>0</v>
      </c>
    </row>
    <row r="744" spans="1:8" ht="14.25" thickTop="1" thickBot="1">
      <c r="A744" s="95"/>
      <c r="B744" s="970"/>
      <c r="C744" s="970"/>
      <c r="D744" s="970"/>
      <c r="E744" s="970"/>
      <c r="F744" s="970"/>
      <c r="G744" s="943"/>
    </row>
    <row r="745" spans="1:8" ht="13.5" thickTop="1">
      <c r="A745" s="95"/>
      <c r="B745" s="950" t="s">
        <v>326</v>
      </c>
      <c r="C745" s="951"/>
      <c r="D745" s="951"/>
      <c r="E745" s="951"/>
      <c r="F745" s="971"/>
      <c r="G745" s="121">
        <f>+G709+G725+G736</f>
        <v>301518</v>
      </c>
    </row>
    <row r="746" spans="1:8">
      <c r="A746" s="95"/>
      <c r="B746" s="972" t="s">
        <v>861</v>
      </c>
      <c r="C746" s="973"/>
      <c r="D746" s="973"/>
      <c r="E746" s="974"/>
      <c r="F746" s="128">
        <f>'MANO DE OBRA'!$D$59</f>
        <v>0</v>
      </c>
      <c r="G746" s="122">
        <f>ROUND(G745*F746,0)</f>
        <v>0</v>
      </c>
    </row>
    <row r="747" spans="1:8" ht="13.5" thickBot="1">
      <c r="A747" s="95"/>
      <c r="B747" s="975" t="s">
        <v>1049</v>
      </c>
      <c r="C747" s="976"/>
      <c r="D747" s="976"/>
      <c r="E747" s="976"/>
      <c r="F747" s="977"/>
      <c r="G747" s="118">
        <f>ROUND(G745+G746,-2)</f>
        <v>301500</v>
      </c>
      <c r="H747" s="505" t="s">
        <v>1670</v>
      </c>
    </row>
    <row r="748" spans="1:8" ht="13.5" thickTop="1">
      <c r="A748" s="95"/>
      <c r="B748" s="225" t="s">
        <v>303</v>
      </c>
      <c r="C748" s="843"/>
      <c r="D748" s="843"/>
      <c r="E748" s="843"/>
      <c r="F748" s="92" t="s">
        <v>781</v>
      </c>
      <c r="G748" s="93" t="s">
        <v>865</v>
      </c>
    </row>
    <row r="749" spans="1:8">
      <c r="A749" s="95"/>
      <c r="B749" s="226" t="s">
        <v>834</v>
      </c>
      <c r="C749" s="844" t="s">
        <v>1483</v>
      </c>
      <c r="D749" s="844"/>
      <c r="E749" s="844"/>
      <c r="F749" s="15" t="s">
        <v>833</v>
      </c>
      <c r="G749" s="165" t="str">
        <f>'MANO DE OBRA'!D61</f>
        <v>Agosto de 2010</v>
      </c>
    </row>
    <row r="750" spans="1:8" ht="13.5" thickBot="1">
      <c r="A750" s="127"/>
      <c r="B750" s="228" t="s">
        <v>835</v>
      </c>
      <c r="C750" s="845" t="s">
        <v>731</v>
      </c>
      <c r="D750" s="845"/>
      <c r="E750" s="845"/>
      <c r="F750" s="845"/>
      <c r="G750" s="846"/>
    </row>
    <row r="751" spans="1:8" ht="14.25" thickTop="1" thickBot="1">
      <c r="A751" s="95"/>
      <c r="B751" s="986" t="s">
        <v>1409</v>
      </c>
      <c r="C751" s="986"/>
      <c r="D751" s="986"/>
      <c r="E751" s="986"/>
      <c r="F751" s="986"/>
      <c r="G751" s="986"/>
    </row>
    <row r="752" spans="1:8" ht="13.5" thickTop="1">
      <c r="A752" s="95"/>
      <c r="B752" s="950" t="s">
        <v>304</v>
      </c>
      <c r="C752" s="951"/>
      <c r="D752" s="951"/>
      <c r="E752" s="951"/>
      <c r="F752" s="951"/>
      <c r="G752" s="952"/>
    </row>
    <row r="753" spans="1:7">
      <c r="A753" s="95"/>
      <c r="B753" s="229"/>
      <c r="C753" s="97"/>
      <c r="D753" s="98" t="s">
        <v>301</v>
      </c>
      <c r="E753" s="98" t="s">
        <v>1072</v>
      </c>
      <c r="F753" s="99" t="s">
        <v>839</v>
      </c>
      <c r="G753" s="107" t="s">
        <v>840</v>
      </c>
    </row>
    <row r="754" spans="1:7">
      <c r="A754" s="95"/>
      <c r="B754" s="982" t="s">
        <v>838</v>
      </c>
      <c r="C754" s="983"/>
      <c r="D754" s="100" t="s">
        <v>308</v>
      </c>
      <c r="E754" s="100" t="s">
        <v>305</v>
      </c>
      <c r="F754" s="101" t="s">
        <v>306</v>
      </c>
      <c r="G754" s="108" t="s">
        <v>310</v>
      </c>
    </row>
    <row r="755" spans="1:7">
      <c r="A755" s="95"/>
      <c r="B755" s="230"/>
      <c r="C755" s="102"/>
      <c r="D755" s="103"/>
      <c r="E755" s="103" t="s">
        <v>309</v>
      </c>
      <c r="F755" s="104" t="s">
        <v>307</v>
      </c>
      <c r="G755" s="109"/>
    </row>
    <row r="756" spans="1:7">
      <c r="A756" s="127"/>
      <c r="B756" s="841" t="str">
        <f>'MAQUINARIA Y EQUIPOS'!$C$28</f>
        <v>HERRAMIENTAS MENORES</v>
      </c>
      <c r="C756" s="842"/>
      <c r="D756" s="87">
        <v>1</v>
      </c>
      <c r="E756" s="82">
        <f>ROUND(G789*0.05,0)</f>
        <v>843</v>
      </c>
      <c r="F756" s="81">
        <v>1</v>
      </c>
      <c r="G756" s="110">
        <f>ROUND(D756*E756/F756,0)</f>
        <v>843</v>
      </c>
    </row>
    <row r="757" spans="1:7">
      <c r="A757" s="95"/>
      <c r="B757" s="854"/>
      <c r="C757" s="855"/>
      <c r="D757" s="37"/>
      <c r="E757" s="129"/>
      <c r="F757" s="83"/>
      <c r="G757" s="111"/>
    </row>
    <row r="758" spans="1:7">
      <c r="A758" s="95"/>
      <c r="B758" s="854"/>
      <c r="C758" s="855"/>
      <c r="D758" s="37"/>
      <c r="E758" s="129"/>
      <c r="F758" s="83"/>
      <c r="G758" s="111"/>
    </row>
    <row r="759" spans="1:7">
      <c r="A759" s="95"/>
      <c r="B759" s="854"/>
      <c r="C759" s="855"/>
      <c r="D759" s="89"/>
      <c r="E759" s="82"/>
      <c r="F759" s="83"/>
      <c r="G759" s="111"/>
    </row>
    <row r="760" spans="1:7">
      <c r="A760" s="95"/>
      <c r="B760" s="854" t="s">
        <v>841</v>
      </c>
      <c r="C760" s="855"/>
      <c r="D760" s="37"/>
      <c r="E760" s="82"/>
      <c r="F760" s="83"/>
      <c r="G760" s="111"/>
    </row>
    <row r="761" spans="1:7" ht="13.5" thickBot="1">
      <c r="A761" s="95"/>
      <c r="B761" s="942" t="s">
        <v>841</v>
      </c>
      <c r="C761" s="943"/>
      <c r="D761" s="77"/>
      <c r="E761" s="106"/>
      <c r="F761" s="86"/>
      <c r="G761" s="112"/>
    </row>
    <row r="762" spans="1:7" ht="14.25" thickTop="1" thickBot="1">
      <c r="A762" s="95"/>
      <c r="B762" s="946"/>
      <c r="C762" s="946"/>
      <c r="D762" s="946"/>
      <c r="E762" s="947"/>
      <c r="F762" s="119" t="s">
        <v>856</v>
      </c>
      <c r="G762" s="118">
        <f>SUM(G756:G761)</f>
        <v>843</v>
      </c>
    </row>
    <row r="763" spans="1:7" ht="14.25" thickTop="1" thickBot="1">
      <c r="A763" s="95"/>
      <c r="B763" s="970"/>
      <c r="C763" s="970"/>
      <c r="D763" s="970"/>
      <c r="E763" s="970"/>
      <c r="F763" s="970"/>
      <c r="G763" s="970"/>
    </row>
    <row r="764" spans="1:7" ht="13.5" thickTop="1">
      <c r="A764" s="95"/>
      <c r="B764" s="950" t="s">
        <v>311</v>
      </c>
      <c r="C764" s="951"/>
      <c r="D764" s="951"/>
      <c r="E764" s="951"/>
      <c r="F764" s="951"/>
      <c r="G764" s="952"/>
    </row>
    <row r="765" spans="1:7">
      <c r="A765" s="95"/>
      <c r="B765" s="978" t="s">
        <v>838</v>
      </c>
      <c r="C765" s="979"/>
      <c r="D765" s="98" t="s">
        <v>842</v>
      </c>
      <c r="E765" s="98" t="s">
        <v>853</v>
      </c>
      <c r="F765" s="99" t="s">
        <v>1047</v>
      </c>
      <c r="G765" s="107" t="s">
        <v>840</v>
      </c>
    </row>
    <row r="766" spans="1:7">
      <c r="A766" s="95"/>
      <c r="B766" s="230"/>
      <c r="C766" s="102"/>
      <c r="D766" s="103"/>
      <c r="E766" s="103" t="s">
        <v>312</v>
      </c>
      <c r="F766" s="104" t="s">
        <v>313</v>
      </c>
      <c r="G766" s="109" t="s">
        <v>314</v>
      </c>
    </row>
    <row r="767" spans="1:7">
      <c r="A767" s="123"/>
      <c r="B767" s="854" t="str">
        <f>MATERIALES2!C200</f>
        <v>CERRADURA YALE 396 PORTON</v>
      </c>
      <c r="C767" s="855"/>
      <c r="D767" s="37" t="s">
        <v>865</v>
      </c>
      <c r="E767" s="83">
        <v>1</v>
      </c>
      <c r="F767" s="82">
        <f>MATERIALES2!E200</f>
        <v>65000</v>
      </c>
      <c r="G767" s="111">
        <f>ROUND(E767*F767,0)</f>
        <v>65000</v>
      </c>
    </row>
    <row r="768" spans="1:7">
      <c r="A768" s="123"/>
      <c r="B768" s="854"/>
      <c r="C768" s="855"/>
      <c r="D768" s="37"/>
      <c r="E768" s="83"/>
      <c r="F768" s="82"/>
      <c r="G768" s="111"/>
    </row>
    <row r="769" spans="1:8">
      <c r="A769" s="123"/>
      <c r="B769" s="854"/>
      <c r="C769" s="855"/>
      <c r="D769" s="37"/>
      <c r="E769" s="83"/>
      <c r="F769" s="82"/>
      <c r="G769" s="111"/>
    </row>
    <row r="770" spans="1:8">
      <c r="A770" s="123"/>
      <c r="B770" s="854"/>
      <c r="C770" s="855"/>
      <c r="D770" s="37"/>
      <c r="E770" s="83"/>
      <c r="F770" s="82"/>
      <c r="G770" s="111"/>
    </row>
    <row r="771" spans="1:8">
      <c r="A771" s="123"/>
      <c r="B771" s="854"/>
      <c r="C771" s="855"/>
      <c r="D771" s="37"/>
      <c r="E771" s="83"/>
      <c r="F771" s="82"/>
      <c r="G771" s="111"/>
    </row>
    <row r="772" spans="1:8">
      <c r="B772" s="226"/>
      <c r="C772" s="4"/>
      <c r="D772" s="53"/>
      <c r="E772" s="4"/>
      <c r="F772" s="53"/>
      <c r="G772" s="310"/>
    </row>
    <row r="773" spans="1:8">
      <c r="A773" s="95"/>
      <c r="B773" s="854"/>
      <c r="C773" s="855"/>
      <c r="D773" s="37"/>
      <c r="E773" s="83"/>
      <c r="F773" s="82"/>
      <c r="G773" s="111"/>
      <c r="H773" s="505" t="s">
        <v>1670</v>
      </c>
    </row>
    <row r="774" spans="1:8">
      <c r="A774" s="95"/>
      <c r="B774" s="938" t="s">
        <v>841</v>
      </c>
      <c r="C774" s="939"/>
      <c r="D774" s="53" t="s">
        <v>841</v>
      </c>
      <c r="E774" s="53"/>
      <c r="F774" s="82"/>
      <c r="G774" s="111"/>
    </row>
    <row r="775" spans="1:8" ht="13.5" thickBot="1">
      <c r="A775" s="95"/>
      <c r="B775" s="942" t="s">
        <v>841</v>
      </c>
      <c r="C775" s="943"/>
      <c r="D775" s="84" t="s">
        <v>841</v>
      </c>
      <c r="E775" s="84"/>
      <c r="F775" s="85"/>
      <c r="G775" s="112"/>
    </row>
    <row r="776" spans="1:8" ht="13.5" thickTop="1">
      <c r="A776" s="95"/>
      <c r="B776" s="946"/>
      <c r="C776" s="947"/>
      <c r="D776" s="801" t="s">
        <v>856</v>
      </c>
      <c r="E776" s="802"/>
      <c r="F776" s="9"/>
      <c r="G776" s="113">
        <f>SUM(G767:G775)</f>
        <v>65000</v>
      </c>
    </row>
    <row r="777" spans="1:8">
      <c r="A777" s="95"/>
      <c r="B777" s="948"/>
      <c r="C777" s="949"/>
      <c r="D777" s="801" t="s">
        <v>857</v>
      </c>
      <c r="E777" s="802"/>
      <c r="F777" s="79">
        <v>0</v>
      </c>
      <c r="G777" s="113">
        <f>ROUND(G776*F777,0)</f>
        <v>0</v>
      </c>
    </row>
    <row r="778" spans="1:8" ht="13.5" thickBot="1">
      <c r="A778" s="95"/>
      <c r="B778" s="948"/>
      <c r="C778" s="949"/>
      <c r="D778" s="803" t="s">
        <v>320</v>
      </c>
      <c r="E778" s="804"/>
      <c r="F778" s="114"/>
      <c r="G778" s="118">
        <f>+G776+G777</f>
        <v>65000</v>
      </c>
    </row>
    <row r="779" spans="1:8" ht="14.25" thickTop="1" thickBot="1">
      <c r="A779" s="95"/>
      <c r="B779" s="970"/>
      <c r="C779" s="970"/>
      <c r="D779" s="970"/>
      <c r="E779" s="970"/>
      <c r="F779" s="970"/>
      <c r="G779" s="970"/>
    </row>
    <row r="780" spans="1:8" ht="13.5" thickTop="1">
      <c r="A780" s="95"/>
      <c r="B780" s="950" t="s">
        <v>858</v>
      </c>
      <c r="C780" s="951"/>
      <c r="D780" s="951"/>
      <c r="E780" s="951"/>
      <c r="F780" s="951"/>
      <c r="G780" s="952"/>
    </row>
    <row r="781" spans="1:8">
      <c r="A781" s="95"/>
      <c r="B781" s="978"/>
      <c r="C781" s="979"/>
      <c r="D781" s="98" t="s">
        <v>301</v>
      </c>
      <c r="E781" s="98" t="s">
        <v>859</v>
      </c>
      <c r="F781" s="99" t="s">
        <v>839</v>
      </c>
      <c r="G781" s="107" t="s">
        <v>840</v>
      </c>
    </row>
    <row r="782" spans="1:8">
      <c r="A782" s="95"/>
      <c r="B782" s="982" t="s">
        <v>838</v>
      </c>
      <c r="C782" s="983"/>
      <c r="D782" s="100" t="s">
        <v>316</v>
      </c>
      <c r="E782" s="100" t="s">
        <v>315</v>
      </c>
      <c r="F782" s="101" t="s">
        <v>306</v>
      </c>
      <c r="G782" s="108" t="s">
        <v>319</v>
      </c>
    </row>
    <row r="783" spans="1:8">
      <c r="A783" s="95"/>
      <c r="B783" s="230"/>
      <c r="C783" s="102"/>
      <c r="D783" s="103"/>
      <c r="E783" s="103" t="s">
        <v>317</v>
      </c>
      <c r="F783" s="104" t="s">
        <v>318</v>
      </c>
      <c r="G783" s="109"/>
    </row>
    <row r="784" spans="1:8">
      <c r="A784" s="95"/>
      <c r="B784" s="841" t="str">
        <f>'MANO DE OBRA'!$B$13</f>
        <v>AYUDANTE CUAD. TIPO DD</v>
      </c>
      <c r="C784" s="842"/>
      <c r="D784" s="87">
        <v>1</v>
      </c>
      <c r="E784" s="80">
        <f>'MANO DE OBRA'!$E$13</f>
        <v>49276</v>
      </c>
      <c r="F784" s="81">
        <v>8</v>
      </c>
      <c r="G784" s="110">
        <f>ROUND(D784*E784/F784,0)</f>
        <v>6160</v>
      </c>
    </row>
    <row r="785" spans="1:8">
      <c r="A785" s="95"/>
      <c r="B785" s="854" t="str">
        <f>'MANO DE OBRA'!$B$18</f>
        <v>OFICIAL CUAD. TIPO DD</v>
      </c>
      <c r="C785" s="855"/>
      <c r="D785" s="37">
        <v>1</v>
      </c>
      <c r="E785" s="82">
        <f>'MANO DE OBRA'!$E$18</f>
        <v>85666</v>
      </c>
      <c r="F785" s="83">
        <v>8</v>
      </c>
      <c r="G785" s="111">
        <f>ROUND(D785*E785/F785,0)</f>
        <v>10708</v>
      </c>
    </row>
    <row r="786" spans="1:8">
      <c r="A786" s="95"/>
      <c r="B786" s="854"/>
      <c r="C786" s="855"/>
      <c r="D786" s="89"/>
      <c r="E786" s="82"/>
      <c r="F786" s="83"/>
      <c r="G786" s="111"/>
    </row>
    <row r="787" spans="1:8">
      <c r="A787" s="95"/>
      <c r="B787" s="854" t="s">
        <v>841</v>
      </c>
      <c r="C787" s="855"/>
      <c r="D787" s="37"/>
      <c r="E787" s="82"/>
      <c r="F787" s="83"/>
      <c r="G787" s="111"/>
    </row>
    <row r="788" spans="1:8" ht="13.5" thickBot="1">
      <c r="A788" s="95"/>
      <c r="B788" s="980" t="s">
        <v>841</v>
      </c>
      <c r="C788" s="981"/>
      <c r="D788" s="77"/>
      <c r="E788" s="82"/>
      <c r="F788" s="86"/>
      <c r="G788" s="112"/>
    </row>
    <row r="789" spans="1:8" ht="14.25" thickTop="1" thickBot="1">
      <c r="A789" s="95"/>
      <c r="B789" s="946"/>
      <c r="C789" s="946"/>
      <c r="D789" s="946"/>
      <c r="E789" s="947"/>
      <c r="F789" s="120" t="s">
        <v>856</v>
      </c>
      <c r="G789" s="118">
        <f>SUM(G784:G788)</f>
        <v>16868</v>
      </c>
    </row>
    <row r="790" spans="1:8" ht="14.25" thickTop="1" thickBot="1">
      <c r="A790" s="95"/>
      <c r="B790" s="970"/>
      <c r="C790" s="970"/>
      <c r="D790" s="970"/>
      <c r="E790" s="970"/>
      <c r="F790" s="970"/>
      <c r="G790" s="970"/>
    </row>
    <row r="791" spans="1:8" ht="13.5" thickTop="1">
      <c r="A791" s="95"/>
      <c r="B791" s="950" t="s">
        <v>321</v>
      </c>
      <c r="C791" s="951"/>
      <c r="D791" s="951"/>
      <c r="E791" s="951"/>
      <c r="F791" s="951"/>
      <c r="G791" s="952"/>
    </row>
    <row r="792" spans="1:8">
      <c r="A792" s="95"/>
      <c r="B792" s="978" t="s">
        <v>838</v>
      </c>
      <c r="C792" s="979"/>
      <c r="D792" s="98" t="s">
        <v>301</v>
      </c>
      <c r="E792" s="98" t="s">
        <v>297</v>
      </c>
      <c r="F792" s="99" t="s">
        <v>839</v>
      </c>
      <c r="G792" s="107" t="s">
        <v>840</v>
      </c>
    </row>
    <row r="793" spans="1:8">
      <c r="A793" s="95"/>
      <c r="B793" s="230"/>
      <c r="C793" s="102"/>
      <c r="D793" s="103" t="s">
        <v>322</v>
      </c>
      <c r="E793" s="103" t="s">
        <v>323</v>
      </c>
      <c r="F793" s="104" t="s">
        <v>324</v>
      </c>
      <c r="G793" s="109" t="s">
        <v>325</v>
      </c>
    </row>
    <row r="794" spans="1:8">
      <c r="A794" s="95"/>
      <c r="B794" s="841"/>
      <c r="C794" s="842"/>
      <c r="D794" s="96"/>
      <c r="E794" s="96"/>
      <c r="F794" s="96"/>
      <c r="G794" s="116"/>
    </row>
    <row r="795" spans="1:8" ht="13.5" thickBot="1">
      <c r="A795" s="95"/>
      <c r="B795" s="980" t="s">
        <v>841</v>
      </c>
      <c r="C795" s="981"/>
      <c r="D795" s="77"/>
      <c r="E795" s="82"/>
      <c r="F795" s="86"/>
      <c r="G795" s="112"/>
    </row>
    <row r="796" spans="1:8" ht="14.25" thickTop="1" thickBot="1">
      <c r="A796" s="95"/>
      <c r="B796" s="946"/>
      <c r="C796" s="946"/>
      <c r="D796" s="946"/>
      <c r="E796" s="947"/>
      <c r="F796" s="120" t="s">
        <v>856</v>
      </c>
      <c r="G796" s="118">
        <f>SUM(G791:G795)</f>
        <v>0</v>
      </c>
    </row>
    <row r="797" spans="1:8" ht="14.25" thickTop="1" thickBot="1">
      <c r="A797" s="95"/>
      <c r="B797" s="970"/>
      <c r="C797" s="970"/>
      <c r="D797" s="970"/>
      <c r="E797" s="970"/>
      <c r="F797" s="970"/>
      <c r="G797" s="943"/>
    </row>
    <row r="798" spans="1:8" ht="13.5" thickTop="1">
      <c r="A798" s="95"/>
      <c r="B798" s="950" t="s">
        <v>326</v>
      </c>
      <c r="C798" s="951"/>
      <c r="D798" s="951"/>
      <c r="E798" s="951"/>
      <c r="F798" s="971"/>
      <c r="G798" s="121">
        <f>+G762+G778+G789</f>
        <v>82711</v>
      </c>
    </row>
    <row r="799" spans="1:8">
      <c r="A799" s="95"/>
      <c r="B799" s="972" t="s">
        <v>861</v>
      </c>
      <c r="C799" s="973"/>
      <c r="D799" s="973"/>
      <c r="E799" s="974"/>
      <c r="F799" s="128">
        <f>'MANO DE OBRA'!$D$59</f>
        <v>0</v>
      </c>
      <c r="G799" s="122">
        <f>ROUND(G798*F799,0)</f>
        <v>0</v>
      </c>
    </row>
    <row r="800" spans="1:8" ht="13.5" thickBot="1">
      <c r="A800" s="95"/>
      <c r="B800" s="975" t="s">
        <v>1049</v>
      </c>
      <c r="C800" s="976"/>
      <c r="D800" s="976"/>
      <c r="E800" s="976"/>
      <c r="F800" s="977"/>
      <c r="G800" s="118">
        <f>ROUND(G798+G799,-2)</f>
        <v>82700</v>
      </c>
      <c r="H800" s="505" t="s">
        <v>1670</v>
      </c>
    </row>
    <row r="801" spans="2:7" ht="13.5" thickTop="1">
      <c r="B801" s="225" t="s">
        <v>303</v>
      </c>
      <c r="C801" s="843"/>
      <c r="D801" s="843"/>
      <c r="E801" s="843"/>
      <c r="F801" s="92" t="s">
        <v>781</v>
      </c>
      <c r="G801" s="93" t="s">
        <v>865</v>
      </c>
    </row>
    <row r="802" spans="2:7">
      <c r="B802" s="226" t="s">
        <v>834</v>
      </c>
      <c r="C802" s="844" t="s">
        <v>1483</v>
      </c>
      <c r="D802" s="844"/>
      <c r="E802" s="844"/>
      <c r="F802" s="15" t="s">
        <v>833</v>
      </c>
      <c r="G802" s="165" t="str">
        <f>'MANO DE OBRA'!D61</f>
        <v>Agosto de 2010</v>
      </c>
    </row>
    <row r="803" spans="2:7" ht="13.5" thickBot="1">
      <c r="B803" s="228" t="s">
        <v>835</v>
      </c>
      <c r="C803" s="845" t="s">
        <v>860</v>
      </c>
      <c r="D803" s="845"/>
      <c r="E803" s="845"/>
      <c r="F803" s="845"/>
      <c r="G803" s="846"/>
    </row>
    <row r="804" spans="2:7" ht="14.25" thickTop="1" thickBot="1">
      <c r="B804" s="986" t="s">
        <v>1409</v>
      </c>
      <c r="C804" s="986"/>
      <c r="D804" s="986"/>
      <c r="E804" s="986"/>
      <c r="F804" s="986"/>
      <c r="G804" s="986"/>
    </row>
    <row r="805" spans="2:7" ht="13.5" thickTop="1">
      <c r="B805" s="950" t="s">
        <v>304</v>
      </c>
      <c r="C805" s="951"/>
      <c r="D805" s="951"/>
      <c r="E805" s="951"/>
      <c r="F805" s="951"/>
      <c r="G805" s="952"/>
    </row>
    <row r="806" spans="2:7">
      <c r="B806" s="229"/>
      <c r="C806" s="97"/>
      <c r="D806" s="98" t="s">
        <v>301</v>
      </c>
      <c r="E806" s="98" t="s">
        <v>1072</v>
      </c>
      <c r="F806" s="99" t="s">
        <v>839</v>
      </c>
      <c r="G806" s="107" t="s">
        <v>840</v>
      </c>
    </row>
    <row r="807" spans="2:7">
      <c r="B807" s="982" t="s">
        <v>838</v>
      </c>
      <c r="C807" s="983"/>
      <c r="D807" s="100" t="s">
        <v>308</v>
      </c>
      <c r="E807" s="100" t="s">
        <v>305</v>
      </c>
      <c r="F807" s="101" t="s">
        <v>306</v>
      </c>
      <c r="G807" s="108" t="s">
        <v>310</v>
      </c>
    </row>
    <row r="808" spans="2:7">
      <c r="B808" s="230"/>
      <c r="C808" s="102"/>
      <c r="D808" s="103"/>
      <c r="E808" s="103" t="s">
        <v>309</v>
      </c>
      <c r="F808" s="104" t="s">
        <v>307</v>
      </c>
      <c r="G808" s="109"/>
    </row>
    <row r="809" spans="2:7">
      <c r="B809" s="841" t="str">
        <f>'MAQUINARIA Y EQUIPOS'!$C$28</f>
        <v>HERRAMIENTAS MENORES</v>
      </c>
      <c r="C809" s="842"/>
      <c r="D809" s="87">
        <v>1</v>
      </c>
      <c r="E809" s="82">
        <f>ROUND(G842*0.05,0)</f>
        <v>2699</v>
      </c>
      <c r="F809" s="81">
        <v>1</v>
      </c>
      <c r="G809" s="110">
        <f>ROUND(D809*E809/F809,0)</f>
        <v>2699</v>
      </c>
    </row>
    <row r="810" spans="2:7">
      <c r="B810" s="854"/>
      <c r="C810" s="855"/>
      <c r="D810" s="37"/>
      <c r="E810" s="129"/>
      <c r="F810" s="83"/>
      <c r="G810" s="111"/>
    </row>
    <row r="811" spans="2:7">
      <c r="B811" s="854"/>
      <c r="C811" s="855"/>
      <c r="D811" s="37"/>
      <c r="E811" s="129"/>
      <c r="F811" s="83"/>
      <c r="G811" s="111"/>
    </row>
    <row r="812" spans="2:7">
      <c r="B812" s="854"/>
      <c r="C812" s="855"/>
      <c r="D812" s="89"/>
      <c r="E812" s="82"/>
      <c r="F812" s="83"/>
      <c r="G812" s="111"/>
    </row>
    <row r="813" spans="2:7">
      <c r="B813" s="854" t="s">
        <v>841</v>
      </c>
      <c r="C813" s="855"/>
      <c r="D813" s="37"/>
      <c r="E813" s="82"/>
      <c r="F813" s="83"/>
      <c r="G813" s="111"/>
    </row>
    <row r="814" spans="2:7" ht="13.5" thickBot="1">
      <c r="B814" s="942" t="s">
        <v>841</v>
      </c>
      <c r="C814" s="943"/>
      <c r="D814" s="77"/>
      <c r="E814" s="106"/>
      <c r="F814" s="86"/>
      <c r="G814" s="112"/>
    </row>
    <row r="815" spans="2:7" ht="14.25" thickTop="1" thickBot="1">
      <c r="B815" s="946"/>
      <c r="C815" s="946"/>
      <c r="D815" s="946"/>
      <c r="E815" s="947"/>
      <c r="F815" s="119" t="s">
        <v>856</v>
      </c>
      <c r="G815" s="118">
        <f>SUM(G809:G814)</f>
        <v>2699</v>
      </c>
    </row>
    <row r="816" spans="2:7" ht="14.25" thickTop="1" thickBot="1">
      <c r="B816" s="970"/>
      <c r="C816" s="970"/>
      <c r="D816" s="970"/>
      <c r="E816" s="970"/>
      <c r="F816" s="970"/>
      <c r="G816" s="970"/>
    </row>
    <row r="817" spans="2:8" ht="13.5" thickTop="1">
      <c r="B817" s="950" t="s">
        <v>311</v>
      </c>
      <c r="C817" s="951"/>
      <c r="D817" s="951"/>
      <c r="E817" s="951"/>
      <c r="F817" s="951"/>
      <c r="G817" s="952"/>
    </row>
    <row r="818" spans="2:8">
      <c r="B818" s="978" t="s">
        <v>838</v>
      </c>
      <c r="C818" s="979"/>
      <c r="D818" s="98" t="s">
        <v>842</v>
      </c>
      <c r="E818" s="98" t="s">
        <v>853</v>
      </c>
      <c r="F818" s="99" t="s">
        <v>1047</v>
      </c>
      <c r="G818" s="107" t="s">
        <v>840</v>
      </c>
    </row>
    <row r="819" spans="2:8">
      <c r="B819" s="230"/>
      <c r="C819" s="102"/>
      <c r="D819" s="100"/>
      <c r="E819" s="100" t="s">
        <v>312</v>
      </c>
      <c r="F819" s="101" t="s">
        <v>313</v>
      </c>
      <c r="G819" s="108" t="s">
        <v>314</v>
      </c>
    </row>
    <row r="820" spans="2:8">
      <c r="B820" s="854"/>
      <c r="C820" s="855"/>
      <c r="D820" s="37"/>
      <c r="E820" s="83"/>
      <c r="F820" s="82"/>
      <c r="G820" s="111"/>
    </row>
    <row r="821" spans="2:8">
      <c r="B821" s="854"/>
      <c r="C821" s="855"/>
      <c r="D821" s="37"/>
      <c r="E821" s="83"/>
      <c r="F821" s="82"/>
      <c r="G821" s="111"/>
    </row>
    <row r="822" spans="2:8">
      <c r="B822" s="854"/>
      <c r="C822" s="855"/>
      <c r="D822" s="37"/>
      <c r="E822" s="83"/>
      <c r="F822" s="82"/>
      <c r="G822" s="111"/>
    </row>
    <row r="823" spans="2:8">
      <c r="B823" s="854"/>
      <c r="C823" s="855"/>
      <c r="D823" s="37"/>
      <c r="E823" s="83"/>
      <c r="F823" s="82"/>
      <c r="G823" s="111"/>
    </row>
    <row r="824" spans="2:8">
      <c r="B824" s="854"/>
      <c r="C824" s="855"/>
      <c r="D824" s="37"/>
      <c r="E824" s="83"/>
      <c r="F824" s="82"/>
      <c r="G824" s="111"/>
    </row>
    <row r="825" spans="2:8">
      <c r="B825" s="226"/>
      <c r="C825" s="4"/>
      <c r="D825" s="53"/>
      <c r="E825" s="4"/>
      <c r="F825" s="53"/>
      <c r="G825" s="310"/>
    </row>
    <row r="826" spans="2:8">
      <c r="B826" s="854"/>
      <c r="C826" s="855"/>
      <c r="D826" s="37"/>
      <c r="E826" s="83"/>
      <c r="F826" s="82"/>
      <c r="G826" s="111"/>
      <c r="H826" s="505" t="s">
        <v>1670</v>
      </c>
    </row>
    <row r="827" spans="2:8">
      <c r="B827" s="938" t="s">
        <v>841</v>
      </c>
      <c r="C827" s="939"/>
      <c r="D827" s="53" t="s">
        <v>841</v>
      </c>
      <c r="E827" s="53"/>
      <c r="F827" s="82"/>
      <c r="G827" s="111"/>
    </row>
    <row r="828" spans="2:8" ht="13.5" thickBot="1">
      <c r="B828" s="942" t="s">
        <v>841</v>
      </c>
      <c r="C828" s="943"/>
      <c r="D828" s="84" t="s">
        <v>841</v>
      </c>
      <c r="E828" s="84"/>
      <c r="F828" s="85"/>
      <c r="G828" s="112"/>
    </row>
    <row r="829" spans="2:8" ht="13.5" thickTop="1">
      <c r="B829" s="946"/>
      <c r="C829" s="947"/>
      <c r="D829" s="801" t="s">
        <v>856</v>
      </c>
      <c r="E829" s="802"/>
      <c r="F829" s="9"/>
      <c r="G829" s="113">
        <f>SUM(G820:G828)</f>
        <v>0</v>
      </c>
    </row>
    <row r="830" spans="2:8">
      <c r="B830" s="948"/>
      <c r="C830" s="949"/>
      <c r="D830" s="801" t="s">
        <v>857</v>
      </c>
      <c r="E830" s="802"/>
      <c r="F830" s="79">
        <v>0</v>
      </c>
      <c r="G830" s="113">
        <f>ROUND(G829*F830,0)</f>
        <v>0</v>
      </c>
    </row>
    <row r="831" spans="2:8" ht="13.5" thickBot="1">
      <c r="B831" s="948"/>
      <c r="C831" s="949"/>
      <c r="D831" s="803" t="s">
        <v>320</v>
      </c>
      <c r="E831" s="804"/>
      <c r="F831" s="114"/>
      <c r="G831" s="118">
        <f>+G829+G830</f>
        <v>0</v>
      </c>
    </row>
    <row r="832" spans="2:8" ht="14.25" thickTop="1" thickBot="1">
      <c r="B832" s="970"/>
      <c r="C832" s="970"/>
      <c r="D832" s="970"/>
      <c r="E832" s="970"/>
      <c r="F832" s="970"/>
      <c r="G832" s="970"/>
    </row>
    <row r="833" spans="2:7" ht="13.5" thickTop="1">
      <c r="B833" s="950" t="s">
        <v>858</v>
      </c>
      <c r="C833" s="951"/>
      <c r="D833" s="951"/>
      <c r="E833" s="951"/>
      <c r="F833" s="951"/>
      <c r="G833" s="952"/>
    </row>
    <row r="834" spans="2:7">
      <c r="B834" s="978"/>
      <c r="C834" s="979"/>
      <c r="D834" s="98" t="s">
        <v>301</v>
      </c>
      <c r="E834" s="98" t="s">
        <v>859</v>
      </c>
      <c r="F834" s="99" t="s">
        <v>839</v>
      </c>
      <c r="G834" s="107" t="s">
        <v>840</v>
      </c>
    </row>
    <row r="835" spans="2:7">
      <c r="B835" s="982" t="s">
        <v>838</v>
      </c>
      <c r="C835" s="983"/>
      <c r="D835" s="100" t="s">
        <v>316</v>
      </c>
      <c r="E835" s="100" t="s">
        <v>315</v>
      </c>
      <c r="F835" s="101" t="s">
        <v>306</v>
      </c>
      <c r="G835" s="108" t="s">
        <v>319</v>
      </c>
    </row>
    <row r="836" spans="2:7">
      <c r="B836" s="230"/>
      <c r="C836" s="102"/>
      <c r="D836" s="103"/>
      <c r="E836" s="103" t="s">
        <v>317</v>
      </c>
      <c r="F836" s="104" t="s">
        <v>318</v>
      </c>
      <c r="G836" s="109"/>
    </row>
    <row r="837" spans="2:7">
      <c r="B837" s="841" t="str">
        <f>'MANO DE OBRA'!$B$13</f>
        <v>AYUDANTE CUAD. TIPO DD</v>
      </c>
      <c r="C837" s="842"/>
      <c r="D837" s="87">
        <v>1</v>
      </c>
      <c r="E837" s="80">
        <f>'MANO DE OBRA'!$E$13</f>
        <v>49276</v>
      </c>
      <c r="F837" s="81">
        <v>2.5</v>
      </c>
      <c r="G837" s="110">
        <f>ROUND(D837*E837/F837,0)</f>
        <v>19710</v>
      </c>
    </row>
    <row r="838" spans="2:7">
      <c r="B838" s="854" t="str">
        <f>'MANO DE OBRA'!$B$18</f>
        <v>OFICIAL CUAD. TIPO DD</v>
      </c>
      <c r="C838" s="855"/>
      <c r="D838" s="37">
        <v>1</v>
      </c>
      <c r="E838" s="82">
        <f>'MANO DE OBRA'!$E$18</f>
        <v>85666</v>
      </c>
      <c r="F838" s="83">
        <v>2.5</v>
      </c>
      <c r="G838" s="111">
        <f>ROUND(D838*E838/F838,0)</f>
        <v>34266</v>
      </c>
    </row>
    <row r="839" spans="2:7">
      <c r="B839" s="854"/>
      <c r="C839" s="855"/>
      <c r="D839" s="89"/>
      <c r="E839" s="82"/>
      <c r="F839" s="83"/>
      <c r="G839" s="111"/>
    </row>
    <row r="840" spans="2:7">
      <c r="B840" s="854" t="s">
        <v>841</v>
      </c>
      <c r="C840" s="855"/>
      <c r="D840" s="37"/>
      <c r="E840" s="82"/>
      <c r="F840" s="83"/>
      <c r="G840" s="111"/>
    </row>
    <row r="841" spans="2:7" ht="13.5" thickBot="1">
      <c r="B841" s="980" t="s">
        <v>841</v>
      </c>
      <c r="C841" s="981"/>
      <c r="D841" s="77"/>
      <c r="E841" s="82"/>
      <c r="F841" s="86"/>
      <c r="G841" s="112"/>
    </row>
    <row r="842" spans="2:7" ht="14.25" thickTop="1" thickBot="1">
      <c r="B842" s="946"/>
      <c r="C842" s="946"/>
      <c r="D842" s="946"/>
      <c r="E842" s="947"/>
      <c r="F842" s="120" t="s">
        <v>856</v>
      </c>
      <c r="G842" s="118">
        <f>SUM(G837:G841)</f>
        <v>53976</v>
      </c>
    </row>
    <row r="843" spans="2:7" ht="14.25" thickTop="1" thickBot="1">
      <c r="B843" s="970"/>
      <c r="C843" s="970"/>
      <c r="D843" s="970"/>
      <c r="E843" s="970"/>
      <c r="F843" s="970"/>
      <c r="G843" s="970"/>
    </row>
    <row r="844" spans="2:7" ht="13.5" thickTop="1">
      <c r="B844" s="950" t="s">
        <v>321</v>
      </c>
      <c r="C844" s="951"/>
      <c r="D844" s="951"/>
      <c r="E844" s="951"/>
      <c r="F844" s="951"/>
      <c r="G844" s="952"/>
    </row>
    <row r="845" spans="2:7">
      <c r="B845" s="978" t="s">
        <v>838</v>
      </c>
      <c r="C845" s="979"/>
      <c r="D845" s="98" t="s">
        <v>301</v>
      </c>
      <c r="E845" s="98" t="s">
        <v>297</v>
      </c>
      <c r="F845" s="99" t="s">
        <v>839</v>
      </c>
      <c r="G845" s="107" t="s">
        <v>840</v>
      </c>
    </row>
    <row r="846" spans="2:7">
      <c r="B846" s="230"/>
      <c r="C846" s="102"/>
      <c r="D846" s="103" t="s">
        <v>322</v>
      </c>
      <c r="E846" s="103" t="s">
        <v>323</v>
      </c>
      <c r="F846" s="104" t="s">
        <v>324</v>
      </c>
      <c r="G846" s="109" t="s">
        <v>325</v>
      </c>
    </row>
    <row r="847" spans="2:7">
      <c r="B847" s="841"/>
      <c r="C847" s="842"/>
      <c r="D847" s="96"/>
      <c r="E847" s="96"/>
      <c r="F847" s="96"/>
      <c r="G847" s="116"/>
    </row>
    <row r="848" spans="2:7" ht="13.5" thickBot="1">
      <c r="B848" s="980" t="s">
        <v>841</v>
      </c>
      <c r="C848" s="981"/>
      <c r="D848" s="77"/>
      <c r="E848" s="82"/>
      <c r="F848" s="86"/>
      <c r="G848" s="112"/>
    </row>
    <row r="849" spans="2:8" ht="14.25" thickTop="1" thickBot="1">
      <c r="B849" s="946"/>
      <c r="C849" s="946"/>
      <c r="D849" s="946"/>
      <c r="E849" s="947"/>
      <c r="F849" s="120" t="s">
        <v>856</v>
      </c>
      <c r="G849" s="118">
        <f>SUM(G844:G848)</f>
        <v>0</v>
      </c>
    </row>
    <row r="850" spans="2:8" ht="14.25" thickTop="1" thickBot="1">
      <c r="B850" s="970"/>
      <c r="C850" s="970"/>
      <c r="D850" s="970"/>
      <c r="E850" s="970"/>
      <c r="F850" s="970"/>
      <c r="G850" s="943"/>
    </row>
    <row r="851" spans="2:8" ht="13.5" thickTop="1">
      <c r="B851" s="950" t="s">
        <v>326</v>
      </c>
      <c r="C851" s="951"/>
      <c r="D851" s="951"/>
      <c r="E851" s="951"/>
      <c r="F851" s="971"/>
      <c r="G851" s="121">
        <f>+G815+G831+G842</f>
        <v>56675</v>
      </c>
    </row>
    <row r="852" spans="2:8">
      <c r="B852" s="972" t="s">
        <v>861</v>
      </c>
      <c r="C852" s="973"/>
      <c r="D852" s="973"/>
      <c r="E852" s="974"/>
      <c r="F852" s="128">
        <f>'MANO DE OBRA'!$D$59</f>
        <v>0</v>
      </c>
      <c r="G852" s="122">
        <f>ROUND(G851*F852,0)</f>
        <v>0</v>
      </c>
    </row>
    <row r="853" spans="2:8" ht="13.5" thickBot="1">
      <c r="B853" s="975" t="s">
        <v>1049</v>
      </c>
      <c r="C853" s="976"/>
      <c r="D853" s="976"/>
      <c r="E853" s="976"/>
      <c r="F853" s="977"/>
      <c r="G853" s="118">
        <f>ROUND(G851+G852,-2)</f>
        <v>56700</v>
      </c>
      <c r="H853" s="505" t="s">
        <v>1670</v>
      </c>
    </row>
    <row r="854" spans="2:8" ht="13.5" thickTop="1"/>
  </sheetData>
  <mergeCells count="788">
    <mergeCell ref="B792:C792"/>
    <mergeCell ref="B800:F800"/>
    <mergeCell ref="B794:C794"/>
    <mergeCell ref="B795:C795"/>
    <mergeCell ref="B796:E796"/>
    <mergeCell ref="B797:G797"/>
    <mergeCell ref="B798:F798"/>
    <mergeCell ref="B799:E799"/>
    <mergeCell ref="B776:C778"/>
    <mergeCell ref="D776:E776"/>
    <mergeCell ref="D777:E777"/>
    <mergeCell ref="D778:E778"/>
    <mergeCell ref="B788:C788"/>
    <mergeCell ref="B789:E789"/>
    <mergeCell ref="B790:G790"/>
    <mergeCell ref="B791:G791"/>
    <mergeCell ref="B784:C784"/>
    <mergeCell ref="B785:C785"/>
    <mergeCell ref="B786:C786"/>
    <mergeCell ref="B787:C787"/>
    <mergeCell ref="B14:C14"/>
    <mergeCell ref="C3:G3"/>
    <mergeCell ref="B4:G4"/>
    <mergeCell ref="C748:E748"/>
    <mergeCell ref="C749:E749"/>
    <mergeCell ref="B760:C760"/>
    <mergeCell ref="B761:C761"/>
    <mergeCell ref="B762:E762"/>
    <mergeCell ref="B763:G763"/>
    <mergeCell ref="B756:C756"/>
    <mergeCell ref="B757:C757"/>
    <mergeCell ref="B758:C758"/>
    <mergeCell ref="B759:C759"/>
    <mergeCell ref="B23:C23"/>
    <mergeCell ref="B25:C25"/>
    <mergeCell ref="B26:C26"/>
    <mergeCell ref="B27:C27"/>
    <mergeCell ref="B28:C28"/>
    <mergeCell ref="B29:C29"/>
    <mergeCell ref="B21:G21"/>
    <mergeCell ref="B22:G22"/>
    <mergeCell ref="B15:C15"/>
    <mergeCell ref="B16:C16"/>
    <mergeCell ref="B17:C17"/>
    <mergeCell ref="C1:G1"/>
    <mergeCell ref="C2:G2"/>
    <mergeCell ref="C5:G5"/>
    <mergeCell ref="C6:E6"/>
    <mergeCell ref="C7:E7"/>
    <mergeCell ref="C8:G8"/>
    <mergeCell ref="B9:G9"/>
    <mergeCell ref="B10:G10"/>
    <mergeCell ref="B12:C12"/>
    <mergeCell ref="B18:C18"/>
    <mergeCell ref="B19:C19"/>
    <mergeCell ref="B20:E20"/>
    <mergeCell ref="B37:G37"/>
    <mergeCell ref="B38:G38"/>
    <mergeCell ref="B39:C39"/>
    <mergeCell ref="B40:C40"/>
    <mergeCell ref="B42:C42"/>
    <mergeCell ref="B43:C43"/>
    <mergeCell ref="B30:C30"/>
    <mergeCell ref="B31:C31"/>
    <mergeCell ref="B32:C32"/>
    <mergeCell ref="B33:C33"/>
    <mergeCell ref="B34:C36"/>
    <mergeCell ref="D34:E34"/>
    <mergeCell ref="D35:E35"/>
    <mergeCell ref="D36:E36"/>
    <mergeCell ref="B50:C50"/>
    <mergeCell ref="B52:C52"/>
    <mergeCell ref="B53:C53"/>
    <mergeCell ref="B54:E54"/>
    <mergeCell ref="B55:G55"/>
    <mergeCell ref="B56:F56"/>
    <mergeCell ref="B44:C44"/>
    <mergeCell ref="B45:C45"/>
    <mergeCell ref="B46:C46"/>
    <mergeCell ref="B47:E47"/>
    <mergeCell ref="B48:G48"/>
    <mergeCell ref="B49:G49"/>
    <mergeCell ref="B63:G63"/>
    <mergeCell ref="B65:C65"/>
    <mergeCell ref="B67:C67"/>
    <mergeCell ref="B68:C68"/>
    <mergeCell ref="B69:C69"/>
    <mergeCell ref="B70:C70"/>
    <mergeCell ref="B57:E57"/>
    <mergeCell ref="B58:F58"/>
    <mergeCell ref="C59:E59"/>
    <mergeCell ref="C60:E60"/>
    <mergeCell ref="C61:G61"/>
    <mergeCell ref="B62:G62"/>
    <mergeCell ref="B78:C78"/>
    <mergeCell ref="B79:C79"/>
    <mergeCell ref="B80:C80"/>
    <mergeCell ref="B81:C81"/>
    <mergeCell ref="B82:C82"/>
    <mergeCell ref="B83:C83"/>
    <mergeCell ref="B71:C71"/>
    <mergeCell ref="B72:C72"/>
    <mergeCell ref="B73:E73"/>
    <mergeCell ref="B74:G74"/>
    <mergeCell ref="B75:G75"/>
    <mergeCell ref="B76:C76"/>
    <mergeCell ref="B90:G90"/>
    <mergeCell ref="B91:G91"/>
    <mergeCell ref="B92:C92"/>
    <mergeCell ref="B93:C93"/>
    <mergeCell ref="B95:C95"/>
    <mergeCell ref="B96:C96"/>
    <mergeCell ref="B84:C84"/>
    <mergeCell ref="B85:C85"/>
    <mergeCell ref="B86:C86"/>
    <mergeCell ref="B87:C89"/>
    <mergeCell ref="D87:E87"/>
    <mergeCell ref="D88:E88"/>
    <mergeCell ref="D89:E89"/>
    <mergeCell ref="B103:C103"/>
    <mergeCell ref="B105:C105"/>
    <mergeCell ref="B106:C106"/>
    <mergeCell ref="B107:E107"/>
    <mergeCell ref="B108:G108"/>
    <mergeCell ref="B109:F109"/>
    <mergeCell ref="B97:C97"/>
    <mergeCell ref="B98:C98"/>
    <mergeCell ref="B99:C99"/>
    <mergeCell ref="B100:E100"/>
    <mergeCell ref="B101:G101"/>
    <mergeCell ref="B102:G102"/>
    <mergeCell ref="B116:G116"/>
    <mergeCell ref="B118:C118"/>
    <mergeCell ref="B120:C120"/>
    <mergeCell ref="B121:C121"/>
    <mergeCell ref="B122:C122"/>
    <mergeCell ref="B123:C123"/>
    <mergeCell ref="B110:E110"/>
    <mergeCell ref="B111:F111"/>
    <mergeCell ref="C112:E112"/>
    <mergeCell ref="C113:E113"/>
    <mergeCell ref="C114:G114"/>
    <mergeCell ref="B115:G115"/>
    <mergeCell ref="B131:C131"/>
    <mergeCell ref="B132:C132"/>
    <mergeCell ref="B133:C133"/>
    <mergeCell ref="B134:C134"/>
    <mergeCell ref="B135:C135"/>
    <mergeCell ref="B136:C136"/>
    <mergeCell ref="B124:C124"/>
    <mergeCell ref="B125:C125"/>
    <mergeCell ref="B126:E126"/>
    <mergeCell ref="B127:G127"/>
    <mergeCell ref="B128:G128"/>
    <mergeCell ref="B129:C129"/>
    <mergeCell ref="B143:G143"/>
    <mergeCell ref="B144:G144"/>
    <mergeCell ref="B145:C145"/>
    <mergeCell ref="B146:C146"/>
    <mergeCell ref="B148:C148"/>
    <mergeCell ref="B149:C149"/>
    <mergeCell ref="B137:C137"/>
    <mergeCell ref="B138:C138"/>
    <mergeCell ref="B139:C139"/>
    <mergeCell ref="B140:C142"/>
    <mergeCell ref="D140:E140"/>
    <mergeCell ref="D141:E141"/>
    <mergeCell ref="D142:E142"/>
    <mergeCell ref="B156:C156"/>
    <mergeCell ref="B158:C158"/>
    <mergeCell ref="B159:C159"/>
    <mergeCell ref="B160:E160"/>
    <mergeCell ref="B161:G161"/>
    <mergeCell ref="B162:F162"/>
    <mergeCell ref="B150:C150"/>
    <mergeCell ref="B151:C151"/>
    <mergeCell ref="B152:C152"/>
    <mergeCell ref="B153:E153"/>
    <mergeCell ref="B154:G154"/>
    <mergeCell ref="B155:G155"/>
    <mergeCell ref="B169:G169"/>
    <mergeCell ref="B171:C171"/>
    <mergeCell ref="B173:C173"/>
    <mergeCell ref="B174:C174"/>
    <mergeCell ref="B175:C175"/>
    <mergeCell ref="B176:C176"/>
    <mergeCell ref="B163:E163"/>
    <mergeCell ref="B164:F164"/>
    <mergeCell ref="C165:E165"/>
    <mergeCell ref="C166:E166"/>
    <mergeCell ref="C167:G167"/>
    <mergeCell ref="B168:G168"/>
    <mergeCell ref="B184:C184"/>
    <mergeCell ref="B185:C185"/>
    <mergeCell ref="B186:C186"/>
    <mergeCell ref="B187:C187"/>
    <mergeCell ref="B188:C188"/>
    <mergeCell ref="B189:C189"/>
    <mergeCell ref="B177:C177"/>
    <mergeCell ref="B178:C178"/>
    <mergeCell ref="B179:E179"/>
    <mergeCell ref="B180:G180"/>
    <mergeCell ref="B181:G181"/>
    <mergeCell ref="B182:C182"/>
    <mergeCell ref="B196:G196"/>
    <mergeCell ref="B197:G197"/>
    <mergeCell ref="B198:C198"/>
    <mergeCell ref="B199:C199"/>
    <mergeCell ref="B201:C201"/>
    <mergeCell ref="B202:C202"/>
    <mergeCell ref="B190:C190"/>
    <mergeCell ref="B191:C191"/>
    <mergeCell ref="B192:C192"/>
    <mergeCell ref="B193:C195"/>
    <mergeCell ref="D193:E193"/>
    <mergeCell ref="D194:E194"/>
    <mergeCell ref="D195:E195"/>
    <mergeCell ref="B209:C209"/>
    <mergeCell ref="B211:C211"/>
    <mergeCell ref="B212:C212"/>
    <mergeCell ref="B213:E213"/>
    <mergeCell ref="B214:G214"/>
    <mergeCell ref="B215:F215"/>
    <mergeCell ref="B203:C203"/>
    <mergeCell ref="B204:C204"/>
    <mergeCell ref="B205:C205"/>
    <mergeCell ref="B206:E206"/>
    <mergeCell ref="B207:G207"/>
    <mergeCell ref="B208:G208"/>
    <mergeCell ref="B222:G222"/>
    <mergeCell ref="B224:C224"/>
    <mergeCell ref="B226:C226"/>
    <mergeCell ref="B227:C227"/>
    <mergeCell ref="B228:C228"/>
    <mergeCell ref="B229:C229"/>
    <mergeCell ref="B216:E216"/>
    <mergeCell ref="B217:F217"/>
    <mergeCell ref="C218:E218"/>
    <mergeCell ref="C219:E219"/>
    <mergeCell ref="C220:G220"/>
    <mergeCell ref="B221:G221"/>
    <mergeCell ref="B237:C237"/>
    <mergeCell ref="B238:C238"/>
    <mergeCell ref="B239:C239"/>
    <mergeCell ref="B240:C240"/>
    <mergeCell ref="B241:C241"/>
    <mergeCell ref="B242:C242"/>
    <mergeCell ref="B230:C230"/>
    <mergeCell ref="B231:C231"/>
    <mergeCell ref="B232:E232"/>
    <mergeCell ref="B233:G233"/>
    <mergeCell ref="B234:G234"/>
    <mergeCell ref="B235:C235"/>
    <mergeCell ref="B249:G249"/>
    <mergeCell ref="B250:G250"/>
    <mergeCell ref="B251:C251"/>
    <mergeCell ref="B252:C252"/>
    <mergeCell ref="B254:C254"/>
    <mergeCell ref="B255:C255"/>
    <mergeCell ref="B243:C243"/>
    <mergeCell ref="B244:C244"/>
    <mergeCell ref="B245:C245"/>
    <mergeCell ref="B246:C248"/>
    <mergeCell ref="D246:E246"/>
    <mergeCell ref="D247:E247"/>
    <mergeCell ref="D248:E248"/>
    <mergeCell ref="B262:C262"/>
    <mergeCell ref="B264:C264"/>
    <mergeCell ref="B265:C265"/>
    <mergeCell ref="B266:E266"/>
    <mergeCell ref="B267:G267"/>
    <mergeCell ref="B268:F268"/>
    <mergeCell ref="B256:C256"/>
    <mergeCell ref="B257:C257"/>
    <mergeCell ref="B258:C258"/>
    <mergeCell ref="B259:E259"/>
    <mergeCell ref="B260:G260"/>
    <mergeCell ref="B261:G261"/>
    <mergeCell ref="B275:G275"/>
    <mergeCell ref="B277:C277"/>
    <mergeCell ref="B279:C279"/>
    <mergeCell ref="B280:C280"/>
    <mergeCell ref="B281:C281"/>
    <mergeCell ref="B282:C282"/>
    <mergeCell ref="B269:E269"/>
    <mergeCell ref="B270:F270"/>
    <mergeCell ref="C271:E271"/>
    <mergeCell ref="C272:E272"/>
    <mergeCell ref="C273:G273"/>
    <mergeCell ref="B274:G274"/>
    <mergeCell ref="B290:C290"/>
    <mergeCell ref="B291:C291"/>
    <mergeCell ref="B292:C292"/>
    <mergeCell ref="B293:C293"/>
    <mergeCell ref="B294:C294"/>
    <mergeCell ref="B295:C295"/>
    <mergeCell ref="B283:C283"/>
    <mergeCell ref="B284:C284"/>
    <mergeCell ref="B285:E285"/>
    <mergeCell ref="B286:G286"/>
    <mergeCell ref="B287:G287"/>
    <mergeCell ref="B288:C288"/>
    <mergeCell ref="B302:G302"/>
    <mergeCell ref="B303:G303"/>
    <mergeCell ref="B304:C304"/>
    <mergeCell ref="B305:C305"/>
    <mergeCell ref="B307:C307"/>
    <mergeCell ref="B308:C308"/>
    <mergeCell ref="B296:C296"/>
    <mergeCell ref="B297:C297"/>
    <mergeCell ref="B298:C298"/>
    <mergeCell ref="B299:C301"/>
    <mergeCell ref="D299:E299"/>
    <mergeCell ref="D300:E300"/>
    <mergeCell ref="D301:E301"/>
    <mergeCell ref="B315:C315"/>
    <mergeCell ref="B317:C317"/>
    <mergeCell ref="B318:C318"/>
    <mergeCell ref="B319:E319"/>
    <mergeCell ref="B320:G320"/>
    <mergeCell ref="B321:F321"/>
    <mergeCell ref="B309:C309"/>
    <mergeCell ref="B310:C310"/>
    <mergeCell ref="B311:C311"/>
    <mergeCell ref="B312:E312"/>
    <mergeCell ref="B313:G313"/>
    <mergeCell ref="B314:G314"/>
    <mergeCell ref="B328:G328"/>
    <mergeCell ref="B330:C330"/>
    <mergeCell ref="B332:C332"/>
    <mergeCell ref="B333:C333"/>
    <mergeCell ref="B334:C334"/>
    <mergeCell ref="B335:C335"/>
    <mergeCell ref="B322:E322"/>
    <mergeCell ref="B323:F323"/>
    <mergeCell ref="C324:E324"/>
    <mergeCell ref="C325:E325"/>
    <mergeCell ref="C326:G326"/>
    <mergeCell ref="B327:G327"/>
    <mergeCell ref="B343:C343"/>
    <mergeCell ref="B344:C344"/>
    <mergeCell ref="B345:C345"/>
    <mergeCell ref="B346:C346"/>
    <mergeCell ref="B347:C347"/>
    <mergeCell ref="B348:C348"/>
    <mergeCell ref="B336:C336"/>
    <mergeCell ref="B337:C337"/>
    <mergeCell ref="B338:E338"/>
    <mergeCell ref="B339:G339"/>
    <mergeCell ref="B340:G340"/>
    <mergeCell ref="B341:C341"/>
    <mergeCell ref="B355:G355"/>
    <mergeCell ref="B356:G356"/>
    <mergeCell ref="B357:C357"/>
    <mergeCell ref="B358:C358"/>
    <mergeCell ref="B360:C360"/>
    <mergeCell ref="B361:C361"/>
    <mergeCell ref="B349:C349"/>
    <mergeCell ref="B350:C350"/>
    <mergeCell ref="B351:C351"/>
    <mergeCell ref="B352:C354"/>
    <mergeCell ref="D352:E352"/>
    <mergeCell ref="D353:E353"/>
    <mergeCell ref="D354:E354"/>
    <mergeCell ref="B368:C368"/>
    <mergeCell ref="B370:C370"/>
    <mergeCell ref="B371:C371"/>
    <mergeCell ref="B372:E372"/>
    <mergeCell ref="B373:G373"/>
    <mergeCell ref="B374:F374"/>
    <mergeCell ref="B362:C362"/>
    <mergeCell ref="B363:C363"/>
    <mergeCell ref="B364:C364"/>
    <mergeCell ref="B365:E365"/>
    <mergeCell ref="B366:G366"/>
    <mergeCell ref="B367:G367"/>
    <mergeCell ref="B381:G381"/>
    <mergeCell ref="B383:C383"/>
    <mergeCell ref="B385:C385"/>
    <mergeCell ref="B386:C386"/>
    <mergeCell ref="B387:C387"/>
    <mergeCell ref="B388:C388"/>
    <mergeCell ref="B375:E375"/>
    <mergeCell ref="B376:F376"/>
    <mergeCell ref="C377:E377"/>
    <mergeCell ref="C378:E378"/>
    <mergeCell ref="C379:G379"/>
    <mergeCell ref="B380:G380"/>
    <mergeCell ref="B396:C396"/>
    <mergeCell ref="B397:C397"/>
    <mergeCell ref="B398:C398"/>
    <mergeCell ref="B399:C399"/>
    <mergeCell ref="B400:C400"/>
    <mergeCell ref="B401:C401"/>
    <mergeCell ref="B389:C389"/>
    <mergeCell ref="B390:C390"/>
    <mergeCell ref="B391:E391"/>
    <mergeCell ref="B392:G392"/>
    <mergeCell ref="B393:G393"/>
    <mergeCell ref="B394:C394"/>
    <mergeCell ref="B408:G408"/>
    <mergeCell ref="B409:G409"/>
    <mergeCell ref="B410:C410"/>
    <mergeCell ref="B411:C411"/>
    <mergeCell ref="B413:C413"/>
    <mergeCell ref="B414:C414"/>
    <mergeCell ref="B402:C402"/>
    <mergeCell ref="B403:C403"/>
    <mergeCell ref="B404:C404"/>
    <mergeCell ref="B405:C407"/>
    <mergeCell ref="D405:E405"/>
    <mergeCell ref="D406:E406"/>
    <mergeCell ref="D407:E407"/>
    <mergeCell ref="B421:C421"/>
    <mergeCell ref="B423:C423"/>
    <mergeCell ref="B424:C424"/>
    <mergeCell ref="B425:E425"/>
    <mergeCell ref="B426:G426"/>
    <mergeCell ref="B427:F427"/>
    <mergeCell ref="B415:C415"/>
    <mergeCell ref="B416:C416"/>
    <mergeCell ref="B417:C417"/>
    <mergeCell ref="B418:E418"/>
    <mergeCell ref="B419:G419"/>
    <mergeCell ref="B420:G420"/>
    <mergeCell ref="B434:G434"/>
    <mergeCell ref="B436:C436"/>
    <mergeCell ref="B438:C438"/>
    <mergeCell ref="B439:C439"/>
    <mergeCell ref="B440:C440"/>
    <mergeCell ref="B441:C441"/>
    <mergeCell ref="B428:E428"/>
    <mergeCell ref="B429:F429"/>
    <mergeCell ref="C430:E430"/>
    <mergeCell ref="C431:E431"/>
    <mergeCell ref="C432:G432"/>
    <mergeCell ref="B433:G433"/>
    <mergeCell ref="B449:C449"/>
    <mergeCell ref="B450:C450"/>
    <mergeCell ref="B451:C451"/>
    <mergeCell ref="B452:C452"/>
    <mergeCell ref="B453:C453"/>
    <mergeCell ref="B454:C454"/>
    <mergeCell ref="B442:C442"/>
    <mergeCell ref="B443:C443"/>
    <mergeCell ref="B444:E444"/>
    <mergeCell ref="B445:G445"/>
    <mergeCell ref="B446:G446"/>
    <mergeCell ref="B447:C447"/>
    <mergeCell ref="B461:G461"/>
    <mergeCell ref="B462:G462"/>
    <mergeCell ref="B463:C463"/>
    <mergeCell ref="B464:C464"/>
    <mergeCell ref="B466:C466"/>
    <mergeCell ref="B467:C467"/>
    <mergeCell ref="B455:C455"/>
    <mergeCell ref="B456:C456"/>
    <mergeCell ref="B457:C457"/>
    <mergeCell ref="B458:C460"/>
    <mergeCell ref="D458:E458"/>
    <mergeCell ref="D459:E459"/>
    <mergeCell ref="D460:E460"/>
    <mergeCell ref="B474:C474"/>
    <mergeCell ref="B476:C476"/>
    <mergeCell ref="B477:C477"/>
    <mergeCell ref="B478:E478"/>
    <mergeCell ref="B479:G479"/>
    <mergeCell ref="B480:F480"/>
    <mergeCell ref="B468:C468"/>
    <mergeCell ref="B469:C469"/>
    <mergeCell ref="B470:C470"/>
    <mergeCell ref="B471:E471"/>
    <mergeCell ref="B472:G472"/>
    <mergeCell ref="B473:G473"/>
    <mergeCell ref="B487:G487"/>
    <mergeCell ref="B489:C489"/>
    <mergeCell ref="B491:C491"/>
    <mergeCell ref="B492:C492"/>
    <mergeCell ref="B493:C493"/>
    <mergeCell ref="B494:C494"/>
    <mergeCell ref="B481:E481"/>
    <mergeCell ref="B482:F482"/>
    <mergeCell ref="C483:E483"/>
    <mergeCell ref="C484:E484"/>
    <mergeCell ref="C485:G485"/>
    <mergeCell ref="B486:G486"/>
    <mergeCell ref="B502:C502"/>
    <mergeCell ref="B503:C503"/>
    <mergeCell ref="B504:C504"/>
    <mergeCell ref="B505:C505"/>
    <mergeCell ref="B506:C506"/>
    <mergeCell ref="B507:C507"/>
    <mergeCell ref="B495:C495"/>
    <mergeCell ref="B496:C496"/>
    <mergeCell ref="B497:E497"/>
    <mergeCell ref="B498:G498"/>
    <mergeCell ref="B499:G499"/>
    <mergeCell ref="B500:C500"/>
    <mergeCell ref="B514:G514"/>
    <mergeCell ref="B515:G515"/>
    <mergeCell ref="B516:C516"/>
    <mergeCell ref="B517:C517"/>
    <mergeCell ref="B519:C519"/>
    <mergeCell ref="B520:C520"/>
    <mergeCell ref="B508:C508"/>
    <mergeCell ref="B509:C509"/>
    <mergeCell ref="B510:C510"/>
    <mergeCell ref="B511:C513"/>
    <mergeCell ref="D511:E511"/>
    <mergeCell ref="D512:E512"/>
    <mergeCell ref="D513:E513"/>
    <mergeCell ref="B527:C527"/>
    <mergeCell ref="B529:C529"/>
    <mergeCell ref="B530:C530"/>
    <mergeCell ref="B531:E531"/>
    <mergeCell ref="B532:G532"/>
    <mergeCell ref="B533:F533"/>
    <mergeCell ref="B521:C521"/>
    <mergeCell ref="B522:C522"/>
    <mergeCell ref="B523:C523"/>
    <mergeCell ref="B524:E524"/>
    <mergeCell ref="B525:G525"/>
    <mergeCell ref="B526:G526"/>
    <mergeCell ref="B540:G540"/>
    <mergeCell ref="B542:C542"/>
    <mergeCell ref="B544:C544"/>
    <mergeCell ref="B545:C545"/>
    <mergeCell ref="B546:C546"/>
    <mergeCell ref="B547:C547"/>
    <mergeCell ref="B534:E534"/>
    <mergeCell ref="B535:F535"/>
    <mergeCell ref="C536:E536"/>
    <mergeCell ref="C537:E537"/>
    <mergeCell ref="C538:G538"/>
    <mergeCell ref="B539:G539"/>
    <mergeCell ref="B555:C555"/>
    <mergeCell ref="B556:C556"/>
    <mergeCell ref="B557:C557"/>
    <mergeCell ref="B558:C558"/>
    <mergeCell ref="B559:C559"/>
    <mergeCell ref="B560:C560"/>
    <mergeCell ref="B548:C548"/>
    <mergeCell ref="B549:C549"/>
    <mergeCell ref="B550:E550"/>
    <mergeCell ref="B551:G551"/>
    <mergeCell ref="B552:G552"/>
    <mergeCell ref="B553:C553"/>
    <mergeCell ref="B567:G567"/>
    <mergeCell ref="B568:G568"/>
    <mergeCell ref="B569:C569"/>
    <mergeCell ref="B570:C570"/>
    <mergeCell ref="B572:C572"/>
    <mergeCell ref="B573:C573"/>
    <mergeCell ref="B561:C561"/>
    <mergeCell ref="B562:C562"/>
    <mergeCell ref="B563:C563"/>
    <mergeCell ref="B564:C566"/>
    <mergeCell ref="D564:E564"/>
    <mergeCell ref="D565:E565"/>
    <mergeCell ref="D566:E566"/>
    <mergeCell ref="B580:C580"/>
    <mergeCell ref="B582:C582"/>
    <mergeCell ref="B583:C583"/>
    <mergeCell ref="B584:E584"/>
    <mergeCell ref="B585:G585"/>
    <mergeCell ref="B586:F586"/>
    <mergeCell ref="B574:C574"/>
    <mergeCell ref="B575:C575"/>
    <mergeCell ref="B576:C576"/>
    <mergeCell ref="B577:E577"/>
    <mergeCell ref="B578:G578"/>
    <mergeCell ref="B579:G579"/>
    <mergeCell ref="B593:G593"/>
    <mergeCell ref="B595:C595"/>
    <mergeCell ref="B597:C597"/>
    <mergeCell ref="B598:C598"/>
    <mergeCell ref="B599:C599"/>
    <mergeCell ref="B600:C600"/>
    <mergeCell ref="B587:E587"/>
    <mergeCell ref="B588:F588"/>
    <mergeCell ref="C589:E589"/>
    <mergeCell ref="C590:E590"/>
    <mergeCell ref="C591:G591"/>
    <mergeCell ref="B592:G592"/>
    <mergeCell ref="B608:C608"/>
    <mergeCell ref="B609:C609"/>
    <mergeCell ref="B610:C610"/>
    <mergeCell ref="B611:C611"/>
    <mergeCell ref="B612:C612"/>
    <mergeCell ref="B613:C613"/>
    <mergeCell ref="B601:C601"/>
    <mergeCell ref="B602:C602"/>
    <mergeCell ref="B603:E603"/>
    <mergeCell ref="B604:G604"/>
    <mergeCell ref="B605:G605"/>
    <mergeCell ref="B606:C606"/>
    <mergeCell ref="B620:G620"/>
    <mergeCell ref="B621:G621"/>
    <mergeCell ref="B622:C622"/>
    <mergeCell ref="B623:C623"/>
    <mergeCell ref="B625:C625"/>
    <mergeCell ref="B626:C626"/>
    <mergeCell ref="B614:C614"/>
    <mergeCell ref="B615:C615"/>
    <mergeCell ref="B616:C616"/>
    <mergeCell ref="B617:C619"/>
    <mergeCell ref="D617:E617"/>
    <mergeCell ref="D618:E618"/>
    <mergeCell ref="D619:E619"/>
    <mergeCell ref="B633:C633"/>
    <mergeCell ref="B635:C635"/>
    <mergeCell ref="B636:C636"/>
    <mergeCell ref="B637:E637"/>
    <mergeCell ref="B638:G638"/>
    <mergeCell ref="B639:F639"/>
    <mergeCell ref="B627:C627"/>
    <mergeCell ref="B628:C628"/>
    <mergeCell ref="B629:C629"/>
    <mergeCell ref="B630:E630"/>
    <mergeCell ref="B631:G631"/>
    <mergeCell ref="B632:G632"/>
    <mergeCell ref="B646:G646"/>
    <mergeCell ref="B648:C648"/>
    <mergeCell ref="B650:C650"/>
    <mergeCell ref="B651:C651"/>
    <mergeCell ref="B652:C652"/>
    <mergeCell ref="B653:C653"/>
    <mergeCell ref="B640:E640"/>
    <mergeCell ref="B641:F641"/>
    <mergeCell ref="C642:E642"/>
    <mergeCell ref="C643:E643"/>
    <mergeCell ref="C644:G644"/>
    <mergeCell ref="B645:G645"/>
    <mergeCell ref="B661:C661"/>
    <mergeCell ref="B662:C662"/>
    <mergeCell ref="B663:C663"/>
    <mergeCell ref="B664:C664"/>
    <mergeCell ref="B665:C665"/>
    <mergeCell ref="B666:C666"/>
    <mergeCell ref="B654:C654"/>
    <mergeCell ref="B655:C655"/>
    <mergeCell ref="B656:E656"/>
    <mergeCell ref="B657:G657"/>
    <mergeCell ref="B658:G658"/>
    <mergeCell ref="B659:C659"/>
    <mergeCell ref="B673:G673"/>
    <mergeCell ref="B674:G674"/>
    <mergeCell ref="B675:C675"/>
    <mergeCell ref="B676:C676"/>
    <mergeCell ref="B678:C678"/>
    <mergeCell ref="B679:C679"/>
    <mergeCell ref="B667:C667"/>
    <mergeCell ref="B668:C668"/>
    <mergeCell ref="B669:C669"/>
    <mergeCell ref="B670:C672"/>
    <mergeCell ref="D670:E670"/>
    <mergeCell ref="D671:E671"/>
    <mergeCell ref="D672:E672"/>
    <mergeCell ref="B686:C686"/>
    <mergeCell ref="B688:C688"/>
    <mergeCell ref="B689:C689"/>
    <mergeCell ref="B690:E690"/>
    <mergeCell ref="B691:G691"/>
    <mergeCell ref="B692:F692"/>
    <mergeCell ref="B680:C680"/>
    <mergeCell ref="B681:C681"/>
    <mergeCell ref="B682:C682"/>
    <mergeCell ref="B683:E683"/>
    <mergeCell ref="B684:G684"/>
    <mergeCell ref="B685:G685"/>
    <mergeCell ref="B699:G699"/>
    <mergeCell ref="B701:C701"/>
    <mergeCell ref="B703:C703"/>
    <mergeCell ref="B704:C704"/>
    <mergeCell ref="B705:C705"/>
    <mergeCell ref="B706:C706"/>
    <mergeCell ref="B693:E693"/>
    <mergeCell ref="B694:F694"/>
    <mergeCell ref="C695:E695"/>
    <mergeCell ref="C696:E696"/>
    <mergeCell ref="C697:G697"/>
    <mergeCell ref="B698:G698"/>
    <mergeCell ref="B714:C714"/>
    <mergeCell ref="B715:C715"/>
    <mergeCell ref="B716:C716"/>
    <mergeCell ref="B717:C717"/>
    <mergeCell ref="B718:C718"/>
    <mergeCell ref="B719:C719"/>
    <mergeCell ref="B707:C707"/>
    <mergeCell ref="B708:C708"/>
    <mergeCell ref="B709:E709"/>
    <mergeCell ref="B710:G710"/>
    <mergeCell ref="B711:G711"/>
    <mergeCell ref="B712:C712"/>
    <mergeCell ref="B726:G726"/>
    <mergeCell ref="B727:G727"/>
    <mergeCell ref="B728:C728"/>
    <mergeCell ref="B729:C729"/>
    <mergeCell ref="B731:C731"/>
    <mergeCell ref="B732:C732"/>
    <mergeCell ref="B720:C720"/>
    <mergeCell ref="B721:C721"/>
    <mergeCell ref="B722:C722"/>
    <mergeCell ref="B723:C725"/>
    <mergeCell ref="D723:E723"/>
    <mergeCell ref="D724:E724"/>
    <mergeCell ref="D725:E725"/>
    <mergeCell ref="B739:C739"/>
    <mergeCell ref="B741:C741"/>
    <mergeCell ref="B742:C742"/>
    <mergeCell ref="B743:E743"/>
    <mergeCell ref="B744:G744"/>
    <mergeCell ref="B745:F745"/>
    <mergeCell ref="B733:C733"/>
    <mergeCell ref="B734:C734"/>
    <mergeCell ref="B735:C735"/>
    <mergeCell ref="B736:E736"/>
    <mergeCell ref="B737:G737"/>
    <mergeCell ref="B738:G738"/>
    <mergeCell ref="B746:E746"/>
    <mergeCell ref="B747:F747"/>
    <mergeCell ref="C801:E801"/>
    <mergeCell ref="C802:E802"/>
    <mergeCell ref="C803:G803"/>
    <mergeCell ref="B804:G804"/>
    <mergeCell ref="C750:G750"/>
    <mergeCell ref="B751:G751"/>
    <mergeCell ref="B752:G752"/>
    <mergeCell ref="B754:C754"/>
    <mergeCell ref="B773:C773"/>
    <mergeCell ref="B774:C774"/>
    <mergeCell ref="B768:C768"/>
    <mergeCell ref="B769:C769"/>
    <mergeCell ref="B770:C770"/>
    <mergeCell ref="B764:G764"/>
    <mergeCell ref="B765:C765"/>
    <mergeCell ref="B771:C771"/>
    <mergeCell ref="B767:C767"/>
    <mergeCell ref="B779:G779"/>
    <mergeCell ref="B780:G780"/>
    <mergeCell ref="B781:C781"/>
    <mergeCell ref="B782:C782"/>
    <mergeCell ref="B775:C775"/>
    <mergeCell ref="B814:C814"/>
    <mergeCell ref="B815:E815"/>
    <mergeCell ref="B816:G816"/>
    <mergeCell ref="B817:G817"/>
    <mergeCell ref="B818:C818"/>
    <mergeCell ref="B805:G805"/>
    <mergeCell ref="B807:C807"/>
    <mergeCell ref="B809:C809"/>
    <mergeCell ref="B810:C810"/>
    <mergeCell ref="B811:C811"/>
    <mergeCell ref="B812:C812"/>
    <mergeCell ref="I609:J612"/>
    <mergeCell ref="B850:G850"/>
    <mergeCell ref="B851:F851"/>
    <mergeCell ref="B852:E852"/>
    <mergeCell ref="B841:C841"/>
    <mergeCell ref="B839:C839"/>
    <mergeCell ref="B840:C840"/>
    <mergeCell ref="B832:G832"/>
    <mergeCell ref="B833:G833"/>
    <mergeCell ref="B834:C834"/>
    <mergeCell ref="B835:C835"/>
    <mergeCell ref="B827:C827"/>
    <mergeCell ref="B828:C828"/>
    <mergeCell ref="B829:C831"/>
    <mergeCell ref="D829:E829"/>
    <mergeCell ref="D830:E830"/>
    <mergeCell ref="D831:E831"/>
    <mergeCell ref="B820:C820"/>
    <mergeCell ref="B821:C821"/>
    <mergeCell ref="B822:C822"/>
    <mergeCell ref="B823:C823"/>
    <mergeCell ref="B824:C824"/>
    <mergeCell ref="B826:C826"/>
    <mergeCell ref="B813:C813"/>
    <mergeCell ref="B842:E842"/>
    <mergeCell ref="B843:G843"/>
    <mergeCell ref="B844:G844"/>
    <mergeCell ref="B837:C837"/>
    <mergeCell ref="B838:C838"/>
    <mergeCell ref="B853:F853"/>
    <mergeCell ref="B845:C845"/>
    <mergeCell ref="B847:C847"/>
    <mergeCell ref="B848:C848"/>
    <mergeCell ref="B849:E849"/>
  </mergeCells>
  <phoneticPr fontId="0" type="noConversion"/>
  <hyperlinks>
    <hyperlink ref="H6" location="'ITEMS RESUMEN'!CARPINTERIA_DE_MADERA" display="volver"/>
    <hyperlink ref="H31" location="'ITEMS RESUMEN'!CARPINTERIA_DE_MADERA" display="volver"/>
    <hyperlink ref="H58" location="'ITEMS RESUMEN'!CARPINTERIA_DE_MADERA" display="volver"/>
    <hyperlink ref="H84" location="'ITEMS RESUMEN'!CARPINTERIA_DE_MADERA" display="volver"/>
    <hyperlink ref="H111" location="'ITEMS RESUMEN'!CARPINTERIA_DE_MADERA" display="volver"/>
    <hyperlink ref="H137" location="'ITEMS RESUMEN'!CARPINTERIA_DE_MADERA" display="volver"/>
    <hyperlink ref="H164" location="'ITEMS RESUMEN'!CARPINTERIA_DE_MADERA" display="volver"/>
    <hyperlink ref="H190" location="'ITEMS RESUMEN'!CARPINTERIA_DE_MADERA" display="volver"/>
    <hyperlink ref="H217" location="'ITEMS RESUMEN'!CARPINTERIA_DE_MADERA" display="volver"/>
    <hyperlink ref="H243" location="'ITEMS RESUMEN'!CARPINTERIA_DE_MADERA" display="volver"/>
    <hyperlink ref="H270" location="'ITEMS RESUMEN'!CARPINTERIA_DE_MADERA" display="volver"/>
    <hyperlink ref="H296" location="'ITEMS RESUMEN'!CARPINTERIA_DE_MADERA" display="volver"/>
    <hyperlink ref="H323" location="'ITEMS RESUMEN'!CARPINTERIA_DE_MADERA" display="volver"/>
    <hyperlink ref="H349" location="'ITEMS RESUMEN'!CARPINTERIA_DE_MADERA" display="volver"/>
    <hyperlink ref="H376" location="'ITEMS RESUMEN'!CARPINTERIA_DE_MADERA" display="volver"/>
    <hyperlink ref="H402" location="'ITEMS RESUMEN'!CARPINTERIA_DE_MADERA" display="volver"/>
    <hyperlink ref="H429" location="'ITEMS RESUMEN'!CARPINTERIA_DE_MADERA" display="volver"/>
    <hyperlink ref="H455" location="'ITEMS RESUMEN'!CARPINTERIA_DE_MADERA" display="volver"/>
    <hyperlink ref="H482" location="'ITEMS RESUMEN'!CARPINTERIA_DE_MADERA" display="volver"/>
    <hyperlink ref="H508" location="'ITEMS RESUMEN'!CARPINTERIA_DE_MADERA" display="volver"/>
    <hyperlink ref="H535" location="'ITEMS RESUMEN'!CARPINTERIA_DE_MADERA" display="volver"/>
    <hyperlink ref="H561" location="'ITEMS RESUMEN'!CARPINTERIA_DE_MADERA" display="volver"/>
    <hyperlink ref="H588" location="'ITEMS RESUMEN'!CARPINTERIA_DE_MADERA" display="volver"/>
    <hyperlink ref="H614" location="'ITEMS RESUMEN'!CARPINTERIA_DE_MADERA" display="volver"/>
    <hyperlink ref="H641" location="'ITEMS RESUMEN'!CARPINTERIA_DE_MADERA" display="volver"/>
    <hyperlink ref="H667" location="'ITEMS RESUMEN'!CARPINTERIA_DE_MADERA" display="volver"/>
    <hyperlink ref="H694" location="'ITEMS RESUMEN'!CARPINTERIA_DE_MADERA" display="volver"/>
    <hyperlink ref="H720" location="'ITEMS RESUMEN'!CARPINTERIA_DE_MADERA" display="volver"/>
    <hyperlink ref="H747" location="'ITEMS RESUMEN'!CARPINTERIA_DE_MADERA" display="volver"/>
    <hyperlink ref="H773" location="'ITEMS RESUMEN'!CARPINTERIA_DE_MADERA" display="volver"/>
    <hyperlink ref="H800" location="'ITEMS RESUMEN'!CARPINTERIA_DE_MADERA" display="volver"/>
    <hyperlink ref="H826" location="'ITEMS RESUMEN'!CARPINTERIA_DE_MADERA" display="volver"/>
    <hyperlink ref="H853" location="'ITEMS RESUMEN'!CARPINTERIA_DE_MADERA" display="volver"/>
  </hyperlinks>
  <printOptions horizontalCentered="1" verticalCentered="1"/>
  <pageMargins left="0" right="0" top="0" bottom="0" header="0" footer="0"/>
  <pageSetup scale="80" orientation="portrait" r:id="rId1"/>
  <headerFooter alignWithMargins="0"/>
  <rowBreaks count="15" manualBreakCount="15">
    <brk id="58" min="1" max="6" man="1"/>
    <brk id="111" min="1" max="6" man="1"/>
    <brk id="164" min="1" max="6" man="1"/>
    <brk id="217" min="1" max="6" man="1"/>
    <brk id="270" min="1" max="6" man="1"/>
    <brk id="323" min="1" max="6" man="1"/>
    <brk id="376" min="1" max="6" man="1"/>
    <brk id="429" min="1" max="6" man="1"/>
    <brk id="482" min="1" max="6" man="1"/>
    <brk id="535" min="1" max="6" man="1"/>
    <brk id="588" min="1" max="6" man="1"/>
    <brk id="641" min="1" max="6" man="1"/>
    <brk id="694" min="1" max="6" man="1"/>
    <brk id="747" min="1" max="6" man="1"/>
    <brk id="800" min="1" max="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2" enableFormatConditionsCalculation="0">
    <tabColor indexed="61"/>
  </sheetPr>
  <dimension ref="A1:I1138"/>
  <sheetViews>
    <sheetView topLeftCell="A174" zoomScale="70" zoomScaleNormal="70" zoomScaleSheetLayoutView="100" workbookViewId="0">
      <selection activeCell="H213" sqref="H213"/>
    </sheetView>
  </sheetViews>
  <sheetFormatPr baseColWidth="10" defaultRowHeight="12.75"/>
  <cols>
    <col min="2" max="2" width="12.7109375" style="231" customWidth="1"/>
    <col min="3" max="3" width="31.42578125" customWidth="1"/>
    <col min="4" max="4" width="12.7109375" customWidth="1"/>
    <col min="5" max="5" width="13.7109375" customWidth="1"/>
    <col min="6" max="6" width="14.7109375" customWidth="1"/>
    <col min="7" max="7" width="16.7109375" customWidth="1"/>
    <col min="9" max="9" width="12.28515625" bestFit="1" customWidth="1"/>
  </cols>
  <sheetData>
    <row r="1" spans="1:8" ht="19.5" thickTop="1">
      <c r="A1" s="95"/>
      <c r="B1" s="225"/>
      <c r="C1" s="848" t="s">
        <v>1054</v>
      </c>
      <c r="D1" s="848"/>
      <c r="E1" s="848"/>
      <c r="F1" s="848"/>
      <c r="G1" s="849"/>
    </row>
    <row r="2" spans="1:8" ht="18.75">
      <c r="A2" s="95"/>
      <c r="B2" s="226"/>
      <c r="C2" s="780" t="s">
        <v>1381</v>
      </c>
      <c r="D2" s="780"/>
      <c r="E2" s="780"/>
      <c r="F2" s="780"/>
      <c r="G2" s="850"/>
    </row>
    <row r="3" spans="1:8" ht="18.75">
      <c r="A3" s="95"/>
      <c r="B3" s="226"/>
      <c r="C3" s="781"/>
      <c r="D3" s="781"/>
      <c r="E3" s="781"/>
      <c r="F3" s="781"/>
      <c r="G3" s="851"/>
    </row>
    <row r="4" spans="1:8" ht="15.75">
      <c r="A4" s="95"/>
      <c r="B4" s="881" t="s">
        <v>780</v>
      </c>
      <c r="C4" s="852"/>
      <c r="D4" s="852"/>
      <c r="E4" s="852"/>
      <c r="F4" s="852"/>
      <c r="G4" s="853"/>
    </row>
    <row r="5" spans="1:8" ht="15.75" thickBot="1">
      <c r="A5" s="95"/>
      <c r="B5" s="227"/>
      <c r="C5" s="856"/>
      <c r="D5" s="856"/>
      <c r="E5" s="856"/>
      <c r="F5" s="856"/>
      <c r="G5" s="857"/>
    </row>
    <row r="6" spans="1:8" ht="13.5" thickTop="1">
      <c r="A6" s="95"/>
      <c r="B6" s="225" t="s">
        <v>303</v>
      </c>
      <c r="C6" s="843"/>
      <c r="D6" s="843"/>
      <c r="E6" s="843"/>
      <c r="F6" s="92" t="s">
        <v>781</v>
      </c>
      <c r="G6" s="93" t="s">
        <v>865</v>
      </c>
      <c r="H6" s="505" t="s">
        <v>1670</v>
      </c>
    </row>
    <row r="7" spans="1:8">
      <c r="A7" s="95"/>
      <c r="B7" s="226" t="s">
        <v>834</v>
      </c>
      <c r="C7" s="844" t="s">
        <v>1506</v>
      </c>
      <c r="D7" s="844"/>
      <c r="E7" s="844"/>
      <c r="F7" s="15" t="s">
        <v>833</v>
      </c>
      <c r="G7" s="165" t="str">
        <f>'MANO DE OBRA'!D61</f>
        <v>Agosto de 2010</v>
      </c>
    </row>
    <row r="8" spans="1:8" ht="27.75" customHeight="1" thickBot="1">
      <c r="A8" s="236"/>
      <c r="B8" s="240" t="s">
        <v>835</v>
      </c>
      <c r="C8" s="993" t="s">
        <v>1508</v>
      </c>
      <c r="D8" s="993"/>
      <c r="E8" s="993"/>
      <c r="F8" s="993"/>
      <c r="G8" s="994"/>
    </row>
    <row r="9" spans="1:8" ht="14.25" thickTop="1" thickBot="1">
      <c r="A9" s="95"/>
      <c r="B9" s="986"/>
      <c r="C9" s="986"/>
      <c r="D9" s="986"/>
      <c r="E9" s="986"/>
      <c r="F9" s="986"/>
      <c r="G9" s="986"/>
    </row>
    <row r="10" spans="1:8" ht="13.5" thickTop="1">
      <c r="A10" s="95"/>
      <c r="B10" s="950" t="s">
        <v>304</v>
      </c>
      <c r="C10" s="951"/>
      <c r="D10" s="951"/>
      <c r="E10" s="951"/>
      <c r="F10" s="951"/>
      <c r="G10" s="952"/>
    </row>
    <row r="11" spans="1:8">
      <c r="A11" s="95"/>
      <c r="B11" s="229"/>
      <c r="C11" s="97"/>
      <c r="D11" s="98" t="s">
        <v>301</v>
      </c>
      <c r="E11" s="98" t="s">
        <v>1072</v>
      </c>
      <c r="F11" s="99" t="s">
        <v>839</v>
      </c>
      <c r="G11" s="107" t="s">
        <v>840</v>
      </c>
    </row>
    <row r="12" spans="1:8">
      <c r="A12" s="95"/>
      <c r="B12" s="982" t="s">
        <v>838</v>
      </c>
      <c r="C12" s="983"/>
      <c r="D12" s="100" t="s">
        <v>308</v>
      </c>
      <c r="E12" s="100" t="s">
        <v>305</v>
      </c>
      <c r="F12" s="101" t="s">
        <v>306</v>
      </c>
      <c r="G12" s="108" t="s">
        <v>310</v>
      </c>
    </row>
    <row r="13" spans="1:8">
      <c r="A13" s="95"/>
      <c r="B13" s="230"/>
      <c r="C13" s="102"/>
      <c r="D13" s="103"/>
      <c r="E13" s="103" t="s">
        <v>309</v>
      </c>
      <c r="F13" s="104" t="s">
        <v>307</v>
      </c>
      <c r="G13" s="109"/>
    </row>
    <row r="14" spans="1:8">
      <c r="A14" s="127"/>
      <c r="B14" s="841" t="str">
        <f>'MAQUINARIA Y EQUIPOS'!$C$28</f>
        <v>HERRAMIENTAS MENORES</v>
      </c>
      <c r="C14" s="842"/>
      <c r="D14" s="87">
        <v>1</v>
      </c>
      <c r="E14" s="82">
        <f>ROUND(G46*0.05,0)</f>
        <v>3463</v>
      </c>
      <c r="F14" s="81">
        <v>1</v>
      </c>
      <c r="G14" s="110">
        <f>ROUND(D14*E14/F14,0)</f>
        <v>3463</v>
      </c>
    </row>
    <row r="15" spans="1:8">
      <c r="A15" s="127"/>
      <c r="B15" s="854" t="str">
        <f>'MAQUINARIA Y EQUIPOS'!$C$23</f>
        <v>EQUIPO DE SOLDADURA</v>
      </c>
      <c r="C15" s="855"/>
      <c r="D15" s="37">
        <v>1</v>
      </c>
      <c r="E15" s="129">
        <f>'MAQUINARIA Y EQUIPOS'!$D$23</f>
        <v>58000</v>
      </c>
      <c r="F15" s="83">
        <v>2.67</v>
      </c>
      <c r="G15" s="111">
        <f>ROUND(D15*E15/F15,0)</f>
        <v>21723</v>
      </c>
    </row>
    <row r="16" spans="1:8">
      <c r="A16" s="127"/>
      <c r="B16" s="854" t="str">
        <f>'MAQUINARIA Y EQUIPOS'!$C$43</f>
        <v>PULIDORA</v>
      </c>
      <c r="C16" s="855"/>
      <c r="D16" s="37">
        <v>1</v>
      </c>
      <c r="E16" s="129">
        <f>'MAQUINARIA Y EQUIPOS'!$D$43</f>
        <v>29000</v>
      </c>
      <c r="F16" s="83">
        <v>8</v>
      </c>
      <c r="G16" s="111">
        <f>ROUND(D16*E16/F16,0)</f>
        <v>3625</v>
      </c>
    </row>
    <row r="17" spans="1:8">
      <c r="A17" s="95"/>
      <c r="B17" s="854"/>
      <c r="C17" s="855"/>
      <c r="D17" s="89"/>
      <c r="E17" s="82"/>
      <c r="F17" s="83"/>
      <c r="G17" s="111"/>
    </row>
    <row r="18" spans="1:8" ht="13.5" thickBot="1">
      <c r="A18" s="95"/>
      <c r="B18" s="942" t="s">
        <v>841</v>
      </c>
      <c r="C18" s="943"/>
      <c r="D18" s="77"/>
      <c r="E18" s="106"/>
      <c r="F18" s="86"/>
      <c r="G18" s="112"/>
    </row>
    <row r="19" spans="1:8" ht="14.25" thickTop="1" thickBot="1">
      <c r="A19" s="95"/>
      <c r="B19" s="946"/>
      <c r="C19" s="946"/>
      <c r="D19" s="946"/>
      <c r="E19" s="947"/>
      <c r="F19" s="119" t="s">
        <v>856</v>
      </c>
      <c r="G19" s="118">
        <f>SUM(G14:G18)</f>
        <v>28811</v>
      </c>
    </row>
    <row r="20" spans="1:8" ht="14.25" thickTop="1" thickBot="1">
      <c r="A20" s="95"/>
      <c r="B20" s="970"/>
      <c r="C20" s="970"/>
      <c r="D20" s="970"/>
      <c r="E20" s="970"/>
      <c r="F20" s="970"/>
      <c r="G20" s="970"/>
    </row>
    <row r="21" spans="1:8" ht="13.5" thickTop="1">
      <c r="A21" s="95"/>
      <c r="B21" s="950" t="s">
        <v>311</v>
      </c>
      <c r="C21" s="951"/>
      <c r="D21" s="951"/>
      <c r="E21" s="951"/>
      <c r="F21" s="951"/>
      <c r="G21" s="952"/>
    </row>
    <row r="22" spans="1:8">
      <c r="A22" s="95"/>
      <c r="B22" s="978" t="s">
        <v>838</v>
      </c>
      <c r="C22" s="979"/>
      <c r="D22" s="98" t="s">
        <v>842</v>
      </c>
      <c r="E22" s="98" t="s">
        <v>853</v>
      </c>
      <c r="F22" s="99" t="s">
        <v>1047</v>
      </c>
      <c r="G22" s="107" t="s">
        <v>840</v>
      </c>
    </row>
    <row r="23" spans="1:8">
      <c r="A23" s="95"/>
      <c r="B23" s="230"/>
      <c r="C23" s="102"/>
      <c r="D23" s="100"/>
      <c r="E23" s="100" t="s">
        <v>312</v>
      </c>
      <c r="F23" s="101" t="s">
        <v>313</v>
      </c>
      <c r="G23" s="108" t="s">
        <v>314</v>
      </c>
    </row>
    <row r="24" spans="1:8">
      <c r="A24" s="123"/>
      <c r="B24" s="841" t="str">
        <f>MATERIALES2!$C$81</f>
        <v>VARILLA CUADRADA ½" x 6.0 M</v>
      </c>
      <c r="C24" s="842"/>
      <c r="D24" s="87" t="s">
        <v>865</v>
      </c>
      <c r="E24" s="81">
        <v>4.1500000000000004</v>
      </c>
      <c r="F24" s="80">
        <f>MATERIALES2!$E$81</f>
        <v>10886</v>
      </c>
      <c r="G24" s="110">
        <f>ROUND(E24*F24,0)</f>
        <v>45177</v>
      </c>
    </row>
    <row r="25" spans="1:8">
      <c r="A25" s="123"/>
      <c r="B25" s="854" t="str">
        <f>MATERIALES2!$C$250</f>
        <v>SOLDADURA 6013 1/8</v>
      </c>
      <c r="C25" s="855"/>
      <c r="D25" s="37" t="s">
        <v>925</v>
      </c>
      <c r="E25" s="83">
        <v>1</v>
      </c>
      <c r="F25" s="82">
        <f>MATERIALES2!$E$250</f>
        <v>8300</v>
      </c>
      <c r="G25" s="111">
        <f>ROUND(E25*F25,0)</f>
        <v>8300</v>
      </c>
    </row>
    <row r="26" spans="1:8">
      <c r="A26" s="123"/>
      <c r="B26" s="854" t="str">
        <f>MATERIALES2!$C$269</f>
        <v>ANTICORROSIVO OXIDO DE HIERRO ROJO 310</v>
      </c>
      <c r="C26" s="855"/>
      <c r="D26" s="37" t="s">
        <v>556</v>
      </c>
      <c r="E26" s="308">
        <v>0.1875</v>
      </c>
      <c r="F26" s="82">
        <f>MATERIALES2!$E$269</f>
        <v>31800</v>
      </c>
      <c r="G26" s="111">
        <f>ROUND(E26*F26,0)</f>
        <v>5963</v>
      </c>
    </row>
    <row r="27" spans="1:8">
      <c r="A27" s="123"/>
      <c r="B27" s="854" t="str">
        <f>MATERIALES2!$C$284</f>
        <v>ESMALTE SINTETICO PINTULUX</v>
      </c>
      <c r="C27" s="855"/>
      <c r="D27" s="37" t="s">
        <v>556</v>
      </c>
      <c r="E27" s="308">
        <v>0.125</v>
      </c>
      <c r="F27" s="82">
        <f>MATERIALES2!$E$284</f>
        <v>54800</v>
      </c>
      <c r="G27" s="111">
        <f>ROUND(E27*F27,0)</f>
        <v>6850</v>
      </c>
    </row>
    <row r="28" spans="1:8">
      <c r="A28" s="95"/>
      <c r="B28" s="854"/>
      <c r="C28" s="855"/>
      <c r="D28" s="37"/>
      <c r="E28" s="83"/>
      <c r="F28" s="82"/>
      <c r="G28" s="111"/>
    </row>
    <row r="29" spans="1:8">
      <c r="A29" s="95"/>
      <c r="B29" s="854"/>
      <c r="C29" s="855"/>
      <c r="D29" s="37"/>
      <c r="E29" s="83"/>
      <c r="F29" s="82"/>
      <c r="G29" s="111"/>
    </row>
    <row r="30" spans="1:8">
      <c r="A30" s="95"/>
      <c r="B30" s="854"/>
      <c r="C30" s="855"/>
      <c r="D30" s="37"/>
      <c r="E30" s="83"/>
      <c r="F30" s="82"/>
      <c r="G30" s="111"/>
    </row>
    <row r="31" spans="1:8">
      <c r="A31" s="95"/>
      <c r="B31" s="938" t="s">
        <v>841</v>
      </c>
      <c r="C31" s="939"/>
      <c r="D31" s="53" t="s">
        <v>841</v>
      </c>
      <c r="E31" s="53"/>
      <c r="F31" s="82"/>
      <c r="G31" s="111"/>
      <c r="H31" s="505" t="s">
        <v>1670</v>
      </c>
    </row>
    <row r="32" spans="1:8" ht="13.5" thickBot="1">
      <c r="A32" s="95"/>
      <c r="B32" s="942" t="s">
        <v>841</v>
      </c>
      <c r="C32" s="943"/>
      <c r="D32" s="84" t="s">
        <v>841</v>
      </c>
      <c r="E32" s="84"/>
      <c r="F32" s="85"/>
      <c r="G32" s="112"/>
    </row>
    <row r="33" spans="1:7" ht="13.5" thickTop="1">
      <c r="A33" s="95"/>
      <c r="B33" s="946"/>
      <c r="C33" s="947"/>
      <c r="D33" s="801" t="s">
        <v>856</v>
      </c>
      <c r="E33" s="802"/>
      <c r="F33" s="9"/>
      <c r="G33" s="113">
        <f>SUM(G24:G32)</f>
        <v>66290</v>
      </c>
    </row>
    <row r="34" spans="1:7">
      <c r="A34" s="95"/>
      <c r="B34" s="948"/>
      <c r="C34" s="949"/>
      <c r="D34" s="801" t="s">
        <v>857</v>
      </c>
      <c r="E34" s="802"/>
      <c r="F34" s="79">
        <f>'MANO DE OBRA'!$D$60</f>
        <v>0.05</v>
      </c>
      <c r="G34" s="113">
        <f>ROUND(G33*F34,0)</f>
        <v>3315</v>
      </c>
    </row>
    <row r="35" spans="1:7" ht="13.5" thickBot="1">
      <c r="A35" s="95"/>
      <c r="B35" s="948"/>
      <c r="C35" s="949"/>
      <c r="D35" s="803" t="s">
        <v>320</v>
      </c>
      <c r="E35" s="804"/>
      <c r="F35" s="114"/>
      <c r="G35" s="118">
        <f>+G33+G34</f>
        <v>69605</v>
      </c>
    </row>
    <row r="36" spans="1:7" ht="14.25" thickTop="1" thickBot="1">
      <c r="A36" s="95"/>
      <c r="B36" s="970"/>
      <c r="C36" s="970"/>
      <c r="D36" s="970"/>
      <c r="E36" s="970"/>
      <c r="F36" s="970"/>
      <c r="G36" s="970"/>
    </row>
    <row r="37" spans="1:7" ht="13.5" thickTop="1">
      <c r="A37" s="95"/>
      <c r="B37" s="950" t="s">
        <v>858</v>
      </c>
      <c r="C37" s="951"/>
      <c r="D37" s="951"/>
      <c r="E37" s="951"/>
      <c r="F37" s="951"/>
      <c r="G37" s="952"/>
    </row>
    <row r="38" spans="1:7">
      <c r="A38" s="95"/>
      <c r="B38" s="978"/>
      <c r="C38" s="979"/>
      <c r="D38" s="98" t="s">
        <v>301</v>
      </c>
      <c r="E38" s="98" t="s">
        <v>859</v>
      </c>
      <c r="F38" s="99" t="s">
        <v>839</v>
      </c>
      <c r="G38" s="107" t="s">
        <v>840</v>
      </c>
    </row>
    <row r="39" spans="1:7">
      <c r="A39" s="95"/>
      <c r="B39" s="982" t="s">
        <v>838</v>
      </c>
      <c r="C39" s="983"/>
      <c r="D39" s="100" t="s">
        <v>316</v>
      </c>
      <c r="E39" s="100" t="s">
        <v>315</v>
      </c>
      <c r="F39" s="101" t="s">
        <v>306</v>
      </c>
      <c r="G39" s="108" t="s">
        <v>319</v>
      </c>
    </row>
    <row r="40" spans="1:7">
      <c r="A40" s="95"/>
      <c r="B40" s="230"/>
      <c r="C40" s="102"/>
      <c r="D40" s="103"/>
      <c r="E40" s="103" t="s">
        <v>317</v>
      </c>
      <c r="F40" s="104" t="s">
        <v>318</v>
      </c>
      <c r="G40" s="109"/>
    </row>
    <row r="41" spans="1:7">
      <c r="A41" s="95"/>
      <c r="B41" s="841" t="str">
        <f>'MANO DE OBRA'!$B$13</f>
        <v>AYUDANTE CUAD. TIPO DD</v>
      </c>
      <c r="C41" s="842"/>
      <c r="D41" s="87">
        <v>1</v>
      </c>
      <c r="E41" s="80">
        <f>'MANO DE OBRA'!$E$13</f>
        <v>49276</v>
      </c>
      <c r="F41" s="81">
        <v>3</v>
      </c>
      <c r="G41" s="110">
        <f>ROUND(D41*E41/F41,0)</f>
        <v>16425</v>
      </c>
    </row>
    <row r="42" spans="1:7">
      <c r="A42" s="95"/>
      <c r="B42" s="854" t="str">
        <f>'MANO DE OBRA'!$B$18</f>
        <v>OFICIAL CUAD. TIPO DD</v>
      </c>
      <c r="C42" s="855"/>
      <c r="D42" s="37">
        <v>1</v>
      </c>
      <c r="E42" s="82">
        <f>'MANO DE OBRA'!$E$18</f>
        <v>85666</v>
      </c>
      <c r="F42" s="83">
        <v>3</v>
      </c>
      <c r="G42" s="111">
        <f>ROUND(D42*E42/F42,0)</f>
        <v>28555</v>
      </c>
    </row>
    <row r="43" spans="1:7">
      <c r="A43" s="95"/>
      <c r="B43" s="854" t="str">
        <f>'MANO DE OBRA'!$B$17</f>
        <v>OFICIAL CUAD. TIPO CC</v>
      </c>
      <c r="C43" s="855"/>
      <c r="D43" s="37">
        <v>1</v>
      </c>
      <c r="E43" s="82">
        <f>'MANO DE OBRA'!$E$17</f>
        <v>82117</v>
      </c>
      <c r="F43" s="83">
        <v>9</v>
      </c>
      <c r="G43" s="111">
        <f>ROUND(D43*E43/F43,0)</f>
        <v>9124</v>
      </c>
    </row>
    <row r="44" spans="1:7">
      <c r="A44" s="95"/>
      <c r="B44" s="854" t="str">
        <f>'MANO DE OBRA'!$B$10</f>
        <v>AYUDANTE CUAD. TIPO AA</v>
      </c>
      <c r="C44" s="855"/>
      <c r="D44" s="37">
        <v>1</v>
      </c>
      <c r="E44" s="82">
        <f>'MANO DE OBRA'!$E$10</f>
        <v>34680</v>
      </c>
      <c r="F44" s="83">
        <v>7</v>
      </c>
      <c r="G44" s="111">
        <f>ROUND(D44*E44/F44,0)</f>
        <v>4954</v>
      </c>
    </row>
    <row r="45" spans="1:7" ht="13.5" thickBot="1">
      <c r="A45" s="95"/>
      <c r="B45" s="980" t="str">
        <f>'MANO DE OBRA'!$B$15</f>
        <v xml:space="preserve">OFICIAL CUAD. TIPO AA </v>
      </c>
      <c r="C45" s="981"/>
      <c r="D45" s="77">
        <v>1</v>
      </c>
      <c r="E45" s="82">
        <f>'MANO DE OBRA'!$E$15</f>
        <v>71474</v>
      </c>
      <c r="F45" s="86">
        <v>7</v>
      </c>
      <c r="G45" s="111">
        <f>ROUND(D45*E45/F45,0)</f>
        <v>10211</v>
      </c>
    </row>
    <row r="46" spans="1:7" ht="14.25" thickTop="1" thickBot="1">
      <c r="A46" s="95"/>
      <c r="B46" s="946"/>
      <c r="C46" s="946"/>
      <c r="D46" s="946"/>
      <c r="E46" s="947"/>
      <c r="F46" s="120" t="s">
        <v>856</v>
      </c>
      <c r="G46" s="118">
        <f>SUM(G41:G45)</f>
        <v>69269</v>
      </c>
    </row>
    <row r="47" spans="1:7" ht="14.25" thickTop="1" thickBot="1">
      <c r="A47" s="95"/>
      <c r="B47" s="970"/>
      <c r="C47" s="970"/>
      <c r="D47" s="970"/>
      <c r="E47" s="970"/>
      <c r="F47" s="970"/>
      <c r="G47" s="970"/>
    </row>
    <row r="48" spans="1:7" ht="13.5" thickTop="1">
      <c r="A48" s="95"/>
      <c r="B48" s="950" t="s">
        <v>321</v>
      </c>
      <c r="C48" s="951"/>
      <c r="D48" s="951"/>
      <c r="E48" s="951"/>
      <c r="F48" s="951"/>
      <c r="G48" s="952"/>
    </row>
    <row r="49" spans="1:8">
      <c r="A49" s="95"/>
      <c r="B49" s="978" t="s">
        <v>838</v>
      </c>
      <c r="C49" s="979"/>
      <c r="D49" s="98" t="s">
        <v>301</v>
      </c>
      <c r="E49" s="98" t="s">
        <v>297</v>
      </c>
      <c r="F49" s="99" t="s">
        <v>839</v>
      </c>
      <c r="G49" s="107" t="s">
        <v>840</v>
      </c>
    </row>
    <row r="50" spans="1:8">
      <c r="A50" s="95"/>
      <c r="B50" s="230"/>
      <c r="C50" s="102"/>
      <c r="D50" s="103" t="s">
        <v>322</v>
      </c>
      <c r="E50" s="103" t="s">
        <v>323</v>
      </c>
      <c r="F50" s="104" t="s">
        <v>324</v>
      </c>
      <c r="G50" s="109" t="s">
        <v>325</v>
      </c>
    </row>
    <row r="51" spans="1:8">
      <c r="A51" s="95"/>
      <c r="B51" s="841"/>
      <c r="C51" s="842"/>
      <c r="D51" s="96"/>
      <c r="E51" s="96"/>
      <c r="F51" s="96"/>
      <c r="G51" s="116"/>
    </row>
    <row r="52" spans="1:8" ht="13.5" thickBot="1">
      <c r="A52" s="95"/>
      <c r="B52" s="980" t="s">
        <v>841</v>
      </c>
      <c r="C52" s="981"/>
      <c r="D52" s="77"/>
      <c r="E52" s="82"/>
      <c r="F52" s="86"/>
      <c r="G52" s="112"/>
    </row>
    <row r="53" spans="1:8" ht="14.25" thickTop="1" thickBot="1">
      <c r="A53" s="95"/>
      <c r="B53" s="946"/>
      <c r="C53" s="946"/>
      <c r="D53" s="946"/>
      <c r="E53" s="947"/>
      <c r="F53" s="120" t="s">
        <v>856</v>
      </c>
      <c r="G53" s="118">
        <f>SUM(G48:G52)</f>
        <v>0</v>
      </c>
    </row>
    <row r="54" spans="1:8" ht="14.25" thickTop="1" thickBot="1">
      <c r="A54" s="95"/>
      <c r="B54" s="970"/>
      <c r="C54" s="970"/>
      <c r="D54" s="970"/>
      <c r="E54" s="970"/>
      <c r="F54" s="970"/>
      <c r="G54" s="943"/>
    </row>
    <row r="55" spans="1:8" ht="13.5" thickTop="1">
      <c r="A55" s="95"/>
      <c r="B55" s="950" t="s">
        <v>326</v>
      </c>
      <c r="C55" s="951"/>
      <c r="D55" s="951"/>
      <c r="E55" s="951"/>
      <c r="F55" s="971"/>
      <c r="G55" s="121">
        <f>+G19+G35+G46</f>
        <v>167685</v>
      </c>
    </row>
    <row r="56" spans="1:8">
      <c r="A56" s="95"/>
      <c r="B56" s="972" t="s">
        <v>861</v>
      </c>
      <c r="C56" s="973"/>
      <c r="D56" s="973"/>
      <c r="E56" s="974"/>
      <c r="F56" s="128">
        <f>'MANO DE OBRA'!$D$59</f>
        <v>0</v>
      </c>
      <c r="G56" s="122">
        <f>ROUND(G55*F56,0)</f>
        <v>0</v>
      </c>
    </row>
    <row r="57" spans="1:8" ht="13.5" thickBot="1">
      <c r="A57" s="95"/>
      <c r="B57" s="975" t="s">
        <v>1049</v>
      </c>
      <c r="C57" s="976"/>
      <c r="D57" s="976"/>
      <c r="E57" s="976"/>
      <c r="F57" s="977"/>
      <c r="G57" s="118">
        <f>ROUND(G55+G56,-2)</f>
        <v>167700</v>
      </c>
      <c r="H57" s="505" t="s">
        <v>1670</v>
      </c>
    </row>
    <row r="58" spans="1:8" ht="13.5" thickTop="1">
      <c r="A58" s="95"/>
      <c r="B58" s="225" t="s">
        <v>303</v>
      </c>
      <c r="C58" s="843"/>
      <c r="D58" s="843"/>
      <c r="E58" s="843"/>
      <c r="F58" s="92" t="s">
        <v>781</v>
      </c>
      <c r="G58" s="93" t="s">
        <v>831</v>
      </c>
    </row>
    <row r="59" spans="1:8">
      <c r="A59" s="95"/>
      <c r="B59" s="226" t="s">
        <v>834</v>
      </c>
      <c r="C59" s="844" t="s">
        <v>1506</v>
      </c>
      <c r="D59" s="844"/>
      <c r="E59" s="844"/>
      <c r="F59" s="15" t="s">
        <v>833</v>
      </c>
      <c r="G59" s="165" t="str">
        <f>'MANO DE OBRA'!D61</f>
        <v>Agosto de 2010</v>
      </c>
    </row>
    <row r="60" spans="1:8" ht="27.75" customHeight="1" thickBot="1">
      <c r="A60" s="236"/>
      <c r="B60" s="240" t="s">
        <v>835</v>
      </c>
      <c r="C60" s="995" t="s">
        <v>1509</v>
      </c>
      <c r="D60" s="995"/>
      <c r="E60" s="995"/>
      <c r="F60" s="995"/>
      <c r="G60" s="996"/>
    </row>
    <row r="61" spans="1:8" ht="14.25" thickTop="1" thickBot="1">
      <c r="A61" s="95"/>
      <c r="B61" s="986"/>
      <c r="C61" s="986"/>
      <c r="D61" s="986"/>
      <c r="E61" s="986"/>
      <c r="F61" s="986"/>
      <c r="G61" s="986"/>
    </row>
    <row r="62" spans="1:8" ht="13.5" thickTop="1">
      <c r="A62" s="95"/>
      <c r="B62" s="950" t="s">
        <v>304</v>
      </c>
      <c r="C62" s="951"/>
      <c r="D62" s="951"/>
      <c r="E62" s="951"/>
      <c r="F62" s="951"/>
      <c r="G62" s="952"/>
    </row>
    <row r="63" spans="1:8">
      <c r="A63" s="95"/>
      <c r="B63" s="229"/>
      <c r="C63" s="97"/>
      <c r="D63" s="98" t="s">
        <v>301</v>
      </c>
      <c r="E63" s="98" t="s">
        <v>1072</v>
      </c>
      <c r="F63" s="99" t="s">
        <v>839</v>
      </c>
      <c r="G63" s="107" t="s">
        <v>840</v>
      </c>
    </row>
    <row r="64" spans="1:8">
      <c r="A64" s="95"/>
      <c r="B64" s="982" t="s">
        <v>838</v>
      </c>
      <c r="C64" s="983"/>
      <c r="D64" s="100" t="s">
        <v>308</v>
      </c>
      <c r="E64" s="100" t="s">
        <v>305</v>
      </c>
      <c r="F64" s="101" t="s">
        <v>306</v>
      </c>
      <c r="G64" s="108" t="s">
        <v>310</v>
      </c>
    </row>
    <row r="65" spans="1:7">
      <c r="A65" s="95"/>
      <c r="B65" s="230"/>
      <c r="C65" s="102"/>
      <c r="D65" s="103"/>
      <c r="E65" s="103" t="s">
        <v>309</v>
      </c>
      <c r="F65" s="104" t="s">
        <v>307</v>
      </c>
      <c r="G65" s="109"/>
    </row>
    <row r="66" spans="1:7">
      <c r="A66" s="127"/>
      <c r="B66" s="841" t="str">
        <f>'MAQUINARIA Y EQUIPOS'!$C$28</f>
        <v>HERRAMIENTAS MENORES</v>
      </c>
      <c r="C66" s="842"/>
      <c r="D66" s="87">
        <v>1</v>
      </c>
      <c r="E66" s="82">
        <f>ROUND(G98*0.05,0)</f>
        <v>843</v>
      </c>
      <c r="F66" s="81">
        <v>1</v>
      </c>
      <c r="G66" s="110">
        <f>ROUND(D66*E66/F66,0)</f>
        <v>843</v>
      </c>
    </row>
    <row r="67" spans="1:7">
      <c r="A67" s="127"/>
      <c r="B67" s="854" t="str">
        <f>'MAQUINARIA Y EQUIPOS'!$C$23</f>
        <v>EQUIPO DE SOLDADURA</v>
      </c>
      <c r="C67" s="855"/>
      <c r="D67" s="37">
        <v>1</v>
      </c>
      <c r="E67" s="129">
        <f>'MAQUINARIA Y EQUIPOS'!$D$23</f>
        <v>58000</v>
      </c>
      <c r="F67" s="83">
        <v>8</v>
      </c>
      <c r="G67" s="111">
        <f>ROUND(D67*E67/F67,0)</f>
        <v>7250</v>
      </c>
    </row>
    <row r="68" spans="1:7">
      <c r="A68" s="127"/>
      <c r="B68" s="854" t="str">
        <f>'MAQUINARIA Y EQUIPOS'!$C$43</f>
        <v>PULIDORA</v>
      </c>
      <c r="C68" s="855"/>
      <c r="D68" s="37">
        <v>1</v>
      </c>
      <c r="E68" s="129">
        <f>'MAQUINARIA Y EQUIPOS'!$D$43</f>
        <v>29000</v>
      </c>
      <c r="F68" s="83">
        <v>12</v>
      </c>
      <c r="G68" s="111">
        <f>ROUND(D68*E68/F68,0)</f>
        <v>2417</v>
      </c>
    </row>
    <row r="69" spans="1:7">
      <c r="A69" s="95"/>
      <c r="B69" s="854"/>
      <c r="C69" s="855"/>
      <c r="D69" s="89"/>
      <c r="E69" s="82"/>
      <c r="F69" s="83"/>
      <c r="G69" s="111"/>
    </row>
    <row r="70" spans="1:7" ht="13.5" thickBot="1">
      <c r="A70" s="95"/>
      <c r="B70" s="942" t="s">
        <v>841</v>
      </c>
      <c r="C70" s="943"/>
      <c r="D70" s="77"/>
      <c r="E70" s="106"/>
      <c r="F70" s="86"/>
      <c r="G70" s="112"/>
    </row>
    <row r="71" spans="1:7" ht="14.25" thickTop="1" thickBot="1">
      <c r="A71" s="95"/>
      <c r="B71" s="946"/>
      <c r="C71" s="946"/>
      <c r="D71" s="946"/>
      <c r="E71" s="947"/>
      <c r="F71" s="119" t="s">
        <v>856</v>
      </c>
      <c r="G71" s="118">
        <f>SUM(G66:G70)</f>
        <v>10510</v>
      </c>
    </row>
    <row r="72" spans="1:7" ht="14.25" thickTop="1" thickBot="1">
      <c r="A72" s="95"/>
      <c r="B72" s="970"/>
      <c r="C72" s="970"/>
      <c r="D72" s="970"/>
      <c r="E72" s="970"/>
      <c r="F72" s="970"/>
      <c r="G72" s="970"/>
    </row>
    <row r="73" spans="1:7" ht="13.5" thickTop="1">
      <c r="A73" s="95"/>
      <c r="B73" s="950" t="s">
        <v>311</v>
      </c>
      <c r="C73" s="951"/>
      <c r="D73" s="951"/>
      <c r="E73" s="951"/>
      <c r="F73" s="951"/>
      <c r="G73" s="952"/>
    </row>
    <row r="74" spans="1:7">
      <c r="A74" s="95"/>
      <c r="B74" s="978" t="s">
        <v>838</v>
      </c>
      <c r="C74" s="979"/>
      <c r="D74" s="98" t="s">
        <v>842</v>
      </c>
      <c r="E74" s="98" t="s">
        <v>853</v>
      </c>
      <c r="F74" s="99" t="s">
        <v>1047</v>
      </c>
      <c r="G74" s="107" t="s">
        <v>840</v>
      </c>
    </row>
    <row r="75" spans="1:7">
      <c r="A75" s="95"/>
      <c r="B75" s="230"/>
      <c r="C75" s="102"/>
      <c r="D75" s="100"/>
      <c r="E75" s="100" t="s">
        <v>312</v>
      </c>
      <c r="F75" s="101" t="s">
        <v>313</v>
      </c>
      <c r="G75" s="108" t="s">
        <v>314</v>
      </c>
    </row>
    <row r="76" spans="1:7">
      <c r="A76" s="123"/>
      <c r="B76" s="841" t="str">
        <f>MATERIALES2!$C$70</f>
        <v>VARILLA CORRUGADA ½" x 6.0 M</v>
      </c>
      <c r="C76" s="842"/>
      <c r="D76" s="87" t="s">
        <v>865</v>
      </c>
      <c r="E76" s="81">
        <v>0.64</v>
      </c>
      <c r="F76" s="80">
        <f>MATERIALES2!$E$70</f>
        <v>9300</v>
      </c>
      <c r="G76" s="110">
        <f>ROUND(E76*F76,0)</f>
        <v>5952</v>
      </c>
    </row>
    <row r="77" spans="1:7">
      <c r="A77" s="123"/>
      <c r="B77" s="854" t="str">
        <f>MATERIALES2!$C$250</f>
        <v>SOLDADURA 6013 1/8</v>
      </c>
      <c r="C77" s="855"/>
      <c r="D77" s="37" t="s">
        <v>925</v>
      </c>
      <c r="E77" s="83">
        <v>0.5</v>
      </c>
      <c r="F77" s="82">
        <f>MATERIALES2!$E$250</f>
        <v>8300</v>
      </c>
      <c r="G77" s="111">
        <f>ROUND(E77*F77,0)</f>
        <v>4150</v>
      </c>
    </row>
    <row r="78" spans="1:7">
      <c r="A78" s="123"/>
      <c r="B78" s="854" t="str">
        <f>MATERIALES2!$C$269</f>
        <v>ANTICORROSIVO OXIDO DE HIERRO ROJO 310</v>
      </c>
      <c r="C78" s="855"/>
      <c r="D78" s="37" t="s">
        <v>556</v>
      </c>
      <c r="E78" s="308">
        <v>0.125</v>
      </c>
      <c r="F78" s="82">
        <f>MATERIALES2!$E$269</f>
        <v>31800</v>
      </c>
      <c r="G78" s="111">
        <f>ROUND(E78*F78,0)</f>
        <v>3975</v>
      </c>
    </row>
    <row r="79" spans="1:7">
      <c r="A79" s="123"/>
      <c r="B79" s="854" t="str">
        <f>MATERIALES2!$C$244</f>
        <v>ANGULO DE 1"x3/16"x6.0 M</v>
      </c>
      <c r="C79" s="855"/>
      <c r="D79" s="37" t="s">
        <v>865</v>
      </c>
      <c r="E79" s="308">
        <v>0.4</v>
      </c>
      <c r="F79" s="82">
        <f>MATERIALES2!$E$244</f>
        <v>8900</v>
      </c>
      <c r="G79" s="111">
        <f>ROUND(E79*F79,0)</f>
        <v>3560</v>
      </c>
    </row>
    <row r="80" spans="1:7">
      <c r="A80" s="95"/>
      <c r="B80" s="854"/>
      <c r="C80" s="855"/>
      <c r="D80" s="37"/>
      <c r="E80" s="83"/>
      <c r="F80" s="82"/>
      <c r="G80" s="111"/>
    </row>
    <row r="81" spans="1:8">
      <c r="A81" s="95"/>
      <c r="B81" s="854"/>
      <c r="C81" s="855"/>
      <c r="D81" s="37"/>
      <c r="E81" s="83"/>
      <c r="F81" s="82"/>
      <c r="G81" s="111"/>
    </row>
    <row r="82" spans="1:8">
      <c r="A82" s="95"/>
      <c r="B82" s="854"/>
      <c r="C82" s="855"/>
      <c r="D82" s="37"/>
      <c r="E82" s="83"/>
      <c r="F82" s="82"/>
      <c r="G82" s="111"/>
      <c r="H82" s="505" t="s">
        <v>1670</v>
      </c>
    </row>
    <row r="83" spans="1:8">
      <c r="A83" s="95"/>
      <c r="B83" s="938" t="s">
        <v>841</v>
      </c>
      <c r="C83" s="939"/>
      <c r="D83" s="53" t="s">
        <v>841</v>
      </c>
      <c r="E83" s="53"/>
      <c r="F83" s="82"/>
      <c r="G83" s="111"/>
    </row>
    <row r="84" spans="1:8" ht="13.5" thickBot="1">
      <c r="A84" s="95"/>
      <c r="B84" s="942" t="s">
        <v>841</v>
      </c>
      <c r="C84" s="943"/>
      <c r="D84" s="84" t="s">
        <v>841</v>
      </c>
      <c r="E84" s="84"/>
      <c r="F84" s="85"/>
      <c r="G84" s="112"/>
    </row>
    <row r="85" spans="1:8" ht="13.5" thickTop="1">
      <c r="A85" s="95"/>
      <c r="B85" s="946"/>
      <c r="C85" s="947"/>
      <c r="D85" s="801" t="s">
        <v>856</v>
      </c>
      <c r="E85" s="802"/>
      <c r="F85" s="9"/>
      <c r="G85" s="113">
        <f>SUM(G76:G84)</f>
        <v>17637</v>
      </c>
    </row>
    <row r="86" spans="1:8">
      <c r="A86" s="95"/>
      <c r="B86" s="948"/>
      <c r="C86" s="949"/>
      <c r="D86" s="801" t="s">
        <v>857</v>
      </c>
      <c r="E86" s="802"/>
      <c r="F86" s="79">
        <f>'MANO DE OBRA'!$D$60</f>
        <v>0.05</v>
      </c>
      <c r="G86" s="113">
        <f>ROUND(G85*F86,0)</f>
        <v>882</v>
      </c>
    </row>
    <row r="87" spans="1:8" ht="13.5" thickBot="1">
      <c r="A87" s="95"/>
      <c r="B87" s="948"/>
      <c r="C87" s="949"/>
      <c r="D87" s="803" t="s">
        <v>320</v>
      </c>
      <c r="E87" s="804"/>
      <c r="F87" s="114"/>
      <c r="G87" s="118">
        <f>+G85+G86</f>
        <v>18519</v>
      </c>
    </row>
    <row r="88" spans="1:8" ht="14.25" thickTop="1" thickBot="1">
      <c r="A88" s="95"/>
      <c r="B88" s="970"/>
      <c r="C88" s="970"/>
      <c r="D88" s="970"/>
      <c r="E88" s="970"/>
      <c r="F88" s="970"/>
      <c r="G88" s="970"/>
    </row>
    <row r="89" spans="1:8" ht="13.5" thickTop="1">
      <c r="A89" s="95"/>
      <c r="B89" s="950" t="s">
        <v>858</v>
      </c>
      <c r="C89" s="951"/>
      <c r="D89" s="951"/>
      <c r="E89" s="951"/>
      <c r="F89" s="951"/>
      <c r="G89" s="952"/>
    </row>
    <row r="90" spans="1:8">
      <c r="A90" s="95"/>
      <c r="B90" s="978"/>
      <c r="C90" s="979"/>
      <c r="D90" s="98" t="s">
        <v>301</v>
      </c>
      <c r="E90" s="98" t="s">
        <v>859</v>
      </c>
      <c r="F90" s="99" t="s">
        <v>839</v>
      </c>
      <c r="G90" s="107" t="s">
        <v>840</v>
      </c>
    </row>
    <row r="91" spans="1:8">
      <c r="A91" s="95"/>
      <c r="B91" s="982" t="s">
        <v>838</v>
      </c>
      <c r="C91" s="983"/>
      <c r="D91" s="100" t="s">
        <v>316</v>
      </c>
      <c r="E91" s="100" t="s">
        <v>315</v>
      </c>
      <c r="F91" s="101" t="s">
        <v>306</v>
      </c>
      <c r="G91" s="108" t="s">
        <v>319</v>
      </c>
    </row>
    <row r="92" spans="1:8">
      <c r="A92" s="95"/>
      <c r="B92" s="230"/>
      <c r="C92" s="102"/>
      <c r="D92" s="103"/>
      <c r="E92" s="103" t="s">
        <v>317</v>
      </c>
      <c r="F92" s="104" t="s">
        <v>318</v>
      </c>
      <c r="G92" s="109"/>
    </row>
    <row r="93" spans="1:8">
      <c r="A93" s="95"/>
      <c r="B93" s="841" t="str">
        <f>'MANO DE OBRA'!$B$13</f>
        <v>AYUDANTE CUAD. TIPO DD</v>
      </c>
      <c r="C93" s="842"/>
      <c r="D93" s="87">
        <v>1</v>
      </c>
      <c r="E93" s="80">
        <f>'MANO DE OBRA'!$E$13</f>
        <v>49276</v>
      </c>
      <c r="F93" s="81">
        <v>8</v>
      </c>
      <c r="G93" s="110">
        <f>ROUND(D93*E93/F93,0)</f>
        <v>6160</v>
      </c>
    </row>
    <row r="94" spans="1:8">
      <c r="A94" s="95"/>
      <c r="B94" s="854" t="str">
        <f>'MANO DE OBRA'!$B$18</f>
        <v>OFICIAL CUAD. TIPO DD</v>
      </c>
      <c r="C94" s="855"/>
      <c r="D94" s="37">
        <v>1</v>
      </c>
      <c r="E94" s="82">
        <f>'MANO DE OBRA'!$E$18</f>
        <v>85666</v>
      </c>
      <c r="F94" s="83">
        <v>8</v>
      </c>
      <c r="G94" s="111">
        <f>ROUND(D94*E94/F94,0)</f>
        <v>10708</v>
      </c>
    </row>
    <row r="95" spans="1:8">
      <c r="A95" s="95"/>
      <c r="B95" s="854"/>
      <c r="C95" s="855"/>
      <c r="D95" s="37"/>
      <c r="E95" s="82"/>
      <c r="F95" s="83"/>
      <c r="G95" s="111"/>
    </row>
    <row r="96" spans="1:8">
      <c r="A96" s="95"/>
      <c r="B96" s="854"/>
      <c r="C96" s="855"/>
      <c r="D96" s="37"/>
      <c r="E96" s="82"/>
      <c r="F96" s="83"/>
      <c r="G96" s="111"/>
    </row>
    <row r="97" spans="1:8" ht="13.5" thickBot="1">
      <c r="A97" s="95"/>
      <c r="B97" s="980"/>
      <c r="C97" s="981"/>
      <c r="D97" s="77"/>
      <c r="E97" s="82"/>
      <c r="F97" s="86"/>
      <c r="G97" s="111"/>
    </row>
    <row r="98" spans="1:8" ht="14.25" thickTop="1" thickBot="1">
      <c r="A98" s="95"/>
      <c r="B98" s="946"/>
      <c r="C98" s="946"/>
      <c r="D98" s="946"/>
      <c r="E98" s="947"/>
      <c r="F98" s="120" t="s">
        <v>856</v>
      </c>
      <c r="G98" s="118">
        <f>SUM(G93:G97)</f>
        <v>16868</v>
      </c>
    </row>
    <row r="99" spans="1:8" ht="14.25" thickTop="1" thickBot="1">
      <c r="A99" s="95"/>
      <c r="B99" s="970"/>
      <c r="C99" s="970"/>
      <c r="D99" s="970"/>
      <c r="E99" s="970"/>
      <c r="F99" s="970"/>
      <c r="G99" s="970"/>
    </row>
    <row r="100" spans="1:8" ht="13.5" thickTop="1">
      <c r="A100" s="95"/>
      <c r="B100" s="950" t="s">
        <v>321</v>
      </c>
      <c r="C100" s="951"/>
      <c r="D100" s="951"/>
      <c r="E100" s="951"/>
      <c r="F100" s="951"/>
      <c r="G100" s="952"/>
    </row>
    <row r="101" spans="1:8">
      <c r="A101" s="95"/>
      <c r="B101" s="978" t="s">
        <v>838</v>
      </c>
      <c r="C101" s="979"/>
      <c r="D101" s="98" t="s">
        <v>301</v>
      </c>
      <c r="E101" s="98" t="s">
        <v>297</v>
      </c>
      <c r="F101" s="99" t="s">
        <v>839</v>
      </c>
      <c r="G101" s="107" t="s">
        <v>840</v>
      </c>
    </row>
    <row r="102" spans="1:8">
      <c r="A102" s="95"/>
      <c r="B102" s="230"/>
      <c r="C102" s="102"/>
      <c r="D102" s="103" t="s">
        <v>322</v>
      </c>
      <c r="E102" s="103" t="s">
        <v>323</v>
      </c>
      <c r="F102" s="104" t="s">
        <v>324</v>
      </c>
      <c r="G102" s="109" t="s">
        <v>325</v>
      </c>
    </row>
    <row r="103" spans="1:8">
      <c r="A103" s="95"/>
      <c r="B103" s="841"/>
      <c r="C103" s="842"/>
      <c r="D103" s="96"/>
      <c r="E103" s="96"/>
      <c r="F103" s="96"/>
      <c r="G103" s="116"/>
    </row>
    <row r="104" spans="1:8" ht="13.5" thickBot="1">
      <c r="A104" s="95"/>
      <c r="B104" s="980" t="s">
        <v>841</v>
      </c>
      <c r="C104" s="981"/>
      <c r="D104" s="77"/>
      <c r="E104" s="82"/>
      <c r="F104" s="86"/>
      <c r="G104" s="112"/>
    </row>
    <row r="105" spans="1:8" ht="14.25" thickTop="1" thickBot="1">
      <c r="A105" s="95"/>
      <c r="B105" s="946"/>
      <c r="C105" s="946"/>
      <c r="D105" s="946"/>
      <c r="E105" s="947"/>
      <c r="F105" s="120" t="s">
        <v>856</v>
      </c>
      <c r="G105" s="118">
        <f>SUM(G100:G104)</f>
        <v>0</v>
      </c>
    </row>
    <row r="106" spans="1:8" ht="14.25" thickTop="1" thickBot="1">
      <c r="A106" s="95"/>
      <c r="B106" s="970"/>
      <c r="C106" s="970"/>
      <c r="D106" s="970"/>
      <c r="E106" s="970"/>
      <c r="F106" s="970"/>
      <c r="G106" s="943"/>
    </row>
    <row r="107" spans="1:8" ht="13.5" thickTop="1">
      <c r="A107" s="95"/>
      <c r="B107" s="950" t="s">
        <v>326</v>
      </c>
      <c r="C107" s="951"/>
      <c r="D107" s="951"/>
      <c r="E107" s="951"/>
      <c r="F107" s="971"/>
      <c r="G107" s="121">
        <f>+G71+G87+G98</f>
        <v>45897</v>
      </c>
    </row>
    <row r="108" spans="1:8">
      <c r="A108" s="95"/>
      <c r="B108" s="972" t="s">
        <v>861</v>
      </c>
      <c r="C108" s="973"/>
      <c r="D108" s="973"/>
      <c r="E108" s="974"/>
      <c r="F108" s="128">
        <f>'MANO DE OBRA'!$D$59</f>
        <v>0</v>
      </c>
      <c r="G108" s="122">
        <f>ROUND(G107*F108,0)</f>
        <v>0</v>
      </c>
    </row>
    <row r="109" spans="1:8" ht="13.5" thickBot="1">
      <c r="A109" s="95"/>
      <c r="B109" s="975" t="s">
        <v>1049</v>
      </c>
      <c r="C109" s="976"/>
      <c r="D109" s="976"/>
      <c r="E109" s="976"/>
      <c r="F109" s="977"/>
      <c r="G109" s="118">
        <f>ROUND(G107+G108,-2)</f>
        <v>45900</v>
      </c>
      <c r="H109" s="505" t="s">
        <v>1670</v>
      </c>
    </row>
    <row r="110" spans="1:8" ht="13.5" thickTop="1">
      <c r="A110" s="95"/>
      <c r="B110" s="225" t="s">
        <v>303</v>
      </c>
      <c r="C110" s="843"/>
      <c r="D110" s="843"/>
      <c r="E110" s="843"/>
      <c r="F110" s="92" t="s">
        <v>781</v>
      </c>
      <c r="G110" s="93" t="s">
        <v>831</v>
      </c>
    </row>
    <row r="111" spans="1:8">
      <c r="A111" s="95"/>
      <c r="B111" s="226" t="s">
        <v>834</v>
      </c>
      <c r="C111" s="844" t="s">
        <v>1506</v>
      </c>
      <c r="D111" s="844"/>
      <c r="E111" s="844"/>
      <c r="F111" s="15" t="s">
        <v>833</v>
      </c>
      <c r="G111" s="165" t="str">
        <f>'MANO DE OBRA'!D61</f>
        <v>Agosto de 2010</v>
      </c>
    </row>
    <row r="112" spans="1:8" ht="27.75" customHeight="1" thickBot="1">
      <c r="A112" s="236"/>
      <c r="B112" s="240" t="s">
        <v>835</v>
      </c>
      <c r="C112" s="995" t="s">
        <v>1511</v>
      </c>
      <c r="D112" s="995"/>
      <c r="E112" s="995"/>
      <c r="F112" s="995"/>
      <c r="G112" s="996"/>
    </row>
    <row r="113" spans="1:7" ht="14.25" thickTop="1" thickBot="1">
      <c r="A113" s="95"/>
      <c r="B113" s="986"/>
      <c r="C113" s="986"/>
      <c r="D113" s="986"/>
      <c r="E113" s="986"/>
      <c r="F113" s="986"/>
      <c r="G113" s="986"/>
    </row>
    <row r="114" spans="1:7" ht="13.5" thickTop="1">
      <c r="A114" s="95"/>
      <c r="B114" s="950" t="s">
        <v>304</v>
      </c>
      <c r="C114" s="951"/>
      <c r="D114" s="951"/>
      <c r="E114" s="951"/>
      <c r="F114" s="951"/>
      <c r="G114" s="952"/>
    </row>
    <row r="115" spans="1:7">
      <c r="A115" s="95"/>
      <c r="B115" s="229"/>
      <c r="C115" s="97"/>
      <c r="D115" s="98" t="s">
        <v>301</v>
      </c>
      <c r="E115" s="98" t="s">
        <v>1072</v>
      </c>
      <c r="F115" s="99" t="s">
        <v>839</v>
      </c>
      <c r="G115" s="107" t="s">
        <v>840</v>
      </c>
    </row>
    <row r="116" spans="1:7">
      <c r="A116" s="95"/>
      <c r="B116" s="982" t="s">
        <v>838</v>
      </c>
      <c r="C116" s="983"/>
      <c r="D116" s="100" t="s">
        <v>308</v>
      </c>
      <c r="E116" s="100" t="s">
        <v>305</v>
      </c>
      <c r="F116" s="101" t="s">
        <v>306</v>
      </c>
      <c r="G116" s="108" t="s">
        <v>310</v>
      </c>
    </row>
    <row r="117" spans="1:7">
      <c r="A117" s="95"/>
      <c r="B117" s="230"/>
      <c r="C117" s="102"/>
      <c r="D117" s="103"/>
      <c r="E117" s="103" t="s">
        <v>309</v>
      </c>
      <c r="F117" s="104" t="s">
        <v>307</v>
      </c>
      <c r="G117" s="109"/>
    </row>
    <row r="118" spans="1:7">
      <c r="A118" s="127"/>
      <c r="B118" s="841" t="str">
        <f>'MAQUINARIA Y EQUIPOS'!$C$28</f>
        <v>HERRAMIENTAS MENORES</v>
      </c>
      <c r="C118" s="842"/>
      <c r="D118" s="87">
        <v>1</v>
      </c>
      <c r="E118" s="82">
        <f>ROUND(G150*0.05,0)</f>
        <v>843</v>
      </c>
      <c r="F118" s="81">
        <v>1</v>
      </c>
      <c r="G118" s="110">
        <f>ROUND(D118*E118/F118,0)</f>
        <v>843</v>
      </c>
    </row>
    <row r="119" spans="1:7">
      <c r="A119" s="127"/>
      <c r="B119" s="854" t="str">
        <f>'MAQUINARIA Y EQUIPOS'!$C$23</f>
        <v>EQUIPO DE SOLDADURA</v>
      </c>
      <c r="C119" s="855"/>
      <c r="D119" s="37">
        <v>1</v>
      </c>
      <c r="E119" s="129">
        <f>'MAQUINARIA Y EQUIPOS'!$D$23</f>
        <v>58000</v>
      </c>
      <c r="F119" s="83">
        <v>8</v>
      </c>
      <c r="G119" s="111">
        <f>ROUND(D119*E119/F119,0)</f>
        <v>7250</v>
      </c>
    </row>
    <row r="120" spans="1:7">
      <c r="A120" s="127"/>
      <c r="B120" s="854" t="str">
        <f>'MAQUINARIA Y EQUIPOS'!$C$43</f>
        <v>PULIDORA</v>
      </c>
      <c r="C120" s="855"/>
      <c r="D120" s="37">
        <v>1</v>
      </c>
      <c r="E120" s="129">
        <f>'MAQUINARIA Y EQUIPOS'!$D$43</f>
        <v>29000</v>
      </c>
      <c r="F120" s="83">
        <v>12</v>
      </c>
      <c r="G120" s="111">
        <f>ROUND(D120*E120/F120,0)</f>
        <v>2417</v>
      </c>
    </row>
    <row r="121" spans="1:7">
      <c r="A121" s="95"/>
      <c r="B121" s="854"/>
      <c r="C121" s="855"/>
      <c r="D121" s="89"/>
      <c r="E121" s="82"/>
      <c r="F121" s="83"/>
      <c r="G121" s="111"/>
    </row>
    <row r="122" spans="1:7" ht="13.5" thickBot="1">
      <c r="A122" s="95"/>
      <c r="B122" s="942" t="s">
        <v>841</v>
      </c>
      <c r="C122" s="943"/>
      <c r="D122" s="77"/>
      <c r="E122" s="106"/>
      <c r="F122" s="86"/>
      <c r="G122" s="112"/>
    </row>
    <row r="123" spans="1:7" ht="14.25" thickTop="1" thickBot="1">
      <c r="A123" s="95"/>
      <c r="B123" s="946"/>
      <c r="C123" s="946"/>
      <c r="D123" s="946"/>
      <c r="E123" s="947"/>
      <c r="F123" s="119" t="s">
        <v>856</v>
      </c>
      <c r="G123" s="118">
        <f>SUM(G118:G122)</f>
        <v>10510</v>
      </c>
    </row>
    <row r="124" spans="1:7" ht="14.25" thickTop="1" thickBot="1">
      <c r="A124" s="95"/>
      <c r="B124" s="970"/>
      <c r="C124" s="970"/>
      <c r="D124" s="970"/>
      <c r="E124" s="970"/>
      <c r="F124" s="970"/>
      <c r="G124" s="970"/>
    </row>
    <row r="125" spans="1:7" ht="13.5" thickTop="1">
      <c r="A125" s="95"/>
      <c r="B125" s="950" t="s">
        <v>311</v>
      </c>
      <c r="C125" s="951"/>
      <c r="D125" s="951"/>
      <c r="E125" s="951"/>
      <c r="F125" s="951"/>
      <c r="G125" s="952"/>
    </row>
    <row r="126" spans="1:7">
      <c r="A126" s="95"/>
      <c r="B126" s="978" t="s">
        <v>838</v>
      </c>
      <c r="C126" s="979"/>
      <c r="D126" s="98" t="s">
        <v>842</v>
      </c>
      <c r="E126" s="98" t="s">
        <v>853</v>
      </c>
      <c r="F126" s="99" t="s">
        <v>1047</v>
      </c>
      <c r="G126" s="107" t="s">
        <v>840</v>
      </c>
    </row>
    <row r="127" spans="1:7">
      <c r="A127" s="95"/>
      <c r="B127" s="230"/>
      <c r="C127" s="102"/>
      <c r="D127" s="100"/>
      <c r="E127" s="100" t="s">
        <v>312</v>
      </c>
      <c r="F127" s="101" t="s">
        <v>313</v>
      </c>
      <c r="G127" s="108" t="s">
        <v>314</v>
      </c>
    </row>
    <row r="128" spans="1:7">
      <c r="A128" s="123"/>
      <c r="B128" s="841" t="str">
        <f>MATERIALES2!$C$70</f>
        <v>VARILLA CORRUGADA ½" x 6.0 M</v>
      </c>
      <c r="C128" s="842"/>
      <c r="D128" s="87" t="s">
        <v>865</v>
      </c>
      <c r="E128" s="81">
        <v>0.95</v>
      </c>
      <c r="F128" s="80">
        <f>MATERIALES2!$E$70</f>
        <v>9300</v>
      </c>
      <c r="G128" s="110">
        <f>ROUND(E128*F128,0)</f>
        <v>8835</v>
      </c>
    </row>
    <row r="129" spans="1:8">
      <c r="A129" s="123"/>
      <c r="B129" s="854" t="str">
        <f>MATERIALES2!$C$250</f>
        <v>SOLDADURA 6013 1/8</v>
      </c>
      <c r="C129" s="855"/>
      <c r="D129" s="37" t="s">
        <v>925</v>
      </c>
      <c r="E129" s="83">
        <v>0.5</v>
      </c>
      <c r="F129" s="82">
        <f>MATERIALES2!$E$250</f>
        <v>8300</v>
      </c>
      <c r="G129" s="111">
        <f>ROUND(E129*F129,0)</f>
        <v>4150</v>
      </c>
    </row>
    <row r="130" spans="1:8">
      <c r="A130" s="123"/>
      <c r="B130" s="854" t="str">
        <f>MATERIALES2!$C$269</f>
        <v>ANTICORROSIVO OXIDO DE HIERRO ROJO 310</v>
      </c>
      <c r="C130" s="855"/>
      <c r="D130" s="37" t="s">
        <v>556</v>
      </c>
      <c r="E130" s="308">
        <v>0.125</v>
      </c>
      <c r="F130" s="82">
        <f>MATERIALES2!$E$269</f>
        <v>31800</v>
      </c>
      <c r="G130" s="111">
        <f>ROUND(E130*F130,0)</f>
        <v>3975</v>
      </c>
    </row>
    <row r="131" spans="1:8">
      <c r="A131" s="123"/>
      <c r="B131" s="854" t="str">
        <f>MATERIALES2!$C$244</f>
        <v>ANGULO DE 1"x3/16"x6.0 M</v>
      </c>
      <c r="C131" s="855"/>
      <c r="D131" s="37" t="s">
        <v>865</v>
      </c>
      <c r="E131" s="308">
        <v>0.43</v>
      </c>
      <c r="F131" s="82">
        <f>MATERIALES2!$E$244</f>
        <v>8900</v>
      </c>
      <c r="G131" s="111">
        <f>ROUND(E131*F131,0)</f>
        <v>3827</v>
      </c>
    </row>
    <row r="132" spans="1:8">
      <c r="A132" s="95"/>
      <c r="B132" s="854"/>
      <c r="C132" s="855"/>
      <c r="D132" s="37"/>
      <c r="E132" s="83"/>
      <c r="F132" s="82"/>
      <c r="G132" s="111"/>
    </row>
    <row r="133" spans="1:8">
      <c r="A133" s="95"/>
      <c r="B133" s="854"/>
      <c r="C133" s="855"/>
      <c r="D133" s="37"/>
      <c r="E133" s="83"/>
      <c r="F133" s="82"/>
      <c r="G133" s="111"/>
    </row>
    <row r="134" spans="1:8">
      <c r="A134" s="95"/>
      <c r="B134" s="854"/>
      <c r="C134" s="855"/>
      <c r="D134" s="37"/>
      <c r="E134" s="83"/>
      <c r="F134" s="82"/>
      <c r="G134" s="111"/>
      <c r="H134" s="505" t="s">
        <v>1670</v>
      </c>
    </row>
    <row r="135" spans="1:8">
      <c r="A135" s="95"/>
      <c r="B135" s="938" t="s">
        <v>841</v>
      </c>
      <c r="C135" s="939"/>
      <c r="D135" s="53" t="s">
        <v>841</v>
      </c>
      <c r="E135" s="53"/>
      <c r="F135" s="82"/>
      <c r="G135" s="111"/>
    </row>
    <row r="136" spans="1:8" ht="13.5" thickBot="1">
      <c r="A136" s="95"/>
      <c r="B136" s="942" t="s">
        <v>841</v>
      </c>
      <c r="C136" s="943"/>
      <c r="D136" s="84" t="s">
        <v>841</v>
      </c>
      <c r="E136" s="84"/>
      <c r="F136" s="85"/>
      <c r="G136" s="112"/>
    </row>
    <row r="137" spans="1:8" ht="13.5" thickTop="1">
      <c r="A137" s="95"/>
      <c r="B137" s="946"/>
      <c r="C137" s="947"/>
      <c r="D137" s="801" t="s">
        <v>856</v>
      </c>
      <c r="E137" s="802"/>
      <c r="F137" s="9"/>
      <c r="G137" s="113">
        <f>SUM(G128:G136)</f>
        <v>20787</v>
      </c>
    </row>
    <row r="138" spans="1:8">
      <c r="A138" s="95"/>
      <c r="B138" s="948"/>
      <c r="C138" s="949"/>
      <c r="D138" s="801" t="s">
        <v>857</v>
      </c>
      <c r="E138" s="802"/>
      <c r="F138" s="79">
        <f>'MANO DE OBRA'!$D$60</f>
        <v>0.05</v>
      </c>
      <c r="G138" s="113">
        <f>ROUND(G137*F138,0)</f>
        <v>1039</v>
      </c>
    </row>
    <row r="139" spans="1:8" ht="13.5" thickBot="1">
      <c r="A139" s="95"/>
      <c r="B139" s="948"/>
      <c r="C139" s="949"/>
      <c r="D139" s="803" t="s">
        <v>320</v>
      </c>
      <c r="E139" s="804"/>
      <c r="F139" s="114"/>
      <c r="G139" s="118">
        <f>+G137+G138</f>
        <v>21826</v>
      </c>
    </row>
    <row r="140" spans="1:8" ht="14.25" thickTop="1" thickBot="1">
      <c r="A140" s="95"/>
      <c r="B140" s="970"/>
      <c r="C140" s="970"/>
      <c r="D140" s="970"/>
      <c r="E140" s="970"/>
      <c r="F140" s="970"/>
      <c r="G140" s="970"/>
    </row>
    <row r="141" spans="1:8" ht="13.5" thickTop="1">
      <c r="A141" s="95"/>
      <c r="B141" s="950" t="s">
        <v>858</v>
      </c>
      <c r="C141" s="951"/>
      <c r="D141" s="951"/>
      <c r="E141" s="951"/>
      <c r="F141" s="951"/>
      <c r="G141" s="952"/>
    </row>
    <row r="142" spans="1:8">
      <c r="A142" s="95"/>
      <c r="B142" s="978"/>
      <c r="C142" s="979"/>
      <c r="D142" s="98" t="s">
        <v>301</v>
      </c>
      <c r="E142" s="98" t="s">
        <v>859</v>
      </c>
      <c r="F142" s="99" t="s">
        <v>839</v>
      </c>
      <c r="G142" s="107" t="s">
        <v>840</v>
      </c>
    </row>
    <row r="143" spans="1:8">
      <c r="A143" s="95"/>
      <c r="B143" s="982" t="s">
        <v>838</v>
      </c>
      <c r="C143" s="983"/>
      <c r="D143" s="100" t="s">
        <v>316</v>
      </c>
      <c r="E143" s="100" t="s">
        <v>315</v>
      </c>
      <c r="F143" s="101" t="s">
        <v>306</v>
      </c>
      <c r="G143" s="108" t="s">
        <v>319</v>
      </c>
    </row>
    <row r="144" spans="1:8">
      <c r="A144" s="95"/>
      <c r="B144" s="230"/>
      <c r="C144" s="102"/>
      <c r="D144" s="103"/>
      <c r="E144" s="103" t="s">
        <v>317</v>
      </c>
      <c r="F144" s="104" t="s">
        <v>318</v>
      </c>
      <c r="G144" s="109"/>
    </row>
    <row r="145" spans="1:7">
      <c r="A145" s="95"/>
      <c r="B145" s="841" t="str">
        <f>'MANO DE OBRA'!$B$13</f>
        <v>AYUDANTE CUAD. TIPO DD</v>
      </c>
      <c r="C145" s="842"/>
      <c r="D145" s="87">
        <v>1</v>
      </c>
      <c r="E145" s="80">
        <f>'MANO DE OBRA'!$E$13</f>
        <v>49276</v>
      </c>
      <c r="F145" s="81">
        <v>8</v>
      </c>
      <c r="G145" s="110">
        <f>ROUND(D145*E145/F145,0)</f>
        <v>6160</v>
      </c>
    </row>
    <row r="146" spans="1:7">
      <c r="A146" s="95"/>
      <c r="B146" s="854" t="str">
        <f>'MANO DE OBRA'!$B$18</f>
        <v>OFICIAL CUAD. TIPO DD</v>
      </c>
      <c r="C146" s="855"/>
      <c r="D146" s="37">
        <v>1</v>
      </c>
      <c r="E146" s="82">
        <f>'MANO DE OBRA'!$E$18</f>
        <v>85666</v>
      </c>
      <c r="F146" s="83">
        <v>8</v>
      </c>
      <c r="G146" s="111">
        <f>ROUND(D146*E146/F146,0)</f>
        <v>10708</v>
      </c>
    </row>
    <row r="147" spans="1:7">
      <c r="A147" s="95"/>
      <c r="B147" s="854"/>
      <c r="C147" s="855"/>
      <c r="D147" s="37"/>
      <c r="E147" s="82"/>
      <c r="F147" s="83"/>
      <c r="G147" s="111"/>
    </row>
    <row r="148" spans="1:7">
      <c r="A148" s="95"/>
      <c r="B148" s="854"/>
      <c r="C148" s="855"/>
      <c r="D148" s="37"/>
      <c r="E148" s="82"/>
      <c r="F148" s="83"/>
      <c r="G148" s="111"/>
    </row>
    <row r="149" spans="1:7" ht="13.5" thickBot="1">
      <c r="A149" s="95"/>
      <c r="B149" s="980"/>
      <c r="C149" s="981"/>
      <c r="D149" s="77"/>
      <c r="E149" s="82"/>
      <c r="F149" s="86"/>
      <c r="G149" s="111"/>
    </row>
    <row r="150" spans="1:7" ht="14.25" thickTop="1" thickBot="1">
      <c r="A150" s="95"/>
      <c r="B150" s="946"/>
      <c r="C150" s="946"/>
      <c r="D150" s="946"/>
      <c r="E150" s="947"/>
      <c r="F150" s="120" t="s">
        <v>856</v>
      </c>
      <c r="G150" s="118">
        <f>SUM(G145:G149)</f>
        <v>16868</v>
      </c>
    </row>
    <row r="151" spans="1:7" ht="14.25" thickTop="1" thickBot="1">
      <c r="A151" s="95"/>
      <c r="B151" s="970"/>
      <c r="C151" s="970"/>
      <c r="D151" s="970"/>
      <c r="E151" s="970"/>
      <c r="F151" s="970"/>
      <c r="G151" s="970"/>
    </row>
    <row r="152" spans="1:7" ht="13.5" thickTop="1">
      <c r="A152" s="95"/>
      <c r="B152" s="950" t="s">
        <v>321</v>
      </c>
      <c r="C152" s="951"/>
      <c r="D152" s="951"/>
      <c r="E152" s="951"/>
      <c r="F152" s="951"/>
      <c r="G152" s="952"/>
    </row>
    <row r="153" spans="1:7">
      <c r="A153" s="95"/>
      <c r="B153" s="978" t="s">
        <v>838</v>
      </c>
      <c r="C153" s="979"/>
      <c r="D153" s="98" t="s">
        <v>301</v>
      </c>
      <c r="E153" s="98" t="s">
        <v>297</v>
      </c>
      <c r="F153" s="99" t="s">
        <v>839</v>
      </c>
      <c r="G153" s="107" t="s">
        <v>840</v>
      </c>
    </row>
    <row r="154" spans="1:7">
      <c r="A154" s="95"/>
      <c r="B154" s="230"/>
      <c r="C154" s="102"/>
      <c r="D154" s="103" t="s">
        <v>322</v>
      </c>
      <c r="E154" s="103" t="s">
        <v>323</v>
      </c>
      <c r="F154" s="104" t="s">
        <v>324</v>
      </c>
      <c r="G154" s="109" t="s">
        <v>325</v>
      </c>
    </row>
    <row r="155" spans="1:7">
      <c r="A155" s="95"/>
      <c r="B155" s="841"/>
      <c r="C155" s="842"/>
      <c r="D155" s="96"/>
      <c r="E155" s="96"/>
      <c r="F155" s="96"/>
      <c r="G155" s="116"/>
    </row>
    <row r="156" spans="1:7" ht="13.5" thickBot="1">
      <c r="A156" s="95"/>
      <c r="B156" s="980" t="s">
        <v>841</v>
      </c>
      <c r="C156" s="981"/>
      <c r="D156" s="77"/>
      <c r="E156" s="82"/>
      <c r="F156" s="86"/>
      <c r="G156" s="112"/>
    </row>
    <row r="157" spans="1:7" ht="14.25" thickTop="1" thickBot="1">
      <c r="A157" s="95"/>
      <c r="B157" s="946"/>
      <c r="C157" s="946"/>
      <c r="D157" s="946"/>
      <c r="E157" s="947"/>
      <c r="F157" s="120" t="s">
        <v>856</v>
      </c>
      <c r="G157" s="118">
        <f>SUM(G152:G156)</f>
        <v>0</v>
      </c>
    </row>
    <row r="158" spans="1:7" ht="14.25" thickTop="1" thickBot="1">
      <c r="A158" s="95"/>
      <c r="B158" s="970"/>
      <c r="C158" s="970"/>
      <c r="D158" s="970"/>
      <c r="E158" s="970"/>
      <c r="F158" s="970"/>
      <c r="G158" s="943"/>
    </row>
    <row r="159" spans="1:7" ht="13.5" thickTop="1">
      <c r="A159" s="95"/>
      <c r="B159" s="950" t="s">
        <v>326</v>
      </c>
      <c r="C159" s="951"/>
      <c r="D159" s="951"/>
      <c r="E159" s="951"/>
      <c r="F159" s="971"/>
      <c r="G159" s="121">
        <f>+G123+G139+G150</f>
        <v>49204</v>
      </c>
    </row>
    <row r="160" spans="1:7">
      <c r="A160" s="95"/>
      <c r="B160" s="972" t="s">
        <v>861</v>
      </c>
      <c r="C160" s="973"/>
      <c r="D160" s="973"/>
      <c r="E160" s="974"/>
      <c r="F160" s="128">
        <f>'MANO DE OBRA'!$D$59</f>
        <v>0</v>
      </c>
      <c r="G160" s="122">
        <f>ROUND(G159*F160,0)</f>
        <v>0</v>
      </c>
    </row>
    <row r="161" spans="1:8" ht="13.5" thickBot="1">
      <c r="A161" s="95"/>
      <c r="B161" s="975" t="s">
        <v>1049</v>
      </c>
      <c r="C161" s="976"/>
      <c r="D161" s="976"/>
      <c r="E161" s="976"/>
      <c r="F161" s="977"/>
      <c r="G161" s="118">
        <f>ROUND(G159+G160,-2)</f>
        <v>49200</v>
      </c>
      <c r="H161" s="505" t="s">
        <v>1670</v>
      </c>
    </row>
    <row r="162" spans="1:8" ht="13.5" thickTop="1">
      <c r="A162" s="95"/>
      <c r="B162" s="225" t="s">
        <v>303</v>
      </c>
      <c r="C162" s="843"/>
      <c r="D162" s="843"/>
      <c r="E162" s="843"/>
      <c r="F162" s="92" t="s">
        <v>781</v>
      </c>
      <c r="G162" s="93" t="s">
        <v>865</v>
      </c>
    </row>
    <row r="163" spans="1:8">
      <c r="A163" s="95"/>
      <c r="B163" s="226" t="s">
        <v>834</v>
      </c>
      <c r="C163" s="844" t="s">
        <v>421</v>
      </c>
      <c r="D163" s="844"/>
      <c r="E163" s="844"/>
      <c r="F163" s="15" t="s">
        <v>833</v>
      </c>
      <c r="G163" s="165" t="str">
        <f>'MANO DE OBRA'!D61</f>
        <v>Agosto de 2010</v>
      </c>
    </row>
    <row r="164" spans="1:8" ht="27.75" customHeight="1" thickBot="1">
      <c r="A164" s="236"/>
      <c r="B164" s="240" t="s">
        <v>835</v>
      </c>
      <c r="C164" s="1058" t="s">
        <v>6</v>
      </c>
      <c r="D164" s="1058"/>
      <c r="E164" s="1058"/>
      <c r="F164" s="1058"/>
      <c r="G164" s="1059"/>
    </row>
    <row r="165" spans="1:8" ht="14.25" thickTop="1" thickBot="1">
      <c r="A165" s="95"/>
      <c r="B165" s="986"/>
      <c r="C165" s="986"/>
      <c r="D165" s="986"/>
      <c r="E165" s="986"/>
      <c r="F165" s="986"/>
      <c r="G165" s="986"/>
    </row>
    <row r="166" spans="1:8" ht="13.5" thickTop="1">
      <c r="A166" s="95"/>
      <c r="B166" s="950" t="s">
        <v>304</v>
      </c>
      <c r="C166" s="951"/>
      <c r="D166" s="951"/>
      <c r="E166" s="951"/>
      <c r="F166" s="951"/>
      <c r="G166" s="952"/>
    </row>
    <row r="167" spans="1:8">
      <c r="A167" s="95"/>
      <c r="B167" s="229"/>
      <c r="C167" s="97"/>
      <c r="D167" s="98" t="s">
        <v>301</v>
      </c>
      <c r="E167" s="98" t="s">
        <v>1072</v>
      </c>
      <c r="F167" s="99" t="s">
        <v>839</v>
      </c>
      <c r="G167" s="107" t="s">
        <v>840</v>
      </c>
    </row>
    <row r="168" spans="1:8">
      <c r="A168" s="95"/>
      <c r="B168" s="982" t="s">
        <v>838</v>
      </c>
      <c r="C168" s="983"/>
      <c r="D168" s="100" t="s">
        <v>308</v>
      </c>
      <c r="E168" s="100" t="s">
        <v>305</v>
      </c>
      <c r="F168" s="101" t="s">
        <v>306</v>
      </c>
      <c r="G168" s="108" t="s">
        <v>310</v>
      </c>
    </row>
    <row r="169" spans="1:8">
      <c r="A169" s="95"/>
      <c r="B169" s="230"/>
      <c r="C169" s="102"/>
      <c r="D169" s="103"/>
      <c r="E169" s="103" t="s">
        <v>309</v>
      </c>
      <c r="F169" s="104" t="s">
        <v>307</v>
      </c>
      <c r="G169" s="109"/>
    </row>
    <row r="170" spans="1:8">
      <c r="A170" s="127"/>
      <c r="B170" s="841" t="str">
        <f>'MAQUINARIA Y EQUIPOS'!$C$28</f>
        <v>HERRAMIENTAS MENORES</v>
      </c>
      <c r="C170" s="842"/>
      <c r="D170" s="87">
        <v>1</v>
      </c>
      <c r="E170" s="82">
        <f>ROUND(G202*0.05,0)</f>
        <v>2699</v>
      </c>
      <c r="F170" s="81">
        <v>1</v>
      </c>
      <c r="G170" s="110">
        <f>ROUND(D170*E170/F170,0)</f>
        <v>2699</v>
      </c>
    </row>
    <row r="171" spans="1:8">
      <c r="A171" s="127"/>
      <c r="B171" s="854" t="str">
        <f>'MAQUINARIA Y EQUIPOS'!$C$23</f>
        <v>EQUIPO DE SOLDADURA</v>
      </c>
      <c r="C171" s="855"/>
      <c r="D171" s="37">
        <v>1</v>
      </c>
      <c r="E171" s="129">
        <f>'MAQUINARIA Y EQUIPOS'!$D$23</f>
        <v>58000</v>
      </c>
      <c r="F171" s="83">
        <v>2</v>
      </c>
      <c r="G171" s="111">
        <f>ROUND(D171*E171/F171,0)</f>
        <v>29000</v>
      </c>
    </row>
    <row r="172" spans="1:8">
      <c r="A172" s="127"/>
      <c r="B172" s="854" t="str">
        <f>'MAQUINARIA Y EQUIPOS'!$C$43</f>
        <v>PULIDORA</v>
      </c>
      <c r="C172" s="855"/>
      <c r="D172" s="37">
        <v>1</v>
      </c>
      <c r="E172" s="129">
        <f>'MAQUINARIA Y EQUIPOS'!$D$43</f>
        <v>29000</v>
      </c>
      <c r="F172" s="83">
        <v>4</v>
      </c>
      <c r="G172" s="111">
        <f>ROUND(D172*E172/F172,0)</f>
        <v>7250</v>
      </c>
    </row>
    <row r="173" spans="1:8">
      <c r="A173" s="95"/>
      <c r="B173" s="854" t="str">
        <f>'MAQUINARIA Y EQUIPOS'!$C$20</f>
        <v>DOBLADORA, CADA DOBLES</v>
      </c>
      <c r="C173" s="855"/>
      <c r="D173" s="37">
        <v>46</v>
      </c>
      <c r="E173" s="129">
        <f>'MAQUINARIA Y EQUIPOS'!$D$20</f>
        <v>348</v>
      </c>
      <c r="F173" s="83">
        <v>1</v>
      </c>
      <c r="G173" s="111">
        <f>ROUND(D173*E173/F173,0)</f>
        <v>16008</v>
      </c>
    </row>
    <row r="174" spans="1:8" ht="13.5" thickBot="1">
      <c r="A174" s="95"/>
      <c r="B174" s="942" t="s">
        <v>841</v>
      </c>
      <c r="C174" s="943"/>
      <c r="D174" s="77"/>
      <c r="E174" s="106"/>
      <c r="F174" s="86"/>
      <c r="G174" s="112"/>
    </row>
    <row r="175" spans="1:8" ht="14.25" thickTop="1" thickBot="1">
      <c r="A175" s="95"/>
      <c r="B175" s="946"/>
      <c r="C175" s="946"/>
      <c r="D175" s="946"/>
      <c r="E175" s="947"/>
      <c r="F175" s="119" t="s">
        <v>856</v>
      </c>
      <c r="G175" s="118">
        <f>SUM(G170:G174)</f>
        <v>54957</v>
      </c>
    </row>
    <row r="176" spans="1:8" ht="14.25" thickTop="1" thickBot="1">
      <c r="A176" s="95"/>
      <c r="B176" s="970"/>
      <c r="C176" s="970"/>
      <c r="D176" s="970"/>
      <c r="E176" s="970"/>
      <c r="F176" s="970"/>
      <c r="G176" s="970"/>
    </row>
    <row r="177" spans="1:8" ht="13.5" thickTop="1">
      <c r="A177" s="95"/>
      <c r="B177" s="950" t="s">
        <v>311</v>
      </c>
      <c r="C177" s="951"/>
      <c r="D177" s="951"/>
      <c r="E177" s="951"/>
      <c r="F177" s="951"/>
      <c r="G177" s="952"/>
    </row>
    <row r="178" spans="1:8">
      <c r="A178" s="95"/>
      <c r="B178" s="978" t="s">
        <v>838</v>
      </c>
      <c r="C178" s="979"/>
      <c r="D178" s="98" t="s">
        <v>842</v>
      </c>
      <c r="E178" s="98" t="s">
        <v>853</v>
      </c>
      <c r="F178" s="99" t="s">
        <v>1047</v>
      </c>
      <c r="G178" s="107" t="s">
        <v>840</v>
      </c>
    </row>
    <row r="179" spans="1:8">
      <c r="A179" s="95"/>
      <c r="B179" s="230"/>
      <c r="C179" s="102"/>
      <c r="D179" s="100"/>
      <c r="E179" s="100" t="s">
        <v>312</v>
      </c>
      <c r="F179" s="101" t="s">
        <v>313</v>
      </c>
      <c r="G179" s="108" t="s">
        <v>314</v>
      </c>
    </row>
    <row r="180" spans="1:8">
      <c r="A180" s="123"/>
      <c r="B180" s="841" t="str">
        <f>MATERIALES2!$C$228</f>
        <v>LAMINA COL ROL CALIBRE 20 1.00x2.00</v>
      </c>
      <c r="C180" s="842"/>
      <c r="D180" s="87" t="s">
        <v>865</v>
      </c>
      <c r="E180" s="81">
        <v>3.42</v>
      </c>
      <c r="F180" s="80">
        <f>MATERIALES2!$E$228</f>
        <v>28000</v>
      </c>
      <c r="G180" s="110">
        <f>ROUND(E180*F180,0)</f>
        <v>95760</v>
      </c>
    </row>
    <row r="181" spans="1:8">
      <c r="A181" s="123"/>
      <c r="B181" s="854" t="str">
        <f>MATERIALES2!$C$251</f>
        <v>SOLDADURA 6013 3/32</v>
      </c>
      <c r="C181" s="855"/>
      <c r="D181" s="37" t="s">
        <v>925</v>
      </c>
      <c r="E181" s="83">
        <v>0.76</v>
      </c>
      <c r="F181" s="82">
        <f>MATERIALES2!$E$251</f>
        <v>8000</v>
      </c>
      <c r="G181" s="111">
        <f>ROUND(E181*F181,0)</f>
        <v>6080</v>
      </c>
    </row>
    <row r="182" spans="1:8">
      <c r="A182" s="123"/>
      <c r="B182" s="854" t="str">
        <f>MATERIALES2!$C$269</f>
        <v>ANTICORROSIVO OXIDO DE HIERRO ROJO 310</v>
      </c>
      <c r="C182" s="855"/>
      <c r="D182" s="37" t="s">
        <v>556</v>
      </c>
      <c r="E182" s="308">
        <v>0.31</v>
      </c>
      <c r="F182" s="82">
        <f>MATERIALES2!$E$269</f>
        <v>31800</v>
      </c>
      <c r="G182" s="111">
        <f>ROUND(E182*F182,0)</f>
        <v>9858</v>
      </c>
    </row>
    <row r="183" spans="1:8">
      <c r="A183" s="123"/>
      <c r="B183" s="854" t="str">
        <f>MATERIALES2!$C$284</f>
        <v>ESMALTE SINTETICO PINTULUX</v>
      </c>
      <c r="C183" s="855"/>
      <c r="D183" s="37" t="s">
        <v>556</v>
      </c>
      <c r="E183" s="308">
        <v>0.33</v>
      </c>
      <c r="F183" s="82">
        <f>MATERIALES2!$E$284</f>
        <v>54800</v>
      </c>
      <c r="G183" s="111">
        <f>ROUND(E183*F183,0)</f>
        <v>18084</v>
      </c>
    </row>
    <row r="184" spans="1:8">
      <c r="A184" s="95"/>
      <c r="B184" s="854" t="str">
        <f>MATERIALES2!$C$197</f>
        <v>CERRADURA YALE 5304 ALUMINIO</v>
      </c>
      <c r="C184" s="855"/>
      <c r="D184" s="37" t="s">
        <v>865</v>
      </c>
      <c r="E184" s="83">
        <v>1</v>
      </c>
      <c r="F184" s="82">
        <f>MATERIALES2!$E$197</f>
        <v>36210</v>
      </c>
      <c r="G184" s="111">
        <f>ROUND(E184*F184,0)</f>
        <v>36210</v>
      </c>
    </row>
    <row r="185" spans="1:8">
      <c r="A185" s="95"/>
      <c r="B185" s="854"/>
      <c r="C185" s="855"/>
      <c r="D185" s="37"/>
      <c r="E185" s="83"/>
      <c r="F185" s="82"/>
      <c r="G185" s="111"/>
    </row>
    <row r="186" spans="1:8">
      <c r="A186" s="95"/>
      <c r="B186" s="854"/>
      <c r="C186" s="855"/>
      <c r="D186" s="37"/>
      <c r="E186" s="83"/>
      <c r="F186" s="82"/>
      <c r="G186" s="111"/>
    </row>
    <row r="187" spans="1:8">
      <c r="A187" s="95"/>
      <c r="B187" s="938" t="s">
        <v>841</v>
      </c>
      <c r="C187" s="939"/>
      <c r="D187" s="53" t="s">
        <v>841</v>
      </c>
      <c r="E187" s="53"/>
      <c r="F187" s="82"/>
      <c r="G187" s="111"/>
      <c r="H187" s="505" t="s">
        <v>1670</v>
      </c>
    </row>
    <row r="188" spans="1:8" ht="13.5" thickBot="1">
      <c r="A188" s="95"/>
      <c r="B188" s="942" t="s">
        <v>841</v>
      </c>
      <c r="C188" s="943"/>
      <c r="D188" s="84" t="s">
        <v>841</v>
      </c>
      <c r="E188" s="84"/>
      <c r="F188" s="85"/>
      <c r="G188" s="112"/>
    </row>
    <row r="189" spans="1:8" ht="13.5" thickTop="1">
      <c r="A189" s="95"/>
      <c r="B189" s="946"/>
      <c r="C189" s="947"/>
      <c r="D189" s="801" t="s">
        <v>856</v>
      </c>
      <c r="E189" s="802"/>
      <c r="F189" s="9"/>
      <c r="G189" s="113">
        <f>SUM(G180:G188)</f>
        <v>165992</v>
      </c>
    </row>
    <row r="190" spans="1:8">
      <c r="A190" s="95"/>
      <c r="B190" s="948"/>
      <c r="C190" s="949"/>
      <c r="D190" s="801" t="s">
        <v>857</v>
      </c>
      <c r="E190" s="802"/>
      <c r="F190" s="79">
        <f>'MANO DE OBRA'!$D$60</f>
        <v>0.05</v>
      </c>
      <c r="G190" s="113">
        <f>ROUND(G189*F190,0)</f>
        <v>8300</v>
      </c>
    </row>
    <row r="191" spans="1:8" ht="13.5" thickBot="1">
      <c r="A191" s="95"/>
      <c r="B191" s="948"/>
      <c r="C191" s="949"/>
      <c r="D191" s="803" t="s">
        <v>320</v>
      </c>
      <c r="E191" s="804"/>
      <c r="F191" s="114"/>
      <c r="G191" s="118">
        <f>+G189+G190</f>
        <v>174292</v>
      </c>
    </row>
    <row r="192" spans="1:8" ht="14.25" thickTop="1" thickBot="1">
      <c r="A192" s="95"/>
      <c r="B192" s="970"/>
      <c r="C192" s="970"/>
      <c r="D192" s="970"/>
      <c r="E192" s="970"/>
      <c r="F192" s="970"/>
      <c r="G192" s="970"/>
    </row>
    <row r="193" spans="1:7" ht="13.5" thickTop="1">
      <c r="A193" s="95"/>
      <c r="B193" s="950" t="s">
        <v>858</v>
      </c>
      <c r="C193" s="951"/>
      <c r="D193" s="951"/>
      <c r="E193" s="951"/>
      <c r="F193" s="951"/>
      <c r="G193" s="952"/>
    </row>
    <row r="194" spans="1:7">
      <c r="A194" s="95"/>
      <c r="B194" s="978"/>
      <c r="C194" s="979"/>
      <c r="D194" s="98" t="s">
        <v>301</v>
      </c>
      <c r="E194" s="98" t="s">
        <v>859</v>
      </c>
      <c r="F194" s="99" t="s">
        <v>839</v>
      </c>
      <c r="G194" s="107" t="s">
        <v>840</v>
      </c>
    </row>
    <row r="195" spans="1:7">
      <c r="A195" s="95"/>
      <c r="B195" s="982" t="s">
        <v>838</v>
      </c>
      <c r="C195" s="983"/>
      <c r="D195" s="100" t="s">
        <v>316</v>
      </c>
      <c r="E195" s="100" t="s">
        <v>315</v>
      </c>
      <c r="F195" s="101" t="s">
        <v>306</v>
      </c>
      <c r="G195" s="108" t="s">
        <v>319</v>
      </c>
    </row>
    <row r="196" spans="1:7">
      <c r="A196" s="95"/>
      <c r="B196" s="230"/>
      <c r="C196" s="102"/>
      <c r="D196" s="103"/>
      <c r="E196" s="103" t="s">
        <v>317</v>
      </c>
      <c r="F196" s="104" t="s">
        <v>318</v>
      </c>
      <c r="G196" s="109"/>
    </row>
    <row r="197" spans="1:7">
      <c r="A197" s="95"/>
      <c r="B197" s="841" t="str">
        <f>'MANO DE OBRA'!$B$13</f>
        <v>AYUDANTE CUAD. TIPO DD</v>
      </c>
      <c r="C197" s="842"/>
      <c r="D197" s="87">
        <v>1</v>
      </c>
      <c r="E197" s="80">
        <f>'MANO DE OBRA'!$E$13</f>
        <v>49276</v>
      </c>
      <c r="F197" s="81">
        <v>2.5</v>
      </c>
      <c r="G197" s="110">
        <f>ROUND(D197*E197/F197,0)</f>
        <v>19710</v>
      </c>
    </row>
    <row r="198" spans="1:7">
      <c r="A198" s="95"/>
      <c r="B198" s="854" t="str">
        <f>'MANO DE OBRA'!$B$18</f>
        <v>OFICIAL CUAD. TIPO DD</v>
      </c>
      <c r="C198" s="855"/>
      <c r="D198" s="37">
        <v>1</v>
      </c>
      <c r="E198" s="82">
        <f>'MANO DE OBRA'!$E$18</f>
        <v>85666</v>
      </c>
      <c r="F198" s="83">
        <v>2.5</v>
      </c>
      <c r="G198" s="111">
        <f>ROUND(D198*E198/F198,0)</f>
        <v>34266</v>
      </c>
    </row>
    <row r="199" spans="1:7">
      <c r="A199" s="95"/>
      <c r="B199" s="854"/>
      <c r="C199" s="855"/>
      <c r="D199" s="37"/>
      <c r="E199" s="82"/>
      <c r="F199" s="83"/>
      <c r="G199" s="111"/>
    </row>
    <row r="200" spans="1:7">
      <c r="A200" s="95"/>
      <c r="B200" s="854"/>
      <c r="C200" s="855"/>
      <c r="D200" s="37"/>
      <c r="E200" s="82"/>
      <c r="F200" s="83"/>
      <c r="G200" s="111"/>
    </row>
    <row r="201" spans="1:7" ht="13.5" thickBot="1">
      <c r="A201" s="95"/>
      <c r="B201" s="980"/>
      <c r="C201" s="981"/>
      <c r="D201" s="77"/>
      <c r="E201" s="82"/>
      <c r="F201" s="86"/>
      <c r="G201" s="111"/>
    </row>
    <row r="202" spans="1:7" ht="14.25" thickTop="1" thickBot="1">
      <c r="A202" s="95"/>
      <c r="B202" s="946"/>
      <c r="C202" s="946"/>
      <c r="D202" s="946"/>
      <c r="E202" s="947"/>
      <c r="F202" s="120" t="s">
        <v>856</v>
      </c>
      <c r="G202" s="118">
        <f>SUM(G197:G201)</f>
        <v>53976</v>
      </c>
    </row>
    <row r="203" spans="1:7" ht="14.25" thickTop="1" thickBot="1">
      <c r="A203" s="95"/>
      <c r="B203" s="970"/>
      <c r="C203" s="970"/>
      <c r="D203" s="970"/>
      <c r="E203" s="970"/>
      <c r="F203" s="970"/>
      <c r="G203" s="970"/>
    </row>
    <row r="204" spans="1:7" ht="13.5" thickTop="1">
      <c r="A204" s="95"/>
      <c r="B204" s="950" t="s">
        <v>321</v>
      </c>
      <c r="C204" s="951"/>
      <c r="D204" s="951"/>
      <c r="E204" s="951"/>
      <c r="F204" s="951"/>
      <c r="G204" s="952"/>
    </row>
    <row r="205" spans="1:7">
      <c r="A205" s="95"/>
      <c r="B205" s="978" t="s">
        <v>838</v>
      </c>
      <c r="C205" s="979"/>
      <c r="D205" s="98" t="s">
        <v>301</v>
      </c>
      <c r="E205" s="98" t="s">
        <v>297</v>
      </c>
      <c r="F205" s="99" t="s">
        <v>839</v>
      </c>
      <c r="G205" s="107" t="s">
        <v>840</v>
      </c>
    </row>
    <row r="206" spans="1:7">
      <c r="A206" s="95"/>
      <c r="B206" s="230"/>
      <c r="C206" s="102"/>
      <c r="D206" s="103" t="s">
        <v>322</v>
      </c>
      <c r="E206" s="103" t="s">
        <v>323</v>
      </c>
      <c r="F206" s="104" t="s">
        <v>324</v>
      </c>
      <c r="G206" s="109" t="s">
        <v>325</v>
      </c>
    </row>
    <row r="207" spans="1:7">
      <c r="A207" s="95"/>
      <c r="B207" s="841"/>
      <c r="C207" s="842"/>
      <c r="D207" s="96"/>
      <c r="E207" s="96"/>
      <c r="F207" s="96"/>
      <c r="G207" s="116"/>
    </row>
    <row r="208" spans="1:7" ht="13.5" thickBot="1">
      <c r="A208" s="95"/>
      <c r="B208" s="980" t="s">
        <v>841</v>
      </c>
      <c r="C208" s="981"/>
      <c r="D208" s="77"/>
      <c r="E208" s="82"/>
      <c r="F208" s="86"/>
      <c r="G208" s="112"/>
    </row>
    <row r="209" spans="1:8" ht="14.25" thickTop="1" thickBot="1">
      <c r="A209" s="95"/>
      <c r="B209" s="946"/>
      <c r="C209" s="946"/>
      <c r="D209" s="946"/>
      <c r="E209" s="947"/>
      <c r="F209" s="120" t="s">
        <v>856</v>
      </c>
      <c r="G209" s="118">
        <f>SUM(G204:G208)</f>
        <v>0</v>
      </c>
    </row>
    <row r="210" spans="1:8" ht="14.25" thickTop="1" thickBot="1">
      <c r="A210" s="95"/>
      <c r="B210" s="970"/>
      <c r="C210" s="970"/>
      <c r="D210" s="970"/>
      <c r="E210" s="970"/>
      <c r="F210" s="970"/>
      <c r="G210" s="943"/>
    </row>
    <row r="211" spans="1:8" ht="13.5" thickTop="1">
      <c r="A211" s="95"/>
      <c r="B211" s="950" t="s">
        <v>326</v>
      </c>
      <c r="C211" s="951"/>
      <c r="D211" s="951"/>
      <c r="E211" s="951"/>
      <c r="F211" s="971"/>
      <c r="G211" s="121">
        <f>+G175+G191+G202</f>
        <v>283225</v>
      </c>
    </row>
    <row r="212" spans="1:8">
      <c r="A212" s="95"/>
      <c r="B212" s="972" t="s">
        <v>861</v>
      </c>
      <c r="C212" s="973"/>
      <c r="D212" s="973"/>
      <c r="E212" s="974"/>
      <c r="F212" s="128">
        <f>'MANO DE OBRA'!$D$59</f>
        <v>0</v>
      </c>
      <c r="G212" s="122">
        <f>ROUND(G211*F212,0)</f>
        <v>0</v>
      </c>
    </row>
    <row r="213" spans="1:8" ht="13.5" thickBot="1">
      <c r="A213" s="95"/>
      <c r="B213" s="975" t="s">
        <v>1049</v>
      </c>
      <c r="C213" s="976"/>
      <c r="D213" s="976"/>
      <c r="E213" s="976"/>
      <c r="F213" s="977"/>
      <c r="G213" s="118">
        <f>ROUND(G211+G212,-2)</f>
        <v>283200</v>
      </c>
      <c r="H213" s="505" t="s">
        <v>1670</v>
      </c>
    </row>
    <row r="214" spans="1:8" ht="13.5" thickTop="1">
      <c r="A214" s="95"/>
      <c r="B214" s="225" t="s">
        <v>303</v>
      </c>
      <c r="C214" s="843"/>
      <c r="D214" s="843"/>
      <c r="E214" s="843"/>
      <c r="F214" s="92" t="s">
        <v>781</v>
      </c>
      <c r="G214" s="93" t="s">
        <v>865</v>
      </c>
    </row>
    <row r="215" spans="1:8">
      <c r="A215" s="95"/>
      <c r="B215" s="226" t="s">
        <v>834</v>
      </c>
      <c r="C215" s="844" t="s">
        <v>421</v>
      </c>
      <c r="D215" s="844"/>
      <c r="E215" s="844"/>
      <c r="F215" s="15" t="s">
        <v>833</v>
      </c>
      <c r="G215" s="165" t="str">
        <f>'MANO DE OBRA'!D61</f>
        <v>Agosto de 2010</v>
      </c>
    </row>
    <row r="216" spans="1:8" ht="27.75" customHeight="1" thickBot="1">
      <c r="A216" s="236"/>
      <c r="B216" s="240" t="s">
        <v>835</v>
      </c>
      <c r="C216" s="1058" t="s">
        <v>14</v>
      </c>
      <c r="D216" s="1058"/>
      <c r="E216" s="1058"/>
      <c r="F216" s="1058"/>
      <c r="G216" s="1059"/>
    </row>
    <row r="217" spans="1:8" ht="14.25" thickTop="1" thickBot="1">
      <c r="A217" s="95"/>
      <c r="B217" s="986"/>
      <c r="C217" s="986"/>
      <c r="D217" s="986"/>
      <c r="E217" s="986"/>
      <c r="F217" s="986"/>
      <c r="G217" s="986"/>
    </row>
    <row r="218" spans="1:8" ht="13.5" thickTop="1">
      <c r="A218" s="95"/>
      <c r="B218" s="950" t="s">
        <v>304</v>
      </c>
      <c r="C218" s="951"/>
      <c r="D218" s="951"/>
      <c r="E218" s="951"/>
      <c r="F218" s="951"/>
      <c r="G218" s="952"/>
    </row>
    <row r="219" spans="1:8">
      <c r="A219" s="95"/>
      <c r="B219" s="229"/>
      <c r="C219" s="97"/>
      <c r="D219" s="98" t="s">
        <v>301</v>
      </c>
      <c r="E219" s="98" t="s">
        <v>1072</v>
      </c>
      <c r="F219" s="99" t="s">
        <v>839</v>
      </c>
      <c r="G219" s="107" t="s">
        <v>840</v>
      </c>
    </row>
    <row r="220" spans="1:8">
      <c r="A220" s="95"/>
      <c r="B220" s="982" t="s">
        <v>838</v>
      </c>
      <c r="C220" s="983"/>
      <c r="D220" s="100" t="s">
        <v>308</v>
      </c>
      <c r="E220" s="100" t="s">
        <v>305</v>
      </c>
      <c r="F220" s="101" t="s">
        <v>306</v>
      </c>
      <c r="G220" s="108" t="s">
        <v>310</v>
      </c>
    </row>
    <row r="221" spans="1:8">
      <c r="A221" s="95"/>
      <c r="B221" s="230"/>
      <c r="C221" s="102"/>
      <c r="D221" s="103"/>
      <c r="E221" s="103" t="s">
        <v>309</v>
      </c>
      <c r="F221" s="104" t="s">
        <v>307</v>
      </c>
      <c r="G221" s="109"/>
    </row>
    <row r="222" spans="1:8">
      <c r="A222" s="127"/>
      <c r="B222" s="841" t="str">
        <f>'MAQUINARIA Y EQUIPOS'!$C$28</f>
        <v>HERRAMIENTAS MENORES</v>
      </c>
      <c r="C222" s="842"/>
      <c r="D222" s="87">
        <v>1</v>
      </c>
      <c r="E222" s="82">
        <f>ROUND(G254*0.05,0)</f>
        <v>2699</v>
      </c>
      <c r="F222" s="81">
        <v>1</v>
      </c>
      <c r="G222" s="110">
        <f>ROUND(D222*E222/F222,0)</f>
        <v>2699</v>
      </c>
    </row>
    <row r="223" spans="1:8">
      <c r="A223" s="127"/>
      <c r="B223" s="854" t="str">
        <f>'MAQUINARIA Y EQUIPOS'!$C$23</f>
        <v>EQUIPO DE SOLDADURA</v>
      </c>
      <c r="C223" s="855"/>
      <c r="D223" s="37">
        <v>1</v>
      </c>
      <c r="E223" s="129">
        <f>'MAQUINARIA Y EQUIPOS'!$D$23</f>
        <v>58000</v>
      </c>
      <c r="F223" s="83">
        <v>2</v>
      </c>
      <c r="G223" s="111">
        <f>ROUND(D223*E223/F223,0)</f>
        <v>29000</v>
      </c>
    </row>
    <row r="224" spans="1:8">
      <c r="A224" s="127"/>
      <c r="B224" s="854" t="str">
        <f>'MAQUINARIA Y EQUIPOS'!$C$43</f>
        <v>PULIDORA</v>
      </c>
      <c r="C224" s="855"/>
      <c r="D224" s="37">
        <v>1</v>
      </c>
      <c r="E224" s="129">
        <f>'MAQUINARIA Y EQUIPOS'!$D$43</f>
        <v>29000</v>
      </c>
      <c r="F224" s="83">
        <v>4</v>
      </c>
      <c r="G224" s="111">
        <f>ROUND(D224*E224/F224,0)</f>
        <v>7250</v>
      </c>
    </row>
    <row r="225" spans="1:8">
      <c r="A225" s="127"/>
      <c r="B225" s="854" t="str">
        <f>'MAQUINARIA Y EQUIPOS'!$C$20</f>
        <v>DOBLADORA, CADA DOBLES</v>
      </c>
      <c r="C225" s="855"/>
      <c r="D225" s="37">
        <v>46</v>
      </c>
      <c r="E225" s="129">
        <f>'MAQUINARIA Y EQUIPOS'!$D$20</f>
        <v>348</v>
      </c>
      <c r="F225" s="83">
        <v>1</v>
      </c>
      <c r="G225" s="111">
        <f>ROUND(D225*E225/F225,0)</f>
        <v>16008</v>
      </c>
    </row>
    <row r="226" spans="1:8" ht="13.5" thickBot="1">
      <c r="A226" s="95"/>
      <c r="B226" s="942" t="s">
        <v>841</v>
      </c>
      <c r="C226" s="943"/>
      <c r="D226" s="77"/>
      <c r="E226" s="106"/>
      <c r="F226" s="86"/>
      <c r="G226" s="112"/>
    </row>
    <row r="227" spans="1:8" ht="14.25" thickTop="1" thickBot="1">
      <c r="A227" s="95"/>
      <c r="B227" s="946"/>
      <c r="C227" s="946"/>
      <c r="D227" s="946"/>
      <c r="E227" s="947"/>
      <c r="F227" s="119" t="s">
        <v>856</v>
      </c>
      <c r="G227" s="118">
        <f>SUM(G222:G226)</f>
        <v>54957</v>
      </c>
    </row>
    <row r="228" spans="1:8" ht="14.25" thickTop="1" thickBot="1">
      <c r="A228" s="95"/>
      <c r="B228" s="970"/>
      <c r="C228" s="970"/>
      <c r="D228" s="970"/>
      <c r="E228" s="970"/>
      <c r="F228" s="970"/>
      <c r="G228" s="970"/>
    </row>
    <row r="229" spans="1:8" ht="13.5" thickTop="1">
      <c r="A229" s="95"/>
      <c r="B229" s="950" t="s">
        <v>311</v>
      </c>
      <c r="C229" s="951"/>
      <c r="D229" s="951"/>
      <c r="E229" s="951"/>
      <c r="F229" s="951"/>
      <c r="G229" s="952"/>
    </row>
    <row r="230" spans="1:8">
      <c r="A230" s="95"/>
      <c r="B230" s="978" t="s">
        <v>838</v>
      </c>
      <c r="C230" s="979"/>
      <c r="D230" s="98" t="s">
        <v>842</v>
      </c>
      <c r="E230" s="98" t="s">
        <v>853</v>
      </c>
      <c r="F230" s="99" t="s">
        <v>1047</v>
      </c>
      <c r="G230" s="107" t="s">
        <v>840</v>
      </c>
    </row>
    <row r="231" spans="1:8">
      <c r="A231" s="95"/>
      <c r="B231" s="230"/>
      <c r="C231" s="102"/>
      <c r="D231" s="100"/>
      <c r="E231" s="100" t="s">
        <v>312</v>
      </c>
      <c r="F231" s="101" t="s">
        <v>313</v>
      </c>
      <c r="G231" s="108" t="s">
        <v>314</v>
      </c>
    </row>
    <row r="232" spans="1:8">
      <c r="A232" s="123"/>
      <c r="B232" s="841" t="str">
        <f>MATERIALES2!$C$228</f>
        <v>LAMINA COL ROL CALIBRE 20 1.00x2.00</v>
      </c>
      <c r="C232" s="842"/>
      <c r="D232" s="87" t="s">
        <v>865</v>
      </c>
      <c r="E232" s="81">
        <v>3.8</v>
      </c>
      <c r="F232" s="80">
        <f>MATERIALES2!$E$228</f>
        <v>28000</v>
      </c>
      <c r="G232" s="110">
        <f>ROUND(E232*F232,0)</f>
        <v>106400</v>
      </c>
    </row>
    <row r="233" spans="1:8">
      <c r="A233" s="123"/>
      <c r="B233" s="854" t="str">
        <f>MATERIALES2!$C$251</f>
        <v>SOLDADURA 6013 3/32</v>
      </c>
      <c r="C233" s="855"/>
      <c r="D233" s="37" t="s">
        <v>925</v>
      </c>
      <c r="E233" s="83">
        <v>0.85</v>
      </c>
      <c r="F233" s="82">
        <f>MATERIALES2!$E$251</f>
        <v>8000</v>
      </c>
      <c r="G233" s="111">
        <f>ROUND(E233*F233,0)</f>
        <v>6800</v>
      </c>
    </row>
    <row r="234" spans="1:8">
      <c r="A234" s="123"/>
      <c r="B234" s="854" t="str">
        <f>MATERIALES2!$C$269</f>
        <v>ANTICORROSIVO OXIDO DE HIERRO ROJO 310</v>
      </c>
      <c r="C234" s="855"/>
      <c r="D234" s="37" t="s">
        <v>556</v>
      </c>
      <c r="E234" s="308">
        <v>0.35</v>
      </c>
      <c r="F234" s="82">
        <f>MATERIALES2!$E$269</f>
        <v>31800</v>
      </c>
      <c r="G234" s="111">
        <f>ROUND(E234*F234,0)</f>
        <v>11130</v>
      </c>
    </row>
    <row r="235" spans="1:8">
      <c r="A235" s="123"/>
      <c r="B235" s="854" t="str">
        <f>MATERIALES2!$C$284</f>
        <v>ESMALTE SINTETICO PINTULUX</v>
      </c>
      <c r="C235" s="855"/>
      <c r="D235" s="37" t="s">
        <v>556</v>
      </c>
      <c r="E235" s="308">
        <v>0.375</v>
      </c>
      <c r="F235" s="82">
        <f>MATERIALES2!$E$284</f>
        <v>54800</v>
      </c>
      <c r="G235" s="111">
        <f>ROUND(E235*F235,0)</f>
        <v>20550</v>
      </c>
    </row>
    <row r="236" spans="1:8">
      <c r="A236" s="123"/>
      <c r="B236" s="854" t="str">
        <f>MATERIALES2!$C$234</f>
        <v>MANIJA PARA PUERTA</v>
      </c>
      <c r="C236" s="855"/>
      <c r="D236" s="37" t="s">
        <v>865</v>
      </c>
      <c r="E236" s="83">
        <v>1</v>
      </c>
      <c r="F236" s="82">
        <f>MATERIALES2!$E$234</f>
        <v>7500</v>
      </c>
      <c r="G236" s="111">
        <f>ROUND(E236*F236,0)</f>
        <v>7500</v>
      </c>
    </row>
    <row r="237" spans="1:8">
      <c r="A237" s="123"/>
      <c r="B237" s="854"/>
      <c r="C237" s="855"/>
      <c r="D237" s="37"/>
      <c r="E237" s="83"/>
      <c r="F237" s="82"/>
      <c r="G237" s="111"/>
    </row>
    <row r="238" spans="1:8">
      <c r="A238" s="95"/>
      <c r="B238" s="854"/>
      <c r="C238" s="855"/>
      <c r="D238" s="37"/>
      <c r="E238" s="83"/>
      <c r="F238" s="82"/>
      <c r="G238" s="111"/>
      <c r="H238" s="505" t="s">
        <v>1670</v>
      </c>
    </row>
    <row r="239" spans="1:8">
      <c r="A239" s="95"/>
      <c r="B239" s="938" t="s">
        <v>841</v>
      </c>
      <c r="C239" s="939"/>
      <c r="D239" s="53" t="s">
        <v>841</v>
      </c>
      <c r="E239" s="53"/>
      <c r="F239" s="82"/>
      <c r="G239" s="111"/>
    </row>
    <row r="240" spans="1:8" ht="13.5" thickBot="1">
      <c r="A240" s="95"/>
      <c r="B240" s="942" t="s">
        <v>841</v>
      </c>
      <c r="C240" s="943"/>
      <c r="D240" s="84" t="s">
        <v>841</v>
      </c>
      <c r="E240" s="84"/>
      <c r="F240" s="85"/>
      <c r="G240" s="112"/>
    </row>
    <row r="241" spans="1:7" ht="13.5" thickTop="1">
      <c r="A241" s="95"/>
      <c r="B241" s="946"/>
      <c r="C241" s="947"/>
      <c r="D241" s="801" t="s">
        <v>856</v>
      </c>
      <c r="E241" s="802"/>
      <c r="F241" s="9"/>
      <c r="G241" s="113">
        <f>SUM(G232:G240)</f>
        <v>152380</v>
      </c>
    </row>
    <row r="242" spans="1:7">
      <c r="A242" s="95"/>
      <c r="B242" s="948"/>
      <c r="C242" s="949"/>
      <c r="D242" s="801" t="s">
        <v>857</v>
      </c>
      <c r="E242" s="802"/>
      <c r="F242" s="79">
        <f>'MANO DE OBRA'!$D$60</f>
        <v>0.05</v>
      </c>
      <c r="G242" s="113">
        <f>ROUND(G241*F242,0)</f>
        <v>7619</v>
      </c>
    </row>
    <row r="243" spans="1:7" ht="13.5" thickBot="1">
      <c r="A243" s="95"/>
      <c r="B243" s="948"/>
      <c r="C243" s="949"/>
      <c r="D243" s="803" t="s">
        <v>320</v>
      </c>
      <c r="E243" s="804"/>
      <c r="F243" s="114"/>
      <c r="G243" s="118">
        <f>+G241+G242</f>
        <v>159999</v>
      </c>
    </row>
    <row r="244" spans="1:7" ht="14.25" thickTop="1" thickBot="1">
      <c r="A244" s="95"/>
      <c r="B244" s="970"/>
      <c r="C244" s="970"/>
      <c r="D244" s="970"/>
      <c r="E244" s="970"/>
      <c r="F244" s="970"/>
      <c r="G244" s="970"/>
    </row>
    <row r="245" spans="1:7" ht="13.5" thickTop="1">
      <c r="A245" s="95"/>
      <c r="B245" s="950" t="s">
        <v>858</v>
      </c>
      <c r="C245" s="951"/>
      <c r="D245" s="951"/>
      <c r="E245" s="951"/>
      <c r="F245" s="951"/>
      <c r="G245" s="952"/>
    </row>
    <row r="246" spans="1:7">
      <c r="A246" s="95"/>
      <c r="B246" s="978"/>
      <c r="C246" s="979"/>
      <c r="D246" s="98" t="s">
        <v>301</v>
      </c>
      <c r="E246" s="98" t="s">
        <v>859</v>
      </c>
      <c r="F246" s="99" t="s">
        <v>839</v>
      </c>
      <c r="G246" s="107" t="s">
        <v>840</v>
      </c>
    </row>
    <row r="247" spans="1:7">
      <c r="A247" s="95"/>
      <c r="B247" s="982" t="s">
        <v>838</v>
      </c>
      <c r="C247" s="983"/>
      <c r="D247" s="100" t="s">
        <v>316</v>
      </c>
      <c r="E247" s="100" t="s">
        <v>315</v>
      </c>
      <c r="F247" s="101" t="s">
        <v>306</v>
      </c>
      <c r="G247" s="108" t="s">
        <v>319</v>
      </c>
    </row>
    <row r="248" spans="1:7">
      <c r="A248" s="95"/>
      <c r="B248" s="230"/>
      <c r="C248" s="102"/>
      <c r="D248" s="103"/>
      <c r="E248" s="103" t="s">
        <v>317</v>
      </c>
      <c r="F248" s="104" t="s">
        <v>318</v>
      </c>
      <c r="G248" s="109"/>
    </row>
    <row r="249" spans="1:7">
      <c r="A249" s="95"/>
      <c r="B249" s="841" t="str">
        <f>'MANO DE OBRA'!$B$13</f>
        <v>AYUDANTE CUAD. TIPO DD</v>
      </c>
      <c r="C249" s="842"/>
      <c r="D249" s="87">
        <v>1</v>
      </c>
      <c r="E249" s="80">
        <f>'MANO DE OBRA'!$E$13</f>
        <v>49276</v>
      </c>
      <c r="F249" s="81">
        <v>2.5</v>
      </c>
      <c r="G249" s="110">
        <f>ROUND(D249*E249/F249,0)</f>
        <v>19710</v>
      </c>
    </row>
    <row r="250" spans="1:7">
      <c r="A250" s="95"/>
      <c r="B250" s="854" t="str">
        <f>'MANO DE OBRA'!$B$18</f>
        <v>OFICIAL CUAD. TIPO DD</v>
      </c>
      <c r="C250" s="855"/>
      <c r="D250" s="37">
        <v>1</v>
      </c>
      <c r="E250" s="82">
        <f>'MANO DE OBRA'!$E$18</f>
        <v>85666</v>
      </c>
      <c r="F250" s="83">
        <v>2.5</v>
      </c>
      <c r="G250" s="111">
        <f>ROUND(D250*E250/F250,0)</f>
        <v>34266</v>
      </c>
    </row>
    <row r="251" spans="1:7">
      <c r="A251" s="95"/>
      <c r="B251" s="854"/>
      <c r="C251" s="855"/>
      <c r="D251" s="37"/>
      <c r="E251" s="82"/>
      <c r="F251" s="83"/>
      <c r="G251" s="111"/>
    </row>
    <row r="252" spans="1:7">
      <c r="A252" s="95"/>
      <c r="B252" s="854"/>
      <c r="C252" s="855"/>
      <c r="D252" s="37"/>
      <c r="E252" s="82"/>
      <c r="F252" s="83"/>
      <c r="G252" s="111"/>
    </row>
    <row r="253" spans="1:7" ht="13.5" thickBot="1">
      <c r="A253" s="95"/>
      <c r="B253" s="980"/>
      <c r="C253" s="981"/>
      <c r="D253" s="77"/>
      <c r="E253" s="82"/>
      <c r="F253" s="86"/>
      <c r="G253" s="111"/>
    </row>
    <row r="254" spans="1:7" ht="14.25" thickTop="1" thickBot="1">
      <c r="A254" s="95"/>
      <c r="B254" s="946"/>
      <c r="C254" s="946"/>
      <c r="D254" s="946"/>
      <c r="E254" s="947"/>
      <c r="F254" s="120" t="s">
        <v>856</v>
      </c>
      <c r="G254" s="118">
        <f>SUM(G249:G253)</f>
        <v>53976</v>
      </c>
    </row>
    <row r="255" spans="1:7" ht="14.25" thickTop="1" thickBot="1">
      <c r="A255" s="95"/>
      <c r="B255" s="970"/>
      <c r="C255" s="970"/>
      <c r="D255" s="970"/>
      <c r="E255" s="970"/>
      <c r="F255" s="970"/>
      <c r="G255" s="970"/>
    </row>
    <row r="256" spans="1:7" ht="13.5" thickTop="1">
      <c r="A256" s="95"/>
      <c r="B256" s="950" t="s">
        <v>321</v>
      </c>
      <c r="C256" s="951"/>
      <c r="D256" s="951"/>
      <c r="E256" s="951"/>
      <c r="F256" s="951"/>
      <c r="G256" s="952"/>
    </row>
    <row r="257" spans="1:8">
      <c r="A257" s="95"/>
      <c r="B257" s="978" t="s">
        <v>838</v>
      </c>
      <c r="C257" s="979"/>
      <c r="D257" s="98" t="s">
        <v>301</v>
      </c>
      <c r="E257" s="98" t="s">
        <v>297</v>
      </c>
      <c r="F257" s="99" t="s">
        <v>839</v>
      </c>
      <c r="G257" s="107" t="s">
        <v>840</v>
      </c>
    </row>
    <row r="258" spans="1:8">
      <c r="A258" s="95"/>
      <c r="B258" s="230"/>
      <c r="C258" s="102"/>
      <c r="D258" s="103" t="s">
        <v>322</v>
      </c>
      <c r="E258" s="103" t="s">
        <v>323</v>
      </c>
      <c r="F258" s="104" t="s">
        <v>324</v>
      </c>
      <c r="G258" s="109" t="s">
        <v>325</v>
      </c>
    </row>
    <row r="259" spans="1:8">
      <c r="A259" s="95"/>
      <c r="B259" s="841"/>
      <c r="C259" s="842"/>
      <c r="D259" s="96"/>
      <c r="E259" s="96"/>
      <c r="F259" s="96"/>
      <c r="G259" s="116"/>
    </row>
    <row r="260" spans="1:8" ht="13.5" thickBot="1">
      <c r="A260" s="95"/>
      <c r="B260" s="980" t="s">
        <v>841</v>
      </c>
      <c r="C260" s="981"/>
      <c r="D260" s="77"/>
      <c r="E260" s="82"/>
      <c r="F260" s="86"/>
      <c r="G260" s="112"/>
    </row>
    <row r="261" spans="1:8" ht="14.25" thickTop="1" thickBot="1">
      <c r="A261" s="95"/>
      <c r="B261" s="946"/>
      <c r="C261" s="946"/>
      <c r="D261" s="946"/>
      <c r="E261" s="947"/>
      <c r="F261" s="120" t="s">
        <v>856</v>
      </c>
      <c r="G261" s="118">
        <f>SUM(G256:G260)</f>
        <v>0</v>
      </c>
    </row>
    <row r="262" spans="1:8" ht="14.25" thickTop="1" thickBot="1">
      <c r="A262" s="95"/>
      <c r="B262" s="970"/>
      <c r="C262" s="970"/>
      <c r="D262" s="970"/>
      <c r="E262" s="970"/>
      <c r="F262" s="970"/>
      <c r="G262" s="943"/>
    </row>
    <row r="263" spans="1:8" ht="13.5" thickTop="1">
      <c r="A263" s="95"/>
      <c r="B263" s="950" t="s">
        <v>326</v>
      </c>
      <c r="C263" s="951"/>
      <c r="D263" s="951"/>
      <c r="E263" s="951"/>
      <c r="F263" s="971"/>
      <c r="G263" s="121">
        <f>+G227+G243+G254</f>
        <v>268932</v>
      </c>
    </row>
    <row r="264" spans="1:8">
      <c r="A264" s="95"/>
      <c r="B264" s="972" t="s">
        <v>861</v>
      </c>
      <c r="C264" s="973"/>
      <c r="D264" s="973"/>
      <c r="E264" s="974"/>
      <c r="F264" s="128">
        <f>'MANO DE OBRA'!$D$59</f>
        <v>0</v>
      </c>
      <c r="G264" s="122">
        <f>ROUND(G263*F264,0)</f>
        <v>0</v>
      </c>
    </row>
    <row r="265" spans="1:8" ht="13.5" thickBot="1">
      <c r="A265" s="95"/>
      <c r="B265" s="975" t="s">
        <v>1049</v>
      </c>
      <c r="C265" s="976"/>
      <c r="D265" s="976"/>
      <c r="E265" s="976"/>
      <c r="F265" s="977"/>
      <c r="G265" s="118">
        <f>ROUND(G263+G264,-2)</f>
        <v>268900</v>
      </c>
      <c r="H265" s="505" t="s">
        <v>1670</v>
      </c>
    </row>
    <row r="266" spans="1:8" ht="13.5" thickTop="1">
      <c r="A266" s="95"/>
      <c r="B266" s="225" t="s">
        <v>303</v>
      </c>
      <c r="C266" s="843"/>
      <c r="D266" s="843"/>
      <c r="E266" s="843"/>
      <c r="F266" s="92" t="s">
        <v>781</v>
      </c>
      <c r="G266" s="93" t="s">
        <v>865</v>
      </c>
    </row>
    <row r="267" spans="1:8">
      <c r="A267" s="95"/>
      <c r="B267" s="226" t="s">
        <v>834</v>
      </c>
      <c r="C267" s="844" t="s">
        <v>421</v>
      </c>
      <c r="D267" s="844"/>
      <c r="E267" s="844"/>
      <c r="F267" s="15" t="s">
        <v>833</v>
      </c>
      <c r="G267" s="165" t="str">
        <f>'MANO DE OBRA'!D61</f>
        <v>Agosto de 2010</v>
      </c>
    </row>
    <row r="268" spans="1:8" ht="27.75" customHeight="1" thickBot="1">
      <c r="A268" s="236"/>
      <c r="B268" s="240" t="s">
        <v>835</v>
      </c>
      <c r="C268" s="1058" t="s">
        <v>4</v>
      </c>
      <c r="D268" s="1058"/>
      <c r="E268" s="1058"/>
      <c r="F268" s="1058"/>
      <c r="G268" s="1059"/>
    </row>
    <row r="269" spans="1:8" ht="14.25" thickTop="1" thickBot="1">
      <c r="A269" s="95"/>
      <c r="B269" s="986"/>
      <c r="C269" s="986"/>
      <c r="D269" s="986"/>
      <c r="E269" s="986"/>
      <c r="F269" s="986"/>
      <c r="G269" s="986"/>
    </row>
    <row r="270" spans="1:8" ht="13.5" thickTop="1">
      <c r="A270" s="95"/>
      <c r="B270" s="950" t="s">
        <v>304</v>
      </c>
      <c r="C270" s="951"/>
      <c r="D270" s="951"/>
      <c r="E270" s="951"/>
      <c r="F270" s="951"/>
      <c r="G270" s="952"/>
    </row>
    <row r="271" spans="1:8">
      <c r="A271" s="95"/>
      <c r="B271" s="229"/>
      <c r="C271" s="97"/>
      <c r="D271" s="98" t="s">
        <v>301</v>
      </c>
      <c r="E271" s="98" t="s">
        <v>1072</v>
      </c>
      <c r="F271" s="99" t="s">
        <v>839</v>
      </c>
      <c r="G271" s="107" t="s">
        <v>840</v>
      </c>
    </row>
    <row r="272" spans="1:8">
      <c r="A272" s="95"/>
      <c r="B272" s="982" t="s">
        <v>838</v>
      </c>
      <c r="C272" s="983"/>
      <c r="D272" s="100" t="s">
        <v>308</v>
      </c>
      <c r="E272" s="100" t="s">
        <v>305</v>
      </c>
      <c r="F272" s="101" t="s">
        <v>306</v>
      </c>
      <c r="G272" s="108" t="s">
        <v>310</v>
      </c>
    </row>
    <row r="273" spans="1:7">
      <c r="A273" s="95"/>
      <c r="B273" s="230"/>
      <c r="C273" s="102"/>
      <c r="D273" s="103"/>
      <c r="E273" s="103" t="s">
        <v>309</v>
      </c>
      <c r="F273" s="104" t="s">
        <v>307</v>
      </c>
      <c r="G273" s="109"/>
    </row>
    <row r="274" spans="1:7">
      <c r="A274" s="127"/>
      <c r="B274" s="841" t="str">
        <f>'MAQUINARIA Y EQUIPOS'!$C$28</f>
        <v>HERRAMIENTAS MENORES</v>
      </c>
      <c r="C274" s="842"/>
      <c r="D274" s="87">
        <v>1</v>
      </c>
      <c r="E274" s="82">
        <f>ROUND(G306*0.05,0)</f>
        <v>2699</v>
      </c>
      <c r="F274" s="81">
        <v>1</v>
      </c>
      <c r="G274" s="110">
        <f>ROUND(D274*E274/F274,0)</f>
        <v>2699</v>
      </c>
    </row>
    <row r="275" spans="1:7">
      <c r="A275" s="127"/>
      <c r="B275" s="854" t="str">
        <f>'MAQUINARIA Y EQUIPOS'!$C$23</f>
        <v>EQUIPO DE SOLDADURA</v>
      </c>
      <c r="C275" s="855"/>
      <c r="D275" s="37">
        <v>1</v>
      </c>
      <c r="E275" s="129">
        <f>'MAQUINARIA Y EQUIPOS'!$D$23</f>
        <v>58000</v>
      </c>
      <c r="F275" s="83">
        <v>2</v>
      </c>
      <c r="G275" s="111">
        <f>ROUND(D275*E275/F275,0)</f>
        <v>29000</v>
      </c>
    </row>
    <row r="276" spans="1:7">
      <c r="A276" s="127"/>
      <c r="B276" s="854" t="str">
        <f>'MAQUINARIA Y EQUIPOS'!$C$43</f>
        <v>PULIDORA</v>
      </c>
      <c r="C276" s="855"/>
      <c r="D276" s="37">
        <v>1</v>
      </c>
      <c r="E276" s="129">
        <f>'MAQUINARIA Y EQUIPOS'!$D$43</f>
        <v>29000</v>
      </c>
      <c r="F276" s="83">
        <v>4</v>
      </c>
      <c r="G276" s="111">
        <f>ROUND(D276*E276/F276,0)</f>
        <v>7250</v>
      </c>
    </row>
    <row r="277" spans="1:7">
      <c r="A277" s="127"/>
      <c r="B277" s="854" t="str">
        <f>'MAQUINARIA Y EQUIPOS'!$C$20</f>
        <v>DOBLADORA, CADA DOBLES</v>
      </c>
      <c r="C277" s="855"/>
      <c r="D277" s="37">
        <v>46</v>
      </c>
      <c r="E277" s="129">
        <f>'MAQUINARIA Y EQUIPOS'!$D$20</f>
        <v>348</v>
      </c>
      <c r="F277" s="83">
        <v>1</v>
      </c>
      <c r="G277" s="111">
        <f>ROUND(D277*E277/F277,0)</f>
        <v>16008</v>
      </c>
    </row>
    <row r="278" spans="1:7" ht="13.5" thickBot="1">
      <c r="A278" s="95"/>
      <c r="B278" s="942" t="s">
        <v>841</v>
      </c>
      <c r="C278" s="943"/>
      <c r="D278" s="77"/>
      <c r="E278" s="106"/>
      <c r="F278" s="86"/>
      <c r="G278" s="112"/>
    </row>
    <row r="279" spans="1:7" ht="14.25" thickTop="1" thickBot="1">
      <c r="A279" s="95"/>
      <c r="B279" s="946"/>
      <c r="C279" s="946"/>
      <c r="D279" s="946"/>
      <c r="E279" s="947"/>
      <c r="F279" s="119" t="s">
        <v>856</v>
      </c>
      <c r="G279" s="118">
        <f>SUM(G274:G278)</f>
        <v>54957</v>
      </c>
    </row>
    <row r="280" spans="1:7" ht="14.25" thickTop="1" thickBot="1">
      <c r="A280" s="95"/>
      <c r="B280" s="970"/>
      <c r="C280" s="970"/>
      <c r="D280" s="970"/>
      <c r="E280" s="970"/>
      <c r="F280" s="970"/>
      <c r="G280" s="970"/>
    </row>
    <row r="281" spans="1:7" ht="13.5" thickTop="1">
      <c r="A281" s="95"/>
      <c r="B281" s="950" t="s">
        <v>311</v>
      </c>
      <c r="C281" s="951"/>
      <c r="D281" s="951"/>
      <c r="E281" s="951"/>
      <c r="F281" s="951"/>
      <c r="G281" s="952"/>
    </row>
    <row r="282" spans="1:7">
      <c r="A282" s="95"/>
      <c r="B282" s="978" t="s">
        <v>838</v>
      </c>
      <c r="C282" s="979"/>
      <c r="D282" s="98" t="s">
        <v>842</v>
      </c>
      <c r="E282" s="98" t="s">
        <v>853</v>
      </c>
      <c r="F282" s="99" t="s">
        <v>1047</v>
      </c>
      <c r="G282" s="107" t="s">
        <v>840</v>
      </c>
    </row>
    <row r="283" spans="1:7">
      <c r="A283" s="95"/>
      <c r="B283" s="230"/>
      <c r="C283" s="102"/>
      <c r="D283" s="100"/>
      <c r="E283" s="100" t="s">
        <v>312</v>
      </c>
      <c r="F283" s="101" t="s">
        <v>313</v>
      </c>
      <c r="G283" s="108" t="s">
        <v>314</v>
      </c>
    </row>
    <row r="284" spans="1:7">
      <c r="A284" s="123"/>
      <c r="B284" s="841" t="str">
        <f>MATERIALES2!$C$228</f>
        <v>LAMINA COL ROL CALIBRE 20 1.00x2.00</v>
      </c>
      <c r="C284" s="842"/>
      <c r="D284" s="87" t="s">
        <v>865</v>
      </c>
      <c r="E284" s="81">
        <v>6.84</v>
      </c>
      <c r="F284" s="80">
        <f>MATERIALES2!$E$228</f>
        <v>28000</v>
      </c>
      <c r="G284" s="110">
        <f>ROUND(E284*F284,0)</f>
        <v>191520</v>
      </c>
    </row>
    <row r="285" spans="1:7">
      <c r="A285" s="123"/>
      <c r="B285" s="854" t="str">
        <f>MATERIALES2!$C$251</f>
        <v>SOLDADURA 6013 3/32</v>
      </c>
      <c r="C285" s="855"/>
      <c r="D285" s="37" t="s">
        <v>925</v>
      </c>
      <c r="E285" s="83">
        <v>1.53</v>
      </c>
      <c r="F285" s="82">
        <f>MATERIALES2!$E$251</f>
        <v>8000</v>
      </c>
      <c r="G285" s="111">
        <f>ROUND(E285*F285,0)</f>
        <v>12240</v>
      </c>
    </row>
    <row r="286" spans="1:7">
      <c r="A286" s="123"/>
      <c r="B286" s="854" t="str">
        <f>MATERIALES2!$C$269</f>
        <v>ANTICORROSIVO OXIDO DE HIERRO ROJO 310</v>
      </c>
      <c r="C286" s="855"/>
      <c r="D286" s="37" t="s">
        <v>556</v>
      </c>
      <c r="E286" s="308">
        <v>0.63</v>
      </c>
      <c r="F286" s="82">
        <f>MATERIALES2!$E$269</f>
        <v>31800</v>
      </c>
      <c r="G286" s="111">
        <f>ROUND(E286*F286,0)</f>
        <v>20034</v>
      </c>
    </row>
    <row r="287" spans="1:7">
      <c r="A287" s="123"/>
      <c r="B287" s="854" t="str">
        <f>MATERIALES2!$C$284</f>
        <v>ESMALTE SINTETICO PINTULUX</v>
      </c>
      <c r="C287" s="855"/>
      <c r="D287" s="37" t="s">
        <v>556</v>
      </c>
      <c r="E287" s="308">
        <v>0.66</v>
      </c>
      <c r="F287" s="82">
        <f>MATERIALES2!$E$284</f>
        <v>54800</v>
      </c>
      <c r="G287" s="111">
        <f>ROUND(E287*F287,0)</f>
        <v>36168</v>
      </c>
    </row>
    <row r="288" spans="1:7">
      <c r="A288" s="95"/>
      <c r="B288" s="854" t="str">
        <f>MATERIALES2!C197</f>
        <v>CERRADURA YALE 5304 ALUMINIO</v>
      </c>
      <c r="C288" s="855"/>
      <c r="D288" s="37" t="s">
        <v>865</v>
      </c>
      <c r="E288" s="83">
        <v>1</v>
      </c>
      <c r="F288" s="82">
        <f>MATERIALES2!$E$197</f>
        <v>36210</v>
      </c>
      <c r="G288" s="111">
        <f>ROUND(E288*F288,0)</f>
        <v>36210</v>
      </c>
    </row>
    <row r="289" spans="1:8">
      <c r="A289" s="95"/>
      <c r="B289" s="854"/>
      <c r="C289" s="855"/>
      <c r="D289" s="37"/>
      <c r="E289" s="83"/>
      <c r="F289" s="82"/>
      <c r="G289" s="111"/>
    </row>
    <row r="290" spans="1:8">
      <c r="A290" s="95"/>
      <c r="B290" s="854"/>
      <c r="C290" s="855"/>
      <c r="D290" s="37"/>
      <c r="E290" s="83"/>
      <c r="F290" s="82"/>
      <c r="G290" s="111"/>
      <c r="H290" s="505" t="s">
        <v>1670</v>
      </c>
    </row>
    <row r="291" spans="1:8">
      <c r="A291" s="95"/>
      <c r="B291" s="938" t="s">
        <v>841</v>
      </c>
      <c r="C291" s="939"/>
      <c r="D291" s="53" t="s">
        <v>841</v>
      </c>
      <c r="E291" s="53"/>
      <c r="F291" s="82"/>
      <c r="G291" s="111"/>
    </row>
    <row r="292" spans="1:8" ht="13.5" thickBot="1">
      <c r="A292" s="95"/>
      <c r="B292" s="942" t="s">
        <v>841</v>
      </c>
      <c r="C292" s="943"/>
      <c r="D292" s="84" t="s">
        <v>841</v>
      </c>
      <c r="E292" s="84"/>
      <c r="F292" s="85"/>
      <c r="G292" s="112"/>
    </row>
    <row r="293" spans="1:8" ht="13.5" thickTop="1">
      <c r="A293" s="95"/>
      <c r="B293" s="946"/>
      <c r="C293" s="947"/>
      <c r="D293" s="801" t="s">
        <v>856</v>
      </c>
      <c r="E293" s="802"/>
      <c r="F293" s="9"/>
      <c r="G293" s="113">
        <f>SUM(G284:G292)</f>
        <v>296172</v>
      </c>
    </row>
    <row r="294" spans="1:8">
      <c r="A294" s="95"/>
      <c r="B294" s="948"/>
      <c r="C294" s="949"/>
      <c r="D294" s="801" t="s">
        <v>857</v>
      </c>
      <c r="E294" s="802"/>
      <c r="F294" s="79">
        <f>'MANO DE OBRA'!$D$60</f>
        <v>0.05</v>
      </c>
      <c r="G294" s="113">
        <f>ROUND(G293*F294,0)</f>
        <v>14809</v>
      </c>
    </row>
    <row r="295" spans="1:8" ht="13.5" thickBot="1">
      <c r="A295" s="95"/>
      <c r="B295" s="948"/>
      <c r="C295" s="949"/>
      <c r="D295" s="803" t="s">
        <v>320</v>
      </c>
      <c r="E295" s="804"/>
      <c r="F295" s="114"/>
      <c r="G295" s="118">
        <f>+G293+G294</f>
        <v>310981</v>
      </c>
    </row>
    <row r="296" spans="1:8" ht="14.25" thickTop="1" thickBot="1">
      <c r="A296" s="95"/>
      <c r="B296" s="970"/>
      <c r="C296" s="970"/>
      <c r="D296" s="970"/>
      <c r="E296" s="970"/>
      <c r="F296" s="970"/>
      <c r="G296" s="970"/>
    </row>
    <row r="297" spans="1:8" ht="13.5" thickTop="1">
      <c r="A297" s="95"/>
      <c r="B297" s="950" t="s">
        <v>858</v>
      </c>
      <c r="C297" s="951"/>
      <c r="D297" s="951"/>
      <c r="E297" s="951"/>
      <c r="F297" s="951"/>
      <c r="G297" s="952"/>
    </row>
    <row r="298" spans="1:8">
      <c r="A298" s="95"/>
      <c r="B298" s="978"/>
      <c r="C298" s="979"/>
      <c r="D298" s="98" t="s">
        <v>301</v>
      </c>
      <c r="E298" s="98" t="s">
        <v>859</v>
      </c>
      <c r="F298" s="99" t="s">
        <v>839</v>
      </c>
      <c r="G298" s="107" t="s">
        <v>840</v>
      </c>
    </row>
    <row r="299" spans="1:8">
      <c r="A299" s="95"/>
      <c r="B299" s="982" t="s">
        <v>838</v>
      </c>
      <c r="C299" s="983"/>
      <c r="D299" s="100" t="s">
        <v>316</v>
      </c>
      <c r="E299" s="100" t="s">
        <v>315</v>
      </c>
      <c r="F299" s="101" t="s">
        <v>306</v>
      </c>
      <c r="G299" s="108" t="s">
        <v>319</v>
      </c>
    </row>
    <row r="300" spans="1:8">
      <c r="A300" s="95"/>
      <c r="B300" s="230"/>
      <c r="C300" s="102"/>
      <c r="D300" s="103"/>
      <c r="E300" s="103" t="s">
        <v>317</v>
      </c>
      <c r="F300" s="104" t="s">
        <v>318</v>
      </c>
      <c r="G300" s="109"/>
    </row>
    <row r="301" spans="1:8">
      <c r="A301" s="95"/>
      <c r="B301" s="841" t="str">
        <f>'MANO DE OBRA'!$B$13</f>
        <v>AYUDANTE CUAD. TIPO DD</v>
      </c>
      <c r="C301" s="842"/>
      <c r="D301" s="87">
        <v>1</v>
      </c>
      <c r="E301" s="80">
        <f>'MANO DE OBRA'!$E$13</f>
        <v>49276</v>
      </c>
      <c r="F301" s="81">
        <v>2.5</v>
      </c>
      <c r="G301" s="110">
        <f>ROUND(D301*E301/F301,0)</f>
        <v>19710</v>
      </c>
    </row>
    <row r="302" spans="1:8">
      <c r="A302" s="95"/>
      <c r="B302" s="854" t="str">
        <f>'MANO DE OBRA'!$B$18</f>
        <v>OFICIAL CUAD. TIPO DD</v>
      </c>
      <c r="C302" s="855"/>
      <c r="D302" s="37">
        <v>1</v>
      </c>
      <c r="E302" s="82">
        <f>'MANO DE OBRA'!$E$18</f>
        <v>85666</v>
      </c>
      <c r="F302" s="83">
        <v>2.5</v>
      </c>
      <c r="G302" s="111">
        <f>ROUND(D302*E302/F302,0)</f>
        <v>34266</v>
      </c>
    </row>
    <row r="303" spans="1:8">
      <c r="A303" s="95"/>
      <c r="B303" s="854"/>
      <c r="C303" s="855"/>
      <c r="D303" s="37"/>
      <c r="E303" s="82"/>
      <c r="F303" s="83"/>
      <c r="G303" s="111"/>
    </row>
    <row r="304" spans="1:8">
      <c r="A304" s="95"/>
      <c r="B304" s="854"/>
      <c r="C304" s="855"/>
      <c r="D304" s="37"/>
      <c r="E304" s="82"/>
      <c r="F304" s="83"/>
      <c r="G304" s="111"/>
    </row>
    <row r="305" spans="1:8" ht="13.5" thickBot="1">
      <c r="A305" s="95"/>
      <c r="B305" s="980"/>
      <c r="C305" s="981"/>
      <c r="D305" s="77"/>
      <c r="E305" s="82"/>
      <c r="F305" s="86"/>
      <c r="G305" s="111"/>
    </row>
    <row r="306" spans="1:8" ht="14.25" thickTop="1" thickBot="1">
      <c r="A306" s="95"/>
      <c r="B306" s="946"/>
      <c r="C306" s="946"/>
      <c r="D306" s="946"/>
      <c r="E306" s="947"/>
      <c r="F306" s="120" t="s">
        <v>856</v>
      </c>
      <c r="G306" s="118">
        <f>SUM(G301:G305)</f>
        <v>53976</v>
      </c>
    </row>
    <row r="307" spans="1:8" ht="14.25" thickTop="1" thickBot="1">
      <c r="A307" s="95"/>
      <c r="B307" s="970"/>
      <c r="C307" s="970"/>
      <c r="D307" s="970"/>
      <c r="E307" s="970"/>
      <c r="F307" s="970"/>
      <c r="G307" s="970"/>
    </row>
    <row r="308" spans="1:8" ht="13.5" thickTop="1">
      <c r="A308" s="95"/>
      <c r="B308" s="950" t="s">
        <v>321</v>
      </c>
      <c r="C308" s="951"/>
      <c r="D308" s="951"/>
      <c r="E308" s="951"/>
      <c r="F308" s="951"/>
      <c r="G308" s="952"/>
    </row>
    <row r="309" spans="1:8">
      <c r="A309" s="95"/>
      <c r="B309" s="978" t="s">
        <v>838</v>
      </c>
      <c r="C309" s="979"/>
      <c r="D309" s="98" t="s">
        <v>301</v>
      </c>
      <c r="E309" s="98" t="s">
        <v>297</v>
      </c>
      <c r="F309" s="99" t="s">
        <v>839</v>
      </c>
      <c r="G309" s="107" t="s">
        <v>840</v>
      </c>
    </row>
    <row r="310" spans="1:8">
      <c r="A310" s="95"/>
      <c r="B310" s="230"/>
      <c r="C310" s="102"/>
      <c r="D310" s="103" t="s">
        <v>322</v>
      </c>
      <c r="E310" s="103" t="s">
        <v>323</v>
      </c>
      <c r="F310" s="104" t="s">
        <v>324</v>
      </c>
      <c r="G310" s="109" t="s">
        <v>325</v>
      </c>
    </row>
    <row r="311" spans="1:8">
      <c r="A311" s="95"/>
      <c r="B311" s="841"/>
      <c r="C311" s="842"/>
      <c r="D311" s="96"/>
      <c r="E311" s="96"/>
      <c r="F311" s="96"/>
      <c r="G311" s="116"/>
    </row>
    <row r="312" spans="1:8" ht="13.5" thickBot="1">
      <c r="A312" s="95"/>
      <c r="B312" s="980" t="s">
        <v>841</v>
      </c>
      <c r="C312" s="981"/>
      <c r="D312" s="77"/>
      <c r="E312" s="82"/>
      <c r="F312" s="86"/>
      <c r="G312" s="112"/>
    </row>
    <row r="313" spans="1:8" ht="14.25" thickTop="1" thickBot="1">
      <c r="A313" s="95"/>
      <c r="B313" s="946"/>
      <c r="C313" s="946"/>
      <c r="D313" s="946"/>
      <c r="E313" s="947"/>
      <c r="F313" s="120" t="s">
        <v>856</v>
      </c>
      <c r="G313" s="118">
        <f>SUM(G308:G312)</f>
        <v>0</v>
      </c>
    </row>
    <row r="314" spans="1:8" ht="14.25" thickTop="1" thickBot="1">
      <c r="A314" s="95"/>
      <c r="B314" s="970"/>
      <c r="C314" s="970"/>
      <c r="D314" s="970"/>
      <c r="E314" s="970"/>
      <c r="F314" s="970"/>
      <c r="G314" s="943"/>
    </row>
    <row r="315" spans="1:8" ht="13.5" thickTop="1">
      <c r="A315" s="95"/>
      <c r="B315" s="950" t="s">
        <v>326</v>
      </c>
      <c r="C315" s="951"/>
      <c r="D315" s="951"/>
      <c r="E315" s="951"/>
      <c r="F315" s="971"/>
      <c r="G315" s="121">
        <f>+G279+G295+G306</f>
        <v>419914</v>
      </c>
    </row>
    <row r="316" spans="1:8">
      <c r="A316" s="95"/>
      <c r="B316" s="972" t="s">
        <v>861</v>
      </c>
      <c r="C316" s="973"/>
      <c r="D316" s="973"/>
      <c r="E316" s="974"/>
      <c r="F316" s="128">
        <f>'MANO DE OBRA'!$D$59</f>
        <v>0</v>
      </c>
      <c r="G316" s="122">
        <f>ROUND(G315*F316,0)</f>
        <v>0</v>
      </c>
    </row>
    <row r="317" spans="1:8" ht="13.5" thickBot="1">
      <c r="A317" s="95"/>
      <c r="B317" s="975" t="s">
        <v>1049</v>
      </c>
      <c r="C317" s="976"/>
      <c r="D317" s="976"/>
      <c r="E317" s="976"/>
      <c r="F317" s="977"/>
      <c r="G317" s="118">
        <f>ROUND(G315+G316,-2)</f>
        <v>419900</v>
      </c>
      <c r="H317" s="505" t="s">
        <v>1670</v>
      </c>
    </row>
    <row r="318" spans="1:8" ht="13.5" thickTop="1">
      <c r="A318" s="95"/>
      <c r="B318" s="225" t="s">
        <v>303</v>
      </c>
      <c r="C318" s="843"/>
      <c r="D318" s="843"/>
      <c r="E318" s="843"/>
      <c r="F318" s="92" t="s">
        <v>781</v>
      </c>
      <c r="G318" s="93" t="s">
        <v>865</v>
      </c>
    </row>
    <row r="319" spans="1:8">
      <c r="A319" s="95"/>
      <c r="B319" s="226" t="s">
        <v>834</v>
      </c>
      <c r="C319" s="844" t="s">
        <v>1506</v>
      </c>
      <c r="D319" s="844"/>
      <c r="E319" s="844"/>
      <c r="F319" s="15" t="s">
        <v>833</v>
      </c>
      <c r="G319" s="165" t="str">
        <f>'MANO DE OBRA'!D61</f>
        <v>Agosto de 2010</v>
      </c>
    </row>
    <row r="320" spans="1:8" ht="30" customHeight="1" thickBot="1">
      <c r="A320" s="127"/>
      <c r="B320" s="240" t="s">
        <v>835</v>
      </c>
      <c r="C320" s="1058" t="s">
        <v>5</v>
      </c>
      <c r="D320" s="1058"/>
      <c r="E320" s="1058"/>
      <c r="F320" s="1058"/>
      <c r="G320" s="1059"/>
    </row>
    <row r="321" spans="1:7" ht="14.25" thickTop="1" thickBot="1">
      <c r="A321" s="95"/>
      <c r="B321" s="986"/>
      <c r="C321" s="986"/>
      <c r="D321" s="986"/>
      <c r="E321" s="986"/>
      <c r="F321" s="986"/>
      <c r="G321" s="986"/>
    </row>
    <row r="322" spans="1:7" ht="13.5" thickTop="1">
      <c r="A322" s="95"/>
      <c r="B322" s="950" t="s">
        <v>304</v>
      </c>
      <c r="C322" s="951"/>
      <c r="D322" s="951"/>
      <c r="E322" s="951"/>
      <c r="F322" s="951"/>
      <c r="G322" s="952"/>
    </row>
    <row r="323" spans="1:7">
      <c r="A323" s="95"/>
      <c r="B323" s="229"/>
      <c r="C323" s="97"/>
      <c r="D323" s="98" t="s">
        <v>301</v>
      </c>
      <c r="E323" s="98" t="s">
        <v>1072</v>
      </c>
      <c r="F323" s="99" t="s">
        <v>839</v>
      </c>
      <c r="G323" s="107" t="s">
        <v>840</v>
      </c>
    </row>
    <row r="324" spans="1:7">
      <c r="A324" s="95"/>
      <c r="B324" s="982" t="s">
        <v>838</v>
      </c>
      <c r="C324" s="983"/>
      <c r="D324" s="100" t="s">
        <v>308</v>
      </c>
      <c r="E324" s="100" t="s">
        <v>305</v>
      </c>
      <c r="F324" s="101" t="s">
        <v>306</v>
      </c>
      <c r="G324" s="108" t="s">
        <v>310</v>
      </c>
    </row>
    <row r="325" spans="1:7">
      <c r="A325" s="95"/>
      <c r="B325" s="230"/>
      <c r="C325" s="102"/>
      <c r="D325" s="103"/>
      <c r="E325" s="103" t="s">
        <v>309</v>
      </c>
      <c r="F325" s="104" t="s">
        <v>307</v>
      </c>
      <c r="G325" s="109"/>
    </row>
    <row r="326" spans="1:7">
      <c r="A326" s="127"/>
      <c r="B326" s="841" t="str">
        <f>'MAQUINARIA Y EQUIPOS'!$C$28</f>
        <v>HERRAMIENTAS MENORES</v>
      </c>
      <c r="C326" s="842"/>
      <c r="D326" s="87">
        <v>1</v>
      </c>
      <c r="E326" s="82">
        <f>ROUND(G358*0.05,0)</f>
        <v>2699</v>
      </c>
      <c r="F326" s="81">
        <v>1</v>
      </c>
      <c r="G326" s="110">
        <f>ROUND(D326*E326/F326,0)</f>
        <v>2699</v>
      </c>
    </row>
    <row r="327" spans="1:7">
      <c r="A327" s="127"/>
      <c r="B327" s="854" t="str">
        <f>'MAQUINARIA Y EQUIPOS'!$C$23</f>
        <v>EQUIPO DE SOLDADURA</v>
      </c>
      <c r="C327" s="855"/>
      <c r="D327" s="37">
        <v>1</v>
      </c>
      <c r="E327" s="129">
        <f>'MAQUINARIA Y EQUIPOS'!$D$23</f>
        <v>58000</v>
      </c>
      <c r="F327" s="83">
        <v>2</v>
      </c>
      <c r="G327" s="111">
        <f>ROUND(D327*E327/F327,0)</f>
        <v>29000</v>
      </c>
    </row>
    <row r="328" spans="1:7">
      <c r="A328" s="127"/>
      <c r="B328" s="854" t="str">
        <f>'MAQUINARIA Y EQUIPOS'!$C$43</f>
        <v>PULIDORA</v>
      </c>
      <c r="C328" s="855"/>
      <c r="D328" s="37">
        <v>1</v>
      </c>
      <c r="E328" s="129">
        <f>'MAQUINARIA Y EQUIPOS'!$D$43</f>
        <v>29000</v>
      </c>
      <c r="F328" s="83">
        <v>4</v>
      </c>
      <c r="G328" s="111">
        <f>ROUND(D328*E328/F328,0)</f>
        <v>7250</v>
      </c>
    </row>
    <row r="329" spans="1:7">
      <c r="A329" s="127"/>
      <c r="B329" s="854" t="str">
        <f>'MAQUINARIA Y EQUIPOS'!$C$20</f>
        <v>DOBLADORA, CADA DOBLES</v>
      </c>
      <c r="C329" s="855"/>
      <c r="D329" s="37">
        <v>46</v>
      </c>
      <c r="E329" s="129">
        <f>'MAQUINARIA Y EQUIPOS'!$D$20</f>
        <v>348</v>
      </c>
      <c r="F329" s="83">
        <v>1</v>
      </c>
      <c r="G329" s="111">
        <f>ROUND(D329*E329/F329,0)</f>
        <v>16008</v>
      </c>
    </row>
    <row r="330" spans="1:7" ht="13.5" thickBot="1">
      <c r="A330" s="95"/>
      <c r="B330" s="942" t="s">
        <v>841</v>
      </c>
      <c r="C330" s="943"/>
      <c r="D330" s="77"/>
      <c r="E330" s="106"/>
      <c r="F330" s="86"/>
      <c r="G330" s="112"/>
    </row>
    <row r="331" spans="1:7" ht="14.25" thickTop="1" thickBot="1">
      <c r="A331" s="95"/>
      <c r="B331" s="946"/>
      <c r="C331" s="946"/>
      <c r="D331" s="946"/>
      <c r="E331" s="947"/>
      <c r="F331" s="119" t="s">
        <v>856</v>
      </c>
      <c r="G331" s="118">
        <f>SUM(G326:G330)</f>
        <v>54957</v>
      </c>
    </row>
    <row r="332" spans="1:7" ht="14.25" thickTop="1" thickBot="1">
      <c r="A332" s="95"/>
      <c r="B332" s="970"/>
      <c r="C332" s="970"/>
      <c r="D332" s="970"/>
      <c r="E332" s="970"/>
      <c r="F332" s="970"/>
      <c r="G332" s="970"/>
    </row>
    <row r="333" spans="1:7" ht="13.5" thickTop="1">
      <c r="A333" s="95"/>
      <c r="B333" s="950" t="s">
        <v>311</v>
      </c>
      <c r="C333" s="951"/>
      <c r="D333" s="951"/>
      <c r="E333" s="951"/>
      <c r="F333" s="951"/>
      <c r="G333" s="952"/>
    </row>
    <row r="334" spans="1:7">
      <c r="A334" s="95"/>
      <c r="B334" s="978" t="s">
        <v>838</v>
      </c>
      <c r="C334" s="979"/>
      <c r="D334" s="98" t="s">
        <v>842</v>
      </c>
      <c r="E334" s="98" t="s">
        <v>853</v>
      </c>
      <c r="F334" s="99" t="s">
        <v>1047</v>
      </c>
      <c r="G334" s="107" t="s">
        <v>840</v>
      </c>
    </row>
    <row r="335" spans="1:7">
      <c r="A335" s="95"/>
      <c r="B335" s="230"/>
      <c r="C335" s="102"/>
      <c r="D335" s="100"/>
      <c r="E335" s="100" t="s">
        <v>312</v>
      </c>
      <c r="F335" s="101" t="s">
        <v>313</v>
      </c>
      <c r="G335" s="108" t="s">
        <v>314</v>
      </c>
    </row>
    <row r="336" spans="1:7">
      <c r="A336" s="95"/>
      <c r="B336" s="841" t="str">
        <f>MATERIALES2!$C$228</f>
        <v>LAMINA COL ROL CALIBRE 20 1.00x2.00</v>
      </c>
      <c r="C336" s="842"/>
      <c r="D336" s="87" t="s">
        <v>865</v>
      </c>
      <c r="E336" s="81">
        <v>3.8</v>
      </c>
      <c r="F336" s="80">
        <f>MATERIALES2!$E$228</f>
        <v>28000</v>
      </c>
      <c r="G336" s="110">
        <f>ROUND(E336*F336,0)</f>
        <v>106400</v>
      </c>
    </row>
    <row r="337" spans="1:8">
      <c r="A337" s="123"/>
      <c r="B337" s="854" t="str">
        <f>MATERIALES2!$C$251</f>
        <v>SOLDADURA 6013 3/32</v>
      </c>
      <c r="C337" s="855"/>
      <c r="D337" s="37" t="s">
        <v>925</v>
      </c>
      <c r="E337" s="83">
        <v>0.85</v>
      </c>
      <c r="F337" s="82">
        <f>MATERIALES2!$E$251</f>
        <v>8000</v>
      </c>
      <c r="G337" s="111">
        <f>ROUND(E337*F337,0)</f>
        <v>6800</v>
      </c>
    </row>
    <row r="338" spans="1:8">
      <c r="A338" s="123"/>
      <c r="B338" s="854" t="str">
        <f>MATERIALES2!$C$269</f>
        <v>ANTICORROSIVO OXIDO DE HIERRO ROJO 310</v>
      </c>
      <c r="C338" s="855"/>
      <c r="D338" s="37" t="s">
        <v>556</v>
      </c>
      <c r="E338" s="308">
        <v>0.35</v>
      </c>
      <c r="F338" s="82">
        <f>MATERIALES2!$E$269</f>
        <v>31800</v>
      </c>
      <c r="G338" s="111">
        <f>ROUND(E338*F338,0)</f>
        <v>11130</v>
      </c>
    </row>
    <row r="339" spans="1:8">
      <c r="A339" s="123"/>
      <c r="B339" s="854" t="str">
        <f>MATERIALES2!$C$284</f>
        <v>ESMALTE SINTETICO PINTULUX</v>
      </c>
      <c r="C339" s="855"/>
      <c r="D339" s="37" t="s">
        <v>556</v>
      </c>
      <c r="E339" s="308">
        <v>0.375</v>
      </c>
      <c r="F339" s="82">
        <f>MATERIALES2!$E$284</f>
        <v>54800</v>
      </c>
      <c r="G339" s="111">
        <f>ROUND(E339*F339,0)</f>
        <v>20550</v>
      </c>
    </row>
    <row r="340" spans="1:8">
      <c r="A340" s="123"/>
      <c r="B340" s="854" t="str">
        <f>MATERIALES2!$C$197</f>
        <v>CERRADURA YALE 5304 ALUMINIO</v>
      </c>
      <c r="C340" s="855"/>
      <c r="D340" s="37" t="s">
        <v>865</v>
      </c>
      <c r="E340" s="83">
        <v>1</v>
      </c>
      <c r="F340" s="82">
        <f>MATERIALES2!$E$197</f>
        <v>36210</v>
      </c>
      <c r="G340" s="111">
        <f>ROUND(E340*F340,0)</f>
        <v>36210</v>
      </c>
    </row>
    <row r="341" spans="1:8">
      <c r="A341" s="123"/>
      <c r="B341" s="854"/>
      <c r="C341" s="855"/>
      <c r="D341" s="37"/>
      <c r="E341" s="83"/>
      <c r="F341" s="82"/>
      <c r="G341" s="111"/>
    </row>
    <row r="342" spans="1:8">
      <c r="A342" s="95"/>
      <c r="B342" s="854"/>
      <c r="C342" s="855"/>
      <c r="D342" s="37"/>
      <c r="E342" s="83"/>
      <c r="F342" s="82"/>
      <c r="G342" s="111"/>
      <c r="H342" s="505" t="s">
        <v>1670</v>
      </c>
    </row>
    <row r="343" spans="1:8">
      <c r="A343" s="95"/>
      <c r="B343" s="938" t="s">
        <v>841</v>
      </c>
      <c r="C343" s="939"/>
      <c r="D343" s="53" t="s">
        <v>841</v>
      </c>
      <c r="E343" s="53"/>
      <c r="F343" s="82"/>
      <c r="G343" s="111"/>
    </row>
    <row r="344" spans="1:8" ht="13.5" thickBot="1">
      <c r="A344" s="95"/>
      <c r="B344" s="942" t="s">
        <v>841</v>
      </c>
      <c r="C344" s="943"/>
      <c r="D344" s="84" t="s">
        <v>841</v>
      </c>
      <c r="E344" s="84"/>
      <c r="F344" s="85"/>
      <c r="G344" s="112"/>
    </row>
    <row r="345" spans="1:8" ht="13.5" thickTop="1">
      <c r="A345" s="95"/>
      <c r="B345" s="946"/>
      <c r="C345" s="947"/>
      <c r="D345" s="801" t="s">
        <v>856</v>
      </c>
      <c r="E345" s="802"/>
      <c r="F345" s="9"/>
      <c r="G345" s="113">
        <f>SUM(G336:G344)</f>
        <v>181090</v>
      </c>
    </row>
    <row r="346" spans="1:8">
      <c r="A346" s="95"/>
      <c r="B346" s="948"/>
      <c r="C346" s="949"/>
      <c r="D346" s="801" t="s">
        <v>857</v>
      </c>
      <c r="E346" s="802"/>
      <c r="F346" s="79">
        <f>'MANO DE OBRA'!$D$60</f>
        <v>0.05</v>
      </c>
      <c r="G346" s="113">
        <f>ROUND(G345*F346,0)</f>
        <v>9055</v>
      </c>
    </row>
    <row r="347" spans="1:8" ht="13.5" thickBot="1">
      <c r="A347" s="95"/>
      <c r="B347" s="948"/>
      <c r="C347" s="949"/>
      <c r="D347" s="803" t="s">
        <v>320</v>
      </c>
      <c r="E347" s="804"/>
      <c r="F347" s="114"/>
      <c r="G347" s="118">
        <f>+G345+G346</f>
        <v>190145</v>
      </c>
    </row>
    <row r="348" spans="1:8" ht="14.25" thickTop="1" thickBot="1">
      <c r="A348" s="95"/>
      <c r="B348" s="970"/>
      <c r="C348" s="970"/>
      <c r="D348" s="970"/>
      <c r="E348" s="970"/>
      <c r="F348" s="970"/>
      <c r="G348" s="970"/>
    </row>
    <row r="349" spans="1:8" ht="13.5" thickTop="1">
      <c r="A349" s="95"/>
      <c r="B349" s="950" t="s">
        <v>858</v>
      </c>
      <c r="C349" s="951"/>
      <c r="D349" s="951"/>
      <c r="E349" s="951"/>
      <c r="F349" s="951"/>
      <c r="G349" s="952"/>
    </row>
    <row r="350" spans="1:8">
      <c r="A350" s="95"/>
      <c r="B350" s="978"/>
      <c r="C350" s="979"/>
      <c r="D350" s="98" t="s">
        <v>301</v>
      </c>
      <c r="E350" s="98" t="s">
        <v>859</v>
      </c>
      <c r="F350" s="99" t="s">
        <v>839</v>
      </c>
      <c r="G350" s="107" t="s">
        <v>840</v>
      </c>
    </row>
    <row r="351" spans="1:8">
      <c r="A351" s="95"/>
      <c r="B351" s="982" t="s">
        <v>838</v>
      </c>
      <c r="C351" s="983"/>
      <c r="D351" s="100" t="s">
        <v>316</v>
      </c>
      <c r="E351" s="100" t="s">
        <v>315</v>
      </c>
      <c r="F351" s="101" t="s">
        <v>306</v>
      </c>
      <c r="G351" s="108" t="s">
        <v>319</v>
      </c>
    </row>
    <row r="352" spans="1:8">
      <c r="A352" s="95"/>
      <c r="B352" s="230"/>
      <c r="C352" s="102"/>
      <c r="D352" s="103"/>
      <c r="E352" s="103" t="s">
        <v>317</v>
      </c>
      <c r="F352" s="104" t="s">
        <v>318</v>
      </c>
      <c r="G352" s="109"/>
    </row>
    <row r="353" spans="1:7">
      <c r="A353" s="95"/>
      <c r="B353" s="841" t="str">
        <f>'MANO DE OBRA'!$B$13</f>
        <v>AYUDANTE CUAD. TIPO DD</v>
      </c>
      <c r="C353" s="842"/>
      <c r="D353" s="87">
        <v>1</v>
      </c>
      <c r="E353" s="80">
        <f>'MANO DE OBRA'!$E$13</f>
        <v>49276</v>
      </c>
      <c r="F353" s="81">
        <v>2.5</v>
      </c>
      <c r="G353" s="110">
        <f>ROUND(D353*E353/F353,0)</f>
        <v>19710</v>
      </c>
    </row>
    <row r="354" spans="1:7">
      <c r="A354" s="95"/>
      <c r="B354" s="854" t="str">
        <f>'MANO DE OBRA'!$B$18</f>
        <v>OFICIAL CUAD. TIPO DD</v>
      </c>
      <c r="C354" s="855"/>
      <c r="D354" s="37">
        <v>1</v>
      </c>
      <c r="E354" s="82">
        <f>'MANO DE OBRA'!$E$18</f>
        <v>85666</v>
      </c>
      <c r="F354" s="83">
        <v>2.5</v>
      </c>
      <c r="G354" s="111">
        <f>ROUND(D354*E354/F354,0)</f>
        <v>34266</v>
      </c>
    </row>
    <row r="355" spans="1:7">
      <c r="A355" s="95"/>
      <c r="B355" s="854"/>
      <c r="C355" s="855"/>
      <c r="D355" s="37"/>
      <c r="E355" s="82"/>
      <c r="F355" s="83"/>
      <c r="G355" s="111"/>
    </row>
    <row r="356" spans="1:7">
      <c r="A356" s="95"/>
      <c r="B356" s="854"/>
      <c r="C356" s="855"/>
      <c r="D356" s="37"/>
      <c r="E356" s="82"/>
      <c r="F356" s="83"/>
      <c r="G356" s="111"/>
    </row>
    <row r="357" spans="1:7" ht="13.5" thickBot="1">
      <c r="A357" s="95"/>
      <c r="B357" s="980"/>
      <c r="C357" s="981"/>
      <c r="D357" s="77"/>
      <c r="E357" s="82"/>
      <c r="F357" s="86"/>
      <c r="G357" s="111"/>
    </row>
    <row r="358" spans="1:7" ht="14.25" thickTop="1" thickBot="1">
      <c r="A358" s="95"/>
      <c r="B358" s="946"/>
      <c r="C358" s="946"/>
      <c r="D358" s="946"/>
      <c r="E358" s="947"/>
      <c r="F358" s="120" t="s">
        <v>856</v>
      </c>
      <c r="G358" s="118">
        <f>SUM(G353:G357)</f>
        <v>53976</v>
      </c>
    </row>
    <row r="359" spans="1:7" ht="14.25" thickTop="1" thickBot="1">
      <c r="A359" s="95"/>
      <c r="B359" s="970"/>
      <c r="C359" s="970"/>
      <c r="D359" s="970"/>
      <c r="E359" s="970"/>
      <c r="F359" s="970"/>
      <c r="G359" s="970"/>
    </row>
    <row r="360" spans="1:7" ht="13.5" thickTop="1">
      <c r="A360" s="95"/>
      <c r="B360" s="950" t="s">
        <v>321</v>
      </c>
      <c r="C360" s="951"/>
      <c r="D360" s="951"/>
      <c r="E360" s="951"/>
      <c r="F360" s="951"/>
      <c r="G360" s="952"/>
    </row>
    <row r="361" spans="1:7">
      <c r="A361" s="95"/>
      <c r="B361" s="978" t="s">
        <v>838</v>
      </c>
      <c r="C361" s="979"/>
      <c r="D361" s="98" t="s">
        <v>301</v>
      </c>
      <c r="E361" s="98" t="s">
        <v>297</v>
      </c>
      <c r="F361" s="99" t="s">
        <v>839</v>
      </c>
      <c r="G361" s="107" t="s">
        <v>840</v>
      </c>
    </row>
    <row r="362" spans="1:7">
      <c r="A362" s="95"/>
      <c r="B362" s="230"/>
      <c r="C362" s="102"/>
      <c r="D362" s="103" t="s">
        <v>322</v>
      </c>
      <c r="E362" s="103" t="s">
        <v>323</v>
      </c>
      <c r="F362" s="104" t="s">
        <v>324</v>
      </c>
      <c r="G362" s="109" t="s">
        <v>325</v>
      </c>
    </row>
    <row r="363" spans="1:7">
      <c r="A363" s="95"/>
      <c r="B363" s="841"/>
      <c r="C363" s="842"/>
      <c r="D363" s="96"/>
      <c r="E363" s="96"/>
      <c r="F363" s="96"/>
      <c r="G363" s="116"/>
    </row>
    <row r="364" spans="1:7" ht="13.5" thickBot="1">
      <c r="A364" s="95"/>
      <c r="B364" s="980" t="s">
        <v>841</v>
      </c>
      <c r="C364" s="981"/>
      <c r="D364" s="77"/>
      <c r="E364" s="82"/>
      <c r="F364" s="86"/>
      <c r="G364" s="112"/>
    </row>
    <row r="365" spans="1:7" ht="14.25" thickTop="1" thickBot="1">
      <c r="A365" s="95"/>
      <c r="B365" s="946"/>
      <c r="C365" s="946"/>
      <c r="D365" s="946"/>
      <c r="E365" s="947"/>
      <c r="F365" s="120" t="s">
        <v>856</v>
      </c>
      <c r="G365" s="118">
        <f>SUM(G360:G364)</f>
        <v>0</v>
      </c>
    </row>
    <row r="366" spans="1:7" ht="14.25" thickTop="1" thickBot="1">
      <c r="A366" s="95"/>
      <c r="B366" s="970"/>
      <c r="C366" s="970"/>
      <c r="D366" s="970"/>
      <c r="E366" s="970"/>
      <c r="F366" s="970"/>
      <c r="G366" s="943"/>
    </row>
    <row r="367" spans="1:7" ht="13.5" thickTop="1">
      <c r="A367" s="95"/>
      <c r="B367" s="950" t="s">
        <v>326</v>
      </c>
      <c r="C367" s="951"/>
      <c r="D367" s="951"/>
      <c r="E367" s="951"/>
      <c r="F367" s="971"/>
      <c r="G367" s="121">
        <f>+G331+G347+G358</f>
        <v>299078</v>
      </c>
    </row>
    <row r="368" spans="1:7">
      <c r="A368" s="95"/>
      <c r="B368" s="972" t="s">
        <v>861</v>
      </c>
      <c r="C368" s="973"/>
      <c r="D368" s="973"/>
      <c r="E368" s="974"/>
      <c r="F368" s="128">
        <f>'MANO DE OBRA'!$D$59</f>
        <v>0</v>
      </c>
      <c r="G368" s="122">
        <f>ROUND(G367*F368,0)</f>
        <v>0</v>
      </c>
    </row>
    <row r="369" spans="1:8" ht="13.5" thickBot="1">
      <c r="A369" s="95"/>
      <c r="B369" s="975" t="s">
        <v>1049</v>
      </c>
      <c r="C369" s="976"/>
      <c r="D369" s="976"/>
      <c r="E369" s="976"/>
      <c r="F369" s="977"/>
      <c r="G369" s="118">
        <f>ROUND(G367+G368,-2)</f>
        <v>299100</v>
      </c>
      <c r="H369" s="505" t="s">
        <v>1670</v>
      </c>
    </row>
    <row r="370" spans="1:8" ht="13.5" thickTop="1">
      <c r="A370" s="95"/>
      <c r="B370" s="225" t="s">
        <v>303</v>
      </c>
      <c r="C370" s="843"/>
      <c r="D370" s="843"/>
      <c r="E370" s="843"/>
      <c r="F370" s="92" t="s">
        <v>781</v>
      </c>
      <c r="G370" s="93" t="s">
        <v>865</v>
      </c>
    </row>
    <row r="371" spans="1:8">
      <c r="A371" s="95"/>
      <c r="B371" s="226" t="s">
        <v>834</v>
      </c>
      <c r="C371" s="844" t="s">
        <v>1506</v>
      </c>
      <c r="D371" s="844"/>
      <c r="E371" s="844"/>
      <c r="F371" s="15" t="s">
        <v>833</v>
      </c>
      <c r="G371" s="165" t="str">
        <f>'MANO DE OBRA'!D61</f>
        <v>Agosto de 2010</v>
      </c>
    </row>
    <row r="372" spans="1:8" ht="13.5" thickBot="1">
      <c r="A372" s="127"/>
      <c r="B372" s="228" t="s">
        <v>835</v>
      </c>
      <c r="C372" s="1001" t="s">
        <v>1512</v>
      </c>
      <c r="D372" s="1001"/>
      <c r="E372" s="1001"/>
      <c r="F372" s="1001"/>
      <c r="G372" s="1002"/>
    </row>
    <row r="373" spans="1:8" ht="14.25" thickTop="1" thickBot="1">
      <c r="A373" s="95"/>
      <c r="B373" s="986"/>
      <c r="C373" s="986"/>
      <c r="D373" s="986"/>
      <c r="E373" s="986"/>
      <c r="F373" s="986"/>
      <c r="G373" s="986"/>
    </row>
    <row r="374" spans="1:8" ht="13.5" thickTop="1">
      <c r="A374" s="95"/>
      <c r="B374" s="950" t="s">
        <v>304</v>
      </c>
      <c r="C374" s="951"/>
      <c r="D374" s="951"/>
      <c r="E374" s="951"/>
      <c r="F374" s="951"/>
      <c r="G374" s="952"/>
    </row>
    <row r="375" spans="1:8">
      <c r="A375" s="95"/>
      <c r="B375" s="229"/>
      <c r="C375" s="97"/>
      <c r="D375" s="98" t="s">
        <v>301</v>
      </c>
      <c r="E375" s="98" t="s">
        <v>1072</v>
      </c>
      <c r="F375" s="99" t="s">
        <v>839</v>
      </c>
      <c r="G375" s="107" t="s">
        <v>840</v>
      </c>
    </row>
    <row r="376" spans="1:8">
      <c r="A376" s="95"/>
      <c r="B376" s="982" t="s">
        <v>838</v>
      </c>
      <c r="C376" s="983"/>
      <c r="D376" s="100" t="s">
        <v>308</v>
      </c>
      <c r="E376" s="100" t="s">
        <v>305</v>
      </c>
      <c r="F376" s="101" t="s">
        <v>306</v>
      </c>
      <c r="G376" s="108" t="s">
        <v>310</v>
      </c>
    </row>
    <row r="377" spans="1:8">
      <c r="A377" s="95"/>
      <c r="B377" s="230"/>
      <c r="C377" s="102"/>
      <c r="D377" s="103"/>
      <c r="E377" s="103" t="s">
        <v>309</v>
      </c>
      <c r="F377" s="104" t="s">
        <v>307</v>
      </c>
      <c r="G377" s="109"/>
    </row>
    <row r="378" spans="1:8">
      <c r="A378" s="127"/>
      <c r="B378" s="841" t="str">
        <f>'MAQUINARIA Y EQUIPOS'!$C$28</f>
        <v>HERRAMIENTAS MENORES</v>
      </c>
      <c r="C378" s="842"/>
      <c r="D378" s="87">
        <v>1</v>
      </c>
      <c r="E378" s="82">
        <f>ROUND(G411*0.05,0)</f>
        <v>4360</v>
      </c>
      <c r="F378" s="81">
        <v>1</v>
      </c>
      <c r="G378" s="110">
        <f>ROUND(D378*E378/F378,0)</f>
        <v>4360</v>
      </c>
    </row>
    <row r="379" spans="1:8">
      <c r="A379" s="127"/>
      <c r="B379" s="854" t="str">
        <f>'MAQUINARIA Y EQUIPOS'!$C$23</f>
        <v>EQUIPO DE SOLDADURA</v>
      </c>
      <c r="C379" s="855"/>
      <c r="D379" s="37">
        <v>1</v>
      </c>
      <c r="E379" s="129">
        <f>'MAQUINARIA Y EQUIPOS'!$D$23</f>
        <v>58000</v>
      </c>
      <c r="F379" s="83">
        <v>4</v>
      </c>
      <c r="G379" s="111">
        <f>ROUND(D379*E379/F379,0)</f>
        <v>14500</v>
      </c>
    </row>
    <row r="380" spans="1:8">
      <c r="A380" s="127"/>
      <c r="B380" s="854" t="str">
        <f>'MAQUINARIA Y EQUIPOS'!$C$43</f>
        <v>PULIDORA</v>
      </c>
      <c r="C380" s="855"/>
      <c r="D380" s="37">
        <v>1</v>
      </c>
      <c r="E380" s="129">
        <f>'MAQUINARIA Y EQUIPOS'!$D$43</f>
        <v>29000</v>
      </c>
      <c r="F380" s="83">
        <v>4</v>
      </c>
      <c r="G380" s="111">
        <f>ROUND(D380*E380/F380,0)</f>
        <v>7250</v>
      </c>
    </row>
    <row r="381" spans="1:8">
      <c r="A381" s="127"/>
      <c r="B381" s="854"/>
      <c r="C381" s="855"/>
      <c r="D381" s="37"/>
      <c r="E381" s="129"/>
      <c r="F381" s="83"/>
      <c r="G381" s="111"/>
    </row>
    <row r="382" spans="1:8">
      <c r="A382" s="95"/>
      <c r="B382" s="854" t="s">
        <v>841</v>
      </c>
      <c r="C382" s="855"/>
      <c r="D382" s="37"/>
      <c r="E382" s="82"/>
      <c r="F382" s="83"/>
      <c r="G382" s="111"/>
    </row>
    <row r="383" spans="1:8" ht="13.5" thickBot="1">
      <c r="A383" s="95"/>
      <c r="B383" s="942" t="s">
        <v>841</v>
      </c>
      <c r="C383" s="943"/>
      <c r="D383" s="77"/>
      <c r="E383" s="106"/>
      <c r="F383" s="86"/>
      <c r="G383" s="112"/>
    </row>
    <row r="384" spans="1:8" ht="14.25" thickTop="1" thickBot="1">
      <c r="A384" s="95"/>
      <c r="B384" s="946"/>
      <c r="C384" s="946"/>
      <c r="D384" s="946"/>
      <c r="E384" s="947"/>
      <c r="F384" s="119" t="s">
        <v>856</v>
      </c>
      <c r="G384" s="118">
        <f>SUM(G378:G383)</f>
        <v>26110</v>
      </c>
    </row>
    <row r="385" spans="1:8" ht="14.25" thickTop="1" thickBot="1">
      <c r="A385" s="95"/>
      <c r="B385" s="970"/>
      <c r="C385" s="970"/>
      <c r="D385" s="970"/>
      <c r="E385" s="970"/>
      <c r="F385" s="970"/>
      <c r="G385" s="970"/>
    </row>
    <row r="386" spans="1:8" ht="13.5" thickTop="1">
      <c r="A386" s="95"/>
      <c r="B386" s="950" t="s">
        <v>311</v>
      </c>
      <c r="C386" s="951"/>
      <c r="D386" s="951"/>
      <c r="E386" s="951"/>
      <c r="F386" s="951"/>
      <c r="G386" s="952"/>
    </row>
    <row r="387" spans="1:8">
      <c r="A387" s="95"/>
      <c r="B387" s="978" t="s">
        <v>838</v>
      </c>
      <c r="C387" s="979"/>
      <c r="D387" s="98" t="s">
        <v>842</v>
      </c>
      <c r="E387" s="98" t="s">
        <v>853</v>
      </c>
      <c r="F387" s="99" t="s">
        <v>1047</v>
      </c>
      <c r="G387" s="107" t="s">
        <v>840</v>
      </c>
    </row>
    <row r="388" spans="1:8">
      <c r="A388" s="95"/>
      <c r="B388" s="230"/>
      <c r="C388" s="102"/>
      <c r="D388" s="100"/>
      <c r="E388" s="100" t="s">
        <v>312</v>
      </c>
      <c r="F388" s="101" t="s">
        <v>313</v>
      </c>
      <c r="G388" s="108" t="s">
        <v>314</v>
      </c>
    </row>
    <row r="389" spans="1:8">
      <c r="A389" s="123"/>
      <c r="B389" s="841" t="str">
        <f>MATERIALES2!$C$236</f>
        <v>TUBO 1"x1"x6.00 M</v>
      </c>
      <c r="C389" s="842"/>
      <c r="D389" s="87" t="s">
        <v>865</v>
      </c>
      <c r="E389" s="81">
        <v>0.93</v>
      </c>
      <c r="F389" s="80">
        <f>MATERIALES2!$E$236</f>
        <v>5300</v>
      </c>
      <c r="G389" s="110">
        <f t="shared" ref="G389:G395" si="0">ROUND(E389*F389,0)</f>
        <v>4929</v>
      </c>
    </row>
    <row r="390" spans="1:8">
      <c r="A390" s="123"/>
      <c r="B390" s="854" t="str">
        <f>MATERIALES2!$C$251</f>
        <v>SOLDADURA 6013 3/32</v>
      </c>
      <c r="C390" s="855"/>
      <c r="D390" s="37" t="s">
        <v>925</v>
      </c>
      <c r="E390" s="83">
        <v>0.75</v>
      </c>
      <c r="F390" s="82">
        <f>MATERIALES2!$E$251</f>
        <v>8000</v>
      </c>
      <c r="G390" s="111">
        <f t="shared" si="0"/>
        <v>6000</v>
      </c>
    </row>
    <row r="391" spans="1:8">
      <c r="A391" s="123"/>
      <c r="B391" s="854" t="str">
        <f>MATERIALES2!$C$269</f>
        <v>ANTICORROSIVO OXIDO DE HIERRO ROJO 310</v>
      </c>
      <c r="C391" s="855"/>
      <c r="D391" s="37" t="s">
        <v>556</v>
      </c>
      <c r="E391" s="308">
        <v>0.25</v>
      </c>
      <c r="F391" s="82">
        <f>MATERIALES2!$E$269</f>
        <v>31800</v>
      </c>
      <c r="G391" s="111">
        <f t="shared" si="0"/>
        <v>7950</v>
      </c>
    </row>
    <row r="392" spans="1:8">
      <c r="A392" s="123"/>
      <c r="B392" s="854" t="str">
        <f>MATERIALES2!$C$284</f>
        <v>ESMALTE SINTETICO PINTULUX</v>
      </c>
      <c r="C392" s="855"/>
      <c r="D392" s="37" t="s">
        <v>556</v>
      </c>
      <c r="E392" s="308">
        <v>0.125</v>
      </c>
      <c r="F392" s="82">
        <f>MATERIALES2!$E$284</f>
        <v>54800</v>
      </c>
      <c r="G392" s="111">
        <f t="shared" si="0"/>
        <v>6850</v>
      </c>
    </row>
    <row r="393" spans="1:8">
      <c r="A393" s="123"/>
      <c r="B393" s="854" t="str">
        <f>MATERIALES2!$C$246</f>
        <v>PLATINA 3/4"x1/8"x6.0 M</v>
      </c>
      <c r="C393" s="855"/>
      <c r="D393" s="37" t="s">
        <v>865</v>
      </c>
      <c r="E393" s="83">
        <v>1.26</v>
      </c>
      <c r="F393" s="82">
        <f>MATERIALES2!$E$246</f>
        <v>5600</v>
      </c>
      <c r="G393" s="111">
        <f t="shared" si="0"/>
        <v>7056</v>
      </c>
    </row>
    <row r="394" spans="1:8">
      <c r="A394" s="123"/>
      <c r="B394" s="854" t="str">
        <f>MATERIALES2!$C$247</f>
        <v>PLATINA 1/2"x1/8"x6.0 M</v>
      </c>
      <c r="C394" s="855"/>
      <c r="D394" s="37" t="s">
        <v>865</v>
      </c>
      <c r="E394" s="83">
        <v>1.33</v>
      </c>
      <c r="F394" s="82">
        <f>MATERIALES2!$E$247</f>
        <v>1500</v>
      </c>
      <c r="G394" s="111">
        <f t="shared" si="0"/>
        <v>1995</v>
      </c>
    </row>
    <row r="395" spans="1:8">
      <c r="A395" s="123"/>
      <c r="B395" s="854" t="str">
        <f>MATERIALES2!$C$239</f>
        <v>RODACHINES</v>
      </c>
      <c r="C395" s="855"/>
      <c r="D395" s="37" t="s">
        <v>865</v>
      </c>
      <c r="E395" s="83">
        <v>2</v>
      </c>
      <c r="F395" s="82">
        <f>MATERIALES2!$E$239</f>
        <v>1200</v>
      </c>
      <c r="G395" s="111">
        <f t="shared" si="0"/>
        <v>2400</v>
      </c>
      <c r="H395" s="505" t="s">
        <v>1670</v>
      </c>
    </row>
    <row r="396" spans="1:8">
      <c r="A396" s="123"/>
      <c r="B396" s="854" t="str">
        <f>MATERIALES2!$C$229</f>
        <v>LAMINA COL ROL CALIBRE 18 1.00x2.00</v>
      </c>
      <c r="C396" s="855"/>
      <c r="D396" s="37" t="s">
        <v>865</v>
      </c>
      <c r="E396" s="83">
        <f>ROUND(1.6*1.2*0.4,2)</f>
        <v>0.77</v>
      </c>
      <c r="F396" s="82">
        <f>MATERIALES2!$E$229</f>
        <v>36500</v>
      </c>
      <c r="G396" s="111">
        <f>ROUND(E396*F396,0)</f>
        <v>28105</v>
      </c>
    </row>
    <row r="397" spans="1:8" ht="13.5" thickBot="1">
      <c r="A397" s="95"/>
      <c r="B397" s="942" t="s">
        <v>841</v>
      </c>
      <c r="C397" s="943"/>
      <c r="D397" s="84" t="s">
        <v>841</v>
      </c>
      <c r="E397" s="84"/>
      <c r="F397" s="85"/>
      <c r="G397" s="112"/>
    </row>
    <row r="398" spans="1:8" ht="13.5" thickTop="1">
      <c r="A398" s="95"/>
      <c r="B398" s="946"/>
      <c r="C398" s="947"/>
      <c r="D398" s="801" t="s">
        <v>856</v>
      </c>
      <c r="E398" s="802"/>
      <c r="F398" s="9"/>
      <c r="G398" s="113">
        <f>SUM(G389:G397)</f>
        <v>65285</v>
      </c>
    </row>
    <row r="399" spans="1:8">
      <c r="A399" s="95"/>
      <c r="B399" s="948"/>
      <c r="C399" s="949"/>
      <c r="D399" s="801" t="s">
        <v>857</v>
      </c>
      <c r="E399" s="802"/>
      <c r="F399" s="79">
        <f>'MANO DE OBRA'!$D$60</f>
        <v>0.05</v>
      </c>
      <c r="G399" s="113">
        <f>ROUND(G398*F399,0)</f>
        <v>3264</v>
      </c>
    </row>
    <row r="400" spans="1:8" ht="13.5" thickBot="1">
      <c r="A400" s="95"/>
      <c r="B400" s="948"/>
      <c r="C400" s="949"/>
      <c r="D400" s="803" t="s">
        <v>320</v>
      </c>
      <c r="E400" s="804"/>
      <c r="F400" s="114"/>
      <c r="G400" s="118">
        <f>+G398+G399</f>
        <v>68549</v>
      </c>
    </row>
    <row r="401" spans="1:7" ht="14.25" thickTop="1" thickBot="1">
      <c r="A401" s="95"/>
      <c r="B401" s="970"/>
      <c r="C401" s="970"/>
      <c r="D401" s="970"/>
      <c r="E401" s="970"/>
      <c r="F401" s="970"/>
      <c r="G401" s="970"/>
    </row>
    <row r="402" spans="1:7" ht="13.5" thickTop="1">
      <c r="A402" s="95"/>
      <c r="B402" s="950" t="s">
        <v>858</v>
      </c>
      <c r="C402" s="951"/>
      <c r="D402" s="951"/>
      <c r="E402" s="951"/>
      <c r="F402" s="951"/>
      <c r="G402" s="952"/>
    </row>
    <row r="403" spans="1:7">
      <c r="A403" s="95"/>
      <c r="B403" s="978"/>
      <c r="C403" s="979"/>
      <c r="D403" s="98" t="s">
        <v>301</v>
      </c>
      <c r="E403" s="98" t="s">
        <v>859</v>
      </c>
      <c r="F403" s="99" t="s">
        <v>839</v>
      </c>
      <c r="G403" s="107" t="s">
        <v>840</v>
      </c>
    </row>
    <row r="404" spans="1:7">
      <c r="A404" s="95"/>
      <c r="B404" s="982" t="s">
        <v>838</v>
      </c>
      <c r="C404" s="983"/>
      <c r="D404" s="100" t="s">
        <v>316</v>
      </c>
      <c r="E404" s="100" t="s">
        <v>315</v>
      </c>
      <c r="F404" s="101" t="s">
        <v>306</v>
      </c>
      <c r="G404" s="108" t="s">
        <v>319</v>
      </c>
    </row>
    <row r="405" spans="1:7">
      <c r="A405" s="95"/>
      <c r="B405" s="230"/>
      <c r="C405" s="102"/>
      <c r="D405" s="103"/>
      <c r="E405" s="103" t="s">
        <v>317</v>
      </c>
      <c r="F405" s="104" t="s">
        <v>318</v>
      </c>
      <c r="G405" s="109"/>
    </row>
    <row r="406" spans="1:7">
      <c r="A406" s="95"/>
      <c r="B406" s="841" t="str">
        <f>'MANO DE OBRA'!$B$13</f>
        <v>AYUDANTE CUAD. TIPO DD</v>
      </c>
      <c r="C406" s="842"/>
      <c r="D406" s="87">
        <v>1</v>
      </c>
      <c r="E406" s="80">
        <f>'MANO DE OBRA'!$E$13</f>
        <v>49276</v>
      </c>
      <c r="F406" s="81">
        <v>3</v>
      </c>
      <c r="G406" s="110">
        <f>ROUND(D406*E406/F406,0)</f>
        <v>16425</v>
      </c>
    </row>
    <row r="407" spans="1:7">
      <c r="A407" s="95"/>
      <c r="B407" s="854" t="str">
        <f>'MANO DE OBRA'!$B$18</f>
        <v>OFICIAL CUAD. TIPO DD</v>
      </c>
      <c r="C407" s="855"/>
      <c r="D407" s="37">
        <v>1</v>
      </c>
      <c r="E407" s="82">
        <f>'MANO DE OBRA'!$E$18</f>
        <v>85666</v>
      </c>
      <c r="F407" s="83">
        <v>3</v>
      </c>
      <c r="G407" s="111">
        <f>ROUND(D407*E407/F407,0)</f>
        <v>28555</v>
      </c>
    </row>
    <row r="408" spans="1:7">
      <c r="A408" s="95"/>
      <c r="B408" s="854" t="str">
        <f>'MANO DE OBRA'!$B$17</f>
        <v>OFICIAL CUAD. TIPO CC</v>
      </c>
      <c r="C408" s="855"/>
      <c r="D408" s="37">
        <v>1</v>
      </c>
      <c r="E408" s="82">
        <f>'MANO DE OBRA'!$E$17</f>
        <v>82117</v>
      </c>
      <c r="F408" s="83">
        <v>12</v>
      </c>
      <c r="G408" s="111">
        <f>ROUND(D408*E408/F408,0)</f>
        <v>6843</v>
      </c>
    </row>
    <row r="409" spans="1:7">
      <c r="A409" s="95"/>
      <c r="B409" s="854" t="str">
        <f>'MANO DE OBRA'!$B$10</f>
        <v>AYUDANTE CUAD. TIPO AA</v>
      </c>
      <c r="C409" s="855"/>
      <c r="D409" s="37">
        <v>1</v>
      </c>
      <c r="E409" s="82">
        <f>'MANO DE OBRA'!$E$10</f>
        <v>34680</v>
      </c>
      <c r="F409" s="83">
        <v>3</v>
      </c>
      <c r="G409" s="111">
        <f>ROUND(D409*E409/F409,0)</f>
        <v>11560</v>
      </c>
    </row>
    <row r="410" spans="1:7" ht="13.5" thickBot="1">
      <c r="A410" s="95"/>
      <c r="B410" s="980" t="str">
        <f>'MANO DE OBRA'!$B$15</f>
        <v xml:space="preserve">OFICIAL CUAD. TIPO AA </v>
      </c>
      <c r="C410" s="981"/>
      <c r="D410" s="77">
        <v>1</v>
      </c>
      <c r="E410" s="82">
        <f>'MANO DE OBRA'!$E$15</f>
        <v>71474</v>
      </c>
      <c r="F410" s="86">
        <v>3</v>
      </c>
      <c r="G410" s="111">
        <f>ROUND(D410*E410/F410,0)</f>
        <v>23825</v>
      </c>
    </row>
    <row r="411" spans="1:7" ht="14.25" thickTop="1" thickBot="1">
      <c r="A411" s="95"/>
      <c r="B411" s="946"/>
      <c r="C411" s="946"/>
      <c r="D411" s="946"/>
      <c r="E411" s="947"/>
      <c r="F411" s="120" t="s">
        <v>856</v>
      </c>
      <c r="G411" s="118">
        <f>SUM(G406:G410)</f>
        <v>87208</v>
      </c>
    </row>
    <row r="412" spans="1:7" ht="14.25" thickTop="1" thickBot="1">
      <c r="A412" s="95"/>
      <c r="B412" s="970"/>
      <c r="C412" s="970"/>
      <c r="D412" s="970"/>
      <c r="E412" s="970"/>
      <c r="F412" s="970"/>
      <c r="G412" s="970"/>
    </row>
    <row r="413" spans="1:7" ht="13.5" thickTop="1">
      <c r="A413" s="95"/>
      <c r="B413" s="950" t="s">
        <v>321</v>
      </c>
      <c r="C413" s="951"/>
      <c r="D413" s="951"/>
      <c r="E413" s="951"/>
      <c r="F413" s="951"/>
      <c r="G413" s="952"/>
    </row>
    <row r="414" spans="1:7">
      <c r="A414" s="95"/>
      <c r="B414" s="978" t="s">
        <v>838</v>
      </c>
      <c r="C414" s="979"/>
      <c r="D414" s="98" t="s">
        <v>301</v>
      </c>
      <c r="E414" s="98" t="s">
        <v>297</v>
      </c>
      <c r="F414" s="99" t="s">
        <v>839</v>
      </c>
      <c r="G414" s="107" t="s">
        <v>840</v>
      </c>
    </row>
    <row r="415" spans="1:7">
      <c r="A415" s="95"/>
      <c r="B415" s="230"/>
      <c r="C415" s="102"/>
      <c r="D415" s="103" t="s">
        <v>322</v>
      </c>
      <c r="E415" s="103" t="s">
        <v>323</v>
      </c>
      <c r="F415" s="104" t="s">
        <v>324</v>
      </c>
      <c r="G415" s="109" t="s">
        <v>325</v>
      </c>
    </row>
    <row r="416" spans="1:7">
      <c r="A416" s="95"/>
      <c r="B416" s="841"/>
      <c r="C416" s="842"/>
      <c r="D416" s="96"/>
      <c r="E416" s="96"/>
      <c r="F416" s="96"/>
      <c r="G416" s="116"/>
    </row>
    <row r="417" spans="1:8" ht="13.5" thickBot="1">
      <c r="A417" s="95"/>
      <c r="B417" s="980" t="s">
        <v>841</v>
      </c>
      <c r="C417" s="981"/>
      <c r="D417" s="77"/>
      <c r="E417" s="82"/>
      <c r="F417" s="86"/>
      <c r="G417" s="112"/>
    </row>
    <row r="418" spans="1:8" ht="14.25" thickTop="1" thickBot="1">
      <c r="A418" s="95"/>
      <c r="B418" s="946"/>
      <c r="C418" s="946"/>
      <c r="D418" s="946"/>
      <c r="E418" s="947"/>
      <c r="F418" s="120" t="s">
        <v>856</v>
      </c>
      <c r="G418" s="118">
        <f>SUM(G413:G417)</f>
        <v>0</v>
      </c>
    </row>
    <row r="419" spans="1:8" ht="14.25" thickTop="1" thickBot="1">
      <c r="A419" s="95"/>
      <c r="B419" s="970"/>
      <c r="C419" s="970"/>
      <c r="D419" s="970"/>
      <c r="E419" s="970"/>
      <c r="F419" s="970"/>
      <c r="G419" s="943"/>
    </row>
    <row r="420" spans="1:8" ht="13.5" thickTop="1">
      <c r="A420" s="95"/>
      <c r="B420" s="950" t="s">
        <v>326</v>
      </c>
      <c r="C420" s="951"/>
      <c r="D420" s="951"/>
      <c r="E420" s="951"/>
      <c r="F420" s="971"/>
      <c r="G420" s="121">
        <f>+G384+G400+G411</f>
        <v>181867</v>
      </c>
    </row>
    <row r="421" spans="1:8">
      <c r="A421" s="95"/>
      <c r="B421" s="972" t="s">
        <v>861</v>
      </c>
      <c r="C421" s="973"/>
      <c r="D421" s="973"/>
      <c r="E421" s="974"/>
      <c r="F421" s="128">
        <f>'MANO DE OBRA'!$D$59</f>
        <v>0</v>
      </c>
      <c r="G421" s="122">
        <f>ROUND(G420*F421,0)</f>
        <v>0</v>
      </c>
    </row>
    <row r="422" spans="1:8" ht="13.5" thickBot="1">
      <c r="A422" s="95"/>
      <c r="B422" s="975" t="s">
        <v>1049</v>
      </c>
      <c r="C422" s="976"/>
      <c r="D422" s="976"/>
      <c r="E422" s="976"/>
      <c r="F422" s="977"/>
      <c r="G422" s="118">
        <f>ROUND(G420+G421,-2)</f>
        <v>181900</v>
      </c>
      <c r="H422" s="505" t="s">
        <v>1670</v>
      </c>
    </row>
    <row r="423" spans="1:8" ht="13.5" thickTop="1">
      <c r="A423" s="95"/>
      <c r="B423" s="225" t="s">
        <v>303</v>
      </c>
      <c r="C423" s="843"/>
      <c r="D423" s="843"/>
      <c r="E423" s="843"/>
      <c r="F423" s="92" t="s">
        <v>781</v>
      </c>
      <c r="G423" s="93" t="s">
        <v>865</v>
      </c>
    </row>
    <row r="424" spans="1:8">
      <c r="A424" s="95"/>
      <c r="B424" s="226" t="s">
        <v>834</v>
      </c>
      <c r="C424" s="844" t="s">
        <v>1506</v>
      </c>
      <c r="D424" s="844"/>
      <c r="E424" s="844"/>
      <c r="F424" s="15" t="s">
        <v>833</v>
      </c>
      <c r="G424" s="165" t="str">
        <f>'MANO DE OBRA'!D61</f>
        <v>Agosto de 2010</v>
      </c>
    </row>
    <row r="425" spans="1:8" ht="27.75" customHeight="1" thickBot="1">
      <c r="A425" s="236"/>
      <c r="B425" s="240" t="s">
        <v>835</v>
      </c>
      <c r="C425" s="995" t="s">
        <v>1513</v>
      </c>
      <c r="D425" s="995"/>
      <c r="E425" s="995"/>
      <c r="F425" s="995"/>
      <c r="G425" s="996"/>
    </row>
    <row r="426" spans="1:8" ht="14.25" thickTop="1" thickBot="1">
      <c r="A426" s="95"/>
      <c r="B426" s="986"/>
      <c r="C426" s="986"/>
      <c r="D426" s="986"/>
      <c r="E426" s="986"/>
      <c r="F426" s="986"/>
      <c r="G426" s="986"/>
    </row>
    <row r="427" spans="1:8" ht="13.5" thickTop="1">
      <c r="A427" s="95"/>
      <c r="B427" s="950" t="s">
        <v>304</v>
      </c>
      <c r="C427" s="951"/>
      <c r="D427" s="951"/>
      <c r="E427" s="951"/>
      <c r="F427" s="951"/>
      <c r="G427" s="952"/>
    </row>
    <row r="428" spans="1:8">
      <c r="A428" s="95"/>
      <c r="B428" s="229"/>
      <c r="C428" s="97"/>
      <c r="D428" s="98" t="s">
        <v>301</v>
      </c>
      <c r="E428" s="98" t="s">
        <v>1072</v>
      </c>
      <c r="F428" s="99" t="s">
        <v>839</v>
      </c>
      <c r="G428" s="107" t="s">
        <v>840</v>
      </c>
    </row>
    <row r="429" spans="1:8">
      <c r="A429" s="95"/>
      <c r="B429" s="982" t="s">
        <v>838</v>
      </c>
      <c r="C429" s="983"/>
      <c r="D429" s="100" t="s">
        <v>308</v>
      </c>
      <c r="E429" s="100" t="s">
        <v>305</v>
      </c>
      <c r="F429" s="101" t="s">
        <v>306</v>
      </c>
      <c r="G429" s="108" t="s">
        <v>310</v>
      </c>
    </row>
    <row r="430" spans="1:8">
      <c r="A430" s="95"/>
      <c r="B430" s="230"/>
      <c r="C430" s="102"/>
      <c r="D430" s="103"/>
      <c r="E430" s="103" t="s">
        <v>309</v>
      </c>
      <c r="F430" s="104" t="s">
        <v>307</v>
      </c>
      <c r="G430" s="109"/>
    </row>
    <row r="431" spans="1:8">
      <c r="A431" s="127"/>
      <c r="B431" s="841" t="str">
        <f>'MAQUINARIA Y EQUIPOS'!$C$28</f>
        <v>HERRAMIENTAS MENORES</v>
      </c>
      <c r="C431" s="842"/>
      <c r="D431" s="87">
        <v>1</v>
      </c>
      <c r="E431" s="82">
        <f>ROUND(G463*0.05,0)</f>
        <v>4926</v>
      </c>
      <c r="F431" s="81">
        <v>1</v>
      </c>
      <c r="G431" s="110">
        <f>ROUND(D431*E431/F431,0)</f>
        <v>4926</v>
      </c>
    </row>
    <row r="432" spans="1:8">
      <c r="A432" s="127"/>
      <c r="B432" s="854" t="str">
        <f>'MAQUINARIA Y EQUIPOS'!$C$23</f>
        <v>EQUIPO DE SOLDADURA</v>
      </c>
      <c r="C432" s="855"/>
      <c r="D432" s="37">
        <v>1</v>
      </c>
      <c r="E432" s="129">
        <f>'MAQUINARIA Y EQUIPOS'!$D$23</f>
        <v>58000</v>
      </c>
      <c r="F432" s="83">
        <v>2.67</v>
      </c>
      <c r="G432" s="111">
        <f>ROUND(D432*E432/F432,0)</f>
        <v>21723</v>
      </c>
    </row>
    <row r="433" spans="1:8">
      <c r="A433" s="127"/>
      <c r="B433" s="854" t="str">
        <f>'MAQUINARIA Y EQUIPOS'!$C$43</f>
        <v>PULIDORA</v>
      </c>
      <c r="C433" s="855"/>
      <c r="D433" s="37">
        <v>1</v>
      </c>
      <c r="E433" s="129">
        <f>'MAQUINARIA Y EQUIPOS'!$D$43</f>
        <v>29000</v>
      </c>
      <c r="F433" s="83">
        <v>8</v>
      </c>
      <c r="G433" s="111">
        <f>ROUND(D433*E433/F433,0)</f>
        <v>3625</v>
      </c>
    </row>
    <row r="434" spans="1:8">
      <c r="A434" s="127"/>
      <c r="B434" s="854" t="str">
        <f>'MAQUINARIA Y EQUIPOS'!$C$20</f>
        <v>DOBLADORA, CADA DOBLES</v>
      </c>
      <c r="C434" s="855"/>
      <c r="D434" s="37">
        <v>30</v>
      </c>
      <c r="E434" s="129">
        <f>'MAQUINARIA Y EQUIPOS'!$D$20</f>
        <v>348</v>
      </c>
      <c r="F434" s="83">
        <v>1</v>
      </c>
      <c r="G434" s="111">
        <f>ROUND(D434*E434/F434,0)</f>
        <v>10440</v>
      </c>
    </row>
    <row r="435" spans="1:8" ht="13.5" thickBot="1">
      <c r="A435" s="95"/>
      <c r="B435" s="942" t="s">
        <v>841</v>
      </c>
      <c r="C435" s="943"/>
      <c r="D435" s="77"/>
      <c r="E435" s="106"/>
      <c r="F435" s="86"/>
      <c r="G435" s="112"/>
    </row>
    <row r="436" spans="1:8" ht="14.25" thickTop="1" thickBot="1">
      <c r="A436" s="95"/>
      <c r="B436" s="946"/>
      <c r="C436" s="946"/>
      <c r="D436" s="946"/>
      <c r="E436" s="947"/>
      <c r="F436" s="119" t="s">
        <v>856</v>
      </c>
      <c r="G436" s="118">
        <f>SUM(G431:G435)</f>
        <v>40714</v>
      </c>
    </row>
    <row r="437" spans="1:8" ht="14.25" thickTop="1" thickBot="1">
      <c r="A437" s="95"/>
      <c r="B437" s="970"/>
      <c r="C437" s="970"/>
      <c r="D437" s="970"/>
      <c r="E437" s="970"/>
      <c r="F437" s="970"/>
      <c r="G437" s="970"/>
    </row>
    <row r="438" spans="1:8" ht="13.5" thickTop="1">
      <c r="A438" s="95"/>
      <c r="B438" s="950" t="s">
        <v>311</v>
      </c>
      <c r="C438" s="951"/>
      <c r="D438" s="951"/>
      <c r="E438" s="951"/>
      <c r="F438" s="951"/>
      <c r="G438" s="952"/>
    </row>
    <row r="439" spans="1:8">
      <c r="A439" s="95"/>
      <c r="B439" s="978" t="s">
        <v>838</v>
      </c>
      <c r="C439" s="979"/>
      <c r="D439" s="98" t="s">
        <v>842</v>
      </c>
      <c r="E439" s="98" t="s">
        <v>853</v>
      </c>
      <c r="F439" s="99" t="s">
        <v>1047</v>
      </c>
      <c r="G439" s="107" t="s">
        <v>840</v>
      </c>
    </row>
    <row r="440" spans="1:8">
      <c r="A440" s="95"/>
      <c r="B440" s="230"/>
      <c r="C440" s="102"/>
      <c r="D440" s="100"/>
      <c r="E440" s="100" t="s">
        <v>312</v>
      </c>
      <c r="F440" s="101" t="s">
        <v>313</v>
      </c>
      <c r="G440" s="108" t="s">
        <v>314</v>
      </c>
    </row>
    <row r="441" spans="1:8">
      <c r="A441" s="123"/>
      <c r="B441" s="841" t="str">
        <f>MATERIALES2!$C$242</f>
        <v>ANGULO DE 3/4"x1/8"x6.0 M</v>
      </c>
      <c r="C441" s="842"/>
      <c r="D441" s="87" t="s">
        <v>865</v>
      </c>
      <c r="E441" s="81">
        <v>0.53</v>
      </c>
      <c r="F441" s="80">
        <f>MATERIALES2!$E$242</f>
        <v>11000</v>
      </c>
      <c r="G441" s="110">
        <f t="shared" ref="G441:G447" si="1">ROUND(E441*F441,0)</f>
        <v>5830</v>
      </c>
    </row>
    <row r="442" spans="1:8">
      <c r="A442" s="123"/>
      <c r="B442" s="854" t="str">
        <f>MATERIALES2!$C$251</f>
        <v>SOLDADURA 6013 3/32</v>
      </c>
      <c r="C442" s="855"/>
      <c r="D442" s="37" t="s">
        <v>925</v>
      </c>
      <c r="E442" s="83">
        <v>0.75</v>
      </c>
      <c r="F442" s="82">
        <f>MATERIALES2!$E$251</f>
        <v>8000</v>
      </c>
      <c r="G442" s="111">
        <f t="shared" si="1"/>
        <v>6000</v>
      </c>
    </row>
    <row r="443" spans="1:8">
      <c r="A443" s="123"/>
      <c r="B443" s="854" t="str">
        <f>MATERIALES2!$C$269</f>
        <v>ANTICORROSIVO OXIDO DE HIERRO ROJO 310</v>
      </c>
      <c r="C443" s="855"/>
      <c r="D443" s="37" t="s">
        <v>556</v>
      </c>
      <c r="E443" s="308">
        <v>0.25</v>
      </c>
      <c r="F443" s="82">
        <f>MATERIALES2!$E$269</f>
        <v>31800</v>
      </c>
      <c r="G443" s="111">
        <f t="shared" si="1"/>
        <v>7950</v>
      </c>
    </row>
    <row r="444" spans="1:8">
      <c r="A444" s="123"/>
      <c r="B444" s="854" t="str">
        <f>MATERIALES2!$C$284</f>
        <v>ESMALTE SINTETICO PINTULUX</v>
      </c>
      <c r="C444" s="855"/>
      <c r="D444" s="37" t="s">
        <v>556</v>
      </c>
      <c r="E444" s="308">
        <v>0.125</v>
      </c>
      <c r="F444" s="82">
        <f>MATERIALES2!$E$284</f>
        <v>54800</v>
      </c>
      <c r="G444" s="111">
        <f t="shared" si="1"/>
        <v>6850</v>
      </c>
    </row>
    <row r="445" spans="1:8">
      <c r="A445" s="123"/>
      <c r="B445" s="854" t="str">
        <f>MATERIALES2!$C$248</f>
        <v>GOZNES 3"</v>
      </c>
      <c r="C445" s="855"/>
      <c r="D445" s="37" t="s">
        <v>865</v>
      </c>
      <c r="E445" s="83">
        <v>2</v>
      </c>
      <c r="F445" s="82">
        <f>MATERIALES2!$E$248</f>
        <v>400</v>
      </c>
      <c r="G445" s="111">
        <f t="shared" si="1"/>
        <v>800</v>
      </c>
    </row>
    <row r="446" spans="1:8">
      <c r="A446" s="123"/>
      <c r="B446" s="854" t="str">
        <f>MATERIALES2!$C$235</f>
        <v>MANIJA PARA VENTANA</v>
      </c>
      <c r="C446" s="855"/>
      <c r="D446" s="37" t="s">
        <v>865</v>
      </c>
      <c r="E446" s="83">
        <v>1</v>
      </c>
      <c r="F446" s="82">
        <f>MATERIALES2!$E$235</f>
        <v>3000</v>
      </c>
      <c r="G446" s="111">
        <f t="shared" si="1"/>
        <v>3000</v>
      </c>
    </row>
    <row r="447" spans="1:8">
      <c r="A447" s="123"/>
      <c r="B447" s="854" t="str">
        <f>MATERIALES2!$C$229</f>
        <v>LAMINA COL ROL CALIBRE 18 1.00x2.00</v>
      </c>
      <c r="C447" s="855"/>
      <c r="D447" s="37" t="s">
        <v>865</v>
      </c>
      <c r="E447" s="83">
        <v>0.96</v>
      </c>
      <c r="F447" s="82">
        <f>MATERIALES2!$E$229</f>
        <v>36500</v>
      </c>
      <c r="G447" s="111">
        <f t="shared" si="1"/>
        <v>35040</v>
      </c>
      <c r="H447" s="505" t="s">
        <v>1670</v>
      </c>
    </row>
    <row r="448" spans="1:8">
      <c r="A448" s="123"/>
      <c r="B448" s="854"/>
      <c r="C448" s="855"/>
      <c r="D448" s="37"/>
      <c r="E448" s="83"/>
      <c r="F448" s="82"/>
      <c r="G448" s="111"/>
    </row>
    <row r="449" spans="1:7" ht="13.5" thickBot="1">
      <c r="A449" s="95"/>
      <c r="B449" s="942" t="s">
        <v>841</v>
      </c>
      <c r="C449" s="943"/>
      <c r="D449" s="84" t="s">
        <v>841</v>
      </c>
      <c r="E449" s="84"/>
      <c r="F449" s="85"/>
      <c r="G449" s="112"/>
    </row>
    <row r="450" spans="1:7" ht="13.5" thickTop="1">
      <c r="A450" s="95"/>
      <c r="B450" s="946"/>
      <c r="C450" s="947"/>
      <c r="D450" s="801" t="s">
        <v>856</v>
      </c>
      <c r="E450" s="802"/>
      <c r="F450" s="9"/>
      <c r="G450" s="113">
        <f>SUM(G441:G449)</f>
        <v>65470</v>
      </c>
    </row>
    <row r="451" spans="1:7">
      <c r="A451" s="95"/>
      <c r="B451" s="948"/>
      <c r="C451" s="949"/>
      <c r="D451" s="801" t="s">
        <v>857</v>
      </c>
      <c r="E451" s="802"/>
      <c r="F451" s="79">
        <f>'MANO DE OBRA'!$D$60</f>
        <v>0.05</v>
      </c>
      <c r="G451" s="113">
        <f>ROUND(G450*F451,0)</f>
        <v>3274</v>
      </c>
    </row>
    <row r="452" spans="1:7" ht="13.5" thickBot="1">
      <c r="A452" s="95"/>
      <c r="B452" s="948"/>
      <c r="C452" s="949"/>
      <c r="D452" s="803" t="s">
        <v>320</v>
      </c>
      <c r="E452" s="804"/>
      <c r="F452" s="114"/>
      <c r="G452" s="118">
        <f>+G450+G451</f>
        <v>68744</v>
      </c>
    </row>
    <row r="453" spans="1:7" ht="14.25" thickTop="1" thickBot="1">
      <c r="A453" s="95"/>
      <c r="B453" s="970"/>
      <c r="C453" s="970"/>
      <c r="D453" s="970"/>
      <c r="E453" s="970"/>
      <c r="F453" s="970"/>
      <c r="G453" s="970"/>
    </row>
    <row r="454" spans="1:7" ht="13.5" thickTop="1">
      <c r="A454" s="95"/>
      <c r="B454" s="950" t="s">
        <v>858</v>
      </c>
      <c r="C454" s="951"/>
      <c r="D454" s="951"/>
      <c r="E454" s="951"/>
      <c r="F454" s="951"/>
      <c r="G454" s="952"/>
    </row>
    <row r="455" spans="1:7">
      <c r="A455" s="95"/>
      <c r="B455" s="978"/>
      <c r="C455" s="979"/>
      <c r="D455" s="98" t="s">
        <v>301</v>
      </c>
      <c r="E455" s="98" t="s">
        <v>859</v>
      </c>
      <c r="F455" s="99" t="s">
        <v>839</v>
      </c>
      <c r="G455" s="107" t="s">
        <v>840</v>
      </c>
    </row>
    <row r="456" spans="1:7">
      <c r="A456" s="95"/>
      <c r="B456" s="982" t="s">
        <v>838</v>
      </c>
      <c r="C456" s="983"/>
      <c r="D456" s="100" t="s">
        <v>316</v>
      </c>
      <c r="E456" s="100" t="s">
        <v>315</v>
      </c>
      <c r="F456" s="101" t="s">
        <v>306</v>
      </c>
      <c r="G456" s="108" t="s">
        <v>319</v>
      </c>
    </row>
    <row r="457" spans="1:7">
      <c r="A457" s="95"/>
      <c r="B457" s="230"/>
      <c r="C457" s="102"/>
      <c r="D457" s="103"/>
      <c r="E457" s="103" t="s">
        <v>317</v>
      </c>
      <c r="F457" s="104" t="s">
        <v>318</v>
      </c>
      <c r="G457" s="109"/>
    </row>
    <row r="458" spans="1:7">
      <c r="A458" s="95"/>
      <c r="B458" s="841" t="str">
        <f>'MANO DE OBRA'!$B$13</f>
        <v>AYUDANTE CUAD. TIPO DD</v>
      </c>
      <c r="C458" s="842"/>
      <c r="D458" s="87">
        <v>1</v>
      </c>
      <c r="E458" s="80">
        <f>'MANO DE OBRA'!$E$13</f>
        <v>49276</v>
      </c>
      <c r="F458" s="81">
        <v>2.2000000000000002</v>
      </c>
      <c r="G458" s="110">
        <f>ROUND(D458*E458/F458,0)</f>
        <v>22398</v>
      </c>
    </row>
    <row r="459" spans="1:7">
      <c r="A459" s="95"/>
      <c r="B459" s="854" t="str">
        <f>'MANO DE OBRA'!$B$18</f>
        <v>OFICIAL CUAD. TIPO DD</v>
      </c>
      <c r="C459" s="855"/>
      <c r="D459" s="37">
        <v>1</v>
      </c>
      <c r="E459" s="82">
        <f>'MANO DE OBRA'!$E$18</f>
        <v>85666</v>
      </c>
      <c r="F459" s="83">
        <v>2.2000000000000002</v>
      </c>
      <c r="G459" s="111">
        <f>ROUND(D459*E459/F459,0)</f>
        <v>38939</v>
      </c>
    </row>
    <row r="460" spans="1:7">
      <c r="A460" s="95"/>
      <c r="B460" s="854" t="str">
        <f>'MANO DE OBRA'!$B$17</f>
        <v>OFICIAL CUAD. TIPO CC</v>
      </c>
      <c r="C460" s="855"/>
      <c r="D460" s="37">
        <v>1</v>
      </c>
      <c r="E460" s="82">
        <f>'MANO DE OBRA'!$E$17</f>
        <v>82117</v>
      </c>
      <c r="F460" s="83">
        <v>12</v>
      </c>
      <c r="G460" s="111">
        <f>ROUND(D460*E460/F460,0)</f>
        <v>6843</v>
      </c>
    </row>
    <row r="461" spans="1:7">
      <c r="A461" s="95"/>
      <c r="B461" s="854" t="str">
        <f>'MANO DE OBRA'!$B$10</f>
        <v>AYUDANTE CUAD. TIPO AA</v>
      </c>
      <c r="C461" s="855"/>
      <c r="D461" s="37">
        <v>1</v>
      </c>
      <c r="E461" s="82">
        <f>'MANO DE OBRA'!$E$10</f>
        <v>34680</v>
      </c>
      <c r="F461" s="83">
        <v>3.5</v>
      </c>
      <c r="G461" s="111">
        <f>ROUND(D461*E461/F461,0)</f>
        <v>9909</v>
      </c>
    </row>
    <row r="462" spans="1:7" ht="13.5" thickBot="1">
      <c r="A462" s="95"/>
      <c r="B462" s="980" t="str">
        <f>'MANO DE OBRA'!$B$15</f>
        <v xml:space="preserve">OFICIAL CUAD. TIPO AA </v>
      </c>
      <c r="C462" s="981"/>
      <c r="D462" s="77">
        <v>1</v>
      </c>
      <c r="E462" s="82">
        <f>'MANO DE OBRA'!$E$15</f>
        <v>71474</v>
      </c>
      <c r="F462" s="86">
        <v>3.5</v>
      </c>
      <c r="G462" s="111">
        <f>ROUND(D462*E462/F462,0)</f>
        <v>20421</v>
      </c>
    </row>
    <row r="463" spans="1:7" ht="14.25" thickTop="1" thickBot="1">
      <c r="A463" s="95"/>
      <c r="B463" s="946"/>
      <c r="C463" s="946"/>
      <c r="D463" s="946"/>
      <c r="E463" s="947"/>
      <c r="F463" s="120" t="s">
        <v>856</v>
      </c>
      <c r="G463" s="118">
        <f>SUM(G458:G462)</f>
        <v>98510</v>
      </c>
    </row>
    <row r="464" spans="1:7" ht="14.25" thickTop="1" thickBot="1">
      <c r="A464" s="95"/>
      <c r="B464" s="970"/>
      <c r="C464" s="970"/>
      <c r="D464" s="970"/>
      <c r="E464" s="970"/>
      <c r="F464" s="970"/>
      <c r="G464" s="970"/>
    </row>
    <row r="465" spans="1:8" ht="13.5" thickTop="1">
      <c r="A465" s="95"/>
      <c r="B465" s="950" t="s">
        <v>321</v>
      </c>
      <c r="C465" s="951"/>
      <c r="D465" s="951"/>
      <c r="E465" s="951"/>
      <c r="F465" s="951"/>
      <c r="G465" s="952"/>
    </row>
    <row r="466" spans="1:8">
      <c r="A466" s="95"/>
      <c r="B466" s="978" t="s">
        <v>838</v>
      </c>
      <c r="C466" s="979"/>
      <c r="D466" s="98" t="s">
        <v>301</v>
      </c>
      <c r="E466" s="98" t="s">
        <v>297</v>
      </c>
      <c r="F466" s="99" t="s">
        <v>839</v>
      </c>
      <c r="G466" s="107" t="s">
        <v>840</v>
      </c>
    </row>
    <row r="467" spans="1:8">
      <c r="A467" s="95"/>
      <c r="B467" s="230"/>
      <c r="C467" s="102"/>
      <c r="D467" s="103" t="s">
        <v>322</v>
      </c>
      <c r="E467" s="103" t="s">
        <v>323</v>
      </c>
      <c r="F467" s="104" t="s">
        <v>324</v>
      </c>
      <c r="G467" s="109" t="s">
        <v>325</v>
      </c>
    </row>
    <row r="468" spans="1:8">
      <c r="A468" s="95"/>
      <c r="B468" s="841"/>
      <c r="C468" s="842"/>
      <c r="D468" s="96"/>
      <c r="E468" s="96"/>
      <c r="F468" s="96"/>
      <c r="G468" s="116"/>
    </row>
    <row r="469" spans="1:8" ht="13.5" thickBot="1">
      <c r="A469" s="95"/>
      <c r="B469" s="980" t="s">
        <v>841</v>
      </c>
      <c r="C469" s="981"/>
      <c r="D469" s="77"/>
      <c r="E469" s="82"/>
      <c r="F469" s="86"/>
      <c r="G469" s="112"/>
    </row>
    <row r="470" spans="1:8" ht="14.25" thickTop="1" thickBot="1">
      <c r="A470" s="95"/>
      <c r="B470" s="946"/>
      <c r="C470" s="946"/>
      <c r="D470" s="946"/>
      <c r="E470" s="947"/>
      <c r="F470" s="120" t="s">
        <v>856</v>
      </c>
      <c r="G470" s="118">
        <f>SUM(G465:G469)</f>
        <v>0</v>
      </c>
    </row>
    <row r="471" spans="1:8" ht="14.25" thickTop="1" thickBot="1">
      <c r="A471" s="95"/>
      <c r="B471" s="970"/>
      <c r="C471" s="970"/>
      <c r="D471" s="970"/>
      <c r="E471" s="970"/>
      <c r="F471" s="970"/>
      <c r="G471" s="943"/>
    </row>
    <row r="472" spans="1:8" ht="13.5" thickTop="1">
      <c r="A472" s="95"/>
      <c r="B472" s="950" t="s">
        <v>326</v>
      </c>
      <c r="C472" s="951"/>
      <c r="D472" s="951"/>
      <c r="E472" s="951"/>
      <c r="F472" s="971"/>
      <c r="G472" s="121">
        <f>+G436+G452+G463</f>
        <v>207968</v>
      </c>
    </row>
    <row r="473" spans="1:8">
      <c r="A473" s="95"/>
      <c r="B473" s="972" t="s">
        <v>861</v>
      </c>
      <c r="C473" s="973"/>
      <c r="D473" s="973"/>
      <c r="E473" s="974"/>
      <c r="F473" s="128">
        <f>'MANO DE OBRA'!$D$59</f>
        <v>0</v>
      </c>
      <c r="G473" s="122">
        <f>ROUND(G472*F473,0)</f>
        <v>0</v>
      </c>
    </row>
    <row r="474" spans="1:8" ht="13.5" thickBot="1">
      <c r="A474" s="95"/>
      <c r="B474" s="975" t="s">
        <v>1049</v>
      </c>
      <c r="C474" s="976"/>
      <c r="D474" s="976"/>
      <c r="E474" s="976"/>
      <c r="F474" s="977"/>
      <c r="G474" s="118">
        <f>ROUND(G472+G473,-2)</f>
        <v>208000</v>
      </c>
      <c r="H474" s="505" t="s">
        <v>1670</v>
      </c>
    </row>
    <row r="475" spans="1:8" ht="13.5" thickTop="1">
      <c r="A475" s="95"/>
      <c r="B475" s="225" t="s">
        <v>303</v>
      </c>
      <c r="C475" s="843"/>
      <c r="D475" s="843"/>
      <c r="E475" s="843"/>
      <c r="F475" s="92" t="s">
        <v>781</v>
      </c>
      <c r="G475" s="93" t="s">
        <v>865</v>
      </c>
    </row>
    <row r="476" spans="1:8">
      <c r="A476" s="95"/>
      <c r="B476" s="226" t="s">
        <v>834</v>
      </c>
      <c r="C476" s="844" t="s">
        <v>1506</v>
      </c>
      <c r="D476" s="844"/>
      <c r="E476" s="844"/>
      <c r="F476" s="15" t="s">
        <v>833</v>
      </c>
      <c r="G476" s="165" t="str">
        <f>'MANO DE OBRA'!D61</f>
        <v>Agosto de 2010</v>
      </c>
    </row>
    <row r="477" spans="1:8" ht="27.75" customHeight="1" thickBot="1">
      <c r="A477" s="236"/>
      <c r="B477" s="240" t="s">
        <v>835</v>
      </c>
      <c r="C477" s="995" t="s">
        <v>1514</v>
      </c>
      <c r="D477" s="995"/>
      <c r="E477" s="995"/>
      <c r="F477" s="995"/>
      <c r="G477" s="996"/>
    </row>
    <row r="478" spans="1:8" ht="14.25" thickTop="1" thickBot="1">
      <c r="A478" s="95"/>
      <c r="B478" s="986"/>
      <c r="C478" s="986"/>
      <c r="D478" s="986"/>
      <c r="E478" s="986"/>
      <c r="F478" s="986"/>
      <c r="G478" s="986"/>
    </row>
    <row r="479" spans="1:8" ht="13.5" thickTop="1">
      <c r="A479" s="95"/>
      <c r="B479" s="950" t="s">
        <v>304</v>
      </c>
      <c r="C479" s="951"/>
      <c r="D479" s="951"/>
      <c r="E479" s="951"/>
      <c r="F479" s="951"/>
      <c r="G479" s="952"/>
    </row>
    <row r="480" spans="1:8">
      <c r="A480" s="95"/>
      <c r="B480" s="229"/>
      <c r="C480" s="97"/>
      <c r="D480" s="98" t="s">
        <v>301</v>
      </c>
      <c r="E480" s="98" t="s">
        <v>1072</v>
      </c>
      <c r="F480" s="99" t="s">
        <v>839</v>
      </c>
      <c r="G480" s="107" t="s">
        <v>840</v>
      </c>
    </row>
    <row r="481" spans="1:7">
      <c r="A481" s="95"/>
      <c r="B481" s="982" t="s">
        <v>838</v>
      </c>
      <c r="C481" s="983"/>
      <c r="D481" s="100" t="s">
        <v>308</v>
      </c>
      <c r="E481" s="100" t="s">
        <v>305</v>
      </c>
      <c r="F481" s="101" t="s">
        <v>306</v>
      </c>
      <c r="G481" s="108" t="s">
        <v>310</v>
      </c>
    </row>
    <row r="482" spans="1:7">
      <c r="A482" s="95"/>
      <c r="B482" s="230"/>
      <c r="C482" s="102"/>
      <c r="D482" s="103"/>
      <c r="E482" s="103" t="s">
        <v>309</v>
      </c>
      <c r="F482" s="104" t="s">
        <v>307</v>
      </c>
      <c r="G482" s="109"/>
    </row>
    <row r="483" spans="1:7">
      <c r="A483" s="127"/>
      <c r="B483" s="841" t="str">
        <f>'MAQUINARIA Y EQUIPOS'!$C$28</f>
        <v>HERRAMIENTAS MENORES</v>
      </c>
      <c r="C483" s="842"/>
      <c r="D483" s="87">
        <v>1</v>
      </c>
      <c r="E483" s="82">
        <f>ROUND(G515*0.05,0)</f>
        <v>6357</v>
      </c>
      <c r="F483" s="81">
        <v>1</v>
      </c>
      <c r="G483" s="110">
        <f>ROUND(D483*E483/F483,0)</f>
        <v>6357</v>
      </c>
    </row>
    <row r="484" spans="1:7">
      <c r="A484" s="127"/>
      <c r="B484" s="854" t="str">
        <f>'MAQUINARIA Y EQUIPOS'!$C$23</f>
        <v>EQUIPO DE SOLDADURA</v>
      </c>
      <c r="C484" s="855"/>
      <c r="D484" s="37">
        <v>1</v>
      </c>
      <c r="E484" s="129">
        <f>'MAQUINARIA Y EQUIPOS'!$D$23</f>
        <v>58000</v>
      </c>
      <c r="F484" s="83">
        <v>2.67</v>
      </c>
      <c r="G484" s="111">
        <f>ROUND(D484*E484/F484,0)</f>
        <v>21723</v>
      </c>
    </row>
    <row r="485" spans="1:7">
      <c r="A485" s="127"/>
      <c r="B485" s="854" t="str">
        <f>'MAQUINARIA Y EQUIPOS'!$C$43</f>
        <v>PULIDORA</v>
      </c>
      <c r="C485" s="855"/>
      <c r="D485" s="37">
        <v>1</v>
      </c>
      <c r="E485" s="129">
        <f>'MAQUINARIA Y EQUIPOS'!$D$43</f>
        <v>29000</v>
      </c>
      <c r="F485" s="83">
        <v>8</v>
      </c>
      <c r="G485" s="111">
        <f>ROUND(D485*E485/F485,0)</f>
        <v>3625</v>
      </c>
    </row>
    <row r="486" spans="1:7">
      <c r="A486" s="127"/>
      <c r="B486" s="854" t="str">
        <f>'MAQUINARIA Y EQUIPOS'!$C$20</f>
        <v>DOBLADORA, CADA DOBLES</v>
      </c>
      <c r="C486" s="855"/>
      <c r="D486" s="37">
        <v>30</v>
      </c>
      <c r="E486" s="129">
        <f>'MAQUINARIA Y EQUIPOS'!$D$20</f>
        <v>348</v>
      </c>
      <c r="F486" s="83">
        <v>1</v>
      </c>
      <c r="G486" s="111">
        <f>ROUND(D486*E486/F486,0)</f>
        <v>10440</v>
      </c>
    </row>
    <row r="487" spans="1:7" ht="13.5" thickBot="1">
      <c r="A487" s="95"/>
      <c r="B487" s="942" t="s">
        <v>841</v>
      </c>
      <c r="C487" s="943"/>
      <c r="D487" s="77"/>
      <c r="E487" s="106"/>
      <c r="F487" s="86"/>
      <c r="G487" s="112"/>
    </row>
    <row r="488" spans="1:7" ht="14.25" thickTop="1" thickBot="1">
      <c r="A488" s="95"/>
      <c r="B488" s="946"/>
      <c r="C488" s="946"/>
      <c r="D488" s="946"/>
      <c r="E488" s="947"/>
      <c r="F488" s="119" t="s">
        <v>856</v>
      </c>
      <c r="G488" s="118">
        <f>SUM(G483:G487)</f>
        <v>42145</v>
      </c>
    </row>
    <row r="489" spans="1:7" ht="14.25" thickTop="1" thickBot="1">
      <c r="A489" s="95"/>
      <c r="B489" s="970"/>
      <c r="C489" s="970"/>
      <c r="D489" s="970"/>
      <c r="E489" s="970"/>
      <c r="F489" s="970"/>
      <c r="G489" s="970"/>
    </row>
    <row r="490" spans="1:7" ht="13.5" thickTop="1">
      <c r="A490" s="95"/>
      <c r="B490" s="950" t="s">
        <v>311</v>
      </c>
      <c r="C490" s="951"/>
      <c r="D490" s="951"/>
      <c r="E490" s="951"/>
      <c r="F490" s="951"/>
      <c r="G490" s="952"/>
    </row>
    <row r="491" spans="1:7">
      <c r="A491" s="95"/>
      <c r="B491" s="978" t="s">
        <v>838</v>
      </c>
      <c r="C491" s="979"/>
      <c r="D491" s="98" t="s">
        <v>842</v>
      </c>
      <c r="E491" s="98" t="s">
        <v>853</v>
      </c>
      <c r="F491" s="99" t="s">
        <v>1047</v>
      </c>
      <c r="G491" s="107" t="s">
        <v>840</v>
      </c>
    </row>
    <row r="492" spans="1:7">
      <c r="A492" s="95"/>
      <c r="B492" s="230"/>
      <c r="C492" s="102"/>
      <c r="D492" s="100"/>
      <c r="E492" s="100" t="s">
        <v>312</v>
      </c>
      <c r="F492" s="101" t="s">
        <v>313</v>
      </c>
      <c r="G492" s="108" t="s">
        <v>314</v>
      </c>
    </row>
    <row r="493" spans="1:7">
      <c r="A493" s="123"/>
      <c r="B493" s="841" t="str">
        <f>MATERIALES2!$C$242</f>
        <v>ANGULO DE 3/4"x1/8"x6.0 M</v>
      </c>
      <c r="C493" s="842"/>
      <c r="D493" s="87" t="s">
        <v>865</v>
      </c>
      <c r="E493" s="81">
        <v>1.06</v>
      </c>
      <c r="F493" s="80">
        <f>MATERIALES2!$E$242</f>
        <v>11000</v>
      </c>
      <c r="G493" s="110">
        <f t="shared" ref="G493:G499" si="2">ROUND(E493*F493,0)</f>
        <v>11660</v>
      </c>
    </row>
    <row r="494" spans="1:7">
      <c r="A494" s="123"/>
      <c r="B494" s="854" t="str">
        <f>MATERIALES2!$C$251</f>
        <v>SOLDADURA 6013 3/32</v>
      </c>
      <c r="C494" s="855"/>
      <c r="D494" s="37" t="s">
        <v>925</v>
      </c>
      <c r="E494" s="83">
        <v>0.75</v>
      </c>
      <c r="F494" s="82">
        <f>MATERIALES2!$E$251</f>
        <v>8000</v>
      </c>
      <c r="G494" s="111">
        <f t="shared" si="2"/>
        <v>6000</v>
      </c>
    </row>
    <row r="495" spans="1:7">
      <c r="A495" s="123"/>
      <c r="B495" s="854" t="str">
        <f>MATERIALES2!$C$269</f>
        <v>ANTICORROSIVO OXIDO DE HIERRO ROJO 310</v>
      </c>
      <c r="C495" s="855"/>
      <c r="D495" s="37" t="s">
        <v>556</v>
      </c>
      <c r="E495" s="308">
        <v>0.3125</v>
      </c>
      <c r="F495" s="82">
        <f>MATERIALES2!$E$269</f>
        <v>31800</v>
      </c>
      <c r="G495" s="111">
        <f t="shared" si="2"/>
        <v>9938</v>
      </c>
    </row>
    <row r="496" spans="1:7">
      <c r="A496" s="123"/>
      <c r="B496" s="854" t="str">
        <f>MATERIALES2!$C$284</f>
        <v>ESMALTE SINTETICO PINTULUX</v>
      </c>
      <c r="C496" s="855"/>
      <c r="D496" s="37" t="s">
        <v>556</v>
      </c>
      <c r="E496" s="308">
        <v>0.1875</v>
      </c>
      <c r="F496" s="82">
        <f>MATERIALES2!$E$284</f>
        <v>54800</v>
      </c>
      <c r="G496" s="111">
        <f t="shared" si="2"/>
        <v>10275</v>
      </c>
    </row>
    <row r="497" spans="1:8">
      <c r="A497" s="123"/>
      <c r="B497" s="854" t="str">
        <f>MATERIALES2!$C$248</f>
        <v>GOZNES 3"</v>
      </c>
      <c r="C497" s="855"/>
      <c r="D497" s="37" t="s">
        <v>865</v>
      </c>
      <c r="E497" s="83">
        <v>4</v>
      </c>
      <c r="F497" s="82">
        <f>MATERIALES2!$E$248</f>
        <v>400</v>
      </c>
      <c r="G497" s="111">
        <f t="shared" si="2"/>
        <v>1600</v>
      </c>
    </row>
    <row r="498" spans="1:8">
      <c r="A498" s="123"/>
      <c r="B498" s="854" t="str">
        <f>MATERIALES2!$C$235</f>
        <v>MANIJA PARA VENTANA</v>
      </c>
      <c r="C498" s="855"/>
      <c r="D498" s="37" t="s">
        <v>865</v>
      </c>
      <c r="E498" s="83">
        <v>2</v>
      </c>
      <c r="F498" s="82">
        <f>MATERIALES2!$E$235</f>
        <v>3000</v>
      </c>
      <c r="G498" s="111">
        <f t="shared" si="2"/>
        <v>6000</v>
      </c>
    </row>
    <row r="499" spans="1:8">
      <c r="A499" s="123"/>
      <c r="B499" s="854" t="str">
        <f>MATERIALES2!$C$229</f>
        <v>LAMINA COL ROL CALIBRE 18 1.00x2.00</v>
      </c>
      <c r="C499" s="855"/>
      <c r="D499" s="37" t="s">
        <v>865</v>
      </c>
      <c r="E499" s="83">
        <v>1.2</v>
      </c>
      <c r="F499" s="82">
        <f>MATERIALES2!$E$229</f>
        <v>36500</v>
      </c>
      <c r="G499" s="111">
        <f t="shared" si="2"/>
        <v>43800</v>
      </c>
      <c r="H499" s="505" t="s">
        <v>1670</v>
      </c>
    </row>
    <row r="500" spans="1:8">
      <c r="A500" s="123"/>
      <c r="B500" s="854"/>
      <c r="C500" s="855"/>
      <c r="D500" s="37"/>
      <c r="E500" s="83"/>
      <c r="F500" s="82"/>
      <c r="G500" s="111"/>
    </row>
    <row r="501" spans="1:8" ht="13.5" thickBot="1">
      <c r="A501" s="95"/>
      <c r="B501" s="942" t="s">
        <v>841</v>
      </c>
      <c r="C501" s="943"/>
      <c r="D501" s="84" t="s">
        <v>841</v>
      </c>
      <c r="E501" s="84"/>
      <c r="F501" s="85"/>
      <c r="G501" s="112"/>
    </row>
    <row r="502" spans="1:8" ht="13.5" thickTop="1">
      <c r="A502" s="95"/>
      <c r="B502" s="946"/>
      <c r="C502" s="947"/>
      <c r="D502" s="801" t="s">
        <v>856</v>
      </c>
      <c r="E502" s="802"/>
      <c r="F502" s="9"/>
      <c r="G502" s="113">
        <f>SUM(G493:G501)</f>
        <v>89273</v>
      </c>
    </row>
    <row r="503" spans="1:8">
      <c r="A503" s="95"/>
      <c r="B503" s="948"/>
      <c r="C503" s="949"/>
      <c r="D503" s="801" t="s">
        <v>857</v>
      </c>
      <c r="E503" s="802"/>
      <c r="F503" s="79">
        <f>'MANO DE OBRA'!$D$60</f>
        <v>0.05</v>
      </c>
      <c r="G503" s="113">
        <f>ROUND(G502*F503,0)</f>
        <v>4464</v>
      </c>
    </row>
    <row r="504" spans="1:8" ht="13.5" thickBot="1">
      <c r="A504" s="95"/>
      <c r="B504" s="948"/>
      <c r="C504" s="949"/>
      <c r="D504" s="803" t="s">
        <v>320</v>
      </c>
      <c r="E504" s="804"/>
      <c r="F504" s="114"/>
      <c r="G504" s="118">
        <f>+G502+G503</f>
        <v>93737</v>
      </c>
    </row>
    <row r="505" spans="1:8" ht="14.25" thickTop="1" thickBot="1">
      <c r="A505" s="95"/>
      <c r="B505" s="970"/>
      <c r="C505" s="970"/>
      <c r="D505" s="970"/>
      <c r="E505" s="970"/>
      <c r="F505" s="970"/>
      <c r="G505" s="970"/>
    </row>
    <row r="506" spans="1:8" ht="13.5" thickTop="1">
      <c r="A506" s="95"/>
      <c r="B506" s="950" t="s">
        <v>858</v>
      </c>
      <c r="C506" s="951"/>
      <c r="D506" s="951"/>
      <c r="E506" s="951"/>
      <c r="F506" s="951"/>
      <c r="G506" s="952"/>
    </row>
    <row r="507" spans="1:8">
      <c r="A507" s="95"/>
      <c r="B507" s="978"/>
      <c r="C507" s="979"/>
      <c r="D507" s="98" t="s">
        <v>301</v>
      </c>
      <c r="E507" s="98" t="s">
        <v>859</v>
      </c>
      <c r="F507" s="99" t="s">
        <v>839</v>
      </c>
      <c r="G507" s="107" t="s">
        <v>840</v>
      </c>
    </row>
    <row r="508" spans="1:8">
      <c r="A508" s="95"/>
      <c r="B508" s="982" t="s">
        <v>838</v>
      </c>
      <c r="C508" s="983"/>
      <c r="D508" s="100" t="s">
        <v>316</v>
      </c>
      <c r="E508" s="100" t="s">
        <v>315</v>
      </c>
      <c r="F508" s="101" t="s">
        <v>306</v>
      </c>
      <c r="G508" s="108" t="s">
        <v>319</v>
      </c>
    </row>
    <row r="509" spans="1:8">
      <c r="A509" s="95"/>
      <c r="B509" s="230"/>
      <c r="C509" s="102"/>
      <c r="D509" s="103"/>
      <c r="E509" s="103" t="s">
        <v>317</v>
      </c>
      <c r="F509" s="104" t="s">
        <v>318</v>
      </c>
      <c r="G509" s="109"/>
    </row>
    <row r="510" spans="1:8">
      <c r="A510" s="95"/>
      <c r="B510" s="841" t="str">
        <f>'MANO DE OBRA'!$B$13</f>
        <v>AYUDANTE CUAD. TIPO DD</v>
      </c>
      <c r="C510" s="842"/>
      <c r="D510" s="87">
        <v>1</v>
      </c>
      <c r="E510" s="80">
        <f>'MANO DE OBRA'!$E$13</f>
        <v>49276</v>
      </c>
      <c r="F510" s="81">
        <v>1.5</v>
      </c>
      <c r="G510" s="110">
        <f>ROUND(D510*E510/F510,0)</f>
        <v>32851</v>
      </c>
    </row>
    <row r="511" spans="1:8">
      <c r="A511" s="95"/>
      <c r="B511" s="854" t="str">
        <f>'MANO DE OBRA'!$B$18</f>
        <v>OFICIAL CUAD. TIPO DD</v>
      </c>
      <c r="C511" s="855"/>
      <c r="D511" s="37">
        <v>1</v>
      </c>
      <c r="E511" s="82">
        <f>'MANO DE OBRA'!$E$18</f>
        <v>85666</v>
      </c>
      <c r="F511" s="83">
        <v>1.5</v>
      </c>
      <c r="G511" s="111">
        <f>ROUND(D511*E511/F511,0)</f>
        <v>57111</v>
      </c>
    </row>
    <row r="512" spans="1:8">
      <c r="A512" s="95"/>
      <c r="B512" s="854" t="str">
        <f>'MANO DE OBRA'!$B$17</f>
        <v>OFICIAL CUAD. TIPO CC</v>
      </c>
      <c r="C512" s="855"/>
      <c r="D512" s="37">
        <v>1</v>
      </c>
      <c r="E512" s="82">
        <f>'MANO DE OBRA'!$E$17</f>
        <v>82117</v>
      </c>
      <c r="F512" s="83">
        <v>12</v>
      </c>
      <c r="G512" s="111">
        <f>ROUND(D512*E512/F512,0)</f>
        <v>6843</v>
      </c>
    </row>
    <row r="513" spans="1:8">
      <c r="A513" s="95"/>
      <c r="B513" s="854" t="str">
        <f>'MANO DE OBRA'!$B$10</f>
        <v>AYUDANTE CUAD. TIPO AA</v>
      </c>
      <c r="C513" s="855"/>
      <c r="D513" s="37">
        <v>1</v>
      </c>
      <c r="E513" s="82">
        <f>'MANO DE OBRA'!$E$10</f>
        <v>34680</v>
      </c>
      <c r="F513" s="83">
        <v>3.5</v>
      </c>
      <c r="G513" s="111">
        <f>ROUND(D513*E513/F513,0)</f>
        <v>9909</v>
      </c>
    </row>
    <row r="514" spans="1:8" ht="13.5" thickBot="1">
      <c r="A514" s="95"/>
      <c r="B514" s="980" t="str">
        <f>'MANO DE OBRA'!$B$15</f>
        <v xml:space="preserve">OFICIAL CUAD. TIPO AA </v>
      </c>
      <c r="C514" s="981"/>
      <c r="D514" s="77">
        <v>1</v>
      </c>
      <c r="E514" s="82">
        <f>'MANO DE OBRA'!$E$15</f>
        <v>71474</v>
      </c>
      <c r="F514" s="86">
        <v>3.5</v>
      </c>
      <c r="G514" s="111">
        <f>ROUND(D514*E514/F514,0)</f>
        <v>20421</v>
      </c>
    </row>
    <row r="515" spans="1:8" ht="14.25" thickTop="1" thickBot="1">
      <c r="A515" s="95"/>
      <c r="B515" s="946"/>
      <c r="C515" s="946"/>
      <c r="D515" s="946"/>
      <c r="E515" s="947"/>
      <c r="F515" s="120" t="s">
        <v>856</v>
      </c>
      <c r="G515" s="118">
        <f>SUM(G510:G514)</f>
        <v>127135</v>
      </c>
    </row>
    <row r="516" spans="1:8" ht="14.25" thickTop="1" thickBot="1">
      <c r="A516" s="95"/>
      <c r="B516" s="970"/>
      <c r="C516" s="970"/>
      <c r="D516" s="970"/>
      <c r="E516" s="970"/>
      <c r="F516" s="970"/>
      <c r="G516" s="970"/>
    </row>
    <row r="517" spans="1:8" ht="13.5" thickTop="1">
      <c r="A517" s="95"/>
      <c r="B517" s="950" t="s">
        <v>321</v>
      </c>
      <c r="C517" s="951"/>
      <c r="D517" s="951"/>
      <c r="E517" s="951"/>
      <c r="F517" s="951"/>
      <c r="G517" s="952"/>
    </row>
    <row r="518" spans="1:8">
      <c r="A518" s="95"/>
      <c r="B518" s="978" t="s">
        <v>838</v>
      </c>
      <c r="C518" s="979"/>
      <c r="D518" s="98" t="s">
        <v>301</v>
      </c>
      <c r="E518" s="98" t="s">
        <v>297</v>
      </c>
      <c r="F518" s="99" t="s">
        <v>839</v>
      </c>
      <c r="G518" s="107" t="s">
        <v>840</v>
      </c>
    </row>
    <row r="519" spans="1:8">
      <c r="A519" s="95"/>
      <c r="B519" s="230"/>
      <c r="C519" s="102"/>
      <c r="D519" s="103" t="s">
        <v>322</v>
      </c>
      <c r="E519" s="103" t="s">
        <v>323</v>
      </c>
      <c r="F519" s="104" t="s">
        <v>324</v>
      </c>
      <c r="G519" s="109" t="s">
        <v>325</v>
      </c>
    </row>
    <row r="520" spans="1:8">
      <c r="A520" s="95"/>
      <c r="B520" s="841"/>
      <c r="C520" s="842"/>
      <c r="D520" s="96"/>
      <c r="E520" s="96"/>
      <c r="F520" s="96"/>
      <c r="G520" s="116"/>
    </row>
    <row r="521" spans="1:8" ht="13.5" thickBot="1">
      <c r="A521" s="95"/>
      <c r="B521" s="980" t="s">
        <v>841</v>
      </c>
      <c r="C521" s="981"/>
      <c r="D521" s="77"/>
      <c r="E521" s="82"/>
      <c r="F521" s="86"/>
      <c r="G521" s="112"/>
    </row>
    <row r="522" spans="1:8" ht="14.25" thickTop="1" thickBot="1">
      <c r="A522" s="95"/>
      <c r="B522" s="946"/>
      <c r="C522" s="946"/>
      <c r="D522" s="946"/>
      <c r="E522" s="947"/>
      <c r="F522" s="120" t="s">
        <v>856</v>
      </c>
      <c r="G522" s="118">
        <f>SUM(G517:G521)</f>
        <v>0</v>
      </c>
    </row>
    <row r="523" spans="1:8" ht="14.25" thickTop="1" thickBot="1">
      <c r="A523" s="95"/>
      <c r="B523" s="970"/>
      <c r="C523" s="970"/>
      <c r="D523" s="970"/>
      <c r="E523" s="970"/>
      <c r="F523" s="970"/>
      <c r="G523" s="943"/>
    </row>
    <row r="524" spans="1:8" ht="13.5" thickTop="1">
      <c r="A524" s="95"/>
      <c r="B524" s="950" t="s">
        <v>326</v>
      </c>
      <c r="C524" s="951"/>
      <c r="D524" s="951"/>
      <c r="E524" s="951"/>
      <c r="F524" s="971"/>
      <c r="G524" s="121">
        <f>+G488+G504+G515</f>
        <v>263017</v>
      </c>
    </row>
    <row r="525" spans="1:8">
      <c r="A525" s="95"/>
      <c r="B525" s="972" t="s">
        <v>861</v>
      </c>
      <c r="C525" s="973"/>
      <c r="D525" s="973"/>
      <c r="E525" s="974"/>
      <c r="F525" s="128">
        <f>'MANO DE OBRA'!$D$59</f>
        <v>0</v>
      </c>
      <c r="G525" s="122">
        <f>ROUND(G524*F525,0)</f>
        <v>0</v>
      </c>
    </row>
    <row r="526" spans="1:8" ht="13.5" thickBot="1">
      <c r="A526" s="95"/>
      <c r="B526" s="975" t="s">
        <v>1049</v>
      </c>
      <c r="C526" s="976"/>
      <c r="D526" s="976"/>
      <c r="E526" s="976"/>
      <c r="F526" s="977"/>
      <c r="G526" s="118">
        <f>ROUND(G524+G525,-2)</f>
        <v>263000</v>
      </c>
      <c r="H526" s="505" t="s">
        <v>1670</v>
      </c>
    </row>
    <row r="527" spans="1:8" ht="13.5" thickTop="1">
      <c r="A527" s="95"/>
      <c r="B527" s="225" t="s">
        <v>303</v>
      </c>
      <c r="C527" s="843"/>
      <c r="D527" s="843"/>
      <c r="E527" s="843"/>
      <c r="F527" s="92" t="s">
        <v>781</v>
      </c>
      <c r="G527" s="93" t="s">
        <v>865</v>
      </c>
    </row>
    <row r="528" spans="1:8">
      <c r="A528" s="95"/>
      <c r="B528" s="226" t="s">
        <v>834</v>
      </c>
      <c r="C528" s="844" t="s">
        <v>1506</v>
      </c>
      <c r="D528" s="844"/>
      <c r="E528" s="844"/>
      <c r="F528" s="15" t="s">
        <v>833</v>
      </c>
      <c r="G528" s="165" t="str">
        <f>'MANO DE OBRA'!D61</f>
        <v>Agosto de 2010</v>
      </c>
    </row>
    <row r="529" spans="1:7" ht="16.5" customHeight="1" thickBot="1">
      <c r="A529" s="236"/>
      <c r="B529" s="240" t="s">
        <v>835</v>
      </c>
      <c r="C529" s="995" t="s">
        <v>1515</v>
      </c>
      <c r="D529" s="995"/>
      <c r="E529" s="995"/>
      <c r="F529" s="995"/>
      <c r="G529" s="996"/>
    </row>
    <row r="530" spans="1:7" ht="14.25" thickTop="1" thickBot="1">
      <c r="A530" s="95"/>
      <c r="B530" s="986"/>
      <c r="C530" s="986"/>
      <c r="D530" s="986"/>
      <c r="E530" s="986"/>
      <c r="F530" s="986"/>
      <c r="G530" s="986"/>
    </row>
    <row r="531" spans="1:7" ht="13.5" thickTop="1">
      <c r="A531" s="95"/>
      <c r="B531" s="950" t="s">
        <v>304</v>
      </c>
      <c r="C531" s="951"/>
      <c r="D531" s="951"/>
      <c r="E531" s="951"/>
      <c r="F531" s="951"/>
      <c r="G531" s="952"/>
    </row>
    <row r="532" spans="1:7">
      <c r="A532" s="95"/>
      <c r="B532" s="229"/>
      <c r="C532" s="97"/>
      <c r="D532" s="98" t="s">
        <v>301</v>
      </c>
      <c r="E532" s="98" t="s">
        <v>1072</v>
      </c>
      <c r="F532" s="99" t="s">
        <v>839</v>
      </c>
      <c r="G532" s="107" t="s">
        <v>840</v>
      </c>
    </row>
    <row r="533" spans="1:7">
      <c r="A533" s="95"/>
      <c r="B533" s="982" t="s">
        <v>838</v>
      </c>
      <c r="C533" s="983"/>
      <c r="D533" s="100" t="s">
        <v>308</v>
      </c>
      <c r="E533" s="100" t="s">
        <v>305</v>
      </c>
      <c r="F533" s="101" t="s">
        <v>306</v>
      </c>
      <c r="G533" s="108" t="s">
        <v>310</v>
      </c>
    </row>
    <row r="534" spans="1:7">
      <c r="A534" s="95"/>
      <c r="B534" s="230"/>
      <c r="C534" s="102"/>
      <c r="D534" s="103"/>
      <c r="E534" s="103" t="s">
        <v>309</v>
      </c>
      <c r="F534" s="104" t="s">
        <v>307</v>
      </c>
      <c r="G534" s="109"/>
    </row>
    <row r="535" spans="1:7">
      <c r="A535" s="127"/>
      <c r="B535" s="841" t="str">
        <f>'MAQUINARIA Y EQUIPOS'!$C$28</f>
        <v>HERRAMIENTAS MENORES</v>
      </c>
      <c r="C535" s="842"/>
      <c r="D535" s="87">
        <v>1</v>
      </c>
      <c r="E535" s="82">
        <f>ROUND(G567*0.05,0)</f>
        <v>18742</v>
      </c>
      <c r="F535" s="81">
        <v>1</v>
      </c>
      <c r="G535" s="110">
        <f>ROUND(D535*E535/F535,0)</f>
        <v>18742</v>
      </c>
    </row>
    <row r="536" spans="1:7">
      <c r="A536" s="127"/>
      <c r="B536" s="854" t="str">
        <f>'MAQUINARIA Y EQUIPOS'!$C$23</f>
        <v>EQUIPO DE SOLDADURA</v>
      </c>
      <c r="C536" s="855"/>
      <c r="D536" s="37">
        <v>1</v>
      </c>
      <c r="E536" s="129">
        <f>'MAQUINARIA Y EQUIPOS'!$D$23</f>
        <v>58000</v>
      </c>
      <c r="F536" s="83">
        <v>0.73</v>
      </c>
      <c r="G536" s="111">
        <f>ROUND(D536*E536/F536,0)</f>
        <v>79452</v>
      </c>
    </row>
    <row r="537" spans="1:7">
      <c r="A537" s="127"/>
      <c r="B537" s="854" t="str">
        <f>'MAQUINARIA Y EQUIPOS'!$C$43</f>
        <v>PULIDORA</v>
      </c>
      <c r="C537" s="855"/>
      <c r="D537" s="37">
        <v>1</v>
      </c>
      <c r="E537" s="129">
        <f>'MAQUINARIA Y EQUIPOS'!$D$43</f>
        <v>29000</v>
      </c>
      <c r="F537" s="83">
        <v>2</v>
      </c>
      <c r="G537" s="111">
        <f>ROUND(D537*E537/F537,0)</f>
        <v>14500</v>
      </c>
    </row>
    <row r="538" spans="1:7">
      <c r="A538" s="127"/>
      <c r="B538" s="854" t="str">
        <f>'MAQUINARIA Y EQUIPOS'!$C$20</f>
        <v>DOBLADORA, CADA DOBLES</v>
      </c>
      <c r="C538" s="855"/>
      <c r="D538" s="37">
        <v>70</v>
      </c>
      <c r="E538" s="129">
        <f>'MAQUINARIA Y EQUIPOS'!$D$20</f>
        <v>348</v>
      </c>
      <c r="F538" s="83">
        <v>1</v>
      </c>
      <c r="G538" s="111">
        <f>ROUND(D538*E538/F538,0)</f>
        <v>24360</v>
      </c>
    </row>
    <row r="539" spans="1:7" ht="13.5" thickBot="1">
      <c r="A539" s="95"/>
      <c r="B539" s="942" t="s">
        <v>841</v>
      </c>
      <c r="C539" s="943"/>
      <c r="D539" s="77"/>
      <c r="E539" s="106"/>
      <c r="F539" s="86"/>
      <c r="G539" s="112"/>
    </row>
    <row r="540" spans="1:7" ht="14.25" thickTop="1" thickBot="1">
      <c r="A540" s="95"/>
      <c r="B540" s="946"/>
      <c r="C540" s="946"/>
      <c r="D540" s="946"/>
      <c r="E540" s="947"/>
      <c r="F540" s="119" t="s">
        <v>856</v>
      </c>
      <c r="G540" s="118">
        <f>SUM(G535:G539)</f>
        <v>137054</v>
      </c>
    </row>
    <row r="541" spans="1:7" ht="14.25" thickTop="1" thickBot="1">
      <c r="A541" s="95"/>
      <c r="B541" s="970"/>
      <c r="C541" s="970"/>
      <c r="D541" s="970"/>
      <c r="E541" s="970"/>
      <c r="F541" s="970"/>
      <c r="G541" s="970"/>
    </row>
    <row r="542" spans="1:7" ht="13.5" thickTop="1">
      <c r="A542" s="95"/>
      <c r="B542" s="950" t="s">
        <v>311</v>
      </c>
      <c r="C542" s="951"/>
      <c r="D542" s="951"/>
      <c r="E542" s="951"/>
      <c r="F542" s="951"/>
      <c r="G542" s="952"/>
    </row>
    <row r="543" spans="1:7">
      <c r="A543" s="95"/>
      <c r="B543" s="978" t="s">
        <v>838</v>
      </c>
      <c r="C543" s="979"/>
      <c r="D543" s="98" t="s">
        <v>842</v>
      </c>
      <c r="E543" s="98" t="s">
        <v>853</v>
      </c>
      <c r="F543" s="99" t="s">
        <v>1047</v>
      </c>
      <c r="G543" s="107" t="s">
        <v>840</v>
      </c>
    </row>
    <row r="544" spans="1:7">
      <c r="A544" s="95"/>
      <c r="B544" s="230"/>
      <c r="C544" s="102"/>
      <c r="D544" s="100"/>
      <c r="E544" s="100" t="s">
        <v>312</v>
      </c>
      <c r="F544" s="101" t="s">
        <v>313</v>
      </c>
      <c r="G544" s="108" t="s">
        <v>314</v>
      </c>
    </row>
    <row r="545" spans="1:8">
      <c r="A545" s="123"/>
      <c r="B545" s="841" t="str">
        <f>MATERIALES2!$C$233</f>
        <v>LAMINA GALVANIZADA CALIBRE 18 1.20x2.40</v>
      </c>
      <c r="C545" s="842"/>
      <c r="D545" s="87" t="s">
        <v>865</v>
      </c>
      <c r="E545" s="81">
        <v>3</v>
      </c>
      <c r="F545" s="80">
        <f>MATERIALES2!$E$233</f>
        <v>53700</v>
      </c>
      <c r="G545" s="110">
        <f t="shared" ref="G545:G551" si="3">ROUND(E545*F545,0)</f>
        <v>161100</v>
      </c>
    </row>
    <row r="546" spans="1:8">
      <c r="A546" s="123"/>
      <c r="B546" s="854" t="str">
        <f>MATERIALES2!$C$251</f>
        <v>SOLDADURA 6013 3/32</v>
      </c>
      <c r="C546" s="855"/>
      <c r="D546" s="37" t="s">
        <v>925</v>
      </c>
      <c r="E546" s="83">
        <v>2.5</v>
      </c>
      <c r="F546" s="82">
        <f>MATERIALES2!$E$251</f>
        <v>8000</v>
      </c>
      <c r="G546" s="111">
        <f t="shared" si="3"/>
        <v>20000</v>
      </c>
    </row>
    <row r="547" spans="1:8">
      <c r="A547" s="123"/>
      <c r="B547" s="854" t="str">
        <f>MATERIALES2!$C$269</f>
        <v>ANTICORROSIVO OXIDO DE HIERRO ROJO 310</v>
      </c>
      <c r="C547" s="855"/>
      <c r="D547" s="37" t="s">
        <v>556</v>
      </c>
      <c r="E547" s="308">
        <v>1</v>
      </c>
      <c r="F547" s="82">
        <f>MATERIALES2!$E$269</f>
        <v>31800</v>
      </c>
      <c r="G547" s="111">
        <f t="shared" si="3"/>
        <v>31800</v>
      </c>
    </row>
    <row r="548" spans="1:8">
      <c r="A548" s="123"/>
      <c r="B548" s="854" t="str">
        <f>MATERIALES2!$C$284</f>
        <v>ESMALTE SINTETICO PINTULUX</v>
      </c>
      <c r="C548" s="855"/>
      <c r="D548" s="37" t="s">
        <v>556</v>
      </c>
      <c r="E548" s="308">
        <v>0.5</v>
      </c>
      <c r="F548" s="82">
        <f>MATERIALES2!$E$284</f>
        <v>54800</v>
      </c>
      <c r="G548" s="111">
        <f t="shared" si="3"/>
        <v>27400</v>
      </c>
    </row>
    <row r="549" spans="1:8">
      <c r="A549" s="123"/>
      <c r="B549" s="854" t="str">
        <f>MATERIALES2!$C$248</f>
        <v>GOZNES 3"</v>
      </c>
      <c r="C549" s="855"/>
      <c r="D549" s="37" t="s">
        <v>865</v>
      </c>
      <c r="E549" s="83">
        <v>9</v>
      </c>
      <c r="F549" s="82">
        <f>MATERIALES2!$E$248</f>
        <v>400</v>
      </c>
      <c r="G549" s="111">
        <f t="shared" si="3"/>
        <v>3600</v>
      </c>
    </row>
    <row r="550" spans="1:8">
      <c r="A550" s="123"/>
      <c r="B550" s="854" t="str">
        <f>MATERIALES2!$C$234</f>
        <v>MANIJA PARA PUERTA</v>
      </c>
      <c r="C550" s="855"/>
      <c r="D550" s="37" t="s">
        <v>865</v>
      </c>
      <c r="E550" s="83">
        <v>1</v>
      </c>
      <c r="F550" s="82">
        <f>MATERIALES2!$E$234</f>
        <v>7500</v>
      </c>
      <c r="G550" s="111">
        <f t="shared" si="3"/>
        <v>7500</v>
      </c>
    </row>
    <row r="551" spans="1:8">
      <c r="A551" s="123"/>
      <c r="B551" s="854" t="str">
        <f>MATERIALES2!$C$200</f>
        <v>CERRADURA YALE 396 PORTON</v>
      </c>
      <c r="C551" s="855"/>
      <c r="D551" s="37" t="s">
        <v>865</v>
      </c>
      <c r="E551" s="83">
        <v>1</v>
      </c>
      <c r="F551" s="82">
        <f>MATERIALES2!$E$200</f>
        <v>65000</v>
      </c>
      <c r="G551" s="111">
        <f t="shared" si="3"/>
        <v>65000</v>
      </c>
      <c r="H551" s="505" t="s">
        <v>1670</v>
      </c>
    </row>
    <row r="552" spans="1:8">
      <c r="A552" s="123"/>
      <c r="B552" s="854"/>
      <c r="C552" s="855"/>
      <c r="D552" s="37"/>
      <c r="E552" s="83"/>
      <c r="F552" s="82"/>
      <c r="G552" s="111"/>
    </row>
    <row r="553" spans="1:8" ht="13.5" thickBot="1">
      <c r="A553" s="95"/>
      <c r="B553" s="942" t="s">
        <v>841</v>
      </c>
      <c r="C553" s="943"/>
      <c r="D553" s="84" t="s">
        <v>841</v>
      </c>
      <c r="E553" s="84"/>
      <c r="F553" s="85"/>
      <c r="G553" s="112"/>
    </row>
    <row r="554" spans="1:8" ht="13.5" thickTop="1">
      <c r="A554" s="95"/>
      <c r="B554" s="946"/>
      <c r="C554" s="947"/>
      <c r="D554" s="801" t="s">
        <v>856</v>
      </c>
      <c r="E554" s="802"/>
      <c r="F554" s="9"/>
      <c r="G554" s="113">
        <f>SUM(G545:G553)</f>
        <v>316400</v>
      </c>
    </row>
    <row r="555" spans="1:8">
      <c r="A555" s="95"/>
      <c r="B555" s="948"/>
      <c r="C555" s="949"/>
      <c r="D555" s="801" t="s">
        <v>857</v>
      </c>
      <c r="E555" s="802"/>
      <c r="F555" s="79">
        <f>'MANO DE OBRA'!$D$60</f>
        <v>0.05</v>
      </c>
      <c r="G555" s="113">
        <f>ROUND(G554*F555,0)</f>
        <v>15820</v>
      </c>
    </row>
    <row r="556" spans="1:8" ht="13.5" thickBot="1">
      <c r="A556" s="95"/>
      <c r="B556" s="948"/>
      <c r="C556" s="949"/>
      <c r="D556" s="803" t="s">
        <v>320</v>
      </c>
      <c r="E556" s="804"/>
      <c r="F556" s="114"/>
      <c r="G556" s="118">
        <f>+G554+G555</f>
        <v>332220</v>
      </c>
    </row>
    <row r="557" spans="1:8" ht="14.25" thickTop="1" thickBot="1">
      <c r="A557" s="95"/>
      <c r="B557" s="970"/>
      <c r="C557" s="970"/>
      <c r="D557" s="970"/>
      <c r="E557" s="970"/>
      <c r="F557" s="970"/>
      <c r="G557" s="970"/>
    </row>
    <row r="558" spans="1:8" ht="13.5" thickTop="1">
      <c r="A558" s="95"/>
      <c r="B558" s="950" t="s">
        <v>858</v>
      </c>
      <c r="C558" s="951"/>
      <c r="D558" s="951"/>
      <c r="E558" s="951"/>
      <c r="F558" s="951"/>
      <c r="G558" s="952"/>
    </row>
    <row r="559" spans="1:8">
      <c r="A559" s="95"/>
      <c r="B559" s="978"/>
      <c r="C559" s="979"/>
      <c r="D559" s="98" t="s">
        <v>301</v>
      </c>
      <c r="E559" s="98" t="s">
        <v>859</v>
      </c>
      <c r="F559" s="99" t="s">
        <v>839</v>
      </c>
      <c r="G559" s="107" t="s">
        <v>840</v>
      </c>
    </row>
    <row r="560" spans="1:8">
      <c r="A560" s="95"/>
      <c r="B560" s="982" t="s">
        <v>838</v>
      </c>
      <c r="C560" s="983"/>
      <c r="D560" s="100" t="s">
        <v>316</v>
      </c>
      <c r="E560" s="100" t="s">
        <v>315</v>
      </c>
      <c r="F560" s="101" t="s">
        <v>306</v>
      </c>
      <c r="G560" s="108" t="s">
        <v>319</v>
      </c>
    </row>
    <row r="561" spans="1:7">
      <c r="A561" s="95"/>
      <c r="B561" s="230"/>
      <c r="C561" s="102"/>
      <c r="D561" s="103"/>
      <c r="E561" s="103" t="s">
        <v>317</v>
      </c>
      <c r="F561" s="104" t="s">
        <v>318</v>
      </c>
      <c r="G561" s="109"/>
    </row>
    <row r="562" spans="1:7">
      <c r="A562" s="95"/>
      <c r="B562" s="841" t="str">
        <f>'MANO DE OBRA'!$B$13</f>
        <v>AYUDANTE CUAD. TIPO DD</v>
      </c>
      <c r="C562" s="842"/>
      <c r="D562" s="87">
        <v>2</v>
      </c>
      <c r="E562" s="80">
        <f>'MANO DE OBRA'!$E$13</f>
        <v>49276</v>
      </c>
      <c r="F562" s="81">
        <v>0.72</v>
      </c>
      <c r="G562" s="110">
        <f>ROUND(D562*E562/F562,0)</f>
        <v>136878</v>
      </c>
    </row>
    <row r="563" spans="1:7">
      <c r="A563" s="95"/>
      <c r="B563" s="854" t="str">
        <f>'MANO DE OBRA'!$B$18</f>
        <v>OFICIAL CUAD. TIPO DD</v>
      </c>
      <c r="C563" s="855"/>
      <c r="D563" s="37">
        <v>1</v>
      </c>
      <c r="E563" s="82">
        <f>'MANO DE OBRA'!$E$18</f>
        <v>85666</v>
      </c>
      <c r="F563" s="83">
        <v>0.36</v>
      </c>
      <c r="G563" s="111">
        <f>ROUND(D563*E563/F563,0)</f>
        <v>237961</v>
      </c>
    </row>
    <row r="564" spans="1:7">
      <c r="A564" s="95"/>
      <c r="B564" s="854"/>
      <c r="C564" s="855"/>
      <c r="D564" s="37"/>
      <c r="E564" s="82"/>
      <c r="F564" s="83"/>
      <c r="G564" s="111"/>
    </row>
    <row r="565" spans="1:7">
      <c r="A565" s="95"/>
      <c r="B565" s="854"/>
      <c r="C565" s="855"/>
      <c r="D565" s="37"/>
      <c r="E565" s="82"/>
      <c r="F565" s="83"/>
      <c r="G565" s="111"/>
    </row>
    <row r="566" spans="1:7" ht="13.5" thickBot="1">
      <c r="A566" s="95"/>
      <c r="B566" s="980"/>
      <c r="C566" s="981"/>
      <c r="D566" s="77"/>
      <c r="E566" s="82"/>
      <c r="F566" s="86"/>
      <c r="G566" s="111"/>
    </row>
    <row r="567" spans="1:7" ht="14.25" thickTop="1" thickBot="1">
      <c r="A567" s="95"/>
      <c r="B567" s="946"/>
      <c r="C567" s="946"/>
      <c r="D567" s="946"/>
      <c r="E567" s="947"/>
      <c r="F567" s="120" t="s">
        <v>856</v>
      </c>
      <c r="G567" s="118">
        <f>SUM(G562:G566)</f>
        <v>374839</v>
      </c>
    </row>
    <row r="568" spans="1:7" ht="14.25" thickTop="1" thickBot="1">
      <c r="A568" s="95"/>
      <c r="B568" s="970"/>
      <c r="C568" s="970"/>
      <c r="D568" s="970"/>
      <c r="E568" s="970"/>
      <c r="F568" s="970"/>
      <c r="G568" s="970"/>
    </row>
    <row r="569" spans="1:7" ht="13.5" thickTop="1">
      <c r="A569" s="95"/>
      <c r="B569" s="950" t="s">
        <v>321</v>
      </c>
      <c r="C569" s="951"/>
      <c r="D569" s="951"/>
      <c r="E569" s="951"/>
      <c r="F569" s="951"/>
      <c r="G569" s="952"/>
    </row>
    <row r="570" spans="1:7">
      <c r="A570" s="95"/>
      <c r="B570" s="978" t="s">
        <v>838</v>
      </c>
      <c r="C570" s="979"/>
      <c r="D570" s="98" t="s">
        <v>301</v>
      </c>
      <c r="E570" s="98" t="s">
        <v>297</v>
      </c>
      <c r="F570" s="99" t="s">
        <v>839</v>
      </c>
      <c r="G570" s="107" t="s">
        <v>840</v>
      </c>
    </row>
    <row r="571" spans="1:7">
      <c r="A571" s="95"/>
      <c r="B571" s="230"/>
      <c r="C571" s="102"/>
      <c r="D571" s="103" t="s">
        <v>322</v>
      </c>
      <c r="E571" s="103" t="s">
        <v>323</v>
      </c>
      <c r="F571" s="104" t="s">
        <v>324</v>
      </c>
      <c r="G571" s="109" t="s">
        <v>325</v>
      </c>
    </row>
    <row r="572" spans="1:7">
      <c r="A572" s="95"/>
      <c r="B572" s="841"/>
      <c r="C572" s="842"/>
      <c r="D572" s="96"/>
      <c r="E572" s="96"/>
      <c r="F572" s="96"/>
      <c r="G572" s="116"/>
    </row>
    <row r="573" spans="1:7" ht="13.5" thickBot="1">
      <c r="A573" s="95"/>
      <c r="B573" s="980" t="s">
        <v>841</v>
      </c>
      <c r="C573" s="981"/>
      <c r="D573" s="77"/>
      <c r="E573" s="82"/>
      <c r="F573" s="86"/>
      <c r="G573" s="112"/>
    </row>
    <row r="574" spans="1:7" ht="14.25" thickTop="1" thickBot="1">
      <c r="A574" s="95"/>
      <c r="B574" s="946"/>
      <c r="C574" s="946"/>
      <c r="D574" s="946"/>
      <c r="E574" s="947"/>
      <c r="F574" s="120" t="s">
        <v>856</v>
      </c>
      <c r="G574" s="118">
        <f>SUM(G569:G573)</f>
        <v>0</v>
      </c>
    </row>
    <row r="575" spans="1:7" ht="14.25" thickTop="1" thickBot="1">
      <c r="A575" s="95"/>
      <c r="B575" s="970"/>
      <c r="C575" s="970"/>
      <c r="D575" s="970"/>
      <c r="E575" s="970"/>
      <c r="F575" s="970"/>
      <c r="G575" s="943"/>
    </row>
    <row r="576" spans="1:7" ht="13.5" thickTop="1">
      <c r="A576" s="95"/>
      <c r="B576" s="950" t="s">
        <v>326</v>
      </c>
      <c r="C576" s="951"/>
      <c r="D576" s="951"/>
      <c r="E576" s="951"/>
      <c r="F576" s="971"/>
      <c r="G576" s="121">
        <f>+G540+G556+G567</f>
        <v>844113</v>
      </c>
    </row>
    <row r="577" spans="1:8">
      <c r="A577" s="95"/>
      <c r="B577" s="972" t="s">
        <v>861</v>
      </c>
      <c r="C577" s="973"/>
      <c r="D577" s="973"/>
      <c r="E577" s="974"/>
      <c r="F577" s="128">
        <f>'MANO DE OBRA'!$D$59</f>
        <v>0</v>
      </c>
      <c r="G577" s="122">
        <f>ROUND(G576*F577,0)</f>
        <v>0</v>
      </c>
    </row>
    <row r="578" spans="1:8" ht="13.5" thickBot="1">
      <c r="A578" s="95"/>
      <c r="B578" s="975" t="s">
        <v>1049</v>
      </c>
      <c r="C578" s="976"/>
      <c r="D578" s="976"/>
      <c r="E578" s="976"/>
      <c r="F578" s="977"/>
      <c r="G578" s="118">
        <f>ROUND(G576+G577,-2)</f>
        <v>844100</v>
      </c>
      <c r="H578" s="505" t="s">
        <v>1670</v>
      </c>
    </row>
    <row r="579" spans="1:8" ht="13.5" thickTop="1">
      <c r="A579" s="95"/>
      <c r="B579" s="225" t="s">
        <v>303</v>
      </c>
      <c r="C579" s="843"/>
      <c r="D579" s="843"/>
      <c r="E579" s="843"/>
      <c r="F579" s="92" t="s">
        <v>781</v>
      </c>
      <c r="G579" s="93" t="s">
        <v>865</v>
      </c>
    </row>
    <row r="580" spans="1:8">
      <c r="A580" s="95"/>
      <c r="B580" s="226" t="s">
        <v>834</v>
      </c>
      <c r="C580" s="844" t="s">
        <v>1506</v>
      </c>
      <c r="D580" s="844"/>
      <c r="E580" s="844"/>
      <c r="F580" s="15" t="s">
        <v>833</v>
      </c>
      <c r="G580" s="165" t="str">
        <f>'MANO DE OBRA'!D61</f>
        <v>Agosto de 2010</v>
      </c>
    </row>
    <row r="581" spans="1:8" ht="15.75" customHeight="1" thickBot="1">
      <c r="A581" s="236"/>
      <c r="B581" s="240" t="s">
        <v>835</v>
      </c>
      <c r="C581" s="1058" t="s">
        <v>7</v>
      </c>
      <c r="D581" s="1058"/>
      <c r="E581" s="1058"/>
      <c r="F581" s="1058"/>
      <c r="G581" s="1059"/>
    </row>
    <row r="582" spans="1:8" ht="14.25" thickTop="1" thickBot="1">
      <c r="A582" s="95"/>
      <c r="B582" s="986"/>
      <c r="C582" s="986"/>
      <c r="D582" s="986"/>
      <c r="E582" s="986"/>
      <c r="F582" s="986"/>
      <c r="G582" s="986"/>
    </row>
    <row r="583" spans="1:8" ht="13.5" thickTop="1">
      <c r="A583" s="95"/>
      <c r="B583" s="950" t="s">
        <v>304</v>
      </c>
      <c r="C583" s="951"/>
      <c r="D583" s="951"/>
      <c r="E583" s="951"/>
      <c r="F583" s="951"/>
      <c r="G583" s="952"/>
    </row>
    <row r="584" spans="1:8">
      <c r="A584" s="95"/>
      <c r="B584" s="229"/>
      <c r="C584" s="97"/>
      <c r="D584" s="98" t="s">
        <v>301</v>
      </c>
      <c r="E584" s="98" t="s">
        <v>1072</v>
      </c>
      <c r="F584" s="99" t="s">
        <v>839</v>
      </c>
      <c r="G584" s="107" t="s">
        <v>840</v>
      </c>
    </row>
    <row r="585" spans="1:8">
      <c r="A585" s="95"/>
      <c r="B585" s="982" t="s">
        <v>838</v>
      </c>
      <c r="C585" s="983"/>
      <c r="D585" s="100" t="s">
        <v>308</v>
      </c>
      <c r="E585" s="100" t="s">
        <v>305</v>
      </c>
      <c r="F585" s="101" t="s">
        <v>306</v>
      </c>
      <c r="G585" s="108" t="s">
        <v>310</v>
      </c>
    </row>
    <row r="586" spans="1:8">
      <c r="A586" s="95"/>
      <c r="B586" s="230"/>
      <c r="C586" s="102"/>
      <c r="D586" s="103"/>
      <c r="E586" s="103" t="s">
        <v>309</v>
      </c>
      <c r="F586" s="104" t="s">
        <v>307</v>
      </c>
      <c r="G586" s="109"/>
    </row>
    <row r="587" spans="1:8">
      <c r="A587" s="127"/>
      <c r="B587" s="841" t="str">
        <f>'MAQUINARIA Y EQUIPOS'!$C$28</f>
        <v>HERRAMIENTAS MENORES</v>
      </c>
      <c r="C587" s="842"/>
      <c r="D587" s="87">
        <v>1</v>
      </c>
      <c r="E587" s="82">
        <f>ROUND(G619*0.05,0)</f>
        <v>25416</v>
      </c>
      <c r="F587" s="81">
        <v>1</v>
      </c>
      <c r="G587" s="110">
        <f>ROUND(D587*E587/F587,0)</f>
        <v>25416</v>
      </c>
    </row>
    <row r="588" spans="1:8">
      <c r="A588" s="127"/>
      <c r="B588" s="854" t="str">
        <f>'MAQUINARIA Y EQUIPOS'!$C$23</f>
        <v>EQUIPO DE SOLDADURA</v>
      </c>
      <c r="C588" s="855"/>
      <c r="D588" s="37">
        <v>1</v>
      </c>
      <c r="E588" s="129">
        <f>'MAQUINARIA Y EQUIPOS'!$D$23</f>
        <v>58000</v>
      </c>
      <c r="F588" s="83">
        <v>0.62</v>
      </c>
      <c r="G588" s="111">
        <f>ROUND(D588*E588/F588,0)</f>
        <v>93548</v>
      </c>
    </row>
    <row r="589" spans="1:8">
      <c r="A589" s="127"/>
      <c r="B589" s="854" t="str">
        <f>'MAQUINARIA Y EQUIPOS'!$C$43</f>
        <v>PULIDORA</v>
      </c>
      <c r="C589" s="855"/>
      <c r="D589" s="37">
        <v>1</v>
      </c>
      <c r="E589" s="129">
        <f>'MAQUINARIA Y EQUIPOS'!$D$43</f>
        <v>29000</v>
      </c>
      <c r="F589" s="83">
        <v>2</v>
      </c>
      <c r="G589" s="111">
        <f>ROUND(D589*E589/F589,0)</f>
        <v>14500</v>
      </c>
    </row>
    <row r="590" spans="1:8">
      <c r="A590" s="127"/>
      <c r="B590" s="854" t="str">
        <f>'MAQUINARIA Y EQUIPOS'!$C$20</f>
        <v>DOBLADORA, CADA DOBLES</v>
      </c>
      <c r="C590" s="855"/>
      <c r="D590" s="37">
        <v>82</v>
      </c>
      <c r="E590" s="129">
        <f>'MAQUINARIA Y EQUIPOS'!$D$20</f>
        <v>348</v>
      </c>
      <c r="F590" s="83">
        <v>1</v>
      </c>
      <c r="G590" s="111">
        <f>ROUND(D590*E590/F590,0)</f>
        <v>28536</v>
      </c>
    </row>
    <row r="591" spans="1:8" ht="13.5" thickBot="1">
      <c r="A591" s="95"/>
      <c r="B591" s="942" t="s">
        <v>841</v>
      </c>
      <c r="C591" s="943"/>
      <c r="D591" s="77"/>
      <c r="E591" s="106"/>
      <c r="F591" s="86"/>
      <c r="G591" s="112"/>
    </row>
    <row r="592" spans="1:8" ht="14.25" thickTop="1" thickBot="1">
      <c r="A592" s="95"/>
      <c r="B592" s="946"/>
      <c r="C592" s="946"/>
      <c r="D592" s="946"/>
      <c r="E592" s="947"/>
      <c r="F592" s="119" t="s">
        <v>856</v>
      </c>
      <c r="G592" s="118">
        <f>SUM(G587:G591)</f>
        <v>162000</v>
      </c>
    </row>
    <row r="593" spans="1:8" ht="14.25" thickTop="1" thickBot="1">
      <c r="A593" s="95"/>
      <c r="B593" s="970"/>
      <c r="C593" s="970"/>
      <c r="D593" s="970"/>
      <c r="E593" s="970"/>
      <c r="F593" s="970"/>
      <c r="G593" s="970"/>
    </row>
    <row r="594" spans="1:8" ht="13.5" thickTop="1">
      <c r="A594" s="95"/>
      <c r="B594" s="950" t="s">
        <v>311</v>
      </c>
      <c r="C594" s="951"/>
      <c r="D594" s="951"/>
      <c r="E594" s="951"/>
      <c r="F594" s="951"/>
      <c r="G594" s="952"/>
    </row>
    <row r="595" spans="1:8">
      <c r="A595" s="95"/>
      <c r="B595" s="978" t="s">
        <v>838</v>
      </c>
      <c r="C595" s="979"/>
      <c r="D595" s="98" t="s">
        <v>842</v>
      </c>
      <c r="E595" s="98" t="s">
        <v>853</v>
      </c>
      <c r="F595" s="99" t="s">
        <v>1047</v>
      </c>
      <c r="G595" s="107" t="s">
        <v>840</v>
      </c>
    </row>
    <row r="596" spans="1:8">
      <c r="A596" s="95"/>
      <c r="B596" s="230"/>
      <c r="C596" s="102"/>
      <c r="D596" s="100"/>
      <c r="E596" s="100" t="s">
        <v>312</v>
      </c>
      <c r="F596" s="101" t="s">
        <v>313</v>
      </c>
      <c r="G596" s="108" t="s">
        <v>314</v>
      </c>
    </row>
    <row r="597" spans="1:8">
      <c r="A597" s="123"/>
      <c r="B597" s="841" t="str">
        <f>MATERIALES2!$C$233</f>
        <v>LAMINA GALVANIZADA CALIBRE 18 1.20x2.40</v>
      </c>
      <c r="C597" s="842"/>
      <c r="D597" s="87" t="s">
        <v>865</v>
      </c>
      <c r="E597" s="81">
        <v>3</v>
      </c>
      <c r="F597" s="80">
        <f>MATERIALES2!$E$233</f>
        <v>53700</v>
      </c>
      <c r="G597" s="110">
        <f t="shared" ref="G597:G603" si="4">ROUND(E597*F597,0)</f>
        <v>161100</v>
      </c>
    </row>
    <row r="598" spans="1:8">
      <c r="A598" s="123"/>
      <c r="B598" s="854" t="str">
        <f>MATERIALES2!$C$251</f>
        <v>SOLDADURA 6013 3/32</v>
      </c>
      <c r="C598" s="855"/>
      <c r="D598" s="37" t="s">
        <v>925</v>
      </c>
      <c r="E598" s="83">
        <v>2.5</v>
      </c>
      <c r="F598" s="82">
        <f>MATERIALES2!$E$251</f>
        <v>8000</v>
      </c>
      <c r="G598" s="111">
        <f t="shared" si="4"/>
        <v>20000</v>
      </c>
    </row>
    <row r="599" spans="1:8">
      <c r="A599" s="123"/>
      <c r="B599" s="854" t="str">
        <f>MATERIALES2!$C$269</f>
        <v>ANTICORROSIVO OXIDO DE HIERRO ROJO 310</v>
      </c>
      <c r="C599" s="855"/>
      <c r="D599" s="37" t="s">
        <v>556</v>
      </c>
      <c r="E599" s="308">
        <v>1</v>
      </c>
      <c r="F599" s="82">
        <f>MATERIALES2!$E$269</f>
        <v>31800</v>
      </c>
      <c r="G599" s="111">
        <f t="shared" si="4"/>
        <v>31800</v>
      </c>
    </row>
    <row r="600" spans="1:8">
      <c r="A600" s="123"/>
      <c r="B600" s="854" t="str">
        <f>MATERIALES2!$C$284</f>
        <v>ESMALTE SINTETICO PINTULUX</v>
      </c>
      <c r="C600" s="855"/>
      <c r="D600" s="37" t="s">
        <v>556</v>
      </c>
      <c r="E600" s="308">
        <v>0.5</v>
      </c>
      <c r="F600" s="82">
        <f>MATERIALES2!$E$284</f>
        <v>54800</v>
      </c>
      <c r="G600" s="111">
        <f t="shared" si="4"/>
        <v>27400</v>
      </c>
    </row>
    <row r="601" spans="1:8">
      <c r="A601" s="123"/>
      <c r="B601" s="854" t="str">
        <f>MATERIALES2!$C$249</f>
        <v>GOZNES 4"</v>
      </c>
      <c r="C601" s="855"/>
      <c r="D601" s="37" t="s">
        <v>865</v>
      </c>
      <c r="E601" s="83">
        <v>9</v>
      </c>
      <c r="F601" s="82">
        <f>MATERIALES2!$E$249</f>
        <v>600</v>
      </c>
      <c r="G601" s="111">
        <f t="shared" si="4"/>
        <v>5400</v>
      </c>
    </row>
    <row r="602" spans="1:8">
      <c r="A602" s="123"/>
      <c r="B602" s="854" t="str">
        <f>MATERIALES2!$C$234</f>
        <v>MANIJA PARA PUERTA</v>
      </c>
      <c r="C602" s="855"/>
      <c r="D602" s="37" t="s">
        <v>865</v>
      </c>
      <c r="E602" s="83">
        <v>1</v>
      </c>
      <c r="F602" s="82">
        <f>MATERIALES2!$E$234</f>
        <v>7500</v>
      </c>
      <c r="G602" s="111">
        <f t="shared" si="4"/>
        <v>7500</v>
      </c>
    </row>
    <row r="603" spans="1:8">
      <c r="A603" s="123"/>
      <c r="B603" s="854" t="str">
        <f>MATERIALES2!$C$200</f>
        <v>CERRADURA YALE 396 PORTON</v>
      </c>
      <c r="C603" s="855"/>
      <c r="D603" s="37" t="s">
        <v>865</v>
      </c>
      <c r="E603" s="83">
        <v>1</v>
      </c>
      <c r="F603" s="82">
        <f>MATERIALES2!$E$200</f>
        <v>65000</v>
      </c>
      <c r="G603" s="111">
        <f t="shared" si="4"/>
        <v>65000</v>
      </c>
      <c r="H603" s="505" t="s">
        <v>1670</v>
      </c>
    </row>
    <row r="604" spans="1:8">
      <c r="A604" s="123"/>
      <c r="B604" s="854" t="str">
        <f>MATERIALES2!$C$238</f>
        <v>TUBO 3"x11/2"x6.00 M</v>
      </c>
      <c r="C604" s="855"/>
      <c r="D604" s="37" t="s">
        <v>865</v>
      </c>
      <c r="E604" s="83">
        <v>3</v>
      </c>
      <c r="F604" s="82">
        <f>MATERIALES2!$E$238</f>
        <v>17500</v>
      </c>
      <c r="G604" s="111">
        <f>ROUND(E604*F604,0)</f>
        <v>52500</v>
      </c>
    </row>
    <row r="605" spans="1:8" ht="13.5" thickBot="1">
      <c r="A605" s="95"/>
      <c r="B605" s="942" t="s">
        <v>841</v>
      </c>
      <c r="C605" s="943"/>
      <c r="D605" s="84" t="s">
        <v>841</v>
      </c>
      <c r="E605" s="84"/>
      <c r="F605" s="85"/>
      <c r="G605" s="112"/>
    </row>
    <row r="606" spans="1:8" ht="13.5" thickTop="1">
      <c r="A606" s="95"/>
      <c r="B606" s="946"/>
      <c r="C606" s="947"/>
      <c r="D606" s="801" t="s">
        <v>856</v>
      </c>
      <c r="E606" s="802"/>
      <c r="F606" s="9"/>
      <c r="G606" s="113">
        <f>SUM(G597:G605)</f>
        <v>370700</v>
      </c>
    </row>
    <row r="607" spans="1:8">
      <c r="A607" s="95"/>
      <c r="B607" s="948"/>
      <c r="C607" s="949"/>
      <c r="D607" s="801" t="s">
        <v>857</v>
      </c>
      <c r="E607" s="802"/>
      <c r="F607" s="79">
        <f>'MANO DE OBRA'!$D$60</f>
        <v>0.05</v>
      </c>
      <c r="G607" s="113">
        <f>ROUND(G606*F607,0)</f>
        <v>18535</v>
      </c>
    </row>
    <row r="608" spans="1:8" ht="13.5" thickBot="1">
      <c r="A608" s="95"/>
      <c r="B608" s="948"/>
      <c r="C608" s="949"/>
      <c r="D608" s="803" t="s">
        <v>320</v>
      </c>
      <c r="E608" s="804"/>
      <c r="F608" s="114"/>
      <c r="G608" s="118">
        <f>+G606+G607</f>
        <v>389235</v>
      </c>
    </row>
    <row r="609" spans="1:7" ht="14.25" thickTop="1" thickBot="1">
      <c r="A609" s="95"/>
      <c r="B609" s="970"/>
      <c r="C609" s="970"/>
      <c r="D609" s="970"/>
      <c r="E609" s="970"/>
      <c r="F609" s="970"/>
      <c r="G609" s="970"/>
    </row>
    <row r="610" spans="1:7" ht="13.5" thickTop="1">
      <c r="A610" s="95"/>
      <c r="B610" s="950" t="s">
        <v>858</v>
      </c>
      <c r="C610" s="951"/>
      <c r="D610" s="951"/>
      <c r="E610" s="951"/>
      <c r="F610" s="951"/>
      <c r="G610" s="952"/>
    </row>
    <row r="611" spans="1:7">
      <c r="A611" s="95"/>
      <c r="B611" s="978"/>
      <c r="C611" s="979"/>
      <c r="D611" s="98" t="s">
        <v>301</v>
      </c>
      <c r="E611" s="98" t="s">
        <v>859</v>
      </c>
      <c r="F611" s="99" t="s">
        <v>839</v>
      </c>
      <c r="G611" s="107" t="s">
        <v>840</v>
      </c>
    </row>
    <row r="612" spans="1:7">
      <c r="A612" s="95"/>
      <c r="B612" s="982" t="s">
        <v>838</v>
      </c>
      <c r="C612" s="983"/>
      <c r="D612" s="100" t="s">
        <v>316</v>
      </c>
      <c r="E612" s="100" t="s">
        <v>315</v>
      </c>
      <c r="F612" s="101" t="s">
        <v>306</v>
      </c>
      <c r="G612" s="108" t="s">
        <v>319</v>
      </c>
    </row>
    <row r="613" spans="1:7">
      <c r="A613" s="95"/>
      <c r="B613" s="230"/>
      <c r="C613" s="102"/>
      <c r="D613" s="103"/>
      <c r="E613" s="103" t="s">
        <v>317</v>
      </c>
      <c r="F613" s="104" t="s">
        <v>318</v>
      </c>
      <c r="G613" s="109"/>
    </row>
    <row r="614" spans="1:7">
      <c r="A614" s="95"/>
      <c r="B614" s="841" t="str">
        <f>'MANO DE OBRA'!$B$13</f>
        <v>AYUDANTE CUAD. TIPO DD</v>
      </c>
      <c r="C614" s="842"/>
      <c r="D614" s="87">
        <v>1</v>
      </c>
      <c r="E614" s="80">
        <f>'MANO DE OBRA'!$E$13</f>
        <v>49276</v>
      </c>
      <c r="F614" s="81">
        <v>0.3</v>
      </c>
      <c r="G614" s="110">
        <f>ROUND(D614*E614/F614,0)</f>
        <v>164253</v>
      </c>
    </row>
    <row r="615" spans="1:7">
      <c r="A615" s="95"/>
      <c r="B615" s="854" t="str">
        <f>'MANO DE OBRA'!$B$18</f>
        <v>OFICIAL CUAD. TIPO DD</v>
      </c>
      <c r="C615" s="855"/>
      <c r="D615" s="37">
        <v>1</v>
      </c>
      <c r="E615" s="82">
        <f>'MANO DE OBRA'!$E$18</f>
        <v>85666</v>
      </c>
      <c r="F615" s="83">
        <v>0.3</v>
      </c>
      <c r="G615" s="111">
        <f>ROUND(D615*E615/F615,0)</f>
        <v>285553</v>
      </c>
    </row>
    <row r="616" spans="1:7">
      <c r="A616" s="95"/>
      <c r="B616" s="854" t="str">
        <f>'MANO DE OBRA'!$B$17</f>
        <v>OFICIAL CUAD. TIPO CC</v>
      </c>
      <c r="C616" s="855"/>
      <c r="D616" s="37">
        <v>1</v>
      </c>
      <c r="E616" s="82">
        <f>'MANO DE OBRA'!$E$17</f>
        <v>82117</v>
      </c>
      <c r="F616" s="83">
        <v>8</v>
      </c>
      <c r="G616" s="111">
        <f>ROUND(D616*E616/F616,0)</f>
        <v>10265</v>
      </c>
    </row>
    <row r="617" spans="1:7">
      <c r="A617" s="95"/>
      <c r="B617" s="854" t="str">
        <f>'MANO DE OBRA'!$B$10</f>
        <v>AYUDANTE CUAD. TIPO AA</v>
      </c>
      <c r="C617" s="855"/>
      <c r="D617" s="37">
        <v>1</v>
      </c>
      <c r="E617" s="82">
        <f>'MANO DE OBRA'!$E$10</f>
        <v>34680</v>
      </c>
      <c r="F617" s="83">
        <v>2.2000000000000002</v>
      </c>
      <c r="G617" s="111">
        <f>ROUND(D617*E617/F617,0)</f>
        <v>15764</v>
      </c>
    </row>
    <row r="618" spans="1:7" ht="13.5" thickBot="1">
      <c r="A618" s="95"/>
      <c r="B618" s="980" t="str">
        <f>'MANO DE OBRA'!$B$15</f>
        <v xml:space="preserve">OFICIAL CUAD. TIPO AA </v>
      </c>
      <c r="C618" s="981"/>
      <c r="D618" s="77">
        <v>1</v>
      </c>
      <c r="E618" s="82">
        <f>'MANO DE OBRA'!$E$15</f>
        <v>71474</v>
      </c>
      <c r="F618" s="86">
        <v>2.2000000000000002</v>
      </c>
      <c r="G618" s="111">
        <f>ROUND(D618*E618/F618,0)</f>
        <v>32488</v>
      </c>
    </row>
    <row r="619" spans="1:7" ht="14.25" thickTop="1" thickBot="1">
      <c r="A619" s="95"/>
      <c r="B619" s="946"/>
      <c r="C619" s="946"/>
      <c r="D619" s="946"/>
      <c r="E619" s="947"/>
      <c r="F619" s="120" t="s">
        <v>856</v>
      </c>
      <c r="G619" s="118">
        <f>SUM(G614:G618)</f>
        <v>508323</v>
      </c>
    </row>
    <row r="620" spans="1:7" ht="14.25" thickTop="1" thickBot="1">
      <c r="A620" s="95"/>
      <c r="B620" s="970"/>
      <c r="C620" s="970"/>
      <c r="D620" s="970"/>
      <c r="E620" s="970"/>
      <c r="F620" s="970"/>
      <c r="G620" s="970"/>
    </row>
    <row r="621" spans="1:7" ht="13.5" thickTop="1">
      <c r="A621" s="95"/>
      <c r="B621" s="950" t="s">
        <v>321</v>
      </c>
      <c r="C621" s="951"/>
      <c r="D621" s="951"/>
      <c r="E621" s="951"/>
      <c r="F621" s="951"/>
      <c r="G621" s="952"/>
    </row>
    <row r="622" spans="1:7">
      <c r="A622" s="95"/>
      <c r="B622" s="978" t="s">
        <v>838</v>
      </c>
      <c r="C622" s="979"/>
      <c r="D622" s="98" t="s">
        <v>301</v>
      </c>
      <c r="E622" s="98" t="s">
        <v>297</v>
      </c>
      <c r="F622" s="99" t="s">
        <v>839</v>
      </c>
      <c r="G622" s="107" t="s">
        <v>840</v>
      </c>
    </row>
    <row r="623" spans="1:7">
      <c r="A623" s="95"/>
      <c r="B623" s="230"/>
      <c r="C623" s="102"/>
      <c r="D623" s="103" t="s">
        <v>322</v>
      </c>
      <c r="E623" s="103" t="s">
        <v>323</v>
      </c>
      <c r="F623" s="104" t="s">
        <v>324</v>
      </c>
      <c r="G623" s="109" t="s">
        <v>325</v>
      </c>
    </row>
    <row r="624" spans="1:7">
      <c r="A624" s="95"/>
      <c r="B624" s="841"/>
      <c r="C624" s="842"/>
      <c r="D624" s="96"/>
      <c r="E624" s="96"/>
      <c r="F624" s="96"/>
      <c r="G624" s="116"/>
    </row>
    <row r="625" spans="1:8" ht="13.5" thickBot="1">
      <c r="A625" s="95"/>
      <c r="B625" s="980" t="s">
        <v>841</v>
      </c>
      <c r="C625" s="981"/>
      <c r="D625" s="77"/>
      <c r="E625" s="82"/>
      <c r="F625" s="86"/>
      <c r="G625" s="112"/>
    </row>
    <row r="626" spans="1:8" ht="14.25" thickTop="1" thickBot="1">
      <c r="A626" s="95"/>
      <c r="B626" s="946"/>
      <c r="C626" s="946"/>
      <c r="D626" s="946"/>
      <c r="E626" s="947"/>
      <c r="F626" s="120" t="s">
        <v>856</v>
      </c>
      <c r="G626" s="118">
        <f>SUM(G621:G625)</f>
        <v>0</v>
      </c>
    </row>
    <row r="627" spans="1:8" ht="14.25" thickTop="1" thickBot="1">
      <c r="A627" s="95"/>
      <c r="B627" s="970"/>
      <c r="C627" s="970"/>
      <c r="D627" s="970"/>
      <c r="E627" s="970"/>
      <c r="F627" s="970"/>
      <c r="G627" s="943"/>
    </row>
    <row r="628" spans="1:8" ht="13.5" thickTop="1">
      <c r="A628" s="95"/>
      <c r="B628" s="950" t="s">
        <v>326</v>
      </c>
      <c r="C628" s="951"/>
      <c r="D628" s="951"/>
      <c r="E628" s="951"/>
      <c r="F628" s="971"/>
      <c r="G628" s="121">
        <f>+G592+G608+G619</f>
        <v>1059558</v>
      </c>
    </row>
    <row r="629" spans="1:8">
      <c r="A629" s="95"/>
      <c r="B629" s="972" t="s">
        <v>861</v>
      </c>
      <c r="C629" s="973"/>
      <c r="D629" s="973"/>
      <c r="E629" s="974"/>
      <c r="F629" s="128">
        <f>'MANO DE OBRA'!$D$59</f>
        <v>0</v>
      </c>
      <c r="G629" s="122">
        <f>ROUND(G628*F629,0)</f>
        <v>0</v>
      </c>
    </row>
    <row r="630" spans="1:8" ht="13.5" thickBot="1">
      <c r="A630" s="95"/>
      <c r="B630" s="975" t="s">
        <v>1049</v>
      </c>
      <c r="C630" s="976"/>
      <c r="D630" s="976"/>
      <c r="E630" s="976"/>
      <c r="F630" s="977"/>
      <c r="G630" s="118">
        <f>ROUND(G628+G629,-2)</f>
        <v>1059600</v>
      </c>
      <c r="H630" s="505" t="s">
        <v>1670</v>
      </c>
    </row>
    <row r="631" spans="1:8" ht="13.5" thickTop="1">
      <c r="A631" s="95"/>
      <c r="B631" s="225" t="s">
        <v>303</v>
      </c>
      <c r="C631" s="843"/>
      <c r="D631" s="843"/>
      <c r="E631" s="843"/>
      <c r="F631" s="92" t="s">
        <v>781</v>
      </c>
      <c r="G631" s="93" t="s">
        <v>865</v>
      </c>
    </row>
    <row r="632" spans="1:8">
      <c r="A632" s="95"/>
      <c r="B632" s="226" t="s">
        <v>834</v>
      </c>
      <c r="C632" s="844" t="s">
        <v>1506</v>
      </c>
      <c r="D632" s="844"/>
      <c r="E632" s="844"/>
      <c r="F632" s="15" t="s">
        <v>833</v>
      </c>
      <c r="G632" s="165" t="str">
        <f>'MANO DE OBRA'!D61</f>
        <v>Agosto de 2010</v>
      </c>
    </row>
    <row r="633" spans="1:8" ht="27.75" customHeight="1" thickBot="1">
      <c r="A633" s="236"/>
      <c r="B633" s="240" t="s">
        <v>835</v>
      </c>
      <c r="C633" s="995" t="s">
        <v>1516</v>
      </c>
      <c r="D633" s="995"/>
      <c r="E633" s="995"/>
      <c r="F633" s="995"/>
      <c r="G633" s="996"/>
    </row>
    <row r="634" spans="1:8" ht="14.25" thickTop="1" thickBot="1">
      <c r="A634" s="95"/>
      <c r="B634" s="986"/>
      <c r="C634" s="986"/>
      <c r="D634" s="986"/>
      <c r="E634" s="986"/>
      <c r="F634" s="986"/>
      <c r="G634" s="986"/>
    </row>
    <row r="635" spans="1:8" ht="13.5" thickTop="1">
      <c r="A635" s="95"/>
      <c r="B635" s="950" t="s">
        <v>304</v>
      </c>
      <c r="C635" s="951"/>
      <c r="D635" s="951"/>
      <c r="E635" s="951"/>
      <c r="F635" s="951"/>
      <c r="G635" s="952"/>
    </row>
    <row r="636" spans="1:8">
      <c r="A636" s="95"/>
      <c r="B636" s="229"/>
      <c r="C636" s="97"/>
      <c r="D636" s="98" t="s">
        <v>301</v>
      </c>
      <c r="E636" s="98" t="s">
        <v>1072</v>
      </c>
      <c r="F636" s="99" t="s">
        <v>839</v>
      </c>
      <c r="G636" s="107" t="s">
        <v>840</v>
      </c>
    </row>
    <row r="637" spans="1:8">
      <c r="A637" s="95"/>
      <c r="B637" s="982" t="s">
        <v>838</v>
      </c>
      <c r="C637" s="983"/>
      <c r="D637" s="100" t="s">
        <v>308</v>
      </c>
      <c r="E637" s="100" t="s">
        <v>305</v>
      </c>
      <c r="F637" s="101" t="s">
        <v>306</v>
      </c>
      <c r="G637" s="108" t="s">
        <v>310</v>
      </c>
    </row>
    <row r="638" spans="1:8">
      <c r="A638" s="95"/>
      <c r="B638" s="230"/>
      <c r="C638" s="102"/>
      <c r="D638" s="103"/>
      <c r="E638" s="103" t="s">
        <v>309</v>
      </c>
      <c r="F638" s="104" t="s">
        <v>307</v>
      </c>
      <c r="G638" s="109"/>
    </row>
    <row r="639" spans="1:8">
      <c r="A639" s="127"/>
      <c r="B639" s="841" t="str">
        <f>'MAQUINARIA Y EQUIPOS'!$C$28</f>
        <v>HERRAMIENTAS MENORES</v>
      </c>
      <c r="C639" s="842"/>
      <c r="D639" s="87">
        <v>1</v>
      </c>
      <c r="E639" s="82">
        <f>ROUND(G669*0.05,0)</f>
        <v>2682</v>
      </c>
      <c r="F639" s="81">
        <v>1</v>
      </c>
      <c r="G639" s="110">
        <f>ROUND(D639*E639/F639,0)</f>
        <v>2682</v>
      </c>
    </row>
    <row r="640" spans="1:8">
      <c r="A640" s="127"/>
      <c r="B640" s="854"/>
      <c r="C640" s="855"/>
      <c r="D640" s="37"/>
      <c r="E640" s="129"/>
      <c r="F640" s="83"/>
      <c r="G640" s="111"/>
    </row>
    <row r="641" spans="1:8">
      <c r="A641" s="127"/>
      <c r="B641" s="854"/>
      <c r="C641" s="855"/>
      <c r="D641" s="37"/>
      <c r="E641" s="129"/>
      <c r="F641" s="83"/>
      <c r="G641" s="111"/>
    </row>
    <row r="642" spans="1:8">
      <c r="A642" s="95"/>
      <c r="B642" s="854" t="s">
        <v>841</v>
      </c>
      <c r="C642" s="855"/>
      <c r="D642" s="37"/>
      <c r="E642" s="82"/>
      <c r="F642" s="83"/>
      <c r="G642" s="111"/>
    </row>
    <row r="643" spans="1:8" ht="13.5" thickBot="1">
      <c r="A643" s="95"/>
      <c r="B643" s="942" t="s">
        <v>841</v>
      </c>
      <c r="C643" s="943"/>
      <c r="D643" s="77"/>
      <c r="E643" s="106"/>
      <c r="F643" s="86"/>
      <c r="G643" s="112"/>
    </row>
    <row r="644" spans="1:8" ht="14.25" thickTop="1" thickBot="1">
      <c r="A644" s="95"/>
      <c r="B644" s="946"/>
      <c r="C644" s="946"/>
      <c r="D644" s="946"/>
      <c r="E644" s="947"/>
      <c r="F644" s="119" t="s">
        <v>856</v>
      </c>
      <c r="G644" s="118">
        <f>SUM(G639:G643)</f>
        <v>2682</v>
      </c>
    </row>
    <row r="645" spans="1:8" ht="14.25" thickTop="1" thickBot="1">
      <c r="A645" s="95"/>
      <c r="B645" s="970"/>
      <c r="C645" s="970"/>
      <c r="D645" s="970"/>
      <c r="E645" s="970"/>
      <c r="F645" s="970"/>
      <c r="G645" s="970"/>
    </row>
    <row r="646" spans="1:8" ht="13.5" thickTop="1">
      <c r="A646" s="95"/>
      <c r="B646" s="950" t="s">
        <v>311</v>
      </c>
      <c r="C646" s="951"/>
      <c r="D646" s="951"/>
      <c r="E646" s="951"/>
      <c r="F646" s="951"/>
      <c r="G646" s="952"/>
    </row>
    <row r="647" spans="1:8">
      <c r="A647" s="95"/>
      <c r="B647" s="978" t="s">
        <v>838</v>
      </c>
      <c r="C647" s="979"/>
      <c r="D647" s="98" t="s">
        <v>842</v>
      </c>
      <c r="E647" s="98" t="s">
        <v>853</v>
      </c>
      <c r="F647" s="99" t="s">
        <v>1047</v>
      </c>
      <c r="G647" s="107" t="s">
        <v>840</v>
      </c>
    </row>
    <row r="648" spans="1:8">
      <c r="A648" s="95"/>
      <c r="B648" s="230"/>
      <c r="C648" s="102"/>
      <c r="D648" s="100"/>
      <c r="E648" s="100" t="s">
        <v>312</v>
      </c>
      <c r="F648" s="101" t="s">
        <v>313</v>
      </c>
      <c r="G648" s="108" t="s">
        <v>314</v>
      </c>
    </row>
    <row r="649" spans="1:8" ht="27.75" customHeight="1">
      <c r="A649" s="252"/>
      <c r="B649" s="1056" t="str">
        <f>MATERIALES2!$C$211</f>
        <v>PUERTA METALICA SENCILLA  DE 0.80-2.40x2.00 M, CON ANTICORROSIVO, SIN  INSTALACION</v>
      </c>
      <c r="C649" s="1057"/>
      <c r="D649" s="87" t="s">
        <v>1067</v>
      </c>
      <c r="E649" s="81">
        <v>2</v>
      </c>
      <c r="F649" s="80">
        <f>MATERIALES2!$E$211</f>
        <v>80000</v>
      </c>
      <c r="G649" s="110">
        <f>ROUND(E649*F649,0)</f>
        <v>160000</v>
      </c>
    </row>
    <row r="650" spans="1:8">
      <c r="A650" s="123"/>
      <c r="B650" s="854" t="str">
        <f>MATERIALES2!$C$284</f>
        <v>ESMALTE SINTETICO PINTULUX</v>
      </c>
      <c r="C650" s="855"/>
      <c r="D650" s="37" t="s">
        <v>556</v>
      </c>
      <c r="E650" s="308">
        <v>0.375</v>
      </c>
      <c r="F650" s="82">
        <f>MATERIALES2!$E$284</f>
        <v>54800</v>
      </c>
      <c r="G650" s="111">
        <f>ROUND(E650*F650,0)</f>
        <v>20550</v>
      </c>
    </row>
    <row r="651" spans="1:8">
      <c r="A651" s="123"/>
      <c r="B651" s="854" t="str">
        <f>MATERIALES2!$C$200</f>
        <v>CERRADURA YALE 396 PORTON</v>
      </c>
      <c r="C651" s="855"/>
      <c r="D651" s="37" t="s">
        <v>865</v>
      </c>
      <c r="E651" s="83">
        <v>1</v>
      </c>
      <c r="F651" s="82">
        <f>MATERIALES2!$E$200</f>
        <v>65000</v>
      </c>
      <c r="G651" s="111">
        <f>ROUND(E651*F651,0)</f>
        <v>65000</v>
      </c>
    </row>
    <row r="652" spans="1:8">
      <c r="A652" s="123"/>
      <c r="B652" s="854" t="str">
        <f>MATERIALES2!$C$234</f>
        <v>MANIJA PARA PUERTA</v>
      </c>
      <c r="C652" s="855"/>
      <c r="D652" s="37" t="s">
        <v>865</v>
      </c>
      <c r="E652" s="83">
        <v>1</v>
      </c>
      <c r="F652" s="82">
        <f>MATERIALES2!$E$234</f>
        <v>7500</v>
      </c>
      <c r="G652" s="111">
        <f>ROUND(E652*F652,0)</f>
        <v>7500</v>
      </c>
    </row>
    <row r="653" spans="1:8">
      <c r="A653" s="95"/>
      <c r="B653" s="854"/>
      <c r="C653" s="855"/>
      <c r="D653" s="37"/>
      <c r="E653" s="83"/>
      <c r="F653" s="82"/>
      <c r="G653" s="111"/>
    </row>
    <row r="654" spans="1:8">
      <c r="A654" s="95"/>
      <c r="B654" s="938" t="s">
        <v>841</v>
      </c>
      <c r="C654" s="939"/>
      <c r="D654" s="53" t="s">
        <v>841</v>
      </c>
      <c r="E654" s="53"/>
      <c r="F654" s="82"/>
      <c r="G654" s="111"/>
      <c r="H654" s="505" t="s">
        <v>1670</v>
      </c>
    </row>
    <row r="655" spans="1:8" ht="13.5" thickBot="1">
      <c r="A655" s="95"/>
      <c r="B655" s="942" t="s">
        <v>841</v>
      </c>
      <c r="C655" s="943"/>
      <c r="D655" s="84" t="s">
        <v>841</v>
      </c>
      <c r="E655" s="84"/>
      <c r="F655" s="85"/>
      <c r="G655" s="112"/>
    </row>
    <row r="656" spans="1:8" ht="13.5" thickTop="1">
      <c r="A656" s="95"/>
      <c r="B656" s="946"/>
      <c r="C656" s="947"/>
      <c r="D656" s="801" t="s">
        <v>856</v>
      </c>
      <c r="E656" s="802"/>
      <c r="F656" s="9"/>
      <c r="G656" s="113">
        <f>SUM(G649:G655)</f>
        <v>253050</v>
      </c>
    </row>
    <row r="657" spans="1:7">
      <c r="A657" s="95"/>
      <c r="B657" s="948"/>
      <c r="C657" s="949"/>
      <c r="D657" s="801" t="s">
        <v>857</v>
      </c>
      <c r="E657" s="802"/>
      <c r="F657" s="79">
        <f>'MANO DE OBRA'!$D$60</f>
        <v>0.05</v>
      </c>
      <c r="G657" s="113">
        <f>ROUND(G656*F657,0)</f>
        <v>12653</v>
      </c>
    </row>
    <row r="658" spans="1:7" ht="13.5" thickBot="1">
      <c r="A658" s="95"/>
      <c r="B658" s="948"/>
      <c r="C658" s="949"/>
      <c r="D658" s="803" t="s">
        <v>320</v>
      </c>
      <c r="E658" s="804"/>
      <c r="F658" s="114"/>
      <c r="G658" s="118">
        <f>+G656+G657</f>
        <v>265703</v>
      </c>
    </row>
    <row r="659" spans="1:7" ht="14.25" thickTop="1" thickBot="1">
      <c r="A659" s="95"/>
      <c r="B659" s="970"/>
      <c r="C659" s="970"/>
      <c r="D659" s="970"/>
      <c r="E659" s="970"/>
      <c r="F659" s="970"/>
      <c r="G659" s="970"/>
    </row>
    <row r="660" spans="1:7" ht="13.5" thickTop="1">
      <c r="A660" s="95"/>
      <c r="B660" s="950" t="s">
        <v>858</v>
      </c>
      <c r="C660" s="951"/>
      <c r="D660" s="951"/>
      <c r="E660" s="951"/>
      <c r="F660" s="951"/>
      <c r="G660" s="952"/>
    </row>
    <row r="661" spans="1:7">
      <c r="A661" s="95"/>
      <c r="B661" s="978"/>
      <c r="C661" s="979"/>
      <c r="D661" s="98" t="s">
        <v>301</v>
      </c>
      <c r="E661" s="98" t="s">
        <v>859</v>
      </c>
      <c r="F661" s="99" t="s">
        <v>839</v>
      </c>
      <c r="G661" s="107" t="s">
        <v>840</v>
      </c>
    </row>
    <row r="662" spans="1:7">
      <c r="A662" s="95"/>
      <c r="B662" s="982" t="s">
        <v>838</v>
      </c>
      <c r="C662" s="983"/>
      <c r="D662" s="100" t="s">
        <v>316</v>
      </c>
      <c r="E662" s="100" t="s">
        <v>315</v>
      </c>
      <c r="F662" s="101" t="s">
        <v>306</v>
      </c>
      <c r="G662" s="108" t="s">
        <v>319</v>
      </c>
    </row>
    <row r="663" spans="1:7">
      <c r="A663" s="95"/>
      <c r="B663" s="230"/>
      <c r="C663" s="102"/>
      <c r="D663" s="103"/>
      <c r="E663" s="103" t="s">
        <v>317</v>
      </c>
      <c r="F663" s="104" t="s">
        <v>318</v>
      </c>
      <c r="G663" s="109"/>
    </row>
    <row r="664" spans="1:7">
      <c r="A664" s="95"/>
      <c r="B664" s="841" t="str">
        <f>'MANO DE OBRA'!$B$10</f>
        <v>AYUDANTE CUAD. TIPO AA</v>
      </c>
      <c r="C664" s="842"/>
      <c r="D664" s="87">
        <v>1</v>
      </c>
      <c r="E664" s="80">
        <f>'MANO DE OBRA'!$E$10</f>
        <v>34680</v>
      </c>
      <c r="F664" s="81">
        <v>3</v>
      </c>
      <c r="G664" s="110">
        <f>ROUND(D664*E664/F664,0)</f>
        <v>11560</v>
      </c>
    </row>
    <row r="665" spans="1:7">
      <c r="A665" s="95"/>
      <c r="B665" s="854" t="str">
        <f>'MANO DE OBRA'!$B$15</f>
        <v xml:space="preserve">OFICIAL CUAD. TIPO AA </v>
      </c>
      <c r="C665" s="855"/>
      <c r="D665" s="37">
        <v>1</v>
      </c>
      <c r="E665" s="82">
        <f>'MANO DE OBRA'!$E$15</f>
        <v>71474</v>
      </c>
      <c r="F665" s="83">
        <v>3</v>
      </c>
      <c r="G665" s="111">
        <f>ROUND(D665*E665/F665,0)</f>
        <v>23825</v>
      </c>
    </row>
    <row r="666" spans="1:7">
      <c r="A666" s="95"/>
      <c r="B666" s="854" t="str">
        <f>'MANO DE OBRA'!$B$17</f>
        <v>OFICIAL CUAD. TIPO CC</v>
      </c>
      <c r="C666" s="855"/>
      <c r="D666" s="37">
        <v>1</v>
      </c>
      <c r="E666" s="82">
        <f>'MANO DE OBRA'!$E$17</f>
        <v>82117</v>
      </c>
      <c r="F666" s="83">
        <v>4.5</v>
      </c>
      <c r="G666" s="111">
        <f>ROUND(D666*E666/F666,0)</f>
        <v>18248</v>
      </c>
    </row>
    <row r="667" spans="1:7">
      <c r="A667" s="95"/>
      <c r="B667" s="854"/>
      <c r="C667" s="855"/>
      <c r="D667" s="37"/>
      <c r="E667" s="82"/>
      <c r="F667" s="83"/>
      <c r="G667" s="111"/>
    </row>
    <row r="668" spans="1:7" ht="13.5" thickBot="1">
      <c r="A668" s="95"/>
      <c r="B668" s="980"/>
      <c r="C668" s="981"/>
      <c r="D668" s="77"/>
      <c r="E668" s="82"/>
      <c r="F668" s="86"/>
      <c r="G668" s="111"/>
    </row>
    <row r="669" spans="1:7" ht="14.25" thickTop="1" thickBot="1">
      <c r="A669" s="95"/>
      <c r="B669" s="946"/>
      <c r="C669" s="946"/>
      <c r="D669" s="946"/>
      <c r="E669" s="947"/>
      <c r="F669" s="120" t="s">
        <v>856</v>
      </c>
      <c r="G669" s="118">
        <f>SUM(G664:G668)</f>
        <v>53633</v>
      </c>
    </row>
    <row r="670" spans="1:7" ht="14.25" thickTop="1" thickBot="1">
      <c r="A670" s="95"/>
      <c r="B670" s="970"/>
      <c r="C670" s="970"/>
      <c r="D670" s="970"/>
      <c r="E670" s="970"/>
      <c r="F670" s="970"/>
      <c r="G670" s="970"/>
    </row>
    <row r="671" spans="1:7" ht="13.5" thickTop="1">
      <c r="A671" s="95"/>
      <c r="B671" s="950" t="s">
        <v>321</v>
      </c>
      <c r="C671" s="951"/>
      <c r="D671" s="951"/>
      <c r="E671" s="951"/>
      <c r="F671" s="951"/>
      <c r="G671" s="952"/>
    </row>
    <row r="672" spans="1:7">
      <c r="A672" s="95"/>
      <c r="B672" s="978" t="s">
        <v>838</v>
      </c>
      <c r="C672" s="979"/>
      <c r="D672" s="98" t="s">
        <v>301</v>
      </c>
      <c r="E672" s="98" t="s">
        <v>297</v>
      </c>
      <c r="F672" s="99" t="s">
        <v>839</v>
      </c>
      <c r="G672" s="107" t="s">
        <v>840</v>
      </c>
    </row>
    <row r="673" spans="1:8">
      <c r="A673" s="95"/>
      <c r="B673" s="230"/>
      <c r="C673" s="102"/>
      <c r="D673" s="103" t="s">
        <v>322</v>
      </c>
      <c r="E673" s="103" t="s">
        <v>323</v>
      </c>
      <c r="F673" s="104" t="s">
        <v>324</v>
      </c>
      <c r="G673" s="109" t="s">
        <v>325</v>
      </c>
    </row>
    <row r="674" spans="1:8">
      <c r="A674" s="95"/>
      <c r="B674" s="841"/>
      <c r="C674" s="842"/>
      <c r="D674" s="96"/>
      <c r="E674" s="96"/>
      <c r="F674" s="96"/>
      <c r="G674" s="116"/>
    </row>
    <row r="675" spans="1:8" ht="13.5" thickBot="1">
      <c r="A675" s="95"/>
      <c r="B675" s="980" t="s">
        <v>841</v>
      </c>
      <c r="C675" s="981"/>
      <c r="D675" s="77"/>
      <c r="E675" s="82"/>
      <c r="F675" s="86"/>
      <c r="G675" s="112"/>
    </row>
    <row r="676" spans="1:8" ht="14.25" thickTop="1" thickBot="1">
      <c r="A676" s="95"/>
      <c r="B676" s="946"/>
      <c r="C676" s="946"/>
      <c r="D676" s="946"/>
      <c r="E676" s="947"/>
      <c r="F676" s="120" t="s">
        <v>856</v>
      </c>
      <c r="G676" s="118">
        <f>SUM(G671:G675)</f>
        <v>0</v>
      </c>
    </row>
    <row r="677" spans="1:8" ht="14.25" thickTop="1" thickBot="1">
      <c r="A677" s="95"/>
      <c r="B677" s="970"/>
      <c r="C677" s="970"/>
      <c r="D677" s="970"/>
      <c r="E677" s="970"/>
      <c r="F677" s="970"/>
      <c r="G677" s="943"/>
    </row>
    <row r="678" spans="1:8" ht="13.5" thickTop="1">
      <c r="A678" s="95"/>
      <c r="B678" s="950" t="s">
        <v>326</v>
      </c>
      <c r="C678" s="951"/>
      <c r="D678" s="951"/>
      <c r="E678" s="951"/>
      <c r="F678" s="971"/>
      <c r="G678" s="121">
        <f>+G644+G658+G669</f>
        <v>322018</v>
      </c>
    </row>
    <row r="679" spans="1:8">
      <c r="A679" s="95"/>
      <c r="B679" s="972" t="s">
        <v>861</v>
      </c>
      <c r="C679" s="973"/>
      <c r="D679" s="973"/>
      <c r="E679" s="974"/>
      <c r="F679" s="128">
        <f>'MANO DE OBRA'!$D$59</f>
        <v>0</v>
      </c>
      <c r="G679" s="122">
        <f>ROUND(G678*F679,0)</f>
        <v>0</v>
      </c>
    </row>
    <row r="680" spans="1:8" ht="13.5" thickBot="1">
      <c r="A680" s="95"/>
      <c r="B680" s="975" t="s">
        <v>1049</v>
      </c>
      <c r="C680" s="976"/>
      <c r="D680" s="976"/>
      <c r="E680" s="976"/>
      <c r="F680" s="977"/>
      <c r="G680" s="118">
        <f>ROUND(G678+G679,-2)</f>
        <v>322000</v>
      </c>
      <c r="H680" s="505" t="s">
        <v>1670</v>
      </c>
    </row>
    <row r="681" spans="1:8" ht="13.5" thickTop="1">
      <c r="A681" s="95"/>
      <c r="B681" s="225" t="s">
        <v>303</v>
      </c>
      <c r="C681" s="843"/>
      <c r="D681" s="843"/>
      <c r="E681" s="843"/>
      <c r="F681" s="92" t="s">
        <v>781</v>
      </c>
      <c r="G681" s="93" t="s">
        <v>865</v>
      </c>
    </row>
    <row r="682" spans="1:8">
      <c r="A682" s="95"/>
      <c r="B682" s="226" t="s">
        <v>834</v>
      </c>
      <c r="C682" s="844" t="s">
        <v>1506</v>
      </c>
      <c r="D682" s="844"/>
      <c r="E682" s="844"/>
      <c r="F682" s="15" t="s">
        <v>833</v>
      </c>
      <c r="G682" s="165" t="str">
        <f>'MANO DE OBRA'!D61</f>
        <v>Agosto de 2010</v>
      </c>
    </row>
    <row r="683" spans="1:8" ht="27.75" customHeight="1" thickBot="1">
      <c r="A683" s="236"/>
      <c r="B683" s="240" t="s">
        <v>835</v>
      </c>
      <c r="C683" s="995" t="s">
        <v>1513</v>
      </c>
      <c r="D683" s="995"/>
      <c r="E683" s="995"/>
      <c r="F683" s="995"/>
      <c r="G683" s="996"/>
    </row>
    <row r="684" spans="1:8" ht="14.25" thickTop="1" thickBot="1">
      <c r="A684" s="95"/>
      <c r="B684" s="986"/>
      <c r="C684" s="986"/>
      <c r="D684" s="986"/>
      <c r="E684" s="986"/>
      <c r="F684" s="986"/>
      <c r="G684" s="986"/>
    </row>
    <row r="685" spans="1:8" ht="13.5" thickTop="1">
      <c r="A685" s="95"/>
      <c r="B685" s="950" t="s">
        <v>304</v>
      </c>
      <c r="C685" s="951"/>
      <c r="D685" s="951"/>
      <c r="E685" s="951"/>
      <c r="F685" s="951"/>
      <c r="G685" s="952"/>
    </row>
    <row r="686" spans="1:8">
      <c r="A686" s="95"/>
      <c r="B686" s="229"/>
      <c r="C686" s="97"/>
      <c r="D686" s="98" t="s">
        <v>301</v>
      </c>
      <c r="E686" s="98" t="s">
        <v>1072</v>
      </c>
      <c r="F686" s="99" t="s">
        <v>839</v>
      </c>
      <c r="G686" s="107" t="s">
        <v>840</v>
      </c>
    </row>
    <row r="687" spans="1:8">
      <c r="A687" s="95"/>
      <c r="B687" s="982" t="s">
        <v>838</v>
      </c>
      <c r="C687" s="983"/>
      <c r="D687" s="100" t="s">
        <v>308</v>
      </c>
      <c r="E687" s="100" t="s">
        <v>305</v>
      </c>
      <c r="F687" s="101" t="s">
        <v>306</v>
      </c>
      <c r="G687" s="108" t="s">
        <v>310</v>
      </c>
    </row>
    <row r="688" spans="1:8">
      <c r="A688" s="95"/>
      <c r="B688" s="230"/>
      <c r="C688" s="102"/>
      <c r="D688" s="103"/>
      <c r="E688" s="103" t="s">
        <v>309</v>
      </c>
      <c r="F688" s="104" t="s">
        <v>307</v>
      </c>
      <c r="G688" s="109"/>
    </row>
    <row r="689" spans="1:8">
      <c r="A689" s="127"/>
      <c r="B689" s="841" t="str">
        <f>'MAQUINARIA Y EQUIPOS'!$C$28</f>
        <v>HERRAMIENTAS MENORES</v>
      </c>
      <c r="C689" s="842"/>
      <c r="D689" s="87">
        <v>1</v>
      </c>
      <c r="E689" s="82">
        <f>ROUND(G720*0.05,0)</f>
        <v>1817</v>
      </c>
      <c r="F689" s="81">
        <v>1</v>
      </c>
      <c r="G689" s="110">
        <f>ROUND(D689*E689/F689,0)</f>
        <v>1817</v>
      </c>
    </row>
    <row r="690" spans="1:8">
      <c r="A690" s="127"/>
      <c r="B690" s="854"/>
      <c r="C690" s="855"/>
      <c r="D690" s="37"/>
      <c r="E690" s="129"/>
      <c r="F690" s="83"/>
      <c r="G690" s="111"/>
    </row>
    <row r="691" spans="1:8">
      <c r="A691" s="127"/>
      <c r="B691" s="854"/>
      <c r="C691" s="855"/>
      <c r="D691" s="37"/>
      <c r="E691" s="129"/>
      <c r="F691" s="83"/>
      <c r="G691" s="111"/>
    </row>
    <row r="692" spans="1:8">
      <c r="A692" s="95"/>
      <c r="B692" s="854" t="s">
        <v>841</v>
      </c>
      <c r="C692" s="855"/>
      <c r="D692" s="37"/>
      <c r="E692" s="82"/>
      <c r="F692" s="83"/>
      <c r="G692" s="111"/>
    </row>
    <row r="693" spans="1:8" ht="13.5" thickBot="1">
      <c r="A693" s="95"/>
      <c r="B693" s="942" t="s">
        <v>841</v>
      </c>
      <c r="C693" s="943"/>
      <c r="D693" s="77"/>
      <c r="E693" s="106"/>
      <c r="F693" s="86"/>
      <c r="G693" s="112"/>
    </row>
    <row r="694" spans="1:8" ht="14.25" thickTop="1" thickBot="1">
      <c r="A694" s="95"/>
      <c r="B694" s="946"/>
      <c r="C694" s="946"/>
      <c r="D694" s="946"/>
      <c r="E694" s="947"/>
      <c r="F694" s="119" t="s">
        <v>856</v>
      </c>
      <c r="G694" s="118">
        <f>SUM(G689:G693)</f>
        <v>1817</v>
      </c>
    </row>
    <row r="695" spans="1:8" ht="14.25" thickTop="1" thickBot="1">
      <c r="A695" s="95"/>
      <c r="B695" s="970"/>
      <c r="C695" s="970"/>
      <c r="D695" s="970"/>
      <c r="E695" s="970"/>
      <c r="F695" s="970"/>
      <c r="G695" s="970"/>
    </row>
    <row r="696" spans="1:8" ht="13.5" thickTop="1">
      <c r="A696" s="95"/>
      <c r="B696" s="950" t="s">
        <v>311</v>
      </c>
      <c r="C696" s="951"/>
      <c r="D696" s="951"/>
      <c r="E696" s="951"/>
      <c r="F696" s="951"/>
      <c r="G696" s="952"/>
    </row>
    <row r="697" spans="1:8">
      <c r="A697" s="95"/>
      <c r="B697" s="978" t="s">
        <v>838</v>
      </c>
      <c r="C697" s="979"/>
      <c r="D697" s="98" t="s">
        <v>842</v>
      </c>
      <c r="E697" s="98" t="s">
        <v>853</v>
      </c>
      <c r="F697" s="99" t="s">
        <v>1047</v>
      </c>
      <c r="G697" s="107" t="s">
        <v>840</v>
      </c>
    </row>
    <row r="698" spans="1:8">
      <c r="A698" s="95"/>
      <c r="B698" s="230"/>
      <c r="C698" s="102"/>
      <c r="D698" s="100"/>
      <c r="E698" s="100" t="s">
        <v>312</v>
      </c>
      <c r="F698" s="101" t="s">
        <v>313</v>
      </c>
      <c r="G698" s="108" t="s">
        <v>314</v>
      </c>
    </row>
    <row r="699" spans="1:8" ht="25.5" customHeight="1">
      <c r="A699" s="252"/>
      <c r="B699" s="1056" t="str">
        <f>MATERIALES2!$C$207</f>
        <v>VENTANA METALICA, CON REJA, ANTICORROSIVO, SIN VIDRIO NI INSTALACION</v>
      </c>
      <c r="C699" s="1057"/>
      <c r="D699" s="87" t="s">
        <v>1067</v>
      </c>
      <c r="E699" s="81">
        <v>1.92</v>
      </c>
      <c r="F699" s="80">
        <f>MATERIALES2!$E$207</f>
        <v>35000</v>
      </c>
      <c r="G699" s="110">
        <f>ROUND(E699*F699,0)</f>
        <v>67200</v>
      </c>
    </row>
    <row r="700" spans="1:8">
      <c r="A700" s="123"/>
      <c r="B700" s="854" t="str">
        <f>MATERIALES2!$C$284</f>
        <v>ESMALTE SINTETICO PINTULUX</v>
      </c>
      <c r="C700" s="855"/>
      <c r="D700" s="37" t="s">
        <v>556</v>
      </c>
      <c r="E700" s="308">
        <v>0.125</v>
      </c>
      <c r="F700" s="82">
        <f>MATERIALES2!$E$284</f>
        <v>54800</v>
      </c>
      <c r="G700" s="111">
        <f>ROUND(E700*F700,0)</f>
        <v>6850</v>
      </c>
    </row>
    <row r="701" spans="1:8">
      <c r="A701" s="123"/>
      <c r="B701" s="854"/>
      <c r="C701" s="855"/>
      <c r="D701" s="37"/>
      <c r="E701" s="308"/>
      <c r="F701" s="82"/>
      <c r="G701" s="111"/>
    </row>
    <row r="702" spans="1:8">
      <c r="A702" s="123"/>
      <c r="B702" s="854"/>
      <c r="C702" s="855"/>
      <c r="D702" s="37"/>
      <c r="E702" s="83"/>
      <c r="F702" s="82"/>
      <c r="G702" s="111"/>
    </row>
    <row r="703" spans="1:8">
      <c r="A703" s="123"/>
      <c r="B703" s="854"/>
      <c r="C703" s="855"/>
      <c r="D703" s="37"/>
      <c r="E703" s="83"/>
      <c r="F703" s="82"/>
      <c r="G703" s="111"/>
    </row>
    <row r="704" spans="1:8">
      <c r="A704" s="123"/>
      <c r="B704" s="854"/>
      <c r="C704" s="855"/>
      <c r="D704" s="37"/>
      <c r="E704" s="83"/>
      <c r="F704" s="82"/>
      <c r="G704" s="111"/>
      <c r="H704" s="505" t="s">
        <v>1670</v>
      </c>
    </row>
    <row r="705" spans="1:7">
      <c r="A705" s="123"/>
      <c r="B705" s="854"/>
      <c r="C705" s="855"/>
      <c r="D705" s="37"/>
      <c r="E705" s="83"/>
      <c r="F705" s="82"/>
      <c r="G705" s="111"/>
    </row>
    <row r="706" spans="1:7" ht="13.5" thickBot="1">
      <c r="A706" s="95"/>
      <c r="B706" s="942" t="s">
        <v>841</v>
      </c>
      <c r="C706" s="943"/>
      <c r="D706" s="84" t="s">
        <v>841</v>
      </c>
      <c r="E706" s="84"/>
      <c r="F706" s="85"/>
      <c r="G706" s="112"/>
    </row>
    <row r="707" spans="1:7" ht="13.5" thickTop="1">
      <c r="A707" s="95"/>
      <c r="B707" s="946"/>
      <c r="C707" s="947"/>
      <c r="D707" s="801" t="s">
        <v>856</v>
      </c>
      <c r="E707" s="802"/>
      <c r="F707" s="9"/>
      <c r="G707" s="113">
        <f>SUM(G699:G706)</f>
        <v>74050</v>
      </c>
    </row>
    <row r="708" spans="1:7">
      <c r="A708" s="95"/>
      <c r="B708" s="948"/>
      <c r="C708" s="949"/>
      <c r="D708" s="801" t="s">
        <v>857</v>
      </c>
      <c r="E708" s="802"/>
      <c r="F708" s="79">
        <f>'MANO DE OBRA'!$D$60</f>
        <v>0.05</v>
      </c>
      <c r="G708" s="113">
        <f>ROUND(G707*F708,0)</f>
        <v>3703</v>
      </c>
    </row>
    <row r="709" spans="1:7" ht="13.5" thickBot="1">
      <c r="A709" s="95"/>
      <c r="B709" s="948"/>
      <c r="C709" s="949"/>
      <c r="D709" s="803" t="s">
        <v>320</v>
      </c>
      <c r="E709" s="804"/>
      <c r="F709" s="114"/>
      <c r="G709" s="118">
        <f>+G707+G708</f>
        <v>77753</v>
      </c>
    </row>
    <row r="710" spans="1:7" ht="14.25" thickTop="1" thickBot="1">
      <c r="A710" s="95"/>
      <c r="B710" s="970"/>
      <c r="C710" s="970"/>
      <c r="D710" s="970"/>
      <c r="E710" s="970"/>
      <c r="F710" s="970"/>
      <c r="G710" s="970"/>
    </row>
    <row r="711" spans="1:7" ht="13.5" thickTop="1">
      <c r="A711" s="95"/>
      <c r="B711" s="950" t="s">
        <v>858</v>
      </c>
      <c r="C711" s="951"/>
      <c r="D711" s="951"/>
      <c r="E711" s="951"/>
      <c r="F711" s="951"/>
      <c r="G711" s="952"/>
    </row>
    <row r="712" spans="1:7">
      <c r="A712" s="95"/>
      <c r="B712" s="978"/>
      <c r="C712" s="979"/>
      <c r="D712" s="98" t="s">
        <v>301</v>
      </c>
      <c r="E712" s="98" t="s">
        <v>859</v>
      </c>
      <c r="F712" s="99" t="s">
        <v>839</v>
      </c>
      <c r="G712" s="107" t="s">
        <v>840</v>
      </c>
    </row>
    <row r="713" spans="1:7">
      <c r="A713" s="95"/>
      <c r="B713" s="982" t="s">
        <v>838</v>
      </c>
      <c r="C713" s="983"/>
      <c r="D713" s="100" t="s">
        <v>316</v>
      </c>
      <c r="E713" s="100" t="s">
        <v>315</v>
      </c>
      <c r="F713" s="101" t="s">
        <v>306</v>
      </c>
      <c r="G713" s="108" t="s">
        <v>319</v>
      </c>
    </row>
    <row r="714" spans="1:7">
      <c r="A714" s="95"/>
      <c r="B714" s="230"/>
      <c r="C714" s="102"/>
      <c r="D714" s="103"/>
      <c r="E714" s="103" t="s">
        <v>317</v>
      </c>
      <c r="F714" s="104" t="s">
        <v>318</v>
      </c>
      <c r="G714" s="109"/>
    </row>
    <row r="715" spans="1:7">
      <c r="A715" s="95"/>
      <c r="B715" s="841" t="str">
        <f>'MANO DE OBRA'!$B$10</f>
        <v>AYUDANTE CUAD. TIPO AA</v>
      </c>
      <c r="C715" s="842"/>
      <c r="D715" s="87">
        <v>1</v>
      </c>
      <c r="E715" s="80">
        <f>'MANO DE OBRA'!$E$10</f>
        <v>34680</v>
      </c>
      <c r="F715" s="81">
        <v>3.6</v>
      </c>
      <c r="G715" s="110">
        <f>ROUND(D715*E715/F715,0)</f>
        <v>9633</v>
      </c>
    </row>
    <row r="716" spans="1:7">
      <c r="A716" s="95"/>
      <c r="B716" s="854" t="str">
        <f>'MANO DE OBRA'!$B$15</f>
        <v xml:space="preserve">OFICIAL CUAD. TIPO AA </v>
      </c>
      <c r="C716" s="855"/>
      <c r="D716" s="37">
        <v>1</v>
      </c>
      <c r="E716" s="82">
        <f>'MANO DE OBRA'!$E$15</f>
        <v>71474</v>
      </c>
      <c r="F716" s="83">
        <v>3.6</v>
      </c>
      <c r="G716" s="111">
        <f>ROUND(D716*E716/F716,0)</f>
        <v>19854</v>
      </c>
    </row>
    <row r="717" spans="1:7">
      <c r="A717" s="95"/>
      <c r="B717" s="854" t="str">
        <f>'MANO DE OBRA'!$B$17</f>
        <v>OFICIAL CUAD. TIPO CC</v>
      </c>
      <c r="C717" s="855"/>
      <c r="D717" s="37">
        <v>1</v>
      </c>
      <c r="E717" s="82">
        <f>'MANO DE OBRA'!$E$17</f>
        <v>82117</v>
      </c>
      <c r="F717" s="83">
        <v>12</v>
      </c>
      <c r="G717" s="111">
        <f>ROUND(D717*E717/F717,0)</f>
        <v>6843</v>
      </c>
    </row>
    <row r="718" spans="1:7">
      <c r="A718" s="95"/>
      <c r="B718" s="854"/>
      <c r="C718" s="855"/>
      <c r="D718" s="37"/>
      <c r="E718" s="82"/>
      <c r="F718" s="83"/>
      <c r="G718" s="111"/>
    </row>
    <row r="719" spans="1:7" ht="13.5" thickBot="1">
      <c r="A719" s="95"/>
      <c r="B719" s="980"/>
      <c r="C719" s="981"/>
      <c r="D719" s="77"/>
      <c r="E719" s="82"/>
      <c r="F719" s="86"/>
      <c r="G719" s="111"/>
    </row>
    <row r="720" spans="1:7" ht="14.25" thickTop="1" thickBot="1">
      <c r="A720" s="95"/>
      <c r="B720" s="946"/>
      <c r="C720" s="946"/>
      <c r="D720" s="946"/>
      <c r="E720" s="947"/>
      <c r="F720" s="120" t="s">
        <v>856</v>
      </c>
      <c r="G720" s="118">
        <f>SUM(G715:G719)</f>
        <v>36330</v>
      </c>
    </row>
    <row r="721" spans="1:8" ht="14.25" thickTop="1" thickBot="1">
      <c r="A721" s="95"/>
      <c r="B721" s="970"/>
      <c r="C721" s="970"/>
      <c r="D721" s="970"/>
      <c r="E721" s="970"/>
      <c r="F721" s="970"/>
      <c r="G721" s="970"/>
    </row>
    <row r="722" spans="1:8" ht="13.5" thickTop="1">
      <c r="A722" s="95"/>
      <c r="B722" s="950" t="s">
        <v>321</v>
      </c>
      <c r="C722" s="951"/>
      <c r="D722" s="951"/>
      <c r="E722" s="951"/>
      <c r="F722" s="951"/>
      <c r="G722" s="952"/>
    </row>
    <row r="723" spans="1:8">
      <c r="A723" s="95"/>
      <c r="B723" s="978" t="s">
        <v>838</v>
      </c>
      <c r="C723" s="979"/>
      <c r="D723" s="98" t="s">
        <v>301</v>
      </c>
      <c r="E723" s="98" t="s">
        <v>297</v>
      </c>
      <c r="F723" s="99" t="s">
        <v>839</v>
      </c>
      <c r="G723" s="107" t="s">
        <v>840</v>
      </c>
    </row>
    <row r="724" spans="1:8">
      <c r="A724" s="95"/>
      <c r="B724" s="230"/>
      <c r="C724" s="102"/>
      <c r="D724" s="103" t="s">
        <v>322</v>
      </c>
      <c r="E724" s="103" t="s">
        <v>323</v>
      </c>
      <c r="F724" s="104" t="s">
        <v>324</v>
      </c>
      <c r="G724" s="109" t="s">
        <v>325</v>
      </c>
    </row>
    <row r="725" spans="1:8">
      <c r="A725" s="95"/>
      <c r="B725" s="841"/>
      <c r="C725" s="842"/>
      <c r="D725" s="96"/>
      <c r="E725" s="96"/>
      <c r="F725" s="96"/>
      <c r="G725" s="116"/>
    </row>
    <row r="726" spans="1:8" ht="13.5" thickBot="1">
      <c r="A726" s="95"/>
      <c r="B726" s="980" t="s">
        <v>841</v>
      </c>
      <c r="C726" s="981"/>
      <c r="D726" s="77"/>
      <c r="E726" s="82"/>
      <c r="F726" s="86"/>
      <c r="G726" s="112"/>
    </row>
    <row r="727" spans="1:8" ht="14.25" thickTop="1" thickBot="1">
      <c r="A727" s="95"/>
      <c r="B727" s="946"/>
      <c r="C727" s="946"/>
      <c r="D727" s="946"/>
      <c r="E727" s="947"/>
      <c r="F727" s="120" t="s">
        <v>856</v>
      </c>
      <c r="G727" s="118">
        <f>SUM(G722:G726)</f>
        <v>0</v>
      </c>
    </row>
    <row r="728" spans="1:8" ht="14.25" thickTop="1" thickBot="1">
      <c r="A728" s="95"/>
      <c r="B728" s="970"/>
      <c r="C728" s="970"/>
      <c r="D728" s="970"/>
      <c r="E728" s="970"/>
      <c r="F728" s="970"/>
      <c r="G728" s="943"/>
    </row>
    <row r="729" spans="1:8" ht="13.5" thickTop="1">
      <c r="A729" s="95"/>
      <c r="B729" s="950" t="s">
        <v>326</v>
      </c>
      <c r="C729" s="951"/>
      <c r="D729" s="951"/>
      <c r="E729" s="951"/>
      <c r="F729" s="971"/>
      <c r="G729" s="121">
        <f>+G694+G709+G720</f>
        <v>115900</v>
      </c>
    </row>
    <row r="730" spans="1:8">
      <c r="A730" s="95"/>
      <c r="B730" s="972" t="s">
        <v>861</v>
      </c>
      <c r="C730" s="973"/>
      <c r="D730" s="973"/>
      <c r="E730" s="974"/>
      <c r="F730" s="128">
        <f>'MANO DE OBRA'!$D$59</f>
        <v>0</v>
      </c>
      <c r="G730" s="122">
        <f>ROUND(G729*F730,0)</f>
        <v>0</v>
      </c>
    </row>
    <row r="731" spans="1:8" ht="13.5" thickBot="1">
      <c r="A731" s="95"/>
      <c r="B731" s="975" t="s">
        <v>1049</v>
      </c>
      <c r="C731" s="976"/>
      <c r="D731" s="976"/>
      <c r="E731" s="976"/>
      <c r="F731" s="977"/>
      <c r="G731" s="118">
        <f>ROUND(G729+G730,-2)</f>
        <v>115900</v>
      </c>
      <c r="H731" s="505" t="s">
        <v>1670</v>
      </c>
    </row>
    <row r="732" spans="1:8" ht="15" thickTop="1">
      <c r="A732" s="95"/>
      <c r="B732" s="225"/>
      <c r="C732" s="843"/>
      <c r="D732" s="843"/>
      <c r="E732" s="843"/>
      <c r="F732" s="92" t="s">
        <v>781</v>
      </c>
      <c r="G732" s="93" t="s">
        <v>1067</v>
      </c>
    </row>
    <row r="733" spans="1:8">
      <c r="A733" s="95"/>
      <c r="B733" s="226" t="s">
        <v>834</v>
      </c>
      <c r="C733" s="844" t="s">
        <v>1506</v>
      </c>
      <c r="D733" s="844"/>
      <c r="E733" s="844"/>
      <c r="F733" s="15" t="s">
        <v>833</v>
      </c>
      <c r="G733" s="165" t="str">
        <f>'MANO DE OBRA'!D61</f>
        <v>Agosto de 2010</v>
      </c>
    </row>
    <row r="734" spans="1:8" ht="13.5" thickBot="1">
      <c r="A734" s="127"/>
      <c r="B734" s="228" t="s">
        <v>835</v>
      </c>
      <c r="C734" s="1001" t="s">
        <v>1517</v>
      </c>
      <c r="D734" s="1001"/>
      <c r="E734" s="1001"/>
      <c r="F734" s="1001"/>
      <c r="G734" s="1002"/>
    </row>
    <row r="735" spans="1:8" ht="14.25" thickTop="1" thickBot="1">
      <c r="A735" s="95"/>
      <c r="B735" s="986"/>
      <c r="C735" s="986"/>
      <c r="D735" s="986"/>
      <c r="E735" s="986"/>
      <c r="F735" s="986"/>
      <c r="G735" s="986"/>
    </row>
    <row r="736" spans="1:8" ht="13.5" thickTop="1">
      <c r="A736" s="95"/>
      <c r="B736" s="950" t="s">
        <v>304</v>
      </c>
      <c r="C736" s="951"/>
      <c r="D736" s="951"/>
      <c r="E736" s="951"/>
      <c r="F736" s="951"/>
      <c r="G736" s="952"/>
    </row>
    <row r="737" spans="1:7">
      <c r="A737" s="95"/>
      <c r="B737" s="229"/>
      <c r="C737" s="97"/>
      <c r="D737" s="98" t="s">
        <v>301</v>
      </c>
      <c r="E737" s="98" t="s">
        <v>1072</v>
      </c>
      <c r="F737" s="99" t="s">
        <v>839</v>
      </c>
      <c r="G737" s="107" t="s">
        <v>840</v>
      </c>
    </row>
    <row r="738" spans="1:7">
      <c r="A738" s="95"/>
      <c r="B738" s="982" t="s">
        <v>838</v>
      </c>
      <c r="C738" s="983"/>
      <c r="D738" s="100" t="s">
        <v>308</v>
      </c>
      <c r="E738" s="100" t="s">
        <v>305</v>
      </c>
      <c r="F738" s="101" t="s">
        <v>306</v>
      </c>
      <c r="G738" s="108" t="s">
        <v>310</v>
      </c>
    </row>
    <row r="739" spans="1:7">
      <c r="A739" s="95"/>
      <c r="B739" s="230"/>
      <c r="C739" s="102"/>
      <c r="D739" s="103"/>
      <c r="E739" s="103" t="s">
        <v>309</v>
      </c>
      <c r="F739" s="104" t="s">
        <v>307</v>
      </c>
      <c r="G739" s="109"/>
    </row>
    <row r="740" spans="1:7">
      <c r="A740" s="127"/>
      <c r="B740" s="841" t="str">
        <f>'MAQUINARIA Y EQUIPOS'!$C$28</f>
        <v>HERRAMIENTAS MENORES</v>
      </c>
      <c r="C740" s="842"/>
      <c r="D740" s="87">
        <v>1</v>
      </c>
      <c r="E740" s="82">
        <f>ROUND(G773*0.05,0)</f>
        <v>1188</v>
      </c>
      <c r="F740" s="81">
        <v>1</v>
      </c>
      <c r="G740" s="110">
        <f>ROUND(D740*E740/F740,0)</f>
        <v>1188</v>
      </c>
    </row>
    <row r="741" spans="1:7">
      <c r="A741" s="127"/>
      <c r="B741" s="854"/>
      <c r="C741" s="855"/>
      <c r="D741" s="37"/>
      <c r="E741" s="129"/>
      <c r="F741" s="83"/>
      <c r="G741" s="111"/>
    </row>
    <row r="742" spans="1:7">
      <c r="A742" s="127"/>
      <c r="B742" s="854"/>
      <c r="C742" s="855"/>
      <c r="D742" s="37"/>
      <c r="E742" s="129"/>
      <c r="F742" s="83"/>
      <c r="G742" s="111"/>
    </row>
    <row r="743" spans="1:7">
      <c r="A743" s="95"/>
      <c r="B743" s="854"/>
      <c r="C743" s="855"/>
      <c r="D743" s="89"/>
      <c r="E743" s="82"/>
      <c r="F743" s="83"/>
      <c r="G743" s="111"/>
    </row>
    <row r="744" spans="1:7">
      <c r="A744" s="95"/>
      <c r="B744" s="854" t="s">
        <v>841</v>
      </c>
      <c r="C744" s="855"/>
      <c r="D744" s="37"/>
      <c r="E744" s="82"/>
      <c r="F744" s="83"/>
      <c r="G744" s="111"/>
    </row>
    <row r="745" spans="1:7" ht="13.5" thickBot="1">
      <c r="A745" s="95"/>
      <c r="B745" s="942" t="s">
        <v>841</v>
      </c>
      <c r="C745" s="943"/>
      <c r="D745" s="77"/>
      <c r="E745" s="106"/>
      <c r="F745" s="86"/>
      <c r="G745" s="112"/>
    </row>
    <row r="746" spans="1:7" ht="14.25" thickTop="1" thickBot="1">
      <c r="A746" s="95"/>
      <c r="B746" s="946"/>
      <c r="C746" s="946"/>
      <c r="D746" s="946"/>
      <c r="E746" s="947"/>
      <c r="F746" s="119" t="s">
        <v>856</v>
      </c>
      <c r="G746" s="118">
        <f>SUM(G740:G745)</f>
        <v>1188</v>
      </c>
    </row>
    <row r="747" spans="1:7" ht="14.25" thickTop="1" thickBot="1">
      <c r="A747" s="95"/>
      <c r="B747" s="970"/>
      <c r="C747" s="970"/>
      <c r="D747" s="970"/>
      <c r="E747" s="970"/>
      <c r="F747" s="970"/>
      <c r="G747" s="970"/>
    </row>
    <row r="748" spans="1:7" ht="13.5" thickTop="1">
      <c r="A748" s="95"/>
      <c r="B748" s="950" t="s">
        <v>311</v>
      </c>
      <c r="C748" s="951"/>
      <c r="D748" s="951"/>
      <c r="E748" s="951"/>
      <c r="F748" s="951"/>
      <c r="G748" s="952"/>
    </row>
    <row r="749" spans="1:7">
      <c r="A749" s="95"/>
      <c r="B749" s="978" t="s">
        <v>838</v>
      </c>
      <c r="C749" s="979"/>
      <c r="D749" s="98" t="s">
        <v>842</v>
      </c>
      <c r="E749" s="98" t="s">
        <v>853</v>
      </c>
      <c r="F749" s="99" t="s">
        <v>1047</v>
      </c>
      <c r="G749" s="107" t="s">
        <v>840</v>
      </c>
    </row>
    <row r="750" spans="1:7">
      <c r="A750" s="95"/>
      <c r="B750" s="230"/>
      <c r="C750" s="102"/>
      <c r="D750" s="100"/>
      <c r="E750" s="100" t="s">
        <v>312</v>
      </c>
      <c r="F750" s="101" t="s">
        <v>313</v>
      </c>
      <c r="G750" s="108" t="s">
        <v>314</v>
      </c>
    </row>
    <row r="751" spans="1:7">
      <c r="A751" s="123"/>
      <c r="B751" s="841" t="str">
        <f>MATERIALES2!$C$213</f>
        <v>ARAÑAS PARA VENTANA</v>
      </c>
      <c r="C751" s="842"/>
      <c r="D751" s="87" t="s">
        <v>865</v>
      </c>
      <c r="E751" s="81">
        <v>1</v>
      </c>
      <c r="F751" s="80">
        <f>MATERIALES2!$E$213</f>
        <v>35000</v>
      </c>
      <c r="G751" s="110">
        <f>ROUND(E751*F751,0)</f>
        <v>35000</v>
      </c>
    </row>
    <row r="752" spans="1:7">
      <c r="A752" s="123"/>
      <c r="B752" s="854" t="str">
        <f>MATERIALES2!$C$284</f>
        <v>ESMALTE SINTETICO PINTULUX</v>
      </c>
      <c r="C752" s="855"/>
      <c r="D752" s="37" t="s">
        <v>925</v>
      </c>
      <c r="E752" s="308">
        <v>0.125</v>
      </c>
      <c r="F752" s="82">
        <f>MATERIALES2!$E$284</f>
        <v>54800</v>
      </c>
      <c r="G752" s="111">
        <f>ROUND(E752*F752,0)</f>
        <v>6850</v>
      </c>
    </row>
    <row r="753" spans="1:8">
      <c r="A753" s="123"/>
      <c r="B753" s="854"/>
      <c r="C753" s="855"/>
      <c r="D753" s="37"/>
      <c r="E753" s="308"/>
      <c r="F753" s="82"/>
      <c r="G753" s="111"/>
    </row>
    <row r="754" spans="1:8">
      <c r="A754" s="123"/>
      <c r="B754" s="854"/>
      <c r="C754" s="855"/>
      <c r="D754" s="37"/>
      <c r="E754" s="308"/>
      <c r="F754" s="82"/>
      <c r="G754" s="111"/>
    </row>
    <row r="755" spans="1:8">
      <c r="A755" s="95"/>
      <c r="B755" s="854"/>
      <c r="C755" s="855"/>
      <c r="D755" s="37"/>
      <c r="E755" s="83"/>
      <c r="F755" s="82"/>
      <c r="G755" s="111"/>
    </row>
    <row r="756" spans="1:8">
      <c r="A756" s="95"/>
      <c r="B756" s="854"/>
      <c r="C756" s="855"/>
      <c r="D756" s="37"/>
      <c r="E756" s="83"/>
      <c r="F756" s="82"/>
      <c r="G756" s="111"/>
    </row>
    <row r="757" spans="1:8">
      <c r="A757" s="95"/>
      <c r="B757" s="854"/>
      <c r="C757" s="855"/>
      <c r="D757" s="37"/>
      <c r="E757" s="83"/>
      <c r="F757" s="82"/>
      <c r="G757" s="111"/>
      <c r="H757" s="505" t="s">
        <v>1670</v>
      </c>
    </row>
    <row r="758" spans="1:8">
      <c r="A758" s="95"/>
      <c r="B758" s="938" t="s">
        <v>841</v>
      </c>
      <c r="C758" s="939"/>
      <c r="D758" s="53" t="s">
        <v>841</v>
      </c>
      <c r="E758" s="53"/>
      <c r="F758" s="82"/>
      <c r="G758" s="111"/>
    </row>
    <row r="759" spans="1:8" ht="13.5" thickBot="1">
      <c r="A759" s="95"/>
      <c r="B759" s="942" t="s">
        <v>841</v>
      </c>
      <c r="C759" s="943"/>
      <c r="D759" s="84" t="s">
        <v>841</v>
      </c>
      <c r="E759" s="84"/>
      <c r="F759" s="85"/>
      <c r="G759" s="112"/>
    </row>
    <row r="760" spans="1:8" ht="13.5" thickTop="1">
      <c r="A760" s="95"/>
      <c r="B760" s="946"/>
      <c r="C760" s="947"/>
      <c r="D760" s="801" t="s">
        <v>856</v>
      </c>
      <c r="E760" s="802"/>
      <c r="F760" s="9"/>
      <c r="G760" s="113">
        <f>SUM(G751:G759)</f>
        <v>41850</v>
      </c>
    </row>
    <row r="761" spans="1:8">
      <c r="A761" s="95"/>
      <c r="B761" s="948"/>
      <c r="C761" s="949"/>
      <c r="D761" s="801" t="s">
        <v>857</v>
      </c>
      <c r="E761" s="802"/>
      <c r="F761" s="79">
        <f>'MANO DE OBRA'!$D$60</f>
        <v>0.05</v>
      </c>
      <c r="G761" s="113">
        <f>ROUND(G760*F761,0)</f>
        <v>2093</v>
      </c>
    </row>
    <row r="762" spans="1:8" ht="13.5" thickBot="1">
      <c r="A762" s="95"/>
      <c r="B762" s="948"/>
      <c r="C762" s="949"/>
      <c r="D762" s="803" t="s">
        <v>320</v>
      </c>
      <c r="E762" s="804"/>
      <c r="F762" s="114"/>
      <c r="G762" s="118">
        <f>+G760+G761</f>
        <v>43943</v>
      </c>
    </row>
    <row r="763" spans="1:8" ht="14.25" thickTop="1" thickBot="1">
      <c r="A763" s="95"/>
      <c r="B763" s="970"/>
      <c r="C763" s="970"/>
      <c r="D763" s="970"/>
      <c r="E763" s="970"/>
      <c r="F763" s="970"/>
      <c r="G763" s="970"/>
    </row>
    <row r="764" spans="1:8" ht="13.5" thickTop="1">
      <c r="A764" s="95"/>
      <c r="B764" s="950" t="s">
        <v>858</v>
      </c>
      <c r="C764" s="951"/>
      <c r="D764" s="951"/>
      <c r="E764" s="951"/>
      <c r="F764" s="951"/>
      <c r="G764" s="952"/>
    </row>
    <row r="765" spans="1:8">
      <c r="A765" s="95"/>
      <c r="B765" s="978"/>
      <c r="C765" s="979"/>
      <c r="D765" s="98" t="s">
        <v>301</v>
      </c>
      <c r="E765" s="98" t="s">
        <v>859</v>
      </c>
      <c r="F765" s="99" t="s">
        <v>839</v>
      </c>
      <c r="G765" s="107" t="s">
        <v>840</v>
      </c>
    </row>
    <row r="766" spans="1:8">
      <c r="A766" s="95"/>
      <c r="B766" s="982" t="s">
        <v>838</v>
      </c>
      <c r="C766" s="983"/>
      <c r="D766" s="100" t="s">
        <v>316</v>
      </c>
      <c r="E766" s="100" t="s">
        <v>315</v>
      </c>
      <c r="F766" s="101" t="s">
        <v>306</v>
      </c>
      <c r="G766" s="108" t="s">
        <v>319</v>
      </c>
    </row>
    <row r="767" spans="1:8">
      <c r="A767" s="95"/>
      <c r="B767" s="230"/>
      <c r="C767" s="102"/>
      <c r="D767" s="103"/>
      <c r="E767" s="103" t="s">
        <v>317</v>
      </c>
      <c r="F767" s="104" t="s">
        <v>318</v>
      </c>
      <c r="G767" s="109"/>
    </row>
    <row r="768" spans="1:8">
      <c r="A768" s="95"/>
      <c r="B768" s="841" t="str">
        <f>'MANO DE OBRA'!$B$10</f>
        <v>AYUDANTE CUAD. TIPO AA</v>
      </c>
      <c r="C768" s="842"/>
      <c r="D768" s="87">
        <v>1</v>
      </c>
      <c r="E768" s="80">
        <f>'MANO DE OBRA'!$E$10</f>
        <v>34680</v>
      </c>
      <c r="F768" s="81">
        <v>7.25</v>
      </c>
      <c r="G768" s="110">
        <f>ROUND(D768*E768/F768,0)</f>
        <v>4783</v>
      </c>
    </row>
    <row r="769" spans="1:8">
      <c r="A769" s="95"/>
      <c r="B769" s="854" t="str">
        <f>'MANO DE OBRA'!$B$15</f>
        <v xml:space="preserve">OFICIAL CUAD. TIPO AA </v>
      </c>
      <c r="C769" s="855"/>
      <c r="D769" s="37">
        <v>1</v>
      </c>
      <c r="E769" s="82">
        <f>'MANO DE OBRA'!$E$15</f>
        <v>71474</v>
      </c>
      <c r="F769" s="83">
        <v>7.25</v>
      </c>
      <c r="G769" s="111">
        <f>ROUND(D769*E769/F769,0)</f>
        <v>9858</v>
      </c>
    </row>
    <row r="770" spans="1:8">
      <c r="A770" s="95"/>
      <c r="B770" s="854" t="str">
        <f>'MANO DE OBRA'!$B$17</f>
        <v>OFICIAL CUAD. TIPO CC</v>
      </c>
      <c r="C770" s="855"/>
      <c r="D770" s="37">
        <v>1</v>
      </c>
      <c r="E770" s="82">
        <f>'MANO DE OBRA'!$E$17</f>
        <v>82117</v>
      </c>
      <c r="F770" s="83">
        <v>9</v>
      </c>
      <c r="G770" s="111">
        <f>ROUND(D770*E770/F770,0)</f>
        <v>9124</v>
      </c>
    </row>
    <row r="771" spans="1:8">
      <c r="A771" s="95"/>
      <c r="B771" s="854"/>
      <c r="C771" s="855"/>
      <c r="D771" s="37"/>
      <c r="E771" s="82"/>
      <c r="F771" s="83"/>
      <c r="G771" s="111"/>
    </row>
    <row r="772" spans="1:8" ht="13.5" thickBot="1">
      <c r="A772" s="95"/>
      <c r="B772" s="980"/>
      <c r="C772" s="981"/>
      <c r="D772" s="77"/>
      <c r="E772" s="82"/>
      <c r="F772" s="86"/>
      <c r="G772" s="111"/>
    </row>
    <row r="773" spans="1:8" ht="14.25" thickTop="1" thickBot="1">
      <c r="A773" s="95"/>
      <c r="B773" s="946"/>
      <c r="C773" s="946"/>
      <c r="D773" s="946"/>
      <c r="E773" s="947"/>
      <c r="F773" s="120" t="s">
        <v>856</v>
      </c>
      <c r="G773" s="118">
        <f>SUM(G768:G772)</f>
        <v>23765</v>
      </c>
    </row>
    <row r="774" spans="1:8" ht="14.25" thickTop="1" thickBot="1">
      <c r="A774" s="95"/>
      <c r="B774" s="970"/>
      <c r="C774" s="970"/>
      <c r="D774" s="970"/>
      <c r="E774" s="970"/>
      <c r="F774" s="970"/>
      <c r="G774" s="970"/>
    </row>
    <row r="775" spans="1:8" ht="13.5" thickTop="1">
      <c r="A775" s="95"/>
      <c r="B775" s="950" t="s">
        <v>321</v>
      </c>
      <c r="C775" s="951"/>
      <c r="D775" s="951"/>
      <c r="E775" s="951"/>
      <c r="F775" s="951"/>
      <c r="G775" s="952"/>
    </row>
    <row r="776" spans="1:8">
      <c r="A776" s="95"/>
      <c r="B776" s="978" t="s">
        <v>838</v>
      </c>
      <c r="C776" s="979"/>
      <c r="D776" s="98" t="s">
        <v>301</v>
      </c>
      <c r="E776" s="98" t="s">
        <v>297</v>
      </c>
      <c r="F776" s="99" t="s">
        <v>839</v>
      </c>
      <c r="G776" s="107" t="s">
        <v>840</v>
      </c>
    </row>
    <row r="777" spans="1:8">
      <c r="A777" s="95"/>
      <c r="B777" s="230"/>
      <c r="C777" s="102"/>
      <c r="D777" s="103" t="s">
        <v>322</v>
      </c>
      <c r="E777" s="103" t="s">
        <v>323</v>
      </c>
      <c r="F777" s="104" t="s">
        <v>324</v>
      </c>
      <c r="G777" s="109" t="s">
        <v>325</v>
      </c>
    </row>
    <row r="778" spans="1:8">
      <c r="A778" s="95"/>
      <c r="B778" s="841"/>
      <c r="C778" s="842"/>
      <c r="D778" s="96"/>
      <c r="E778" s="96"/>
      <c r="F778" s="96"/>
      <c r="G778" s="116"/>
    </row>
    <row r="779" spans="1:8" ht="13.5" thickBot="1">
      <c r="A779" s="95"/>
      <c r="B779" s="980" t="s">
        <v>841</v>
      </c>
      <c r="C779" s="981"/>
      <c r="D779" s="77"/>
      <c r="E779" s="82"/>
      <c r="F779" s="86"/>
      <c r="G779" s="112"/>
    </row>
    <row r="780" spans="1:8" ht="14.25" thickTop="1" thickBot="1">
      <c r="A780" s="95"/>
      <c r="B780" s="946"/>
      <c r="C780" s="946"/>
      <c r="D780" s="946"/>
      <c r="E780" s="947"/>
      <c r="F780" s="120" t="s">
        <v>856</v>
      </c>
      <c r="G780" s="118">
        <f>SUM(G775:G779)</f>
        <v>0</v>
      </c>
    </row>
    <row r="781" spans="1:8" ht="14.25" thickTop="1" thickBot="1">
      <c r="A781" s="95"/>
      <c r="B781" s="970"/>
      <c r="C781" s="970"/>
      <c r="D781" s="970"/>
      <c r="E781" s="970"/>
      <c r="F781" s="970"/>
      <c r="G781" s="943"/>
    </row>
    <row r="782" spans="1:8" ht="13.5" thickTop="1">
      <c r="A782" s="95"/>
      <c r="B782" s="950" t="s">
        <v>326</v>
      </c>
      <c r="C782" s="951"/>
      <c r="D782" s="951"/>
      <c r="E782" s="951"/>
      <c r="F782" s="971"/>
      <c r="G782" s="121">
        <f>+G746+G762+G773</f>
        <v>68896</v>
      </c>
    </row>
    <row r="783" spans="1:8">
      <c r="A783" s="95"/>
      <c r="B783" s="972" t="s">
        <v>861</v>
      </c>
      <c r="C783" s="973"/>
      <c r="D783" s="973"/>
      <c r="E783" s="974"/>
      <c r="F783" s="128">
        <f>'MANO DE OBRA'!$D$59</f>
        <v>0</v>
      </c>
      <c r="G783" s="122">
        <f>ROUND(G782*F783,0)</f>
        <v>0</v>
      </c>
    </row>
    <row r="784" spans="1:8" ht="13.5" thickBot="1">
      <c r="A784" s="95"/>
      <c r="B784" s="975" t="s">
        <v>1049</v>
      </c>
      <c r="C784" s="976"/>
      <c r="D784" s="976"/>
      <c r="E784" s="976"/>
      <c r="F784" s="977"/>
      <c r="G784" s="118">
        <f>ROUND(G782+G783,-2)</f>
        <v>68900</v>
      </c>
      <c r="H784" s="505" t="s">
        <v>1670</v>
      </c>
    </row>
    <row r="785" spans="1:7" ht="15" thickTop="1">
      <c r="A785" s="95"/>
      <c r="B785" s="225"/>
      <c r="C785" s="843"/>
      <c r="D785" s="843"/>
      <c r="E785" s="843"/>
      <c r="F785" s="92" t="s">
        <v>781</v>
      </c>
      <c r="G785" s="93" t="s">
        <v>1067</v>
      </c>
    </row>
    <row r="786" spans="1:7">
      <c r="A786" s="95"/>
      <c r="B786" s="226" t="s">
        <v>834</v>
      </c>
      <c r="C786" s="844" t="s">
        <v>1506</v>
      </c>
      <c r="D786" s="844"/>
      <c r="E786" s="844"/>
      <c r="F786" s="15" t="s">
        <v>833</v>
      </c>
      <c r="G786" s="165" t="str">
        <f>'MANO DE OBRA'!D61</f>
        <v>Agosto de 2010</v>
      </c>
    </row>
    <row r="787" spans="1:7" ht="13.5" thickBot="1">
      <c r="A787" s="127"/>
      <c r="B787" s="228" t="s">
        <v>835</v>
      </c>
      <c r="C787" s="1053" t="s">
        <v>15</v>
      </c>
      <c r="D787" s="1053"/>
      <c r="E787" s="1053"/>
      <c r="F787" s="1053"/>
      <c r="G787" s="1054"/>
    </row>
    <row r="788" spans="1:7" ht="14.25" thickTop="1" thickBot="1">
      <c r="A788" s="95"/>
      <c r="B788" s="986"/>
      <c r="C788" s="986"/>
      <c r="D788" s="986"/>
      <c r="E788" s="986"/>
      <c r="F788" s="986"/>
      <c r="G788" s="986"/>
    </row>
    <row r="789" spans="1:7" ht="13.5" thickTop="1">
      <c r="A789" s="95"/>
      <c r="B789" s="950" t="s">
        <v>304</v>
      </c>
      <c r="C789" s="951"/>
      <c r="D789" s="951"/>
      <c r="E789" s="951"/>
      <c r="F789" s="951"/>
      <c r="G789" s="952"/>
    </row>
    <row r="790" spans="1:7">
      <c r="A790" s="95"/>
      <c r="B790" s="229"/>
      <c r="C790" s="97"/>
      <c r="D790" s="98" t="s">
        <v>301</v>
      </c>
      <c r="E790" s="98" t="s">
        <v>1072</v>
      </c>
      <c r="F790" s="99" t="s">
        <v>839</v>
      </c>
      <c r="G790" s="107" t="s">
        <v>840</v>
      </c>
    </row>
    <row r="791" spans="1:7">
      <c r="A791" s="95"/>
      <c r="B791" s="982" t="s">
        <v>838</v>
      </c>
      <c r="C791" s="983"/>
      <c r="D791" s="100" t="s">
        <v>308</v>
      </c>
      <c r="E791" s="100" t="s">
        <v>305</v>
      </c>
      <c r="F791" s="101" t="s">
        <v>306</v>
      </c>
      <c r="G791" s="108" t="s">
        <v>310</v>
      </c>
    </row>
    <row r="792" spans="1:7">
      <c r="A792" s="95"/>
      <c r="B792" s="230"/>
      <c r="C792" s="102"/>
      <c r="D792" s="103"/>
      <c r="E792" s="103" t="s">
        <v>309</v>
      </c>
      <c r="F792" s="104" t="s">
        <v>307</v>
      </c>
      <c r="G792" s="109"/>
    </row>
    <row r="793" spans="1:7">
      <c r="A793" s="127"/>
      <c r="B793" s="841" t="str">
        <f>'MAQUINARIA Y EQUIPOS'!$C$28</f>
        <v>HERRAMIENTAS MENORES</v>
      </c>
      <c r="C793" s="842"/>
      <c r="D793" s="87">
        <v>1</v>
      </c>
      <c r="E793" s="82">
        <f>ROUND(G826*0.05,0)</f>
        <v>1188</v>
      </c>
      <c r="F793" s="81">
        <v>1</v>
      </c>
      <c r="G793" s="110">
        <f>ROUND(D793*E793/F793,0)</f>
        <v>1188</v>
      </c>
    </row>
    <row r="794" spans="1:7">
      <c r="A794" s="127"/>
      <c r="B794" s="854"/>
      <c r="C794" s="855"/>
      <c r="D794" s="37"/>
      <c r="E794" s="129"/>
      <c r="F794" s="83"/>
      <c r="G794" s="111"/>
    </row>
    <row r="795" spans="1:7">
      <c r="A795" s="127"/>
      <c r="B795" s="854"/>
      <c r="C795" s="855"/>
      <c r="D795" s="37"/>
      <c r="E795" s="129"/>
      <c r="F795" s="83"/>
      <c r="G795" s="111"/>
    </row>
    <row r="796" spans="1:7">
      <c r="A796" s="95"/>
      <c r="B796" s="854"/>
      <c r="C796" s="855"/>
      <c r="D796" s="89"/>
      <c r="E796" s="82"/>
      <c r="F796" s="83"/>
      <c r="G796" s="111"/>
    </row>
    <row r="797" spans="1:7">
      <c r="A797" s="95"/>
      <c r="B797" s="854" t="s">
        <v>841</v>
      </c>
      <c r="C797" s="855"/>
      <c r="D797" s="37"/>
      <c r="E797" s="82"/>
      <c r="F797" s="83"/>
      <c r="G797" s="111"/>
    </row>
    <row r="798" spans="1:7" ht="13.5" thickBot="1">
      <c r="A798" s="95"/>
      <c r="B798" s="942" t="s">
        <v>841</v>
      </c>
      <c r="C798" s="943"/>
      <c r="D798" s="77"/>
      <c r="E798" s="106"/>
      <c r="F798" s="86"/>
      <c r="G798" s="112"/>
    </row>
    <row r="799" spans="1:7" ht="14.25" thickTop="1" thickBot="1">
      <c r="A799" s="95"/>
      <c r="B799" s="946"/>
      <c r="C799" s="946"/>
      <c r="D799" s="946"/>
      <c r="E799" s="947"/>
      <c r="F799" s="119" t="s">
        <v>856</v>
      </c>
      <c r="G799" s="118">
        <f>SUM(G793:G798)</f>
        <v>1188</v>
      </c>
    </row>
    <row r="800" spans="1:7" ht="14.25" thickTop="1" thickBot="1">
      <c r="A800" s="95"/>
      <c r="B800" s="970"/>
      <c r="C800" s="970"/>
      <c r="D800" s="970"/>
      <c r="E800" s="970"/>
      <c r="F800" s="970"/>
      <c r="G800" s="970"/>
    </row>
    <row r="801" spans="1:8" ht="13.5" thickTop="1">
      <c r="A801" s="95"/>
      <c r="B801" s="950" t="s">
        <v>311</v>
      </c>
      <c r="C801" s="951"/>
      <c r="D801" s="951"/>
      <c r="E801" s="951"/>
      <c r="F801" s="951"/>
      <c r="G801" s="952"/>
    </row>
    <row r="802" spans="1:8">
      <c r="A802" s="95"/>
      <c r="B802" s="978" t="s">
        <v>838</v>
      </c>
      <c r="C802" s="979"/>
      <c r="D802" s="98" t="s">
        <v>842</v>
      </c>
      <c r="E802" s="98" t="s">
        <v>853</v>
      </c>
      <c r="F802" s="99" t="s">
        <v>1047</v>
      </c>
      <c r="G802" s="107" t="s">
        <v>840</v>
      </c>
    </row>
    <row r="803" spans="1:8">
      <c r="A803" s="95"/>
      <c r="B803" s="230"/>
      <c r="C803" s="102"/>
      <c r="D803" s="100"/>
      <c r="E803" s="100" t="s">
        <v>312</v>
      </c>
      <c r="F803" s="101" t="s">
        <v>313</v>
      </c>
      <c r="G803" s="108" t="s">
        <v>314</v>
      </c>
    </row>
    <row r="804" spans="1:8">
      <c r="A804" s="123"/>
      <c r="B804" s="841" t="str">
        <f>MATERIALES2!C215</f>
        <v>VENTANA ALUMINIO 0.80x1.20 M</v>
      </c>
      <c r="C804" s="842"/>
      <c r="D804" s="87" t="str">
        <f>MATERIALES2!D215</f>
        <v>UND</v>
      </c>
      <c r="E804" s="81">
        <v>1</v>
      </c>
      <c r="F804" s="80">
        <f>MATERIALES2!E215</f>
        <v>88000</v>
      </c>
      <c r="G804" s="110">
        <f>ROUND(E804*F804,0)</f>
        <v>88000</v>
      </c>
    </row>
    <row r="805" spans="1:8">
      <c r="A805" s="123"/>
      <c r="B805" s="854"/>
      <c r="C805" s="855"/>
      <c r="D805" s="37"/>
      <c r="E805" s="308"/>
      <c r="F805" s="82"/>
      <c r="G805" s="111"/>
    </row>
    <row r="806" spans="1:8">
      <c r="A806" s="123"/>
      <c r="B806" s="854"/>
      <c r="C806" s="855"/>
      <c r="D806" s="37"/>
      <c r="E806" s="308"/>
      <c r="F806" s="82"/>
      <c r="G806" s="111"/>
    </row>
    <row r="807" spans="1:8">
      <c r="A807" s="123"/>
      <c r="B807" s="854"/>
      <c r="C807" s="855"/>
      <c r="D807" s="37"/>
      <c r="E807" s="308"/>
      <c r="F807" s="82"/>
      <c r="G807" s="111"/>
    </row>
    <row r="808" spans="1:8">
      <c r="A808" s="95"/>
      <c r="B808" s="854"/>
      <c r="C808" s="855"/>
      <c r="D808" s="37"/>
      <c r="E808" s="83"/>
      <c r="F808" s="82"/>
      <c r="G808" s="111"/>
    </row>
    <row r="809" spans="1:8">
      <c r="A809" s="95"/>
      <c r="B809" s="854"/>
      <c r="C809" s="855"/>
      <c r="D809" s="37"/>
      <c r="E809" s="83"/>
      <c r="F809" s="82"/>
      <c r="G809" s="111"/>
    </row>
    <row r="810" spans="1:8">
      <c r="A810" s="95"/>
      <c r="B810" s="854"/>
      <c r="C810" s="855"/>
      <c r="D810" s="37"/>
      <c r="E810" s="83"/>
      <c r="F810" s="82"/>
      <c r="G810" s="111"/>
    </row>
    <row r="811" spans="1:8">
      <c r="A811" s="95"/>
      <c r="B811" s="938" t="s">
        <v>841</v>
      </c>
      <c r="C811" s="939"/>
      <c r="D811" s="53" t="s">
        <v>841</v>
      </c>
      <c r="E811" s="53"/>
      <c r="F811" s="82"/>
      <c r="G811" s="111"/>
      <c r="H811" s="505" t="s">
        <v>1670</v>
      </c>
    </row>
    <row r="812" spans="1:8" ht="13.5" thickBot="1">
      <c r="A812" s="95"/>
      <c r="B812" s="942" t="s">
        <v>841</v>
      </c>
      <c r="C812" s="943"/>
      <c r="D812" s="84" t="s">
        <v>841</v>
      </c>
      <c r="E812" s="84"/>
      <c r="F812" s="85"/>
      <c r="G812" s="112"/>
    </row>
    <row r="813" spans="1:8" ht="13.5" thickTop="1">
      <c r="A813" s="95"/>
      <c r="B813" s="946"/>
      <c r="C813" s="947"/>
      <c r="D813" s="801" t="s">
        <v>856</v>
      </c>
      <c r="E813" s="802"/>
      <c r="F813" s="9"/>
      <c r="G813" s="113">
        <f>SUM(G804:G812)</f>
        <v>88000</v>
      </c>
    </row>
    <row r="814" spans="1:8">
      <c r="A814" s="95"/>
      <c r="B814" s="948"/>
      <c r="C814" s="949"/>
      <c r="D814" s="801" t="s">
        <v>857</v>
      </c>
      <c r="E814" s="802"/>
      <c r="F814" s="79">
        <f>'MANO DE OBRA'!$D$60</f>
        <v>0.05</v>
      </c>
      <c r="G814" s="113">
        <f>ROUND(G813*F814,0)</f>
        <v>4400</v>
      </c>
    </row>
    <row r="815" spans="1:8" ht="13.5" thickBot="1">
      <c r="A815" s="95"/>
      <c r="B815" s="948"/>
      <c r="C815" s="949"/>
      <c r="D815" s="803" t="s">
        <v>320</v>
      </c>
      <c r="E815" s="804"/>
      <c r="F815" s="114"/>
      <c r="G815" s="118">
        <f>+G813+G814</f>
        <v>92400</v>
      </c>
    </row>
    <row r="816" spans="1:8" ht="14.25" thickTop="1" thickBot="1">
      <c r="A816" s="95"/>
      <c r="B816" s="970"/>
      <c r="C816" s="970"/>
      <c r="D816" s="970"/>
      <c r="E816" s="970"/>
      <c r="F816" s="970"/>
      <c r="G816" s="970"/>
    </row>
    <row r="817" spans="1:7" ht="13.5" thickTop="1">
      <c r="A817" s="95"/>
      <c r="B817" s="950" t="s">
        <v>858</v>
      </c>
      <c r="C817" s="951"/>
      <c r="D817" s="951"/>
      <c r="E817" s="951"/>
      <c r="F817" s="951"/>
      <c r="G817" s="952"/>
    </row>
    <row r="818" spans="1:7">
      <c r="A818" s="95"/>
      <c r="B818" s="978"/>
      <c r="C818" s="979"/>
      <c r="D818" s="98" t="s">
        <v>301</v>
      </c>
      <c r="E818" s="98" t="s">
        <v>859</v>
      </c>
      <c r="F818" s="99" t="s">
        <v>839</v>
      </c>
      <c r="G818" s="107" t="s">
        <v>840</v>
      </c>
    </row>
    <row r="819" spans="1:7">
      <c r="A819" s="95"/>
      <c r="B819" s="982" t="s">
        <v>838</v>
      </c>
      <c r="C819" s="983"/>
      <c r="D819" s="100" t="s">
        <v>316</v>
      </c>
      <c r="E819" s="100" t="s">
        <v>315</v>
      </c>
      <c r="F819" s="101" t="s">
        <v>306</v>
      </c>
      <c r="G819" s="108" t="s">
        <v>319</v>
      </c>
    </row>
    <row r="820" spans="1:7">
      <c r="A820" s="95"/>
      <c r="B820" s="230"/>
      <c r="C820" s="102"/>
      <c r="D820" s="103"/>
      <c r="E820" s="103" t="s">
        <v>317</v>
      </c>
      <c r="F820" s="104" t="s">
        <v>318</v>
      </c>
      <c r="G820" s="109"/>
    </row>
    <row r="821" spans="1:7">
      <c r="A821" s="95"/>
      <c r="B821" s="841" t="str">
        <f>'MANO DE OBRA'!$B$10</f>
        <v>AYUDANTE CUAD. TIPO AA</v>
      </c>
      <c r="C821" s="842"/>
      <c r="D821" s="87">
        <v>1</v>
      </c>
      <c r="E821" s="80">
        <f>'MANO DE OBRA'!$E$10</f>
        <v>34680</v>
      </c>
      <c r="F821" s="81">
        <v>7.25</v>
      </c>
      <c r="G821" s="110">
        <f>ROUND(D821*E821/F821,0)</f>
        <v>4783</v>
      </c>
    </row>
    <row r="822" spans="1:7">
      <c r="A822" s="95"/>
      <c r="B822" s="854" t="str">
        <f>'MANO DE OBRA'!$B$15</f>
        <v xml:space="preserve">OFICIAL CUAD. TIPO AA </v>
      </c>
      <c r="C822" s="855"/>
      <c r="D822" s="37">
        <v>1</v>
      </c>
      <c r="E822" s="82">
        <f>'MANO DE OBRA'!$E$15</f>
        <v>71474</v>
      </c>
      <c r="F822" s="83">
        <v>7.25</v>
      </c>
      <c r="G822" s="111">
        <f>ROUND(D822*E822/F822,0)</f>
        <v>9858</v>
      </c>
    </row>
    <row r="823" spans="1:7">
      <c r="A823" s="95"/>
      <c r="B823" s="854" t="str">
        <f>'MANO DE OBRA'!$B$17</f>
        <v>OFICIAL CUAD. TIPO CC</v>
      </c>
      <c r="C823" s="855"/>
      <c r="D823" s="37">
        <v>1</v>
      </c>
      <c r="E823" s="82">
        <f>'MANO DE OBRA'!$E$17</f>
        <v>82117</v>
      </c>
      <c r="F823" s="83">
        <v>9</v>
      </c>
      <c r="G823" s="111">
        <f>ROUND(D823*E823/F823,0)</f>
        <v>9124</v>
      </c>
    </row>
    <row r="824" spans="1:7">
      <c r="A824" s="95"/>
      <c r="B824" s="854"/>
      <c r="C824" s="855"/>
      <c r="D824" s="37"/>
      <c r="E824" s="82"/>
      <c r="F824" s="83"/>
      <c r="G824" s="111"/>
    </row>
    <row r="825" spans="1:7" ht="13.5" thickBot="1">
      <c r="A825" s="95"/>
      <c r="B825" s="980"/>
      <c r="C825" s="981"/>
      <c r="D825" s="77"/>
      <c r="E825" s="82"/>
      <c r="F825" s="86"/>
      <c r="G825" s="111"/>
    </row>
    <row r="826" spans="1:7" ht="14.25" thickTop="1" thickBot="1">
      <c r="A826" s="95"/>
      <c r="B826" s="946"/>
      <c r="C826" s="946"/>
      <c r="D826" s="946"/>
      <c r="E826" s="947"/>
      <c r="F826" s="120" t="s">
        <v>856</v>
      </c>
      <c r="G826" s="118">
        <f>SUM(G821:G825)</f>
        <v>23765</v>
      </c>
    </row>
    <row r="827" spans="1:7" ht="14.25" thickTop="1" thickBot="1">
      <c r="A827" s="95"/>
      <c r="B827" s="970"/>
      <c r="C827" s="970"/>
      <c r="D827" s="970"/>
      <c r="E827" s="970"/>
      <c r="F827" s="970"/>
      <c r="G827" s="970"/>
    </row>
    <row r="828" spans="1:7" ht="13.5" thickTop="1">
      <c r="A828" s="95"/>
      <c r="B828" s="950" t="s">
        <v>321</v>
      </c>
      <c r="C828" s="951"/>
      <c r="D828" s="951"/>
      <c r="E828" s="951"/>
      <c r="F828" s="951"/>
      <c r="G828" s="952"/>
    </row>
    <row r="829" spans="1:7">
      <c r="A829" s="95"/>
      <c r="B829" s="978" t="s">
        <v>838</v>
      </c>
      <c r="C829" s="979"/>
      <c r="D829" s="98" t="s">
        <v>301</v>
      </c>
      <c r="E829" s="98" t="s">
        <v>297</v>
      </c>
      <c r="F829" s="99" t="s">
        <v>839</v>
      </c>
      <c r="G829" s="107" t="s">
        <v>840</v>
      </c>
    </row>
    <row r="830" spans="1:7">
      <c r="A830" s="95"/>
      <c r="B830" s="230"/>
      <c r="C830" s="102"/>
      <c r="D830" s="103" t="s">
        <v>322</v>
      </c>
      <c r="E830" s="103" t="s">
        <v>323</v>
      </c>
      <c r="F830" s="104" t="s">
        <v>324</v>
      </c>
      <c r="G830" s="109" t="s">
        <v>325</v>
      </c>
    </row>
    <row r="831" spans="1:7">
      <c r="A831" s="95"/>
      <c r="B831" s="841"/>
      <c r="C831" s="842"/>
      <c r="D831" s="96"/>
      <c r="E831" s="96"/>
      <c r="F831" s="96"/>
      <c r="G831" s="116"/>
    </row>
    <row r="832" spans="1:7" ht="13.5" thickBot="1">
      <c r="A832" s="95"/>
      <c r="B832" s="980" t="s">
        <v>841</v>
      </c>
      <c r="C832" s="981"/>
      <c r="D832" s="77"/>
      <c r="E832" s="82"/>
      <c r="F832" s="86"/>
      <c r="G832" s="112"/>
    </row>
    <row r="833" spans="1:8" ht="14.25" thickTop="1" thickBot="1">
      <c r="A833" s="95"/>
      <c r="B833" s="946"/>
      <c r="C833" s="946"/>
      <c r="D833" s="946"/>
      <c r="E833" s="947"/>
      <c r="F833" s="120" t="s">
        <v>856</v>
      </c>
      <c r="G833" s="118">
        <f>SUM(G828:G832)</f>
        <v>0</v>
      </c>
    </row>
    <row r="834" spans="1:8" ht="14.25" thickTop="1" thickBot="1">
      <c r="A834" s="95"/>
      <c r="B834" s="970"/>
      <c r="C834" s="970"/>
      <c r="D834" s="970"/>
      <c r="E834" s="970"/>
      <c r="F834" s="970"/>
      <c r="G834" s="943"/>
    </row>
    <row r="835" spans="1:8" ht="13.5" thickTop="1">
      <c r="A835" s="95"/>
      <c r="B835" s="950" t="s">
        <v>326</v>
      </c>
      <c r="C835" s="951"/>
      <c r="D835" s="951"/>
      <c r="E835" s="951"/>
      <c r="F835" s="971"/>
      <c r="G835" s="121">
        <f>+G799+G815+G826</f>
        <v>117353</v>
      </c>
    </row>
    <row r="836" spans="1:8">
      <c r="A836" s="95"/>
      <c r="B836" s="972" t="s">
        <v>861</v>
      </c>
      <c r="C836" s="973"/>
      <c r="D836" s="973"/>
      <c r="E836" s="974"/>
      <c r="F836" s="128">
        <f>'MANO DE OBRA'!$D$59</f>
        <v>0</v>
      </c>
      <c r="G836" s="122">
        <f>ROUND(G835*F836,0)</f>
        <v>0</v>
      </c>
    </row>
    <row r="837" spans="1:8" ht="13.5" thickBot="1">
      <c r="A837" s="95"/>
      <c r="B837" s="975" t="s">
        <v>1049</v>
      </c>
      <c r="C837" s="976"/>
      <c r="D837" s="976"/>
      <c r="E837" s="976"/>
      <c r="F837" s="977"/>
      <c r="G837" s="118">
        <f>ROUND(G835+G836,-2)</f>
        <v>117400</v>
      </c>
      <c r="H837" s="505" t="s">
        <v>1670</v>
      </c>
    </row>
    <row r="838" spans="1:8" ht="13.5" thickTop="1">
      <c r="A838" s="95"/>
      <c r="B838" s="225" t="s">
        <v>303</v>
      </c>
      <c r="C838" s="843"/>
      <c r="D838" s="843"/>
      <c r="E838" s="843"/>
      <c r="F838" s="92" t="s">
        <v>781</v>
      </c>
      <c r="G838" s="93" t="s">
        <v>865</v>
      </c>
    </row>
    <row r="839" spans="1:8">
      <c r="A839" s="95"/>
      <c r="B839" s="226" t="s">
        <v>834</v>
      </c>
      <c r="C839" s="844" t="s">
        <v>1506</v>
      </c>
      <c r="D839" s="844"/>
      <c r="E839" s="844"/>
      <c r="F839" s="15" t="s">
        <v>833</v>
      </c>
      <c r="G839" s="165" t="str">
        <f>'MANO DE OBRA'!D61</f>
        <v>Agosto de 2010</v>
      </c>
    </row>
    <row r="840" spans="1:8" ht="13.5" thickBot="1">
      <c r="A840" s="236"/>
      <c r="B840" s="240" t="s">
        <v>835</v>
      </c>
      <c r="C840" s="995" t="s">
        <v>72</v>
      </c>
      <c r="D840" s="995"/>
      <c r="E840" s="995"/>
      <c r="F840" s="995"/>
      <c r="G840" s="996"/>
    </row>
    <row r="841" spans="1:8" ht="14.25" thickTop="1" thickBot="1">
      <c r="A841" s="95"/>
      <c r="B841" s="986"/>
      <c r="C841" s="986"/>
      <c r="D841" s="986"/>
      <c r="E841" s="986"/>
      <c r="F841" s="986"/>
      <c r="G841" s="986"/>
    </row>
    <row r="842" spans="1:8" ht="13.5" thickTop="1">
      <c r="A842" s="95"/>
      <c r="B842" s="950" t="s">
        <v>304</v>
      </c>
      <c r="C842" s="951"/>
      <c r="D842" s="951"/>
      <c r="E842" s="951"/>
      <c r="F842" s="951"/>
      <c r="G842" s="952"/>
    </row>
    <row r="843" spans="1:8">
      <c r="A843" s="95"/>
      <c r="B843" s="229"/>
      <c r="C843" s="97"/>
      <c r="D843" s="98" t="s">
        <v>301</v>
      </c>
      <c r="E843" s="98" t="s">
        <v>1072</v>
      </c>
      <c r="F843" s="99" t="s">
        <v>839</v>
      </c>
      <c r="G843" s="107" t="s">
        <v>840</v>
      </c>
    </row>
    <row r="844" spans="1:8">
      <c r="A844" s="95"/>
      <c r="B844" s="982" t="s">
        <v>838</v>
      </c>
      <c r="C844" s="983"/>
      <c r="D844" s="100" t="s">
        <v>308</v>
      </c>
      <c r="E844" s="100" t="s">
        <v>305</v>
      </c>
      <c r="F844" s="101" t="s">
        <v>306</v>
      </c>
      <c r="G844" s="108" t="s">
        <v>310</v>
      </c>
    </row>
    <row r="845" spans="1:8">
      <c r="A845" s="95"/>
      <c r="B845" s="230"/>
      <c r="C845" s="102"/>
      <c r="D845" s="103"/>
      <c r="E845" s="103" t="s">
        <v>309</v>
      </c>
      <c r="F845" s="104" t="s">
        <v>307</v>
      </c>
      <c r="G845" s="109"/>
    </row>
    <row r="846" spans="1:8">
      <c r="A846" s="127"/>
      <c r="B846" s="841" t="str">
        <f>'MAQUINARIA Y EQUIPOS'!$C$28</f>
        <v>HERRAMIENTAS MENORES</v>
      </c>
      <c r="C846" s="842"/>
      <c r="D846" s="87">
        <v>1</v>
      </c>
      <c r="E846" s="82">
        <f>ROUND(G876*0.05,0)</f>
        <v>2092</v>
      </c>
      <c r="F846" s="81">
        <v>1</v>
      </c>
      <c r="G846" s="110">
        <f>ROUND(D846*E846/F846,0)</f>
        <v>2092</v>
      </c>
    </row>
    <row r="847" spans="1:8">
      <c r="A847" s="127"/>
      <c r="B847" s="854"/>
      <c r="C847" s="855"/>
      <c r="D847" s="37"/>
      <c r="E847" s="129"/>
      <c r="F847" s="83"/>
      <c r="G847" s="111"/>
    </row>
    <row r="848" spans="1:8">
      <c r="A848" s="127"/>
      <c r="B848" s="854"/>
      <c r="C848" s="855"/>
      <c r="D848" s="37"/>
      <c r="E848" s="129"/>
      <c r="F848" s="83"/>
      <c r="G848" s="111"/>
    </row>
    <row r="849" spans="1:8">
      <c r="A849" s="95"/>
      <c r="B849" s="854" t="s">
        <v>841</v>
      </c>
      <c r="C849" s="855"/>
      <c r="D849" s="37"/>
      <c r="E849" s="82"/>
      <c r="F849" s="83"/>
      <c r="G849" s="111"/>
    </row>
    <row r="850" spans="1:8" ht="13.5" thickBot="1">
      <c r="A850" s="95"/>
      <c r="B850" s="942" t="s">
        <v>841</v>
      </c>
      <c r="C850" s="943"/>
      <c r="D850" s="77"/>
      <c r="E850" s="106"/>
      <c r="F850" s="86"/>
      <c r="G850" s="112"/>
    </row>
    <row r="851" spans="1:8" ht="14.25" thickTop="1" thickBot="1">
      <c r="A851" s="95"/>
      <c r="B851" s="946"/>
      <c r="C851" s="946"/>
      <c r="D851" s="946"/>
      <c r="E851" s="947"/>
      <c r="F851" s="119" t="s">
        <v>856</v>
      </c>
      <c r="G851" s="118">
        <f>SUM(G846:G850)</f>
        <v>2092</v>
      </c>
    </row>
    <row r="852" spans="1:8" ht="14.25" thickTop="1" thickBot="1">
      <c r="A852" s="95"/>
      <c r="B852" s="970"/>
      <c r="C852" s="970"/>
      <c r="D852" s="970"/>
      <c r="E852" s="970"/>
      <c r="F852" s="970"/>
      <c r="G852" s="970"/>
    </row>
    <row r="853" spans="1:8" ht="13.5" thickTop="1">
      <c r="A853" s="95"/>
      <c r="B853" s="950" t="s">
        <v>311</v>
      </c>
      <c r="C853" s="951"/>
      <c r="D853" s="951"/>
      <c r="E853" s="951"/>
      <c r="F853" s="951"/>
      <c r="G853" s="952"/>
    </row>
    <row r="854" spans="1:8">
      <c r="A854" s="95"/>
      <c r="B854" s="978" t="s">
        <v>838</v>
      </c>
      <c r="C854" s="979"/>
      <c r="D854" s="98" t="s">
        <v>842</v>
      </c>
      <c r="E854" s="98" t="s">
        <v>853</v>
      </c>
      <c r="F854" s="99" t="s">
        <v>1047</v>
      </c>
      <c r="G854" s="107" t="s">
        <v>840</v>
      </c>
    </row>
    <row r="855" spans="1:8">
      <c r="A855" s="95"/>
      <c r="B855" s="230"/>
      <c r="C855" s="102"/>
      <c r="D855" s="100"/>
      <c r="E855" s="100" t="s">
        <v>312</v>
      </c>
      <c r="F855" s="101" t="s">
        <v>313</v>
      </c>
      <c r="G855" s="108" t="s">
        <v>314</v>
      </c>
    </row>
    <row r="856" spans="1:8">
      <c r="A856" s="252"/>
      <c r="B856" s="1056" t="s">
        <v>73</v>
      </c>
      <c r="C856" s="1057"/>
      <c r="D856" s="87" t="s">
        <v>865</v>
      </c>
      <c r="E856" s="81">
        <v>1</v>
      </c>
      <c r="F856" s="80">
        <v>110000</v>
      </c>
      <c r="G856" s="110">
        <v>122500</v>
      </c>
    </row>
    <row r="857" spans="1:8">
      <c r="A857" s="123"/>
      <c r="B857" s="854" t="str">
        <f>MATERIALES2!$C$284</f>
        <v>ESMALTE SINTETICO PINTULUX</v>
      </c>
      <c r="C857" s="855"/>
      <c r="D857" s="37" t="s">
        <v>556</v>
      </c>
      <c r="E857" s="308">
        <v>0.375</v>
      </c>
      <c r="F857" s="82">
        <f>MATERIALES2!$E$284</f>
        <v>54800</v>
      </c>
      <c r="G857" s="111">
        <f>ROUND(E857*F857,0)</f>
        <v>20550</v>
      </c>
    </row>
    <row r="858" spans="1:8">
      <c r="A858" s="123"/>
      <c r="B858" s="854" t="str">
        <f>MATERIALES2!C234</f>
        <v>MANIJA PARA PUERTA</v>
      </c>
      <c r="C858" s="855"/>
      <c r="D858" s="37" t="s">
        <v>865</v>
      </c>
      <c r="E858" s="83">
        <v>1</v>
      </c>
      <c r="F858" s="82">
        <f>MATERIALES2!E234</f>
        <v>7500</v>
      </c>
      <c r="G858" s="111">
        <f>ROUND(E858*F858,0)</f>
        <v>7500</v>
      </c>
    </row>
    <row r="859" spans="1:8">
      <c r="A859" s="123"/>
      <c r="B859" s="854"/>
      <c r="C859" s="855"/>
      <c r="D859" s="37"/>
      <c r="E859" s="83"/>
      <c r="F859" s="82"/>
      <c r="G859" s="111"/>
    </row>
    <row r="860" spans="1:8">
      <c r="A860" s="95"/>
      <c r="B860" s="854"/>
      <c r="C860" s="855"/>
      <c r="D860" s="37"/>
      <c r="E860" s="83"/>
      <c r="F860" s="82"/>
      <c r="G860" s="111"/>
      <c r="H860" s="505" t="s">
        <v>1670</v>
      </c>
    </row>
    <row r="861" spans="1:8">
      <c r="A861" s="95"/>
      <c r="B861" s="938" t="s">
        <v>841</v>
      </c>
      <c r="C861" s="939"/>
      <c r="D861" s="53" t="s">
        <v>841</v>
      </c>
      <c r="E861" s="53"/>
      <c r="F861" s="82"/>
      <c r="G861" s="111"/>
    </row>
    <row r="862" spans="1:8" ht="13.5" thickBot="1">
      <c r="A862" s="95"/>
      <c r="B862" s="942" t="s">
        <v>841</v>
      </c>
      <c r="C862" s="943"/>
      <c r="D862" s="84" t="s">
        <v>841</v>
      </c>
      <c r="E862" s="84"/>
      <c r="F862" s="85"/>
      <c r="G862" s="112"/>
    </row>
    <row r="863" spans="1:8" ht="13.5" thickTop="1">
      <c r="A863" s="95"/>
      <c r="B863" s="946"/>
      <c r="C863" s="947"/>
      <c r="D863" s="801" t="s">
        <v>856</v>
      </c>
      <c r="E863" s="802"/>
      <c r="F863" s="9"/>
      <c r="G863" s="113">
        <f>SUM(G856:G862)</f>
        <v>150550</v>
      </c>
    </row>
    <row r="864" spans="1:8">
      <c r="A864" s="95"/>
      <c r="B864" s="948"/>
      <c r="C864" s="949"/>
      <c r="D864" s="801" t="s">
        <v>857</v>
      </c>
      <c r="E864" s="802"/>
      <c r="F864" s="79">
        <f>'MANO DE OBRA'!$D$60</f>
        <v>0.05</v>
      </c>
      <c r="G864" s="113">
        <f>ROUND(G863*F864,0)</f>
        <v>7528</v>
      </c>
    </row>
    <row r="865" spans="1:7" ht="13.5" thickBot="1">
      <c r="A865" s="95"/>
      <c r="B865" s="948"/>
      <c r="C865" s="949"/>
      <c r="D865" s="803" t="s">
        <v>320</v>
      </c>
      <c r="E865" s="804"/>
      <c r="F865" s="114"/>
      <c r="G865" s="118">
        <f>+G863+G864</f>
        <v>158078</v>
      </c>
    </row>
    <row r="866" spans="1:7" ht="14.25" thickTop="1" thickBot="1">
      <c r="A866" s="95"/>
      <c r="B866" s="970"/>
      <c r="C866" s="970"/>
      <c r="D866" s="970"/>
      <c r="E866" s="970"/>
      <c r="F866" s="970"/>
      <c r="G866" s="970"/>
    </row>
    <row r="867" spans="1:7" ht="13.5" thickTop="1">
      <c r="A867" s="95"/>
      <c r="B867" s="950" t="s">
        <v>858</v>
      </c>
      <c r="C867" s="951"/>
      <c r="D867" s="951"/>
      <c r="E867" s="951"/>
      <c r="F867" s="951"/>
      <c r="G867" s="952"/>
    </row>
    <row r="868" spans="1:7">
      <c r="A868" s="95"/>
      <c r="B868" s="978"/>
      <c r="C868" s="979"/>
      <c r="D868" s="98" t="s">
        <v>301</v>
      </c>
      <c r="E868" s="98" t="s">
        <v>859</v>
      </c>
      <c r="F868" s="99" t="s">
        <v>839</v>
      </c>
      <c r="G868" s="107" t="s">
        <v>840</v>
      </c>
    </row>
    <row r="869" spans="1:7">
      <c r="A869" s="95"/>
      <c r="B869" s="982" t="s">
        <v>838</v>
      </c>
      <c r="C869" s="983"/>
      <c r="D869" s="100" t="s">
        <v>316</v>
      </c>
      <c r="E869" s="100" t="s">
        <v>315</v>
      </c>
      <c r="F869" s="101" t="s">
        <v>306</v>
      </c>
      <c r="G869" s="108" t="s">
        <v>319</v>
      </c>
    </row>
    <row r="870" spans="1:7">
      <c r="A870" s="95"/>
      <c r="B870" s="230"/>
      <c r="C870" s="102"/>
      <c r="D870" s="103"/>
      <c r="E870" s="103" t="s">
        <v>317</v>
      </c>
      <c r="F870" s="104" t="s">
        <v>318</v>
      </c>
      <c r="G870" s="109"/>
    </row>
    <row r="871" spans="1:7">
      <c r="A871" s="95"/>
      <c r="B871" s="841" t="str">
        <f>'MANO DE OBRA'!$B$10</f>
        <v>AYUDANTE CUAD. TIPO AA</v>
      </c>
      <c r="C871" s="842"/>
      <c r="D871" s="87">
        <v>1</v>
      </c>
      <c r="E871" s="80">
        <f>'MANO DE OBRA'!$E$10</f>
        <v>34680</v>
      </c>
      <c r="F871" s="81">
        <v>4.5</v>
      </c>
      <c r="G871" s="110">
        <f>ROUND(D871*E871/F871,0)</f>
        <v>7707</v>
      </c>
    </row>
    <row r="872" spans="1:7">
      <c r="A872" s="95"/>
      <c r="B872" s="854" t="str">
        <f>'MANO DE OBRA'!$B$15</f>
        <v xml:space="preserve">OFICIAL CUAD. TIPO AA </v>
      </c>
      <c r="C872" s="855"/>
      <c r="D872" s="37">
        <v>1</v>
      </c>
      <c r="E872" s="82">
        <f>'MANO DE OBRA'!$E$15</f>
        <v>71474</v>
      </c>
      <c r="F872" s="83">
        <v>4.5</v>
      </c>
      <c r="G872" s="111">
        <f>ROUND(D872*E872/F872,0)</f>
        <v>15883</v>
      </c>
    </row>
    <row r="873" spans="1:7">
      <c r="A873" s="95"/>
      <c r="B873" s="854" t="str">
        <f>'MANO DE OBRA'!$B$17</f>
        <v>OFICIAL CUAD. TIPO CC</v>
      </c>
      <c r="C873" s="855"/>
      <c r="D873" s="37">
        <v>1</v>
      </c>
      <c r="E873" s="82">
        <f>'MANO DE OBRA'!$E$17</f>
        <v>82117</v>
      </c>
      <c r="F873" s="83">
        <v>4.5</v>
      </c>
      <c r="G873" s="111">
        <f>ROUND(D873*E873/F873,0)</f>
        <v>18248</v>
      </c>
    </row>
    <row r="874" spans="1:7">
      <c r="A874" s="95"/>
      <c r="B874" s="854"/>
      <c r="C874" s="855"/>
      <c r="D874" s="37"/>
      <c r="E874" s="82"/>
      <c r="F874" s="83"/>
      <c r="G874" s="111"/>
    </row>
    <row r="875" spans="1:7" ht="13.5" thickBot="1">
      <c r="A875" s="95"/>
      <c r="B875" s="980"/>
      <c r="C875" s="981"/>
      <c r="D875" s="77"/>
      <c r="E875" s="82"/>
      <c r="F875" s="86"/>
      <c r="G875" s="111"/>
    </row>
    <row r="876" spans="1:7" ht="14.25" thickTop="1" thickBot="1">
      <c r="A876" s="95"/>
      <c r="B876" s="946"/>
      <c r="C876" s="946"/>
      <c r="D876" s="946"/>
      <c r="E876" s="947"/>
      <c r="F876" s="120" t="s">
        <v>856</v>
      </c>
      <c r="G876" s="118">
        <f>SUM(G871:G875)</f>
        <v>41838</v>
      </c>
    </row>
    <row r="877" spans="1:7" ht="14.25" thickTop="1" thickBot="1">
      <c r="A877" s="95"/>
      <c r="B877" s="970"/>
      <c r="C877" s="970"/>
      <c r="D877" s="970"/>
      <c r="E877" s="970"/>
      <c r="F877" s="970"/>
      <c r="G877" s="970"/>
    </row>
    <row r="878" spans="1:7" ht="13.5" thickTop="1">
      <c r="A878" s="95"/>
      <c r="B878" s="950" t="s">
        <v>321</v>
      </c>
      <c r="C878" s="951"/>
      <c r="D878" s="951"/>
      <c r="E878" s="951"/>
      <c r="F878" s="951"/>
      <c r="G878" s="952"/>
    </row>
    <row r="879" spans="1:7">
      <c r="A879" s="95"/>
      <c r="B879" s="978" t="s">
        <v>838</v>
      </c>
      <c r="C879" s="979"/>
      <c r="D879" s="98" t="s">
        <v>301</v>
      </c>
      <c r="E879" s="98" t="s">
        <v>297</v>
      </c>
      <c r="F879" s="99" t="s">
        <v>839</v>
      </c>
      <c r="G879" s="107" t="s">
        <v>840</v>
      </c>
    </row>
    <row r="880" spans="1:7">
      <c r="A880" s="95"/>
      <c r="B880" s="230"/>
      <c r="C880" s="102"/>
      <c r="D880" s="103" t="s">
        <v>322</v>
      </c>
      <c r="E880" s="103" t="s">
        <v>323</v>
      </c>
      <c r="F880" s="104" t="s">
        <v>324</v>
      </c>
      <c r="G880" s="109" t="s">
        <v>325</v>
      </c>
    </row>
    <row r="881" spans="1:8">
      <c r="A881" s="95"/>
      <c r="B881" s="841"/>
      <c r="C881" s="842"/>
      <c r="D881" s="96"/>
      <c r="E881" s="96"/>
      <c r="F881" s="96"/>
      <c r="G881" s="116"/>
    </row>
    <row r="882" spans="1:8" ht="13.5" thickBot="1">
      <c r="A882" s="95"/>
      <c r="B882" s="980" t="s">
        <v>841</v>
      </c>
      <c r="C882" s="981"/>
      <c r="D882" s="77"/>
      <c r="E882" s="82"/>
      <c r="F882" s="86"/>
      <c r="G882" s="112"/>
    </row>
    <row r="883" spans="1:8" ht="14.25" thickTop="1" thickBot="1">
      <c r="A883" s="95"/>
      <c r="B883" s="946"/>
      <c r="C883" s="946"/>
      <c r="D883" s="946"/>
      <c r="E883" s="947"/>
      <c r="F883" s="120" t="s">
        <v>856</v>
      </c>
      <c r="G883" s="118">
        <f>SUM(G878:G882)</f>
        <v>0</v>
      </c>
    </row>
    <row r="884" spans="1:8" ht="14.25" thickTop="1" thickBot="1">
      <c r="A884" s="95"/>
      <c r="B884" s="970"/>
      <c r="C884" s="970"/>
      <c r="D884" s="970"/>
      <c r="E884" s="970"/>
      <c r="F884" s="970"/>
      <c r="G884" s="943"/>
    </row>
    <row r="885" spans="1:8" ht="13.5" thickTop="1">
      <c r="A885" s="95"/>
      <c r="B885" s="950" t="s">
        <v>326</v>
      </c>
      <c r="C885" s="951"/>
      <c r="D885" s="951"/>
      <c r="E885" s="951"/>
      <c r="F885" s="971"/>
      <c r="G885" s="121">
        <f>+G851+G865+G876</f>
        <v>202008</v>
      </c>
    </row>
    <row r="886" spans="1:8">
      <c r="A886" s="95"/>
      <c r="B886" s="972" t="s">
        <v>861</v>
      </c>
      <c r="C886" s="973"/>
      <c r="D886" s="973"/>
      <c r="E886" s="974"/>
      <c r="F886" s="128">
        <f>'MANO DE OBRA'!$D$59</f>
        <v>0</v>
      </c>
      <c r="G886" s="122">
        <f>ROUND(G885*F886,0)</f>
        <v>0</v>
      </c>
    </row>
    <row r="887" spans="1:8" ht="13.5" thickBot="1">
      <c r="A887" s="95"/>
      <c r="B887" s="975" t="s">
        <v>1049</v>
      </c>
      <c r="C887" s="976"/>
      <c r="D887" s="976"/>
      <c r="E887" s="976"/>
      <c r="F887" s="977"/>
      <c r="G887" s="118">
        <f>ROUND(G885+G886,-2)</f>
        <v>202000</v>
      </c>
      <c r="H887" s="505" t="s">
        <v>1670</v>
      </c>
    </row>
    <row r="888" spans="1:8" ht="13.5" thickTop="1">
      <c r="B888" s="225" t="s">
        <v>303</v>
      </c>
      <c r="C888" s="843"/>
      <c r="D888" s="843"/>
      <c r="E888" s="843"/>
      <c r="F888" s="92" t="s">
        <v>781</v>
      </c>
      <c r="G888" s="93" t="s">
        <v>868</v>
      </c>
    </row>
    <row r="889" spans="1:8">
      <c r="B889" s="226" t="s">
        <v>834</v>
      </c>
      <c r="C889" s="844" t="s">
        <v>421</v>
      </c>
      <c r="D889" s="844"/>
      <c r="E889" s="844"/>
      <c r="F889" s="15" t="s">
        <v>833</v>
      </c>
      <c r="G889" s="165" t="str">
        <f>'MANO DE OBRA'!D61</f>
        <v>Agosto de 2010</v>
      </c>
    </row>
    <row r="890" spans="1:8" ht="13.5" thickBot="1">
      <c r="B890" s="240" t="s">
        <v>835</v>
      </c>
      <c r="C890" s="1058" t="s">
        <v>11</v>
      </c>
      <c r="D890" s="1058"/>
      <c r="E890" s="1058"/>
      <c r="F890" s="1058"/>
      <c r="G890" s="1059"/>
    </row>
    <row r="891" spans="1:8" ht="14.25" thickTop="1" thickBot="1">
      <c r="B891" s="986"/>
      <c r="C891" s="986"/>
      <c r="D891" s="986"/>
      <c r="E891" s="986"/>
      <c r="F891" s="986"/>
      <c r="G891" s="986"/>
    </row>
    <row r="892" spans="1:8" ht="13.5" thickTop="1">
      <c r="B892" s="950" t="s">
        <v>304</v>
      </c>
      <c r="C892" s="951"/>
      <c r="D892" s="951"/>
      <c r="E892" s="951"/>
      <c r="F892" s="951"/>
      <c r="G892" s="952"/>
    </row>
    <row r="893" spans="1:8">
      <c r="B893" s="229"/>
      <c r="C893" s="97"/>
      <c r="D893" s="98" t="s">
        <v>301</v>
      </c>
      <c r="E893" s="98" t="s">
        <v>1072</v>
      </c>
      <c r="F893" s="99" t="s">
        <v>839</v>
      </c>
      <c r="G893" s="107" t="s">
        <v>840</v>
      </c>
    </row>
    <row r="894" spans="1:8">
      <c r="B894" s="982" t="s">
        <v>838</v>
      </c>
      <c r="C894" s="983"/>
      <c r="D894" s="100" t="s">
        <v>308</v>
      </c>
      <c r="E894" s="100" t="s">
        <v>305</v>
      </c>
      <c r="F894" s="101" t="s">
        <v>306</v>
      </c>
      <c r="G894" s="108" t="s">
        <v>310</v>
      </c>
    </row>
    <row r="895" spans="1:8">
      <c r="B895" s="230"/>
      <c r="C895" s="102"/>
      <c r="D895" s="103"/>
      <c r="E895" s="103" t="s">
        <v>309</v>
      </c>
      <c r="F895" s="104" t="s">
        <v>307</v>
      </c>
      <c r="G895" s="109"/>
    </row>
    <row r="896" spans="1:8">
      <c r="B896" s="841" t="str">
        <f>'MAQUINARIA Y EQUIPOS'!$C$28</f>
        <v>HERRAMIENTAS MENORES</v>
      </c>
      <c r="C896" s="842"/>
      <c r="D896" s="87">
        <v>1</v>
      </c>
      <c r="E896" s="82">
        <f>ROUND(G926*0.05,0)</f>
        <v>1062</v>
      </c>
      <c r="F896" s="81">
        <v>1</v>
      </c>
      <c r="G896" s="110">
        <f>ROUND(D896*E896/F896,0)</f>
        <v>1062</v>
      </c>
    </row>
    <row r="897" spans="2:8">
      <c r="B897" s="854"/>
      <c r="C897" s="855"/>
      <c r="D897" s="37"/>
      <c r="E897" s="129"/>
      <c r="F897" s="83"/>
      <c r="G897" s="111"/>
    </row>
    <row r="898" spans="2:8">
      <c r="B898" s="854"/>
      <c r="C898" s="855"/>
      <c r="D898" s="37"/>
      <c r="E898" s="129"/>
      <c r="F898" s="83"/>
      <c r="G898" s="111"/>
    </row>
    <row r="899" spans="2:8">
      <c r="B899" s="854" t="s">
        <v>841</v>
      </c>
      <c r="C899" s="855"/>
      <c r="D899" s="37"/>
      <c r="E899" s="82"/>
      <c r="F899" s="83"/>
      <c r="G899" s="111"/>
    </row>
    <row r="900" spans="2:8" ht="13.5" thickBot="1">
      <c r="B900" s="942" t="s">
        <v>841</v>
      </c>
      <c r="C900" s="943"/>
      <c r="D900" s="77"/>
      <c r="E900" s="106"/>
      <c r="F900" s="86"/>
      <c r="G900" s="112"/>
    </row>
    <row r="901" spans="2:8" ht="14.25" thickTop="1" thickBot="1">
      <c r="B901" s="946"/>
      <c r="C901" s="946"/>
      <c r="D901" s="946"/>
      <c r="E901" s="947"/>
      <c r="F901" s="119" t="s">
        <v>856</v>
      </c>
      <c r="G901" s="118">
        <f>SUM(G896:G900)</f>
        <v>1062</v>
      </c>
    </row>
    <row r="902" spans="2:8" ht="14.25" thickTop="1" thickBot="1">
      <c r="B902" s="970"/>
      <c r="C902" s="970"/>
      <c r="D902" s="970"/>
      <c r="E902" s="970"/>
      <c r="F902" s="970"/>
      <c r="G902" s="970"/>
    </row>
    <row r="903" spans="2:8" ht="13.5" thickTop="1">
      <c r="B903" s="950" t="s">
        <v>311</v>
      </c>
      <c r="C903" s="951"/>
      <c r="D903" s="951"/>
      <c r="E903" s="951"/>
      <c r="F903" s="951"/>
      <c r="G903" s="952"/>
    </row>
    <row r="904" spans="2:8">
      <c r="B904" s="978" t="s">
        <v>838</v>
      </c>
      <c r="C904" s="979"/>
      <c r="D904" s="98" t="s">
        <v>842</v>
      </c>
      <c r="E904" s="98" t="s">
        <v>853</v>
      </c>
      <c r="F904" s="99" t="s">
        <v>1047</v>
      </c>
      <c r="G904" s="107" t="s">
        <v>840</v>
      </c>
    </row>
    <row r="905" spans="2:8">
      <c r="B905" s="230"/>
      <c r="C905" s="102"/>
      <c r="D905" s="100"/>
      <c r="E905" s="100" t="s">
        <v>312</v>
      </c>
      <c r="F905" s="101" t="s">
        <v>313</v>
      </c>
      <c r="G905" s="108" t="s">
        <v>314</v>
      </c>
    </row>
    <row r="906" spans="2:8">
      <c r="B906" s="1056" t="s">
        <v>12</v>
      </c>
      <c r="C906" s="1057"/>
      <c r="D906" s="87" t="s">
        <v>868</v>
      </c>
      <c r="E906" s="81">
        <v>1.05</v>
      </c>
      <c r="F906" s="80">
        <v>112000</v>
      </c>
      <c r="G906" s="111">
        <f>ROUND(E906*F906,0)</f>
        <v>117600</v>
      </c>
    </row>
    <row r="907" spans="2:8">
      <c r="B907" s="854"/>
      <c r="C907" s="855"/>
      <c r="D907" s="37"/>
      <c r="E907" s="308"/>
      <c r="F907" s="82"/>
      <c r="G907" s="111"/>
    </row>
    <row r="908" spans="2:8">
      <c r="B908" s="854"/>
      <c r="C908" s="855"/>
      <c r="D908" s="37"/>
      <c r="E908" s="83"/>
      <c r="F908" s="82"/>
      <c r="G908" s="111"/>
    </row>
    <row r="909" spans="2:8">
      <c r="B909" s="854"/>
      <c r="C909" s="855"/>
      <c r="D909" s="37"/>
      <c r="E909" s="83"/>
      <c r="F909" s="82"/>
      <c r="G909" s="111"/>
    </row>
    <row r="910" spans="2:8">
      <c r="B910" s="854"/>
      <c r="C910" s="855"/>
      <c r="D910" s="37"/>
      <c r="E910" s="83"/>
      <c r="F910" s="82"/>
      <c r="G910" s="111"/>
    </row>
    <row r="911" spans="2:8">
      <c r="B911" s="938" t="s">
        <v>841</v>
      </c>
      <c r="C911" s="939"/>
      <c r="D911" s="53" t="s">
        <v>841</v>
      </c>
      <c r="E911" s="53"/>
      <c r="F911" s="82"/>
      <c r="G911" s="111"/>
      <c r="H911" s="505" t="s">
        <v>1670</v>
      </c>
    </row>
    <row r="912" spans="2:8" ht="13.5" thickBot="1">
      <c r="B912" s="942" t="s">
        <v>841</v>
      </c>
      <c r="C912" s="943"/>
      <c r="D912" s="84" t="s">
        <v>841</v>
      </c>
      <c r="E912" s="84"/>
      <c r="F912" s="85"/>
      <c r="G912" s="112"/>
    </row>
    <row r="913" spans="2:7" ht="13.5" thickTop="1">
      <c r="B913" s="946"/>
      <c r="C913" s="947"/>
      <c r="D913" s="801" t="s">
        <v>856</v>
      </c>
      <c r="E913" s="802"/>
      <c r="F913" s="9"/>
      <c r="G913" s="113">
        <f>SUM(G906:G912)</f>
        <v>117600</v>
      </c>
    </row>
    <row r="914" spans="2:7">
      <c r="B914" s="948"/>
      <c r="C914" s="949"/>
      <c r="D914" s="801" t="s">
        <v>857</v>
      </c>
      <c r="E914" s="802"/>
      <c r="F914" s="79">
        <f>'MANO DE OBRA'!$D$60</f>
        <v>0.05</v>
      </c>
      <c r="G914" s="113">
        <f>ROUND(G913*F914,0)</f>
        <v>5880</v>
      </c>
    </row>
    <row r="915" spans="2:7" ht="10.5" customHeight="1" thickBot="1">
      <c r="B915" s="948"/>
      <c r="C915" s="949"/>
      <c r="D915" s="803" t="s">
        <v>320</v>
      </c>
      <c r="E915" s="804"/>
      <c r="F915" s="114"/>
      <c r="G915" s="118">
        <f>+G913+G914</f>
        <v>123480</v>
      </c>
    </row>
    <row r="916" spans="2:7" ht="14.25" thickTop="1" thickBot="1">
      <c r="B916" s="970"/>
      <c r="C916" s="970"/>
      <c r="D916" s="970"/>
      <c r="E916" s="970"/>
      <c r="F916" s="970"/>
      <c r="G916" s="970"/>
    </row>
    <row r="917" spans="2:7" ht="13.5" thickTop="1">
      <c r="B917" s="950" t="s">
        <v>858</v>
      </c>
      <c r="C917" s="951"/>
      <c r="D917" s="951"/>
      <c r="E917" s="951"/>
      <c r="F917" s="951"/>
      <c r="G917" s="952"/>
    </row>
    <row r="918" spans="2:7">
      <c r="B918" s="978"/>
      <c r="C918" s="979"/>
      <c r="D918" s="98" t="s">
        <v>301</v>
      </c>
      <c r="E918" s="98" t="s">
        <v>859</v>
      </c>
      <c r="F918" s="99" t="s">
        <v>839</v>
      </c>
      <c r="G918" s="107" t="s">
        <v>840</v>
      </c>
    </row>
    <row r="919" spans="2:7">
      <c r="B919" s="982" t="s">
        <v>838</v>
      </c>
      <c r="C919" s="983"/>
      <c r="D919" s="100" t="s">
        <v>316</v>
      </c>
      <c r="E919" s="100" t="s">
        <v>315</v>
      </c>
      <c r="F919" s="101" t="s">
        <v>306</v>
      </c>
      <c r="G919" s="108" t="s">
        <v>319</v>
      </c>
    </row>
    <row r="920" spans="2:7">
      <c r="B920" s="230"/>
      <c r="C920" s="102"/>
      <c r="D920" s="103"/>
      <c r="E920" s="103" t="s">
        <v>317</v>
      </c>
      <c r="F920" s="104" t="s">
        <v>318</v>
      </c>
      <c r="G920" s="109"/>
    </row>
    <row r="921" spans="2:7">
      <c r="B921" s="841" t="str">
        <f>'MANO DE OBRA'!$B$10</f>
        <v>AYUDANTE CUAD. TIPO AA</v>
      </c>
      <c r="C921" s="842"/>
      <c r="D921" s="87">
        <v>1</v>
      </c>
      <c r="E921" s="80">
        <f>'MANO DE OBRA'!$E$10</f>
        <v>34680</v>
      </c>
      <c r="F921" s="81">
        <v>5</v>
      </c>
      <c r="G921" s="110">
        <f>ROUND(D921*E921/F921,0)</f>
        <v>6936</v>
      </c>
    </row>
    <row r="922" spans="2:7">
      <c r="B922" s="854" t="str">
        <f>'MANO DE OBRA'!$B$15</f>
        <v xml:space="preserve">OFICIAL CUAD. TIPO AA </v>
      </c>
      <c r="C922" s="855"/>
      <c r="D922" s="37">
        <v>1</v>
      </c>
      <c r="E922" s="82">
        <f>'MANO DE OBRA'!$E$15</f>
        <v>71474</v>
      </c>
      <c r="F922" s="83">
        <v>5</v>
      </c>
      <c r="G922" s="111">
        <f>ROUND(D922*E922/F922,0)</f>
        <v>14295</v>
      </c>
    </row>
    <row r="923" spans="2:7">
      <c r="B923" s="854"/>
      <c r="C923" s="855"/>
      <c r="D923" s="37"/>
      <c r="E923" s="82"/>
      <c r="F923" s="83"/>
      <c r="G923" s="111"/>
    </row>
    <row r="924" spans="2:7">
      <c r="B924" s="854"/>
      <c r="C924" s="855"/>
      <c r="D924" s="37"/>
      <c r="E924" s="82"/>
      <c r="F924" s="83"/>
      <c r="G924" s="111"/>
    </row>
    <row r="925" spans="2:7" ht="13.5" thickBot="1">
      <c r="B925" s="980"/>
      <c r="C925" s="981"/>
      <c r="D925" s="77"/>
      <c r="E925" s="82"/>
      <c r="F925" s="86"/>
      <c r="G925" s="111"/>
    </row>
    <row r="926" spans="2:7" ht="14.25" thickTop="1" thickBot="1">
      <c r="B926" s="946"/>
      <c r="C926" s="946"/>
      <c r="D926" s="946"/>
      <c r="E926" s="947"/>
      <c r="F926" s="120" t="s">
        <v>856</v>
      </c>
      <c r="G926" s="118">
        <f>SUM(G921:G925)</f>
        <v>21231</v>
      </c>
    </row>
    <row r="927" spans="2:7" ht="14.25" thickTop="1" thickBot="1">
      <c r="B927" s="970"/>
      <c r="C927" s="970"/>
      <c r="D927" s="970"/>
      <c r="E927" s="970"/>
      <c r="F927" s="970"/>
      <c r="G927" s="970"/>
    </row>
    <row r="928" spans="2:7" ht="13.5" thickTop="1">
      <c r="B928" s="950" t="s">
        <v>321</v>
      </c>
      <c r="C928" s="951"/>
      <c r="D928" s="951"/>
      <c r="E928" s="951"/>
      <c r="F928" s="951"/>
      <c r="G928" s="952"/>
    </row>
    <row r="929" spans="2:8">
      <c r="B929" s="978" t="s">
        <v>838</v>
      </c>
      <c r="C929" s="979"/>
      <c r="D929" s="98" t="s">
        <v>301</v>
      </c>
      <c r="E929" s="98" t="s">
        <v>297</v>
      </c>
      <c r="F929" s="99" t="s">
        <v>839</v>
      </c>
      <c r="G929" s="107" t="s">
        <v>840</v>
      </c>
    </row>
    <row r="930" spans="2:8">
      <c r="B930" s="230"/>
      <c r="C930" s="102"/>
      <c r="D930" s="103" t="s">
        <v>322</v>
      </c>
      <c r="E930" s="103" t="s">
        <v>323</v>
      </c>
      <c r="F930" s="104" t="s">
        <v>324</v>
      </c>
      <c r="G930" s="109" t="s">
        <v>325</v>
      </c>
    </row>
    <row r="931" spans="2:8">
      <c r="B931" s="841"/>
      <c r="C931" s="842"/>
      <c r="D931" s="96"/>
      <c r="E931" s="96"/>
      <c r="F931" s="96"/>
      <c r="G931" s="116"/>
    </row>
    <row r="932" spans="2:8" ht="13.5" thickBot="1">
      <c r="B932" s="980" t="s">
        <v>841</v>
      </c>
      <c r="C932" s="981"/>
      <c r="D932" s="77"/>
      <c r="E932" s="82"/>
      <c r="F932" s="86"/>
      <c r="G932" s="112"/>
    </row>
    <row r="933" spans="2:8" ht="14.25" thickTop="1" thickBot="1">
      <c r="B933" s="946"/>
      <c r="C933" s="946"/>
      <c r="D933" s="946"/>
      <c r="E933" s="947"/>
      <c r="F933" s="120" t="s">
        <v>856</v>
      </c>
      <c r="G933" s="118">
        <f>SUM(G928:G932)</f>
        <v>0</v>
      </c>
    </row>
    <row r="934" spans="2:8" ht="14.25" thickTop="1" thickBot="1">
      <c r="B934" s="970"/>
      <c r="C934" s="970"/>
      <c r="D934" s="970"/>
      <c r="E934" s="970"/>
      <c r="F934" s="970"/>
      <c r="G934" s="943"/>
    </row>
    <row r="935" spans="2:8" ht="13.5" thickTop="1">
      <c r="B935" s="950" t="s">
        <v>326</v>
      </c>
      <c r="C935" s="951"/>
      <c r="D935" s="951"/>
      <c r="E935" s="951"/>
      <c r="F935" s="971"/>
      <c r="G935" s="121">
        <f>+G901+G915+G926</f>
        <v>145773</v>
      </c>
    </row>
    <row r="936" spans="2:8">
      <c r="B936" s="972" t="s">
        <v>861</v>
      </c>
      <c r="C936" s="973"/>
      <c r="D936" s="973"/>
      <c r="E936" s="974"/>
      <c r="F936" s="128">
        <f>'MANO DE OBRA'!$D$59</f>
        <v>0</v>
      </c>
      <c r="G936" s="122">
        <f>ROUND(G935*F936,0)</f>
        <v>0</v>
      </c>
    </row>
    <row r="937" spans="2:8" ht="13.5" thickBot="1">
      <c r="B937" s="975" t="s">
        <v>1049</v>
      </c>
      <c r="C937" s="976"/>
      <c r="D937" s="976"/>
      <c r="E937" s="976"/>
      <c r="F937" s="977"/>
      <c r="G937" s="118">
        <f>ROUND(G935+G936,-2)</f>
        <v>145800</v>
      </c>
      <c r="H937" s="505" t="s">
        <v>1670</v>
      </c>
    </row>
    <row r="938" spans="2:8" ht="13.5" thickTop="1">
      <c r="B938" s="225" t="s">
        <v>303</v>
      </c>
      <c r="C938" s="843"/>
      <c r="D938" s="843"/>
      <c r="E938" s="843"/>
      <c r="F938" s="92" t="s">
        <v>781</v>
      </c>
      <c r="G938" s="93" t="s">
        <v>868</v>
      </c>
    </row>
    <row r="939" spans="2:8">
      <c r="B939" s="226" t="s">
        <v>834</v>
      </c>
      <c r="C939" s="844" t="s">
        <v>421</v>
      </c>
      <c r="D939" s="844"/>
      <c r="E939" s="844"/>
      <c r="F939" s="15" t="s">
        <v>833</v>
      </c>
      <c r="G939" s="165" t="str">
        <f>'MANO DE OBRA'!D61</f>
        <v>Agosto de 2010</v>
      </c>
    </row>
    <row r="940" spans="2:8" ht="13.5" thickBot="1">
      <c r="B940" s="240" t="s">
        <v>835</v>
      </c>
      <c r="C940" s="1058" t="s">
        <v>17</v>
      </c>
      <c r="D940" s="1058"/>
      <c r="E940" s="1058"/>
      <c r="F940" s="1058"/>
      <c r="G940" s="1059"/>
    </row>
    <row r="941" spans="2:8" ht="14.25" thickTop="1" thickBot="1">
      <c r="B941" s="986"/>
      <c r="C941" s="986"/>
      <c r="D941" s="986"/>
      <c r="E941" s="986"/>
      <c r="F941" s="986"/>
      <c r="G941" s="986"/>
    </row>
    <row r="942" spans="2:8" ht="13.5" thickTop="1">
      <c r="B942" s="950" t="s">
        <v>304</v>
      </c>
      <c r="C942" s="951"/>
      <c r="D942" s="951"/>
      <c r="E942" s="951"/>
      <c r="F942" s="951"/>
      <c r="G942" s="952"/>
    </row>
    <row r="943" spans="2:8">
      <c r="B943" s="229"/>
      <c r="C943" s="97"/>
      <c r="D943" s="98" t="s">
        <v>301</v>
      </c>
      <c r="E943" s="98" t="s">
        <v>1072</v>
      </c>
      <c r="F943" s="99" t="s">
        <v>839</v>
      </c>
      <c r="G943" s="107" t="s">
        <v>840</v>
      </c>
    </row>
    <row r="944" spans="2:8">
      <c r="B944" s="982" t="s">
        <v>838</v>
      </c>
      <c r="C944" s="983"/>
      <c r="D944" s="100" t="s">
        <v>308</v>
      </c>
      <c r="E944" s="100" t="s">
        <v>305</v>
      </c>
      <c r="F944" s="101" t="s">
        <v>306</v>
      </c>
      <c r="G944" s="108" t="s">
        <v>310</v>
      </c>
    </row>
    <row r="945" spans="2:7">
      <c r="B945" s="230"/>
      <c r="C945" s="102"/>
      <c r="D945" s="103"/>
      <c r="E945" s="103" t="s">
        <v>309</v>
      </c>
      <c r="F945" s="104" t="s">
        <v>307</v>
      </c>
      <c r="G945" s="109"/>
    </row>
    <row r="946" spans="2:7">
      <c r="B946" s="841" t="str">
        <f>'MAQUINARIA Y EQUIPOS'!$C$28</f>
        <v>HERRAMIENTAS MENORES</v>
      </c>
      <c r="C946" s="842"/>
      <c r="D946" s="87">
        <v>1</v>
      </c>
      <c r="E946" s="82">
        <f>ROUND(G976*0.05,0)</f>
        <v>1180</v>
      </c>
      <c r="F946" s="81">
        <v>1</v>
      </c>
      <c r="G946" s="110">
        <f>ROUND(D946*E946/F946,0)</f>
        <v>1180</v>
      </c>
    </row>
    <row r="947" spans="2:7">
      <c r="B947" s="854"/>
      <c r="C947" s="855"/>
      <c r="D947" s="37"/>
      <c r="E947" s="129"/>
      <c r="F947" s="83"/>
      <c r="G947" s="111"/>
    </row>
    <row r="948" spans="2:7">
      <c r="B948" s="854"/>
      <c r="C948" s="855"/>
      <c r="D948" s="37"/>
      <c r="E948" s="129"/>
      <c r="F948" s="83"/>
      <c r="G948" s="111"/>
    </row>
    <row r="949" spans="2:7">
      <c r="B949" s="854" t="s">
        <v>841</v>
      </c>
      <c r="C949" s="855"/>
      <c r="D949" s="37"/>
      <c r="E949" s="82"/>
      <c r="F949" s="83"/>
      <c r="G949" s="111"/>
    </row>
    <row r="950" spans="2:7" ht="13.5" thickBot="1">
      <c r="B950" s="942" t="s">
        <v>841</v>
      </c>
      <c r="C950" s="943"/>
      <c r="D950" s="77"/>
      <c r="E950" s="106"/>
      <c r="F950" s="86"/>
      <c r="G950" s="112"/>
    </row>
    <row r="951" spans="2:7" ht="14.25" thickTop="1" thickBot="1">
      <c r="B951" s="946"/>
      <c r="C951" s="946"/>
      <c r="D951" s="946"/>
      <c r="E951" s="947"/>
      <c r="F951" s="119" t="s">
        <v>856</v>
      </c>
      <c r="G951" s="118">
        <f>SUM(G946:G950)</f>
        <v>1180</v>
      </c>
    </row>
    <row r="952" spans="2:7" ht="14.25" thickTop="1" thickBot="1">
      <c r="B952" s="970"/>
      <c r="C952" s="970"/>
      <c r="D952" s="970"/>
      <c r="E952" s="970"/>
      <c r="F952" s="970"/>
      <c r="G952" s="970"/>
    </row>
    <row r="953" spans="2:7" ht="13.5" thickTop="1">
      <c r="B953" s="950" t="s">
        <v>311</v>
      </c>
      <c r="C953" s="951"/>
      <c r="D953" s="951"/>
      <c r="E953" s="951"/>
      <c r="F953" s="951"/>
      <c r="G953" s="952"/>
    </row>
    <row r="954" spans="2:7">
      <c r="B954" s="978" t="s">
        <v>838</v>
      </c>
      <c r="C954" s="979"/>
      <c r="D954" s="98" t="s">
        <v>842</v>
      </c>
      <c r="E954" s="98" t="s">
        <v>853</v>
      </c>
      <c r="F954" s="99" t="s">
        <v>1047</v>
      </c>
      <c r="G954" s="107" t="s">
        <v>840</v>
      </c>
    </row>
    <row r="955" spans="2:7">
      <c r="B955" s="230"/>
      <c r="C955" s="102"/>
      <c r="D955" s="100"/>
      <c r="E955" s="100" t="s">
        <v>312</v>
      </c>
      <c r="F955" s="101" t="s">
        <v>313</v>
      </c>
      <c r="G955" s="109" t="s">
        <v>314</v>
      </c>
    </row>
    <row r="956" spans="2:7">
      <c r="B956" s="1056" t="str">
        <f>MATERIALES2!C262</f>
        <v>VENTANA ALUMINIO ANOLOCK</v>
      </c>
      <c r="C956" s="1057"/>
      <c r="D956" s="87" t="s">
        <v>868</v>
      </c>
      <c r="E956" s="81">
        <v>1.05</v>
      </c>
      <c r="F956" s="80">
        <f>MATERIALES2!E262</f>
        <v>120000</v>
      </c>
      <c r="G956" s="111">
        <f>ROUND(E956*F956,0)</f>
        <v>126000</v>
      </c>
    </row>
    <row r="957" spans="2:7">
      <c r="B957" s="854"/>
      <c r="C957" s="855"/>
      <c r="D957" s="37"/>
      <c r="E957" s="308"/>
      <c r="F957" s="82"/>
      <c r="G957" s="111"/>
    </row>
    <row r="958" spans="2:7">
      <c r="B958" s="854"/>
      <c r="C958" s="855"/>
      <c r="D958" s="37"/>
      <c r="E958" s="83"/>
      <c r="F958" s="82"/>
      <c r="G958" s="111"/>
    </row>
    <row r="959" spans="2:7">
      <c r="B959" s="854"/>
      <c r="C959" s="855"/>
      <c r="D959" s="37"/>
      <c r="E959" s="83"/>
      <c r="F959" s="82"/>
      <c r="G959" s="111"/>
    </row>
    <row r="960" spans="2:7">
      <c r="B960" s="854"/>
      <c r="C960" s="855"/>
      <c r="D960" s="37"/>
      <c r="E960" s="83"/>
      <c r="F960" s="82"/>
      <c r="G960" s="111"/>
    </row>
    <row r="961" spans="2:8">
      <c r="B961" s="938" t="s">
        <v>841</v>
      </c>
      <c r="C961" s="939"/>
      <c r="D961" s="53" t="s">
        <v>841</v>
      </c>
      <c r="E961" s="53"/>
      <c r="F961" s="82"/>
      <c r="G961" s="111"/>
      <c r="H961" s="505" t="s">
        <v>1670</v>
      </c>
    </row>
    <row r="962" spans="2:8" ht="13.5" thickBot="1">
      <c r="B962" s="942" t="s">
        <v>841</v>
      </c>
      <c r="C962" s="943"/>
      <c r="D962" s="84" t="s">
        <v>841</v>
      </c>
      <c r="E962" s="84"/>
      <c r="F962" s="85"/>
      <c r="G962" s="112"/>
    </row>
    <row r="963" spans="2:8" ht="13.5" thickTop="1">
      <c r="B963" s="946"/>
      <c r="C963" s="947"/>
      <c r="D963" s="801" t="s">
        <v>856</v>
      </c>
      <c r="E963" s="802"/>
      <c r="F963" s="9"/>
      <c r="G963" s="113">
        <f>SUM(G956:G962)</f>
        <v>126000</v>
      </c>
    </row>
    <row r="964" spans="2:8">
      <c r="B964" s="948"/>
      <c r="C964" s="949"/>
      <c r="D964" s="801" t="s">
        <v>857</v>
      </c>
      <c r="E964" s="802"/>
      <c r="F964" s="79">
        <f>'MANO DE OBRA'!$D$60</f>
        <v>0.05</v>
      </c>
      <c r="G964" s="113">
        <f>ROUND(G963*F964,0)</f>
        <v>6300</v>
      </c>
    </row>
    <row r="965" spans="2:8" ht="13.5" thickBot="1">
      <c r="B965" s="948"/>
      <c r="C965" s="949"/>
      <c r="D965" s="803" t="s">
        <v>320</v>
      </c>
      <c r="E965" s="804"/>
      <c r="F965" s="114"/>
      <c r="G965" s="118">
        <f>+G963+G964</f>
        <v>132300</v>
      </c>
    </row>
    <row r="966" spans="2:8" ht="14.25" thickTop="1" thickBot="1">
      <c r="B966" s="970"/>
      <c r="C966" s="970"/>
      <c r="D966" s="970"/>
      <c r="E966" s="970"/>
      <c r="F966" s="970"/>
      <c r="G966" s="970"/>
    </row>
    <row r="967" spans="2:8" ht="13.5" thickTop="1">
      <c r="B967" s="950" t="s">
        <v>858</v>
      </c>
      <c r="C967" s="951"/>
      <c r="D967" s="951"/>
      <c r="E967" s="951"/>
      <c r="F967" s="951"/>
      <c r="G967" s="952"/>
    </row>
    <row r="968" spans="2:8">
      <c r="B968" s="978"/>
      <c r="C968" s="979"/>
      <c r="D968" s="98" t="s">
        <v>301</v>
      </c>
      <c r="E968" s="98" t="s">
        <v>859</v>
      </c>
      <c r="F968" s="99" t="s">
        <v>839</v>
      </c>
      <c r="G968" s="107" t="s">
        <v>840</v>
      </c>
    </row>
    <row r="969" spans="2:8">
      <c r="B969" s="982" t="s">
        <v>838</v>
      </c>
      <c r="C969" s="983"/>
      <c r="D969" s="100" t="s">
        <v>316</v>
      </c>
      <c r="E969" s="100" t="s">
        <v>315</v>
      </c>
      <c r="F969" s="101" t="s">
        <v>306</v>
      </c>
      <c r="G969" s="108" t="s">
        <v>319</v>
      </c>
    </row>
    <row r="970" spans="2:8">
      <c r="B970" s="230"/>
      <c r="C970" s="102"/>
      <c r="D970" s="103"/>
      <c r="E970" s="103" t="s">
        <v>317</v>
      </c>
      <c r="F970" s="104" t="s">
        <v>318</v>
      </c>
      <c r="G970" s="109"/>
    </row>
    <row r="971" spans="2:8">
      <c r="B971" s="841" t="str">
        <f>'MANO DE OBRA'!$B$10</f>
        <v>AYUDANTE CUAD. TIPO AA</v>
      </c>
      <c r="C971" s="842"/>
      <c r="D971" s="87">
        <v>1</v>
      </c>
      <c r="E971" s="80">
        <f>'MANO DE OBRA'!$E$10</f>
        <v>34680</v>
      </c>
      <c r="F971" s="81">
        <v>4.5</v>
      </c>
      <c r="G971" s="110">
        <f>ROUND(D971*E971/F971,0)</f>
        <v>7707</v>
      </c>
    </row>
    <row r="972" spans="2:8">
      <c r="B972" s="854" t="str">
        <f>'MANO DE OBRA'!$B$15</f>
        <v xml:space="preserve">OFICIAL CUAD. TIPO AA </v>
      </c>
      <c r="C972" s="855"/>
      <c r="D972" s="37">
        <v>1</v>
      </c>
      <c r="E972" s="82">
        <f>'MANO DE OBRA'!$E$15</f>
        <v>71474</v>
      </c>
      <c r="F972" s="83">
        <v>4.5</v>
      </c>
      <c r="G972" s="111">
        <f>ROUND(D972*E972/F972,0)</f>
        <v>15883</v>
      </c>
    </row>
    <row r="973" spans="2:8">
      <c r="B973" s="854"/>
      <c r="C973" s="855"/>
      <c r="D973" s="37"/>
      <c r="E973" s="82"/>
      <c r="F973" s="83"/>
      <c r="G973" s="111"/>
    </row>
    <row r="974" spans="2:8">
      <c r="B974" s="854"/>
      <c r="C974" s="855"/>
      <c r="D974" s="37"/>
      <c r="E974" s="82"/>
      <c r="F974" s="83"/>
      <c r="G974" s="111"/>
    </row>
    <row r="975" spans="2:8" ht="13.5" thickBot="1">
      <c r="B975" s="980"/>
      <c r="C975" s="981"/>
      <c r="D975" s="77"/>
      <c r="E975" s="82"/>
      <c r="F975" s="86"/>
      <c r="G975" s="111"/>
    </row>
    <row r="976" spans="2:8" ht="14.25" thickTop="1" thickBot="1">
      <c r="B976" s="946"/>
      <c r="C976" s="946"/>
      <c r="D976" s="946"/>
      <c r="E976" s="947"/>
      <c r="F976" s="120" t="s">
        <v>856</v>
      </c>
      <c r="G976" s="118">
        <f>SUM(G971:G975)</f>
        <v>23590</v>
      </c>
    </row>
    <row r="977" spans="2:8" ht="14.25" thickTop="1" thickBot="1">
      <c r="B977" s="970"/>
      <c r="C977" s="970"/>
      <c r="D977" s="970"/>
      <c r="E977" s="970"/>
      <c r="F977" s="970"/>
      <c r="G977" s="970"/>
    </row>
    <row r="978" spans="2:8" ht="13.5" thickTop="1">
      <c r="B978" s="950" t="s">
        <v>321</v>
      </c>
      <c r="C978" s="951"/>
      <c r="D978" s="951"/>
      <c r="E978" s="951"/>
      <c r="F978" s="951"/>
      <c r="G978" s="952"/>
    </row>
    <row r="979" spans="2:8">
      <c r="B979" s="978" t="s">
        <v>838</v>
      </c>
      <c r="C979" s="979"/>
      <c r="D979" s="98" t="s">
        <v>301</v>
      </c>
      <c r="E979" s="98" t="s">
        <v>297</v>
      </c>
      <c r="F979" s="99" t="s">
        <v>839</v>
      </c>
      <c r="G979" s="107" t="s">
        <v>840</v>
      </c>
    </row>
    <row r="980" spans="2:8">
      <c r="B980" s="230"/>
      <c r="C980" s="102"/>
      <c r="D980" s="103" t="s">
        <v>322</v>
      </c>
      <c r="E980" s="103" t="s">
        <v>323</v>
      </c>
      <c r="F980" s="104" t="s">
        <v>324</v>
      </c>
      <c r="G980" s="109" t="s">
        <v>325</v>
      </c>
    </row>
    <row r="981" spans="2:8">
      <c r="B981" s="841"/>
      <c r="C981" s="842"/>
      <c r="D981" s="96"/>
      <c r="E981" s="96"/>
      <c r="F981" s="96"/>
      <c r="G981" s="116"/>
    </row>
    <row r="982" spans="2:8" ht="13.5" thickBot="1">
      <c r="B982" s="980" t="s">
        <v>841</v>
      </c>
      <c r="C982" s="981"/>
      <c r="D982" s="77"/>
      <c r="E982" s="82"/>
      <c r="F982" s="86"/>
      <c r="G982" s="112"/>
    </row>
    <row r="983" spans="2:8" ht="14.25" thickTop="1" thickBot="1">
      <c r="B983" s="946"/>
      <c r="C983" s="946"/>
      <c r="D983" s="946"/>
      <c r="E983" s="947"/>
      <c r="F983" s="120" t="s">
        <v>856</v>
      </c>
      <c r="G983" s="118">
        <f>SUM(G978:G982)</f>
        <v>0</v>
      </c>
    </row>
    <row r="984" spans="2:8" ht="14.25" thickTop="1" thickBot="1">
      <c r="B984" s="970"/>
      <c r="C984" s="970"/>
      <c r="D984" s="970"/>
      <c r="E984" s="970"/>
      <c r="F984" s="970"/>
      <c r="G984" s="943"/>
    </row>
    <row r="985" spans="2:8" ht="13.5" thickTop="1">
      <c r="B985" s="950" t="s">
        <v>326</v>
      </c>
      <c r="C985" s="951"/>
      <c r="D985" s="951"/>
      <c r="E985" s="951"/>
      <c r="F985" s="971"/>
      <c r="G985" s="121">
        <f>+G951+G965+G976</f>
        <v>157070</v>
      </c>
    </row>
    <row r="986" spans="2:8">
      <c r="B986" s="972" t="s">
        <v>861</v>
      </c>
      <c r="C986" s="973"/>
      <c r="D986" s="973"/>
      <c r="E986" s="974"/>
      <c r="F986" s="128">
        <f>'MANO DE OBRA'!$D$59</f>
        <v>0</v>
      </c>
      <c r="G986" s="122">
        <f>ROUND(G985*F986,0)</f>
        <v>0</v>
      </c>
    </row>
    <row r="987" spans="2:8" ht="13.5" thickBot="1">
      <c r="B987" s="975" t="s">
        <v>1049</v>
      </c>
      <c r="C987" s="976"/>
      <c r="D987" s="976"/>
      <c r="E987" s="976"/>
      <c r="F987" s="977"/>
      <c r="G987" s="118">
        <f>ROUND(G985+G986,-2)</f>
        <v>157100</v>
      </c>
      <c r="H987" s="505" t="s">
        <v>1670</v>
      </c>
    </row>
    <row r="988" spans="2:8" ht="13.5" thickTop="1">
      <c r="B988" s="225" t="s">
        <v>303</v>
      </c>
      <c r="C988" s="843"/>
      <c r="D988" s="843"/>
      <c r="E988" s="843"/>
      <c r="F988" s="92" t="s">
        <v>781</v>
      </c>
      <c r="G988" s="93" t="s">
        <v>868</v>
      </c>
    </row>
    <row r="989" spans="2:8">
      <c r="B989" s="226" t="s">
        <v>834</v>
      </c>
      <c r="C989" s="844" t="s">
        <v>421</v>
      </c>
      <c r="D989" s="844"/>
      <c r="E989" s="844"/>
      <c r="F989" s="15" t="s">
        <v>833</v>
      </c>
      <c r="G989" s="165" t="str">
        <f>'MANO DE OBRA'!D61</f>
        <v>Agosto de 2010</v>
      </c>
    </row>
    <row r="990" spans="2:8" ht="13.5" thickBot="1">
      <c r="B990" s="240" t="s">
        <v>835</v>
      </c>
      <c r="C990" s="1058" t="s">
        <v>18</v>
      </c>
      <c r="D990" s="1058"/>
      <c r="E990" s="1058"/>
      <c r="F990" s="1058"/>
      <c r="G990" s="1059"/>
    </row>
    <row r="991" spans="2:8" ht="14.25" thickTop="1" thickBot="1">
      <c r="B991" s="986"/>
      <c r="C991" s="986"/>
      <c r="D991" s="986"/>
      <c r="E991" s="986"/>
      <c r="F991" s="986"/>
      <c r="G991" s="986"/>
    </row>
    <row r="992" spans="2:8" ht="13.5" thickTop="1">
      <c r="B992" s="950" t="s">
        <v>304</v>
      </c>
      <c r="C992" s="951"/>
      <c r="D992" s="951"/>
      <c r="E992" s="951"/>
      <c r="F992" s="951"/>
      <c r="G992" s="952"/>
    </row>
    <row r="993" spans="2:7">
      <c r="B993" s="229"/>
      <c r="C993" s="97"/>
      <c r="D993" s="98" t="s">
        <v>301</v>
      </c>
      <c r="E993" s="98" t="s">
        <v>1072</v>
      </c>
      <c r="F993" s="99" t="s">
        <v>839</v>
      </c>
      <c r="G993" s="107" t="s">
        <v>840</v>
      </c>
    </row>
    <row r="994" spans="2:7">
      <c r="B994" s="982" t="s">
        <v>838</v>
      </c>
      <c r="C994" s="983"/>
      <c r="D994" s="100" t="s">
        <v>308</v>
      </c>
      <c r="E994" s="100" t="s">
        <v>305</v>
      </c>
      <c r="F994" s="101" t="s">
        <v>306</v>
      </c>
      <c r="G994" s="108" t="s">
        <v>310</v>
      </c>
    </row>
    <row r="995" spans="2:7">
      <c r="B995" s="230"/>
      <c r="C995" s="102"/>
      <c r="D995" s="103"/>
      <c r="E995" s="103" t="s">
        <v>309</v>
      </c>
      <c r="F995" s="104" t="s">
        <v>307</v>
      </c>
      <c r="G995" s="109"/>
    </row>
    <row r="996" spans="2:7">
      <c r="B996" s="841" t="str">
        <f>'MAQUINARIA Y EQUIPOS'!$C$28</f>
        <v>HERRAMIENTAS MENORES</v>
      </c>
      <c r="C996" s="842"/>
      <c r="D996" s="87">
        <v>1</v>
      </c>
      <c r="E996" s="82">
        <f>ROUND(G1026*0.05,0)</f>
        <v>1180</v>
      </c>
      <c r="F996" s="81">
        <v>1</v>
      </c>
      <c r="G996" s="110">
        <f>ROUND(D996*E996/F996,0)</f>
        <v>1180</v>
      </c>
    </row>
    <row r="997" spans="2:7">
      <c r="B997" s="854"/>
      <c r="C997" s="855"/>
      <c r="D997" s="37"/>
      <c r="E997" s="129"/>
      <c r="F997" s="83"/>
      <c r="G997" s="111"/>
    </row>
    <row r="998" spans="2:7">
      <c r="B998" s="854"/>
      <c r="C998" s="855"/>
      <c r="D998" s="37"/>
      <c r="E998" s="129"/>
      <c r="F998" s="83"/>
      <c r="G998" s="111"/>
    </row>
    <row r="999" spans="2:7">
      <c r="B999" s="854" t="s">
        <v>841</v>
      </c>
      <c r="C999" s="855"/>
      <c r="D999" s="37"/>
      <c r="E999" s="82"/>
      <c r="F999" s="83"/>
      <c r="G999" s="111"/>
    </row>
    <row r="1000" spans="2:7" ht="13.5" thickBot="1">
      <c r="B1000" s="942" t="s">
        <v>841</v>
      </c>
      <c r="C1000" s="943"/>
      <c r="D1000" s="77"/>
      <c r="E1000" s="106"/>
      <c r="F1000" s="86"/>
      <c r="G1000" s="112"/>
    </row>
    <row r="1001" spans="2:7" ht="14.25" thickTop="1" thickBot="1">
      <c r="B1001" s="946"/>
      <c r="C1001" s="946"/>
      <c r="D1001" s="946"/>
      <c r="E1001" s="947"/>
      <c r="F1001" s="119" t="s">
        <v>856</v>
      </c>
      <c r="G1001" s="118">
        <f>SUM(G996:G1000)</f>
        <v>1180</v>
      </c>
    </row>
    <row r="1002" spans="2:7" ht="14.25" thickTop="1" thickBot="1">
      <c r="B1002" s="970"/>
      <c r="C1002" s="970"/>
      <c r="D1002" s="970"/>
      <c r="E1002" s="970"/>
      <c r="F1002" s="970"/>
      <c r="G1002" s="970"/>
    </row>
    <row r="1003" spans="2:7" ht="13.5" thickTop="1">
      <c r="B1003" s="950" t="s">
        <v>311</v>
      </c>
      <c r="C1003" s="951"/>
      <c r="D1003" s="951"/>
      <c r="E1003" s="951"/>
      <c r="F1003" s="951"/>
      <c r="G1003" s="952"/>
    </row>
    <row r="1004" spans="2:7">
      <c r="B1004" s="978" t="s">
        <v>838</v>
      </c>
      <c r="C1004" s="979"/>
      <c r="D1004" s="98" t="s">
        <v>842</v>
      </c>
      <c r="E1004" s="98" t="s">
        <v>853</v>
      </c>
      <c r="F1004" s="99" t="s">
        <v>1047</v>
      </c>
      <c r="G1004" s="107" t="s">
        <v>840</v>
      </c>
    </row>
    <row r="1005" spans="2:7">
      <c r="B1005" s="230"/>
      <c r="C1005" s="102"/>
      <c r="D1005" s="100"/>
      <c r="E1005" s="100" t="s">
        <v>312</v>
      </c>
      <c r="F1005" s="101" t="s">
        <v>313</v>
      </c>
      <c r="G1005" s="108" t="s">
        <v>314</v>
      </c>
    </row>
    <row r="1006" spans="2:7">
      <c r="B1006" s="1056" t="str">
        <f>MATERIALES2!C262</f>
        <v>VENTANA ALUMINIO ANOLOCK</v>
      </c>
      <c r="C1006" s="1057"/>
      <c r="D1006" s="87" t="s">
        <v>868</v>
      </c>
      <c r="E1006" s="81">
        <v>1.05</v>
      </c>
      <c r="F1006" s="80">
        <f>MATERIALES2!E262</f>
        <v>120000</v>
      </c>
      <c r="G1006" s="111">
        <f>ROUND(E1006*F1006,0)</f>
        <v>126000</v>
      </c>
    </row>
    <row r="1007" spans="2:7">
      <c r="B1007" s="854"/>
      <c r="C1007" s="855"/>
      <c r="D1007" s="37"/>
      <c r="E1007" s="308"/>
      <c r="F1007" s="82"/>
      <c r="G1007" s="111"/>
    </row>
    <row r="1008" spans="2:7">
      <c r="B1008" s="854"/>
      <c r="C1008" s="855"/>
      <c r="D1008" s="37"/>
      <c r="E1008" s="83"/>
      <c r="F1008" s="82"/>
      <c r="G1008" s="111"/>
    </row>
    <row r="1009" spans="2:8">
      <c r="B1009" s="854"/>
      <c r="C1009" s="855"/>
      <c r="D1009" s="37"/>
      <c r="E1009" s="83"/>
      <c r="F1009" s="82"/>
      <c r="G1009" s="111"/>
    </row>
    <row r="1010" spans="2:8">
      <c r="B1010" s="854"/>
      <c r="C1010" s="855"/>
      <c r="D1010" s="37"/>
      <c r="E1010" s="83"/>
      <c r="F1010" s="82"/>
      <c r="G1010" s="111"/>
    </row>
    <row r="1011" spans="2:8">
      <c r="B1011" s="938" t="s">
        <v>841</v>
      </c>
      <c r="C1011" s="939"/>
      <c r="D1011" s="53" t="s">
        <v>841</v>
      </c>
      <c r="E1011" s="53"/>
      <c r="F1011" s="82"/>
      <c r="G1011" s="111"/>
      <c r="H1011" s="505" t="s">
        <v>1670</v>
      </c>
    </row>
    <row r="1012" spans="2:8" ht="13.5" thickBot="1">
      <c r="B1012" s="942" t="s">
        <v>841</v>
      </c>
      <c r="C1012" s="943"/>
      <c r="D1012" s="84" t="s">
        <v>841</v>
      </c>
      <c r="E1012" s="84"/>
      <c r="F1012" s="85"/>
      <c r="G1012" s="112"/>
    </row>
    <row r="1013" spans="2:8" ht="13.5" thickTop="1">
      <c r="B1013" s="946"/>
      <c r="C1013" s="947"/>
      <c r="D1013" s="801" t="s">
        <v>856</v>
      </c>
      <c r="E1013" s="802"/>
      <c r="F1013" s="9"/>
      <c r="G1013" s="113">
        <f>SUM(G1006:G1012)</f>
        <v>126000</v>
      </c>
    </row>
    <row r="1014" spans="2:8">
      <c r="B1014" s="948"/>
      <c r="C1014" s="949"/>
      <c r="D1014" s="801" t="s">
        <v>857</v>
      </c>
      <c r="E1014" s="802"/>
      <c r="F1014" s="79">
        <f>'MANO DE OBRA'!$D$60</f>
        <v>0.05</v>
      </c>
      <c r="G1014" s="113">
        <f>ROUND(G1013*F1014,0)</f>
        <v>6300</v>
      </c>
    </row>
    <row r="1015" spans="2:8" ht="13.5" thickBot="1">
      <c r="B1015" s="948"/>
      <c r="C1015" s="949"/>
      <c r="D1015" s="803" t="s">
        <v>320</v>
      </c>
      <c r="E1015" s="804"/>
      <c r="F1015" s="114"/>
      <c r="G1015" s="118">
        <f>+G1013+G1014</f>
        <v>132300</v>
      </c>
    </row>
    <row r="1016" spans="2:8" ht="14.25" thickTop="1" thickBot="1">
      <c r="B1016" s="970"/>
      <c r="C1016" s="970"/>
      <c r="D1016" s="970"/>
      <c r="E1016" s="970"/>
      <c r="F1016" s="970"/>
      <c r="G1016" s="970"/>
    </row>
    <row r="1017" spans="2:8" ht="13.5" thickTop="1">
      <c r="B1017" s="950" t="s">
        <v>858</v>
      </c>
      <c r="C1017" s="951"/>
      <c r="D1017" s="951"/>
      <c r="E1017" s="951"/>
      <c r="F1017" s="951"/>
      <c r="G1017" s="952"/>
    </row>
    <row r="1018" spans="2:8">
      <c r="B1018" s="978"/>
      <c r="C1018" s="979"/>
      <c r="D1018" s="98" t="s">
        <v>301</v>
      </c>
      <c r="E1018" s="98" t="s">
        <v>859</v>
      </c>
      <c r="F1018" s="99" t="s">
        <v>839</v>
      </c>
      <c r="G1018" s="107" t="s">
        <v>840</v>
      </c>
    </row>
    <row r="1019" spans="2:8">
      <c r="B1019" s="982" t="s">
        <v>838</v>
      </c>
      <c r="C1019" s="983"/>
      <c r="D1019" s="100" t="s">
        <v>316</v>
      </c>
      <c r="E1019" s="100" t="s">
        <v>315</v>
      </c>
      <c r="F1019" s="101" t="s">
        <v>306</v>
      </c>
      <c r="G1019" s="108" t="s">
        <v>319</v>
      </c>
    </row>
    <row r="1020" spans="2:8">
      <c r="B1020" s="230"/>
      <c r="C1020" s="102"/>
      <c r="D1020" s="103"/>
      <c r="E1020" s="103" t="s">
        <v>317</v>
      </c>
      <c r="F1020" s="104" t="s">
        <v>318</v>
      </c>
      <c r="G1020" s="109"/>
    </row>
    <row r="1021" spans="2:8">
      <c r="B1021" s="841" t="str">
        <f>'MANO DE OBRA'!$B$10</f>
        <v>AYUDANTE CUAD. TIPO AA</v>
      </c>
      <c r="C1021" s="842"/>
      <c r="D1021" s="87">
        <v>1</v>
      </c>
      <c r="E1021" s="80">
        <f>'MANO DE OBRA'!$E$10</f>
        <v>34680</v>
      </c>
      <c r="F1021" s="81">
        <v>4.5</v>
      </c>
      <c r="G1021" s="110">
        <f>ROUND(D1021*E1021/F1021,0)</f>
        <v>7707</v>
      </c>
    </row>
    <row r="1022" spans="2:8">
      <c r="B1022" s="854" t="str">
        <f>'MANO DE OBRA'!$B$15</f>
        <v xml:space="preserve">OFICIAL CUAD. TIPO AA </v>
      </c>
      <c r="C1022" s="855"/>
      <c r="D1022" s="37">
        <v>1</v>
      </c>
      <c r="E1022" s="82">
        <f>'MANO DE OBRA'!$E$15</f>
        <v>71474</v>
      </c>
      <c r="F1022" s="83">
        <v>4.5</v>
      </c>
      <c r="G1022" s="111">
        <f>ROUND(D1022*E1022/F1022,0)</f>
        <v>15883</v>
      </c>
    </row>
    <row r="1023" spans="2:8">
      <c r="B1023" s="854"/>
      <c r="C1023" s="855"/>
      <c r="D1023" s="37"/>
      <c r="E1023" s="82"/>
      <c r="F1023" s="83"/>
      <c r="G1023" s="111"/>
    </row>
    <row r="1024" spans="2:8">
      <c r="B1024" s="854"/>
      <c r="C1024" s="855"/>
      <c r="D1024" s="37"/>
      <c r="E1024" s="82"/>
      <c r="F1024" s="83"/>
      <c r="G1024" s="111"/>
    </row>
    <row r="1025" spans="2:8" ht="13.5" thickBot="1">
      <c r="B1025" s="980"/>
      <c r="C1025" s="981"/>
      <c r="D1025" s="77"/>
      <c r="E1025" s="82"/>
      <c r="F1025" s="86"/>
      <c r="G1025" s="111"/>
    </row>
    <row r="1026" spans="2:8" ht="14.25" thickTop="1" thickBot="1">
      <c r="B1026" s="946"/>
      <c r="C1026" s="946"/>
      <c r="D1026" s="946"/>
      <c r="E1026" s="947"/>
      <c r="F1026" s="120" t="s">
        <v>856</v>
      </c>
      <c r="G1026" s="118">
        <f>SUM(G1021:G1025)</f>
        <v>23590</v>
      </c>
    </row>
    <row r="1027" spans="2:8" ht="14.25" thickTop="1" thickBot="1">
      <c r="B1027" s="970"/>
      <c r="C1027" s="970"/>
      <c r="D1027" s="970"/>
      <c r="E1027" s="970"/>
      <c r="F1027" s="970"/>
      <c r="G1027" s="970"/>
    </row>
    <row r="1028" spans="2:8" ht="13.5" thickTop="1">
      <c r="B1028" s="950" t="s">
        <v>321</v>
      </c>
      <c r="C1028" s="951"/>
      <c r="D1028" s="951"/>
      <c r="E1028" s="951"/>
      <c r="F1028" s="951"/>
      <c r="G1028" s="952"/>
    </row>
    <row r="1029" spans="2:8">
      <c r="B1029" s="978" t="s">
        <v>838</v>
      </c>
      <c r="C1029" s="979"/>
      <c r="D1029" s="98" t="s">
        <v>301</v>
      </c>
      <c r="E1029" s="98" t="s">
        <v>297</v>
      </c>
      <c r="F1029" s="99" t="s">
        <v>839</v>
      </c>
      <c r="G1029" s="107" t="s">
        <v>840</v>
      </c>
    </row>
    <row r="1030" spans="2:8">
      <c r="B1030" s="230"/>
      <c r="C1030" s="102"/>
      <c r="D1030" s="103" t="s">
        <v>322</v>
      </c>
      <c r="E1030" s="103" t="s">
        <v>323</v>
      </c>
      <c r="F1030" s="104" t="s">
        <v>324</v>
      </c>
      <c r="G1030" s="109" t="s">
        <v>325</v>
      </c>
    </row>
    <row r="1031" spans="2:8">
      <c r="B1031" s="841"/>
      <c r="C1031" s="842"/>
      <c r="D1031" s="96"/>
      <c r="E1031" s="96"/>
      <c r="F1031" s="96"/>
      <c r="G1031" s="116"/>
    </row>
    <row r="1032" spans="2:8" ht="13.5" thickBot="1">
      <c r="B1032" s="980" t="s">
        <v>841</v>
      </c>
      <c r="C1032" s="981"/>
      <c r="D1032" s="77"/>
      <c r="E1032" s="82"/>
      <c r="F1032" s="86"/>
      <c r="G1032" s="112"/>
    </row>
    <row r="1033" spans="2:8" ht="14.25" thickTop="1" thickBot="1">
      <c r="B1033" s="946"/>
      <c r="C1033" s="946"/>
      <c r="D1033" s="946"/>
      <c r="E1033" s="947"/>
      <c r="F1033" s="120" t="s">
        <v>856</v>
      </c>
      <c r="G1033" s="118">
        <f>SUM(G1028:G1032)</f>
        <v>0</v>
      </c>
    </row>
    <row r="1034" spans="2:8" ht="14.25" thickTop="1" thickBot="1">
      <c r="B1034" s="970"/>
      <c r="C1034" s="970"/>
      <c r="D1034" s="970"/>
      <c r="E1034" s="970"/>
      <c r="F1034" s="970"/>
      <c r="G1034" s="943"/>
    </row>
    <row r="1035" spans="2:8" ht="13.5" thickTop="1">
      <c r="B1035" s="950" t="s">
        <v>326</v>
      </c>
      <c r="C1035" s="951"/>
      <c r="D1035" s="951"/>
      <c r="E1035" s="951"/>
      <c r="F1035" s="971"/>
      <c r="G1035" s="121">
        <f>+G1001+G1015+G1026</f>
        <v>157070</v>
      </c>
    </row>
    <row r="1036" spans="2:8">
      <c r="B1036" s="972" t="s">
        <v>861</v>
      </c>
      <c r="C1036" s="973"/>
      <c r="D1036" s="973"/>
      <c r="E1036" s="974"/>
      <c r="F1036" s="128">
        <f>'MANO DE OBRA'!$D$59</f>
        <v>0</v>
      </c>
      <c r="G1036" s="122">
        <f>ROUND(G1035*F1036,0)</f>
        <v>0</v>
      </c>
    </row>
    <row r="1037" spans="2:8" ht="13.5" thickBot="1">
      <c r="B1037" s="975" t="s">
        <v>1049</v>
      </c>
      <c r="C1037" s="976"/>
      <c r="D1037" s="976"/>
      <c r="E1037" s="976"/>
      <c r="F1037" s="977"/>
      <c r="G1037" s="118">
        <f>ROUND(G1035+G1036,-2)</f>
        <v>157100</v>
      </c>
      <c r="H1037" s="505" t="s">
        <v>1670</v>
      </c>
    </row>
    <row r="1038" spans="2:8" ht="13.5" thickTop="1">
      <c r="B1038" s="225" t="s">
        <v>303</v>
      </c>
      <c r="C1038" s="843"/>
      <c r="D1038" s="843"/>
      <c r="E1038" s="843"/>
      <c r="F1038" s="92" t="s">
        <v>781</v>
      </c>
      <c r="G1038" s="93" t="s">
        <v>868</v>
      </c>
    </row>
    <row r="1039" spans="2:8">
      <c r="B1039" s="226" t="s">
        <v>834</v>
      </c>
      <c r="C1039" s="844" t="s">
        <v>421</v>
      </c>
      <c r="D1039" s="844"/>
      <c r="E1039" s="844"/>
      <c r="F1039" s="15" t="s">
        <v>833</v>
      </c>
      <c r="G1039" s="165" t="str">
        <f>'MANO DE OBRA'!D61</f>
        <v>Agosto de 2010</v>
      </c>
    </row>
    <row r="1040" spans="2:8" ht="13.5" thickBot="1">
      <c r="B1040" s="240" t="s">
        <v>835</v>
      </c>
      <c r="C1040" s="1058" t="s">
        <v>422</v>
      </c>
      <c r="D1040" s="1058"/>
      <c r="E1040" s="1058"/>
      <c r="F1040" s="1058"/>
      <c r="G1040" s="1059"/>
    </row>
    <row r="1041" spans="2:7" ht="14.25" thickTop="1" thickBot="1">
      <c r="B1041" s="986"/>
      <c r="C1041" s="986"/>
      <c r="D1041" s="986"/>
      <c r="E1041" s="986"/>
      <c r="F1041" s="986"/>
      <c r="G1041" s="986"/>
    </row>
    <row r="1042" spans="2:7" ht="13.5" thickTop="1">
      <c r="B1042" s="950" t="s">
        <v>304</v>
      </c>
      <c r="C1042" s="951"/>
      <c r="D1042" s="951"/>
      <c r="E1042" s="951"/>
      <c r="F1042" s="951"/>
      <c r="G1042" s="952"/>
    </row>
    <row r="1043" spans="2:7">
      <c r="B1043" s="229"/>
      <c r="C1043" s="97"/>
      <c r="D1043" s="98" t="s">
        <v>301</v>
      </c>
      <c r="E1043" s="98" t="s">
        <v>1072</v>
      </c>
      <c r="F1043" s="99" t="s">
        <v>839</v>
      </c>
      <c r="G1043" s="107" t="s">
        <v>840</v>
      </c>
    </row>
    <row r="1044" spans="2:7">
      <c r="B1044" s="982" t="s">
        <v>838</v>
      </c>
      <c r="C1044" s="983"/>
      <c r="D1044" s="100" t="s">
        <v>308</v>
      </c>
      <c r="E1044" s="100" t="s">
        <v>305</v>
      </c>
      <c r="F1044" s="101" t="s">
        <v>306</v>
      </c>
      <c r="G1044" s="108" t="s">
        <v>310</v>
      </c>
    </row>
    <row r="1045" spans="2:7">
      <c r="B1045" s="230"/>
      <c r="C1045" s="102"/>
      <c r="D1045" s="103"/>
      <c r="E1045" s="103" t="s">
        <v>309</v>
      </c>
      <c r="F1045" s="104" t="s">
        <v>307</v>
      </c>
      <c r="G1045" s="109"/>
    </row>
    <row r="1046" spans="2:7">
      <c r="B1046" s="841" t="str">
        <f>'MAQUINARIA Y EQUIPOS'!$C$28</f>
        <v>HERRAMIENTAS MENORES</v>
      </c>
      <c r="C1046" s="842"/>
      <c r="D1046" s="87">
        <v>1</v>
      </c>
      <c r="E1046" s="82">
        <f>ROUND(G1076*0.05,0)</f>
        <v>885</v>
      </c>
      <c r="F1046" s="81">
        <v>1</v>
      </c>
      <c r="G1046" s="110">
        <f>ROUND(D1046*E1046/F1046,0)</f>
        <v>885</v>
      </c>
    </row>
    <row r="1047" spans="2:7">
      <c r="B1047" s="854"/>
      <c r="C1047" s="855"/>
      <c r="D1047" s="37"/>
      <c r="E1047" s="129"/>
      <c r="F1047" s="83"/>
      <c r="G1047" s="111"/>
    </row>
    <row r="1048" spans="2:7">
      <c r="B1048" s="854"/>
      <c r="C1048" s="855"/>
      <c r="D1048" s="37"/>
      <c r="E1048" s="129"/>
      <c r="F1048" s="83"/>
      <c r="G1048" s="111"/>
    </row>
    <row r="1049" spans="2:7">
      <c r="B1049" s="854" t="s">
        <v>841</v>
      </c>
      <c r="C1049" s="855"/>
      <c r="D1049" s="37"/>
      <c r="E1049" s="82"/>
      <c r="F1049" s="83"/>
      <c r="G1049" s="111"/>
    </row>
    <row r="1050" spans="2:7" ht="13.5" thickBot="1">
      <c r="B1050" s="942" t="s">
        <v>841</v>
      </c>
      <c r="C1050" s="943"/>
      <c r="D1050" s="77"/>
      <c r="E1050" s="106"/>
      <c r="F1050" s="86"/>
      <c r="G1050" s="112"/>
    </row>
    <row r="1051" spans="2:7" ht="14.25" thickTop="1" thickBot="1">
      <c r="B1051" s="946"/>
      <c r="C1051" s="946"/>
      <c r="D1051" s="946"/>
      <c r="E1051" s="947"/>
      <c r="F1051" s="119" t="s">
        <v>856</v>
      </c>
      <c r="G1051" s="118">
        <f>SUM(G1046:G1050)</f>
        <v>885</v>
      </c>
    </row>
    <row r="1052" spans="2:7" ht="14.25" thickTop="1" thickBot="1">
      <c r="B1052" s="970"/>
      <c r="C1052" s="970"/>
      <c r="D1052" s="970"/>
      <c r="E1052" s="970"/>
      <c r="F1052" s="970"/>
      <c r="G1052" s="970"/>
    </row>
    <row r="1053" spans="2:7" ht="13.5" thickTop="1">
      <c r="B1053" s="950" t="s">
        <v>311</v>
      </c>
      <c r="C1053" s="951"/>
      <c r="D1053" s="951"/>
      <c r="E1053" s="951"/>
      <c r="F1053" s="951"/>
      <c r="G1053" s="952"/>
    </row>
    <row r="1054" spans="2:7">
      <c r="B1054" s="978" t="s">
        <v>838</v>
      </c>
      <c r="C1054" s="979"/>
      <c r="D1054" s="98" t="s">
        <v>842</v>
      </c>
      <c r="E1054" s="98" t="s">
        <v>853</v>
      </c>
      <c r="F1054" s="99" t="s">
        <v>1047</v>
      </c>
      <c r="G1054" s="107" t="s">
        <v>840</v>
      </c>
    </row>
    <row r="1055" spans="2:7">
      <c r="B1055" s="230"/>
      <c r="C1055" s="102"/>
      <c r="D1055" s="100"/>
      <c r="E1055" s="100" t="s">
        <v>312</v>
      </c>
      <c r="F1055" s="101" t="s">
        <v>313</v>
      </c>
      <c r="G1055" s="108" t="s">
        <v>314</v>
      </c>
    </row>
    <row r="1056" spans="2:7">
      <c r="B1056" s="1056" t="s">
        <v>16</v>
      </c>
      <c r="C1056" s="1057"/>
      <c r="D1056" s="87" t="s">
        <v>868</v>
      </c>
      <c r="E1056" s="81">
        <v>1.05</v>
      </c>
      <c r="F1056" s="80">
        <v>100000</v>
      </c>
      <c r="G1056" s="111">
        <f>ROUND(E1056*F1056,0)</f>
        <v>105000</v>
      </c>
    </row>
    <row r="1057" spans="2:8">
      <c r="B1057" s="854"/>
      <c r="C1057" s="855"/>
      <c r="D1057" s="37"/>
      <c r="E1057" s="308"/>
      <c r="F1057" s="82"/>
      <c r="G1057" s="111"/>
    </row>
    <row r="1058" spans="2:8">
      <c r="B1058" s="854"/>
      <c r="C1058" s="855"/>
      <c r="D1058" s="37"/>
      <c r="E1058" s="83"/>
      <c r="F1058" s="82"/>
      <c r="G1058" s="111"/>
    </row>
    <row r="1059" spans="2:8">
      <c r="B1059" s="854"/>
      <c r="C1059" s="855"/>
      <c r="D1059" s="37"/>
      <c r="E1059" s="83"/>
      <c r="F1059" s="82"/>
      <c r="G1059" s="111"/>
    </row>
    <row r="1060" spans="2:8">
      <c r="B1060" s="854"/>
      <c r="C1060" s="855"/>
      <c r="D1060" s="37"/>
      <c r="E1060" s="83"/>
      <c r="F1060" s="82"/>
      <c r="G1060" s="111"/>
      <c r="H1060" s="505" t="s">
        <v>1670</v>
      </c>
    </row>
    <row r="1061" spans="2:8">
      <c r="B1061" s="938" t="s">
        <v>841</v>
      </c>
      <c r="C1061" s="939"/>
      <c r="D1061" s="53" t="s">
        <v>841</v>
      </c>
      <c r="E1061" s="53"/>
      <c r="F1061" s="82"/>
      <c r="G1061" s="111"/>
    </row>
    <row r="1062" spans="2:8" ht="13.5" thickBot="1">
      <c r="B1062" s="942" t="s">
        <v>841</v>
      </c>
      <c r="C1062" s="943"/>
      <c r="D1062" s="84" t="s">
        <v>841</v>
      </c>
      <c r="E1062" s="84"/>
      <c r="F1062" s="85"/>
      <c r="G1062" s="112"/>
    </row>
    <row r="1063" spans="2:8" ht="13.5" thickTop="1">
      <c r="B1063" s="946"/>
      <c r="C1063" s="947"/>
      <c r="D1063" s="801" t="s">
        <v>856</v>
      </c>
      <c r="E1063" s="802"/>
      <c r="F1063" s="9"/>
      <c r="G1063" s="113">
        <f>SUM(G1056:G1062)</f>
        <v>105000</v>
      </c>
    </row>
    <row r="1064" spans="2:8">
      <c r="B1064" s="948"/>
      <c r="C1064" s="949"/>
      <c r="D1064" s="801" t="s">
        <v>857</v>
      </c>
      <c r="E1064" s="802"/>
      <c r="F1064" s="79">
        <f>'MANO DE OBRA'!$D$60</f>
        <v>0.05</v>
      </c>
      <c r="G1064" s="113">
        <f>ROUND(G1063*F1064,0)</f>
        <v>5250</v>
      </c>
    </row>
    <row r="1065" spans="2:8" ht="13.5" thickBot="1">
      <c r="B1065" s="948"/>
      <c r="C1065" s="949"/>
      <c r="D1065" s="803" t="s">
        <v>320</v>
      </c>
      <c r="E1065" s="804"/>
      <c r="F1065" s="114"/>
      <c r="G1065" s="118">
        <f>+G1063+G1064</f>
        <v>110250</v>
      </c>
    </row>
    <row r="1066" spans="2:8" ht="14.25" thickTop="1" thickBot="1">
      <c r="B1066" s="970"/>
      <c r="C1066" s="970"/>
      <c r="D1066" s="970"/>
      <c r="E1066" s="970"/>
      <c r="F1066" s="970"/>
      <c r="G1066" s="970"/>
    </row>
    <row r="1067" spans="2:8" ht="13.5" thickTop="1">
      <c r="B1067" s="950" t="s">
        <v>858</v>
      </c>
      <c r="C1067" s="951"/>
      <c r="D1067" s="951"/>
      <c r="E1067" s="951"/>
      <c r="F1067" s="951"/>
      <c r="G1067" s="952"/>
    </row>
    <row r="1068" spans="2:8">
      <c r="B1068" s="978"/>
      <c r="C1068" s="979"/>
      <c r="D1068" s="98" t="s">
        <v>301</v>
      </c>
      <c r="E1068" s="98" t="s">
        <v>859</v>
      </c>
      <c r="F1068" s="99" t="s">
        <v>839</v>
      </c>
      <c r="G1068" s="107" t="s">
        <v>840</v>
      </c>
    </row>
    <row r="1069" spans="2:8">
      <c r="B1069" s="982" t="s">
        <v>838</v>
      </c>
      <c r="C1069" s="983"/>
      <c r="D1069" s="100" t="s">
        <v>316</v>
      </c>
      <c r="E1069" s="100" t="s">
        <v>315</v>
      </c>
      <c r="F1069" s="101" t="s">
        <v>306</v>
      </c>
      <c r="G1069" s="108" t="s">
        <v>319</v>
      </c>
    </row>
    <row r="1070" spans="2:8">
      <c r="B1070" s="230"/>
      <c r="C1070" s="102"/>
      <c r="D1070" s="103"/>
      <c r="E1070" s="103" t="s">
        <v>317</v>
      </c>
      <c r="F1070" s="104" t="s">
        <v>318</v>
      </c>
      <c r="G1070" s="109"/>
    </row>
    <row r="1071" spans="2:8">
      <c r="B1071" s="841" t="str">
        <f>'MANO DE OBRA'!$B$10</f>
        <v>AYUDANTE CUAD. TIPO AA</v>
      </c>
      <c r="C1071" s="842"/>
      <c r="D1071" s="87">
        <v>1</v>
      </c>
      <c r="E1071" s="80">
        <f>'MANO DE OBRA'!$E$10</f>
        <v>34680</v>
      </c>
      <c r="F1071" s="81">
        <v>6</v>
      </c>
      <c r="G1071" s="110">
        <f>ROUND(D1071*E1071/F1071,0)</f>
        <v>5780</v>
      </c>
    </row>
    <row r="1072" spans="2:8">
      <c r="B1072" s="854" t="str">
        <f>'MANO DE OBRA'!$B$15</f>
        <v xml:space="preserve">OFICIAL CUAD. TIPO AA </v>
      </c>
      <c r="C1072" s="855"/>
      <c r="D1072" s="37">
        <v>1</v>
      </c>
      <c r="E1072" s="82">
        <f>'MANO DE OBRA'!$E$15</f>
        <v>71474</v>
      </c>
      <c r="F1072" s="83">
        <v>6</v>
      </c>
      <c r="G1072" s="111">
        <f>ROUND(D1072*E1072/F1072,0)</f>
        <v>11912</v>
      </c>
    </row>
    <row r="1073" spans="2:9">
      <c r="B1073" s="854"/>
      <c r="C1073" s="855"/>
      <c r="D1073" s="37"/>
      <c r="E1073" s="82"/>
      <c r="F1073" s="83"/>
      <c r="G1073" s="111"/>
    </row>
    <row r="1074" spans="2:9">
      <c r="B1074" s="854"/>
      <c r="C1074" s="855"/>
      <c r="D1074" s="37"/>
      <c r="E1074" s="82"/>
      <c r="F1074" s="83"/>
      <c r="G1074" s="111"/>
    </row>
    <row r="1075" spans="2:9" ht="13.5" thickBot="1">
      <c r="B1075" s="980"/>
      <c r="C1075" s="981"/>
      <c r="D1075" s="77"/>
      <c r="E1075" s="82"/>
      <c r="F1075" s="86"/>
      <c r="G1075" s="111"/>
    </row>
    <row r="1076" spans="2:9" ht="14.25" thickTop="1" thickBot="1">
      <c r="B1076" s="946"/>
      <c r="C1076" s="946"/>
      <c r="D1076" s="946"/>
      <c r="E1076" s="947"/>
      <c r="F1076" s="120" t="s">
        <v>856</v>
      </c>
      <c r="G1076" s="118">
        <f>SUM(G1071:G1075)</f>
        <v>17692</v>
      </c>
    </row>
    <row r="1077" spans="2:9" ht="14.25" thickTop="1" thickBot="1">
      <c r="B1077" s="970"/>
      <c r="C1077" s="970"/>
      <c r="D1077" s="970"/>
      <c r="E1077" s="970"/>
      <c r="F1077" s="970"/>
      <c r="G1077" s="970"/>
    </row>
    <row r="1078" spans="2:9" ht="13.5" thickTop="1">
      <c r="B1078" s="950" t="s">
        <v>321</v>
      </c>
      <c r="C1078" s="951"/>
      <c r="D1078" s="951"/>
      <c r="E1078" s="951"/>
      <c r="F1078" s="951"/>
      <c r="G1078" s="952"/>
    </row>
    <row r="1079" spans="2:9">
      <c r="B1079" s="978" t="s">
        <v>838</v>
      </c>
      <c r="C1079" s="979"/>
      <c r="D1079" s="98" t="s">
        <v>301</v>
      </c>
      <c r="E1079" s="98" t="s">
        <v>297</v>
      </c>
      <c r="F1079" s="99" t="s">
        <v>839</v>
      </c>
      <c r="G1079" s="107" t="s">
        <v>840</v>
      </c>
    </row>
    <row r="1080" spans="2:9">
      <c r="B1080" s="230"/>
      <c r="C1080" s="102"/>
      <c r="D1080" s="103" t="s">
        <v>322</v>
      </c>
      <c r="E1080" s="103" t="s">
        <v>323</v>
      </c>
      <c r="F1080" s="104" t="s">
        <v>324</v>
      </c>
      <c r="G1080" s="109" t="s">
        <v>325</v>
      </c>
    </row>
    <row r="1081" spans="2:9">
      <c r="B1081" s="841"/>
      <c r="C1081" s="842"/>
      <c r="D1081" s="96"/>
      <c r="E1081" s="96"/>
      <c r="F1081" s="96"/>
      <c r="G1081" s="116"/>
    </row>
    <row r="1082" spans="2:9" ht="13.5" thickBot="1">
      <c r="B1082" s="980" t="s">
        <v>841</v>
      </c>
      <c r="C1082" s="981"/>
      <c r="D1082" s="77"/>
      <c r="E1082" s="82"/>
      <c r="F1082" s="86"/>
      <c r="G1082" s="112"/>
    </row>
    <row r="1083" spans="2:9" ht="14.25" thickTop="1" thickBot="1">
      <c r="B1083" s="946"/>
      <c r="C1083" s="946"/>
      <c r="D1083" s="946"/>
      <c r="E1083" s="947"/>
      <c r="F1083" s="120" t="s">
        <v>856</v>
      </c>
      <c r="G1083" s="118">
        <f>SUM(G1078:G1082)</f>
        <v>0</v>
      </c>
    </row>
    <row r="1084" spans="2:9" ht="14.25" thickTop="1" thickBot="1">
      <c r="B1084" s="970"/>
      <c r="C1084" s="970"/>
      <c r="D1084" s="970"/>
      <c r="E1084" s="970"/>
      <c r="F1084" s="970"/>
      <c r="G1084" s="943"/>
    </row>
    <row r="1085" spans="2:9" ht="13.5" thickTop="1">
      <c r="B1085" s="950" t="s">
        <v>326</v>
      </c>
      <c r="C1085" s="951"/>
      <c r="D1085" s="951"/>
      <c r="E1085" s="951"/>
      <c r="F1085" s="971"/>
      <c r="G1085" s="121">
        <f>+G1051+G1065+G1076</f>
        <v>128827</v>
      </c>
    </row>
    <row r="1086" spans="2:9">
      <c r="B1086" s="972" t="s">
        <v>861</v>
      </c>
      <c r="C1086" s="973"/>
      <c r="D1086" s="973"/>
      <c r="E1086" s="974"/>
      <c r="F1086" s="128">
        <f>'MANO DE OBRA'!$D$59</f>
        <v>0</v>
      </c>
      <c r="G1086" s="122">
        <f>ROUND(G1085*F1086,0)</f>
        <v>0</v>
      </c>
      <c r="I1086" s="513"/>
    </row>
    <row r="1087" spans="2:9" ht="13.5" thickBot="1">
      <c r="B1087" s="975" t="s">
        <v>1049</v>
      </c>
      <c r="C1087" s="976"/>
      <c r="D1087" s="976"/>
      <c r="E1087" s="976"/>
      <c r="F1087" s="977"/>
      <c r="G1087" s="118">
        <f>ROUND(G1085+G1086,-2)</f>
        <v>128800</v>
      </c>
      <c r="H1087" s="505" t="s">
        <v>1670</v>
      </c>
    </row>
    <row r="1088" spans="2:9" ht="13.5" thickTop="1">
      <c r="B1088" s="225" t="s">
        <v>303</v>
      </c>
      <c r="C1088" s="843"/>
      <c r="D1088" s="843"/>
      <c r="E1088" s="843"/>
      <c r="F1088" s="92" t="s">
        <v>781</v>
      </c>
      <c r="G1088" s="93" t="s">
        <v>831</v>
      </c>
    </row>
    <row r="1089" spans="2:7">
      <c r="B1089" s="226" t="s">
        <v>834</v>
      </c>
      <c r="C1089" s="844" t="s">
        <v>429</v>
      </c>
      <c r="D1089" s="844"/>
      <c r="E1089" s="844"/>
      <c r="F1089" s="15" t="s">
        <v>833</v>
      </c>
      <c r="G1089" s="165" t="str">
        <f>'MANO DE OBRA'!D61</f>
        <v>Agosto de 2010</v>
      </c>
    </row>
    <row r="1090" spans="2:7" ht="13.5" thickBot="1">
      <c r="B1090" s="240" t="s">
        <v>835</v>
      </c>
      <c r="C1090" s="1058" t="s">
        <v>430</v>
      </c>
      <c r="D1090" s="1058"/>
      <c r="E1090" s="1058"/>
      <c r="F1090" s="1058"/>
      <c r="G1090" s="1059"/>
    </row>
    <row r="1091" spans="2:7" ht="14.25" thickTop="1" thickBot="1">
      <c r="B1091" s="986"/>
      <c r="C1091" s="986"/>
      <c r="D1091" s="986"/>
      <c r="E1091" s="986"/>
      <c r="F1091" s="986"/>
      <c r="G1091" s="986"/>
    </row>
    <row r="1092" spans="2:7" ht="13.5" thickTop="1">
      <c r="B1092" s="950" t="s">
        <v>304</v>
      </c>
      <c r="C1092" s="951"/>
      <c r="D1092" s="951"/>
      <c r="E1092" s="951"/>
      <c r="F1092" s="951"/>
      <c r="G1092" s="952"/>
    </row>
    <row r="1093" spans="2:7">
      <c r="B1093" s="229"/>
      <c r="C1093" s="97"/>
      <c r="D1093" s="98" t="s">
        <v>301</v>
      </c>
      <c r="E1093" s="98" t="s">
        <v>1072</v>
      </c>
      <c r="F1093" s="99" t="s">
        <v>839</v>
      </c>
      <c r="G1093" s="107" t="s">
        <v>840</v>
      </c>
    </row>
    <row r="1094" spans="2:7">
      <c r="B1094" s="982" t="s">
        <v>838</v>
      </c>
      <c r="C1094" s="983"/>
      <c r="D1094" s="100" t="s">
        <v>308</v>
      </c>
      <c r="E1094" s="100" t="s">
        <v>305</v>
      </c>
      <c r="F1094" s="101" t="s">
        <v>306</v>
      </c>
      <c r="G1094" s="108" t="s">
        <v>310</v>
      </c>
    </row>
    <row r="1095" spans="2:7">
      <c r="B1095" s="230"/>
      <c r="C1095" s="102"/>
      <c r="D1095" s="103"/>
      <c r="E1095" s="103" t="s">
        <v>309</v>
      </c>
      <c r="F1095" s="104" t="s">
        <v>307</v>
      </c>
      <c r="G1095" s="109"/>
    </row>
    <row r="1096" spans="2:7">
      <c r="B1096" s="841" t="str">
        <f>'MAQUINARIA Y EQUIPOS'!$C$28</f>
        <v>HERRAMIENTAS MENORES</v>
      </c>
      <c r="C1096" s="842"/>
      <c r="D1096" s="87">
        <v>1</v>
      </c>
      <c r="E1096" s="82">
        <f>ROUND(G1126*0.05,0)</f>
        <v>1062</v>
      </c>
      <c r="F1096" s="81">
        <v>1</v>
      </c>
      <c r="G1096" s="110">
        <f>ROUND(D1096*E1096/F1096,0)</f>
        <v>1062</v>
      </c>
    </row>
    <row r="1097" spans="2:7">
      <c r="B1097" s="854"/>
      <c r="C1097" s="855"/>
      <c r="D1097" s="37"/>
      <c r="E1097" s="129"/>
      <c r="F1097" s="83"/>
      <c r="G1097" s="111"/>
    </row>
    <row r="1098" spans="2:7">
      <c r="B1098" s="854"/>
      <c r="C1098" s="855"/>
      <c r="D1098" s="37"/>
      <c r="E1098" s="129"/>
      <c r="F1098" s="83"/>
      <c r="G1098" s="111"/>
    </row>
    <row r="1099" spans="2:7">
      <c r="B1099" s="854" t="s">
        <v>841</v>
      </c>
      <c r="C1099" s="855"/>
      <c r="D1099" s="37"/>
      <c r="E1099" s="82"/>
      <c r="F1099" s="83"/>
      <c r="G1099" s="111"/>
    </row>
    <row r="1100" spans="2:7" ht="13.5" thickBot="1">
      <c r="B1100" s="942" t="s">
        <v>841</v>
      </c>
      <c r="C1100" s="943"/>
      <c r="D1100" s="77"/>
      <c r="E1100" s="106"/>
      <c r="F1100" s="86"/>
      <c r="G1100" s="112"/>
    </row>
    <row r="1101" spans="2:7" ht="14.25" thickTop="1" thickBot="1">
      <c r="B1101" s="946"/>
      <c r="C1101" s="946"/>
      <c r="D1101" s="946"/>
      <c r="E1101" s="947"/>
      <c r="F1101" s="119" t="s">
        <v>856</v>
      </c>
      <c r="G1101" s="118">
        <f>SUM(G1096:G1100)</f>
        <v>1062</v>
      </c>
    </row>
    <row r="1102" spans="2:7" ht="14.25" thickTop="1" thickBot="1">
      <c r="B1102" s="970"/>
      <c r="C1102" s="970"/>
      <c r="D1102" s="970"/>
      <c r="E1102" s="970"/>
      <c r="F1102" s="970"/>
      <c r="G1102" s="970"/>
    </row>
    <row r="1103" spans="2:7" ht="13.5" thickTop="1">
      <c r="B1103" s="950" t="s">
        <v>311</v>
      </c>
      <c r="C1103" s="951"/>
      <c r="D1103" s="951"/>
      <c r="E1103" s="951"/>
      <c r="F1103" s="951"/>
      <c r="G1103" s="952"/>
    </row>
    <row r="1104" spans="2:7">
      <c r="B1104" s="978" t="s">
        <v>838</v>
      </c>
      <c r="C1104" s="979"/>
      <c r="D1104" s="98" t="s">
        <v>842</v>
      </c>
      <c r="E1104" s="98" t="s">
        <v>853</v>
      </c>
      <c r="F1104" s="99" t="s">
        <v>1047</v>
      </c>
      <c r="G1104" s="107" t="s">
        <v>840</v>
      </c>
    </row>
    <row r="1105" spans="2:8">
      <c r="B1105" s="230"/>
      <c r="C1105" s="102"/>
      <c r="D1105" s="100"/>
      <c r="E1105" s="100" t="s">
        <v>312</v>
      </c>
      <c r="F1105" s="101" t="s">
        <v>313</v>
      </c>
      <c r="G1105" s="109" t="s">
        <v>314</v>
      </c>
    </row>
    <row r="1106" spans="2:8">
      <c r="B1106" s="1056" t="str">
        <f>MATERIALES2!C845</f>
        <v>CANAL AMAZONAS x 3.0 M</v>
      </c>
      <c r="C1106" s="1057"/>
      <c r="D1106" s="87" t="s">
        <v>868</v>
      </c>
      <c r="E1106" s="81">
        <v>0.4</v>
      </c>
      <c r="F1106" s="80">
        <f>MATERIALES2!E845</f>
        <v>34201</v>
      </c>
      <c r="G1106" s="111">
        <f>ROUND(E1106*F1106,0)</f>
        <v>13680</v>
      </c>
    </row>
    <row r="1107" spans="2:8">
      <c r="B1107" s="854"/>
      <c r="C1107" s="855"/>
      <c r="D1107" s="37"/>
      <c r="E1107" s="308"/>
      <c r="F1107" s="82"/>
      <c r="G1107" s="111"/>
    </row>
    <row r="1108" spans="2:8">
      <c r="B1108" s="854"/>
      <c r="C1108" s="855"/>
      <c r="D1108" s="37"/>
      <c r="E1108" s="83"/>
      <c r="F1108" s="82"/>
      <c r="G1108" s="111"/>
    </row>
    <row r="1109" spans="2:8">
      <c r="B1109" s="854"/>
      <c r="C1109" s="855"/>
      <c r="D1109" s="37"/>
      <c r="E1109" s="83"/>
      <c r="F1109" s="82"/>
      <c r="G1109" s="111"/>
    </row>
    <row r="1110" spans="2:8">
      <c r="B1110" s="854"/>
      <c r="C1110" s="855"/>
      <c r="D1110" s="37"/>
      <c r="E1110" s="83"/>
      <c r="F1110" s="82"/>
      <c r="G1110" s="111"/>
    </row>
    <row r="1111" spans="2:8">
      <c r="B1111" s="938" t="s">
        <v>841</v>
      </c>
      <c r="C1111" s="939"/>
      <c r="D1111" s="53" t="s">
        <v>841</v>
      </c>
      <c r="E1111" s="53"/>
      <c r="F1111" s="82"/>
      <c r="G1111" s="111"/>
      <c r="H1111" s="505" t="s">
        <v>1670</v>
      </c>
    </row>
    <row r="1112" spans="2:8" ht="13.5" thickBot="1">
      <c r="B1112" s="942" t="s">
        <v>841</v>
      </c>
      <c r="C1112" s="943"/>
      <c r="D1112" s="84" t="s">
        <v>841</v>
      </c>
      <c r="E1112" s="84"/>
      <c r="F1112" s="85"/>
      <c r="G1112" s="112"/>
    </row>
    <row r="1113" spans="2:8" ht="13.5" thickTop="1">
      <c r="B1113" s="946"/>
      <c r="C1113" s="947"/>
      <c r="D1113" s="801" t="s">
        <v>856</v>
      </c>
      <c r="E1113" s="802"/>
      <c r="F1113" s="9"/>
      <c r="G1113" s="113">
        <f>SUM(G1106:G1112)</f>
        <v>13680</v>
      </c>
    </row>
    <row r="1114" spans="2:8">
      <c r="B1114" s="948"/>
      <c r="C1114" s="949"/>
      <c r="D1114" s="801" t="s">
        <v>857</v>
      </c>
      <c r="E1114" s="802"/>
      <c r="F1114" s="79">
        <f>'MANO DE OBRA'!$D$60</f>
        <v>0.05</v>
      </c>
      <c r="G1114" s="113">
        <f>ROUND(G1113*F1114,0)</f>
        <v>684</v>
      </c>
    </row>
    <row r="1115" spans="2:8" ht="13.5" thickBot="1">
      <c r="B1115" s="948"/>
      <c r="C1115" s="949"/>
      <c r="D1115" s="803" t="s">
        <v>320</v>
      </c>
      <c r="E1115" s="804"/>
      <c r="F1115" s="114"/>
      <c r="G1115" s="118">
        <f>+G1113+G1114</f>
        <v>14364</v>
      </c>
    </row>
    <row r="1116" spans="2:8" ht="14.25" thickTop="1" thickBot="1">
      <c r="B1116" s="970"/>
      <c r="C1116" s="970"/>
      <c r="D1116" s="970"/>
      <c r="E1116" s="970"/>
      <c r="F1116" s="970"/>
      <c r="G1116" s="970"/>
    </row>
    <row r="1117" spans="2:8" ht="13.5" thickTop="1">
      <c r="B1117" s="950" t="s">
        <v>858</v>
      </c>
      <c r="C1117" s="951"/>
      <c r="D1117" s="951"/>
      <c r="E1117" s="951"/>
      <c r="F1117" s="951"/>
      <c r="G1117" s="952"/>
    </row>
    <row r="1118" spans="2:8">
      <c r="B1118" s="978"/>
      <c r="C1118" s="979"/>
      <c r="D1118" s="98" t="s">
        <v>301</v>
      </c>
      <c r="E1118" s="98" t="s">
        <v>859</v>
      </c>
      <c r="F1118" s="99" t="s">
        <v>839</v>
      </c>
      <c r="G1118" s="107" t="s">
        <v>840</v>
      </c>
    </row>
    <row r="1119" spans="2:8">
      <c r="B1119" s="982" t="s">
        <v>838</v>
      </c>
      <c r="C1119" s="983"/>
      <c r="D1119" s="100" t="s">
        <v>316</v>
      </c>
      <c r="E1119" s="100" t="s">
        <v>315</v>
      </c>
      <c r="F1119" s="101" t="s">
        <v>306</v>
      </c>
      <c r="G1119" s="108" t="s">
        <v>319</v>
      </c>
    </row>
    <row r="1120" spans="2:8">
      <c r="B1120" s="230"/>
      <c r="C1120" s="102"/>
      <c r="D1120" s="103"/>
      <c r="E1120" s="103" t="s">
        <v>317</v>
      </c>
      <c r="F1120" s="104" t="s">
        <v>318</v>
      </c>
      <c r="G1120" s="109"/>
    </row>
    <row r="1121" spans="2:7">
      <c r="B1121" s="841" t="str">
        <f>'MANO DE OBRA'!$B$10</f>
        <v>AYUDANTE CUAD. TIPO AA</v>
      </c>
      <c r="C1121" s="842"/>
      <c r="D1121" s="87">
        <v>1</v>
      </c>
      <c r="E1121" s="80">
        <f>'MANO DE OBRA'!$E$10</f>
        <v>34680</v>
      </c>
      <c r="F1121" s="81">
        <v>5</v>
      </c>
      <c r="G1121" s="110">
        <f>ROUND(D1121*E1121/F1121,0)</f>
        <v>6936</v>
      </c>
    </row>
    <row r="1122" spans="2:7">
      <c r="B1122" s="854" t="str">
        <f>'MANO DE OBRA'!$B$15</f>
        <v xml:space="preserve">OFICIAL CUAD. TIPO AA </v>
      </c>
      <c r="C1122" s="855"/>
      <c r="D1122" s="37">
        <v>1</v>
      </c>
      <c r="E1122" s="82">
        <f>'MANO DE OBRA'!$E$15</f>
        <v>71474</v>
      </c>
      <c r="F1122" s="83">
        <v>5</v>
      </c>
      <c r="G1122" s="111">
        <f>ROUND(D1122*E1122/F1122,0)</f>
        <v>14295</v>
      </c>
    </row>
    <row r="1123" spans="2:7">
      <c r="B1123" s="854"/>
      <c r="C1123" s="855"/>
      <c r="D1123" s="37"/>
      <c r="E1123" s="82"/>
      <c r="F1123" s="83"/>
      <c r="G1123" s="111"/>
    </row>
    <row r="1124" spans="2:7">
      <c r="B1124" s="854"/>
      <c r="C1124" s="855"/>
      <c r="D1124" s="37"/>
      <c r="E1124" s="82"/>
      <c r="F1124" s="83"/>
      <c r="G1124" s="111"/>
    </row>
    <row r="1125" spans="2:7" ht="13.5" thickBot="1">
      <c r="B1125" s="980"/>
      <c r="C1125" s="981"/>
      <c r="D1125" s="77"/>
      <c r="E1125" s="82"/>
      <c r="F1125" s="86"/>
      <c r="G1125" s="111"/>
    </row>
    <row r="1126" spans="2:7" ht="14.25" thickTop="1" thickBot="1">
      <c r="B1126" s="946"/>
      <c r="C1126" s="946"/>
      <c r="D1126" s="946"/>
      <c r="E1126" s="947"/>
      <c r="F1126" s="120" t="s">
        <v>856</v>
      </c>
      <c r="G1126" s="118">
        <f>SUM(G1121:G1125)</f>
        <v>21231</v>
      </c>
    </row>
    <row r="1127" spans="2:7" ht="14.25" thickTop="1" thickBot="1">
      <c r="B1127" s="970"/>
      <c r="C1127" s="970"/>
      <c r="D1127" s="970"/>
      <c r="E1127" s="970"/>
      <c r="F1127" s="970"/>
      <c r="G1127" s="970"/>
    </row>
    <row r="1128" spans="2:7" ht="13.5" thickTop="1">
      <c r="B1128" s="950" t="s">
        <v>321</v>
      </c>
      <c r="C1128" s="951"/>
      <c r="D1128" s="951"/>
      <c r="E1128" s="951"/>
      <c r="F1128" s="951"/>
      <c r="G1128" s="952"/>
    </row>
    <row r="1129" spans="2:7">
      <c r="B1129" s="978" t="s">
        <v>838</v>
      </c>
      <c r="C1129" s="979"/>
      <c r="D1129" s="98" t="s">
        <v>301</v>
      </c>
      <c r="E1129" s="98" t="s">
        <v>297</v>
      </c>
      <c r="F1129" s="99" t="s">
        <v>839</v>
      </c>
      <c r="G1129" s="107" t="s">
        <v>840</v>
      </c>
    </row>
    <row r="1130" spans="2:7">
      <c r="B1130" s="230"/>
      <c r="C1130" s="102"/>
      <c r="D1130" s="103" t="s">
        <v>322</v>
      </c>
      <c r="E1130" s="103" t="s">
        <v>323</v>
      </c>
      <c r="F1130" s="104" t="s">
        <v>324</v>
      </c>
      <c r="G1130" s="109" t="s">
        <v>325</v>
      </c>
    </row>
    <row r="1131" spans="2:7">
      <c r="B1131" s="841"/>
      <c r="C1131" s="842"/>
      <c r="D1131" s="96"/>
      <c r="E1131" s="96"/>
      <c r="F1131" s="96"/>
      <c r="G1131" s="116"/>
    </row>
    <row r="1132" spans="2:7" ht="13.5" thickBot="1">
      <c r="B1132" s="980" t="s">
        <v>841</v>
      </c>
      <c r="C1132" s="981"/>
      <c r="D1132" s="77"/>
      <c r="E1132" s="82"/>
      <c r="F1132" s="86"/>
      <c r="G1132" s="112"/>
    </row>
    <row r="1133" spans="2:7" ht="14.25" thickTop="1" thickBot="1">
      <c r="B1133" s="946"/>
      <c r="C1133" s="946"/>
      <c r="D1133" s="946"/>
      <c r="E1133" s="947"/>
      <c r="F1133" s="120" t="s">
        <v>856</v>
      </c>
      <c r="G1133" s="118">
        <f>SUM(G1128:G1132)</f>
        <v>0</v>
      </c>
    </row>
    <row r="1134" spans="2:7" ht="14.25" thickTop="1" thickBot="1">
      <c r="B1134" s="970"/>
      <c r="C1134" s="970"/>
      <c r="D1134" s="970"/>
      <c r="E1134" s="970"/>
      <c r="F1134" s="970"/>
      <c r="G1134" s="943"/>
    </row>
    <row r="1135" spans="2:7" ht="13.5" thickTop="1">
      <c r="B1135" s="950" t="s">
        <v>326</v>
      </c>
      <c r="C1135" s="951"/>
      <c r="D1135" s="951"/>
      <c r="E1135" s="951"/>
      <c r="F1135" s="971"/>
      <c r="G1135" s="121">
        <f>+G1101+G1115+G1126</f>
        <v>36657</v>
      </c>
    </row>
    <row r="1136" spans="2:7">
      <c r="B1136" s="972" t="s">
        <v>861</v>
      </c>
      <c r="C1136" s="973"/>
      <c r="D1136" s="973"/>
      <c r="E1136" s="974"/>
      <c r="F1136" s="128">
        <f>'MANO DE OBRA'!$D$59</f>
        <v>0</v>
      </c>
      <c r="G1136" s="122">
        <f>ROUND(G1135*F1136,0)</f>
        <v>0</v>
      </c>
    </row>
    <row r="1137" spans="2:8" ht="13.5" thickBot="1">
      <c r="B1137" s="975" t="s">
        <v>1049</v>
      </c>
      <c r="C1137" s="976"/>
      <c r="D1137" s="976"/>
      <c r="E1137" s="976"/>
      <c r="F1137" s="977"/>
      <c r="G1137" s="118">
        <f>ROUND(G1135+G1136,-2)</f>
        <v>36700</v>
      </c>
      <c r="H1137" s="505" t="s">
        <v>1670</v>
      </c>
    </row>
    <row r="1138" spans="2:8" ht="13.5" thickTop="1"/>
  </sheetData>
  <mergeCells count="1049">
    <mergeCell ref="B1076:E1076"/>
    <mergeCell ref="B1077:G1077"/>
    <mergeCell ref="B1078:G1078"/>
    <mergeCell ref="B1071:C1071"/>
    <mergeCell ref="B1072:C1072"/>
    <mergeCell ref="B1073:C1073"/>
    <mergeCell ref="B1074:C1074"/>
    <mergeCell ref="B348:G348"/>
    <mergeCell ref="B1084:G1084"/>
    <mergeCell ref="B1085:F1085"/>
    <mergeCell ref="B1086:E1086"/>
    <mergeCell ref="B1087:F1087"/>
    <mergeCell ref="B1079:C1079"/>
    <mergeCell ref="B1081:C1081"/>
    <mergeCell ref="B1082:C1082"/>
    <mergeCell ref="B1083:E1083"/>
    <mergeCell ref="B1075:C1075"/>
    <mergeCell ref="B1058:C1058"/>
    <mergeCell ref="B1059:C1059"/>
    <mergeCell ref="B1060:C1060"/>
    <mergeCell ref="B1052:G1052"/>
    <mergeCell ref="B1053:G1053"/>
    <mergeCell ref="B1054:C1054"/>
    <mergeCell ref="B1056:C1056"/>
    <mergeCell ref="B1066:G1066"/>
    <mergeCell ref="B1067:G1067"/>
    <mergeCell ref="B1068:C1068"/>
    <mergeCell ref="B1069:C1069"/>
    <mergeCell ref="B1061:C1061"/>
    <mergeCell ref="B1062:C1062"/>
    <mergeCell ref="B1063:C1065"/>
    <mergeCell ref="D1063:E1063"/>
    <mergeCell ref="D1064:E1064"/>
    <mergeCell ref="D1065:E1065"/>
    <mergeCell ref="C1038:E1038"/>
    <mergeCell ref="C1039:E1039"/>
    <mergeCell ref="C1040:G1040"/>
    <mergeCell ref="B1041:G1041"/>
    <mergeCell ref="B1034:G1034"/>
    <mergeCell ref="B1035:F1035"/>
    <mergeCell ref="B1036:E1036"/>
    <mergeCell ref="B1037:F1037"/>
    <mergeCell ref="B1048:C1048"/>
    <mergeCell ref="B1049:C1049"/>
    <mergeCell ref="B1050:C1050"/>
    <mergeCell ref="B1051:E1051"/>
    <mergeCell ref="B1042:G1042"/>
    <mergeCell ref="B1044:C1044"/>
    <mergeCell ref="B1046:C1046"/>
    <mergeCell ref="B1047:C1047"/>
    <mergeCell ref="B1057:C1057"/>
    <mergeCell ref="B1013:C1015"/>
    <mergeCell ref="D1013:E1013"/>
    <mergeCell ref="D1014:E1014"/>
    <mergeCell ref="D1015:E1015"/>
    <mergeCell ref="B1021:C1021"/>
    <mergeCell ref="B1022:C1022"/>
    <mergeCell ref="B1023:C1023"/>
    <mergeCell ref="B1024:C1024"/>
    <mergeCell ref="B1016:G1016"/>
    <mergeCell ref="B1017:G1017"/>
    <mergeCell ref="B1018:C1018"/>
    <mergeCell ref="B1019:C1019"/>
    <mergeCell ref="B1029:C1029"/>
    <mergeCell ref="B1031:C1031"/>
    <mergeCell ref="B1032:C1032"/>
    <mergeCell ref="B1033:E1033"/>
    <mergeCell ref="B1025:C1025"/>
    <mergeCell ref="B1026:E1026"/>
    <mergeCell ref="B1027:G1027"/>
    <mergeCell ref="B1028:G1028"/>
    <mergeCell ref="B999:C999"/>
    <mergeCell ref="B1000:C1000"/>
    <mergeCell ref="B1001:E1001"/>
    <mergeCell ref="B992:G992"/>
    <mergeCell ref="B994:C994"/>
    <mergeCell ref="B996:C996"/>
    <mergeCell ref="B997:C997"/>
    <mergeCell ref="B1007:C1007"/>
    <mergeCell ref="B1008:C1008"/>
    <mergeCell ref="B1009:C1009"/>
    <mergeCell ref="B1010:C1010"/>
    <mergeCell ref="B1002:G1002"/>
    <mergeCell ref="B1003:G1003"/>
    <mergeCell ref="B1004:C1004"/>
    <mergeCell ref="B1006:C1006"/>
    <mergeCell ref="B1011:C1011"/>
    <mergeCell ref="B1012:C1012"/>
    <mergeCell ref="B979:C979"/>
    <mergeCell ref="B981:C981"/>
    <mergeCell ref="B982:C982"/>
    <mergeCell ref="B983:E983"/>
    <mergeCell ref="B975:C975"/>
    <mergeCell ref="B976:E976"/>
    <mergeCell ref="B977:G977"/>
    <mergeCell ref="B978:G978"/>
    <mergeCell ref="C988:E988"/>
    <mergeCell ref="C989:E989"/>
    <mergeCell ref="C990:G990"/>
    <mergeCell ref="B991:G991"/>
    <mergeCell ref="B984:G984"/>
    <mergeCell ref="B985:F985"/>
    <mergeCell ref="B986:E986"/>
    <mergeCell ref="B987:F987"/>
    <mergeCell ref="B998:C998"/>
    <mergeCell ref="B958:C958"/>
    <mergeCell ref="B959:C959"/>
    <mergeCell ref="B960:C960"/>
    <mergeCell ref="B952:G952"/>
    <mergeCell ref="B953:G953"/>
    <mergeCell ref="B954:C954"/>
    <mergeCell ref="B956:C956"/>
    <mergeCell ref="B961:C961"/>
    <mergeCell ref="B962:C962"/>
    <mergeCell ref="B963:C965"/>
    <mergeCell ref="D963:E963"/>
    <mergeCell ref="D964:E964"/>
    <mergeCell ref="D965:E965"/>
    <mergeCell ref="B971:C971"/>
    <mergeCell ref="B972:C972"/>
    <mergeCell ref="B973:C973"/>
    <mergeCell ref="B974:C974"/>
    <mergeCell ref="B966:G966"/>
    <mergeCell ref="B967:G967"/>
    <mergeCell ref="B968:C968"/>
    <mergeCell ref="B969:C969"/>
    <mergeCell ref="C938:E938"/>
    <mergeCell ref="C939:E939"/>
    <mergeCell ref="C940:G940"/>
    <mergeCell ref="B941:G941"/>
    <mergeCell ref="B934:G934"/>
    <mergeCell ref="B935:F935"/>
    <mergeCell ref="B936:E936"/>
    <mergeCell ref="B937:F937"/>
    <mergeCell ref="B948:C948"/>
    <mergeCell ref="B949:C949"/>
    <mergeCell ref="B950:C950"/>
    <mergeCell ref="B951:E951"/>
    <mergeCell ref="B942:G942"/>
    <mergeCell ref="B944:C944"/>
    <mergeCell ref="B946:C946"/>
    <mergeCell ref="B947:C947"/>
    <mergeCell ref="B957:C957"/>
    <mergeCell ref="B913:C915"/>
    <mergeCell ref="D913:E913"/>
    <mergeCell ref="D914:E914"/>
    <mergeCell ref="D915:E915"/>
    <mergeCell ref="B921:C921"/>
    <mergeCell ref="B922:C922"/>
    <mergeCell ref="B923:C923"/>
    <mergeCell ref="B924:C924"/>
    <mergeCell ref="B916:G916"/>
    <mergeCell ref="B917:G917"/>
    <mergeCell ref="B918:C918"/>
    <mergeCell ref="B919:C919"/>
    <mergeCell ref="B929:C929"/>
    <mergeCell ref="B931:C931"/>
    <mergeCell ref="B932:C932"/>
    <mergeCell ref="B933:E933"/>
    <mergeCell ref="B925:C925"/>
    <mergeCell ref="B926:E926"/>
    <mergeCell ref="B927:G927"/>
    <mergeCell ref="B928:G928"/>
    <mergeCell ref="B899:C899"/>
    <mergeCell ref="B900:C900"/>
    <mergeCell ref="B901:E901"/>
    <mergeCell ref="B892:G892"/>
    <mergeCell ref="B894:C894"/>
    <mergeCell ref="B896:C896"/>
    <mergeCell ref="B897:C897"/>
    <mergeCell ref="B907:C907"/>
    <mergeCell ref="B908:C908"/>
    <mergeCell ref="B909:C909"/>
    <mergeCell ref="B910:C910"/>
    <mergeCell ref="B902:G902"/>
    <mergeCell ref="B903:G903"/>
    <mergeCell ref="B904:C904"/>
    <mergeCell ref="B906:C906"/>
    <mergeCell ref="B911:C911"/>
    <mergeCell ref="B912:C912"/>
    <mergeCell ref="B879:C879"/>
    <mergeCell ref="B881:C881"/>
    <mergeCell ref="B882:C882"/>
    <mergeCell ref="B883:E883"/>
    <mergeCell ref="B875:C875"/>
    <mergeCell ref="B876:E876"/>
    <mergeCell ref="B877:G877"/>
    <mergeCell ref="B878:G878"/>
    <mergeCell ref="C888:E888"/>
    <mergeCell ref="C889:E889"/>
    <mergeCell ref="C890:G890"/>
    <mergeCell ref="B891:G891"/>
    <mergeCell ref="B884:G884"/>
    <mergeCell ref="B885:F885"/>
    <mergeCell ref="B886:E886"/>
    <mergeCell ref="B887:F887"/>
    <mergeCell ref="B898:C898"/>
    <mergeCell ref="B859:C859"/>
    <mergeCell ref="B860:C860"/>
    <mergeCell ref="B852:G852"/>
    <mergeCell ref="B853:G853"/>
    <mergeCell ref="B854:C854"/>
    <mergeCell ref="B856:C856"/>
    <mergeCell ref="B861:C861"/>
    <mergeCell ref="B862:C862"/>
    <mergeCell ref="B863:C865"/>
    <mergeCell ref="D863:E863"/>
    <mergeCell ref="D864:E864"/>
    <mergeCell ref="D865:E865"/>
    <mergeCell ref="B871:C871"/>
    <mergeCell ref="B872:C872"/>
    <mergeCell ref="B873:C873"/>
    <mergeCell ref="B874:C874"/>
    <mergeCell ref="B866:G866"/>
    <mergeCell ref="B867:G867"/>
    <mergeCell ref="B868:C868"/>
    <mergeCell ref="B869:C869"/>
    <mergeCell ref="C839:E839"/>
    <mergeCell ref="C840:G840"/>
    <mergeCell ref="B841:G841"/>
    <mergeCell ref="B834:G834"/>
    <mergeCell ref="B835:F835"/>
    <mergeCell ref="B836:E836"/>
    <mergeCell ref="B837:F837"/>
    <mergeCell ref="B848:C848"/>
    <mergeCell ref="B849:C849"/>
    <mergeCell ref="B850:C850"/>
    <mergeCell ref="B851:E851"/>
    <mergeCell ref="B842:G842"/>
    <mergeCell ref="B844:C844"/>
    <mergeCell ref="B846:C846"/>
    <mergeCell ref="B847:C847"/>
    <mergeCell ref="B857:C857"/>
    <mergeCell ref="B858:C858"/>
    <mergeCell ref="B821:C821"/>
    <mergeCell ref="B822:C822"/>
    <mergeCell ref="B823:C823"/>
    <mergeCell ref="B824:C824"/>
    <mergeCell ref="B816:G816"/>
    <mergeCell ref="B817:G817"/>
    <mergeCell ref="B818:C818"/>
    <mergeCell ref="B819:C819"/>
    <mergeCell ref="B829:C829"/>
    <mergeCell ref="B831:C831"/>
    <mergeCell ref="B832:C832"/>
    <mergeCell ref="B833:E833"/>
    <mergeCell ref="B825:C825"/>
    <mergeCell ref="B826:E826"/>
    <mergeCell ref="B827:G827"/>
    <mergeCell ref="B828:G828"/>
    <mergeCell ref="C838:E838"/>
    <mergeCell ref="B365:E365"/>
    <mergeCell ref="D346:E346"/>
    <mergeCell ref="D347:E347"/>
    <mergeCell ref="B349:G349"/>
    <mergeCell ref="D345:E345"/>
    <mergeCell ref="B801:G801"/>
    <mergeCell ref="B794:C794"/>
    <mergeCell ref="B795:C795"/>
    <mergeCell ref="B796:C796"/>
    <mergeCell ref="B797:C797"/>
    <mergeCell ref="B807:C807"/>
    <mergeCell ref="B808:C808"/>
    <mergeCell ref="B809:C809"/>
    <mergeCell ref="B810:C810"/>
    <mergeCell ref="B802:C802"/>
    <mergeCell ref="B804:C804"/>
    <mergeCell ref="B805:C805"/>
    <mergeCell ref="B806:C806"/>
    <mergeCell ref="B359:G359"/>
    <mergeCell ref="B361:C361"/>
    <mergeCell ref="B356:C356"/>
    <mergeCell ref="B357:C357"/>
    <mergeCell ref="B360:G360"/>
    <mergeCell ref="B358:E358"/>
    <mergeCell ref="B380:C380"/>
    <mergeCell ref="B381:C381"/>
    <mergeCell ref="B382:C382"/>
    <mergeCell ref="B383:C383"/>
    <mergeCell ref="B384:E384"/>
    <mergeCell ref="B385:G385"/>
    <mergeCell ref="C372:G372"/>
    <mergeCell ref="B373:G373"/>
    <mergeCell ref="C7:E7"/>
    <mergeCell ref="C8:G8"/>
    <mergeCell ref="B9:G9"/>
    <mergeCell ref="B10:G10"/>
    <mergeCell ref="B12:C12"/>
    <mergeCell ref="B14:C14"/>
    <mergeCell ref="C3:G3"/>
    <mergeCell ref="B4:G4"/>
    <mergeCell ref="C1:G1"/>
    <mergeCell ref="C2:G2"/>
    <mergeCell ref="C5:G5"/>
    <mergeCell ref="C6:E6"/>
    <mergeCell ref="B351:C351"/>
    <mergeCell ref="B344:C344"/>
    <mergeCell ref="B350:C350"/>
    <mergeCell ref="B364:C364"/>
    <mergeCell ref="B363:C363"/>
    <mergeCell ref="B28:C28"/>
    <mergeCell ref="B29:C29"/>
    <mergeCell ref="B30:C30"/>
    <mergeCell ref="B31:C31"/>
    <mergeCell ref="B32:C32"/>
    <mergeCell ref="B33:C35"/>
    <mergeCell ref="B21:G21"/>
    <mergeCell ref="B22:C22"/>
    <mergeCell ref="B24:C24"/>
    <mergeCell ref="B25:C25"/>
    <mergeCell ref="B26:C26"/>
    <mergeCell ref="B27:C27"/>
    <mergeCell ref="B15:C15"/>
    <mergeCell ref="B16:C16"/>
    <mergeCell ref="B17:C17"/>
    <mergeCell ref="B18:C18"/>
    <mergeCell ref="B19:E19"/>
    <mergeCell ref="B20:G20"/>
    <mergeCell ref="B46:E46"/>
    <mergeCell ref="B47:G47"/>
    <mergeCell ref="B48:G48"/>
    <mergeCell ref="B49:C49"/>
    <mergeCell ref="B51:C51"/>
    <mergeCell ref="B52:C52"/>
    <mergeCell ref="B39:C39"/>
    <mergeCell ref="B41:C41"/>
    <mergeCell ref="B42:C42"/>
    <mergeCell ref="B43:C43"/>
    <mergeCell ref="B44:C44"/>
    <mergeCell ref="B45:C45"/>
    <mergeCell ref="D33:E33"/>
    <mergeCell ref="D34:E34"/>
    <mergeCell ref="D35:E35"/>
    <mergeCell ref="B36:G36"/>
    <mergeCell ref="B37:G37"/>
    <mergeCell ref="B38:C38"/>
    <mergeCell ref="B67:C67"/>
    <mergeCell ref="B68:C68"/>
    <mergeCell ref="B69:C69"/>
    <mergeCell ref="B70:C70"/>
    <mergeCell ref="B71:E71"/>
    <mergeCell ref="B72:G72"/>
    <mergeCell ref="C59:E59"/>
    <mergeCell ref="C60:G60"/>
    <mergeCell ref="B61:G61"/>
    <mergeCell ref="B62:G62"/>
    <mergeCell ref="B64:C64"/>
    <mergeCell ref="B66:C66"/>
    <mergeCell ref="B53:E53"/>
    <mergeCell ref="B54:G54"/>
    <mergeCell ref="B55:F55"/>
    <mergeCell ref="B56:E56"/>
    <mergeCell ref="B57:F57"/>
    <mergeCell ref="C58:E58"/>
    <mergeCell ref="D85:E85"/>
    <mergeCell ref="D86:E86"/>
    <mergeCell ref="D87:E87"/>
    <mergeCell ref="B88:G88"/>
    <mergeCell ref="B89:G89"/>
    <mergeCell ref="B90:C90"/>
    <mergeCell ref="B80:C80"/>
    <mergeCell ref="B81:C81"/>
    <mergeCell ref="B82:C82"/>
    <mergeCell ref="B83:C83"/>
    <mergeCell ref="B84:C84"/>
    <mergeCell ref="B85:C87"/>
    <mergeCell ref="B73:G73"/>
    <mergeCell ref="B74:C74"/>
    <mergeCell ref="B76:C76"/>
    <mergeCell ref="B77:C77"/>
    <mergeCell ref="B78:C78"/>
    <mergeCell ref="B79:C79"/>
    <mergeCell ref="B105:E105"/>
    <mergeCell ref="B106:G106"/>
    <mergeCell ref="B107:F107"/>
    <mergeCell ref="B108:E108"/>
    <mergeCell ref="B109:F109"/>
    <mergeCell ref="C110:E110"/>
    <mergeCell ref="B98:E98"/>
    <mergeCell ref="B99:G99"/>
    <mergeCell ref="B100:G100"/>
    <mergeCell ref="B101:C101"/>
    <mergeCell ref="B103:C103"/>
    <mergeCell ref="B104:C104"/>
    <mergeCell ref="B91:C91"/>
    <mergeCell ref="B93:C93"/>
    <mergeCell ref="B94:C94"/>
    <mergeCell ref="B95:C95"/>
    <mergeCell ref="B96:C96"/>
    <mergeCell ref="B97:C97"/>
    <mergeCell ref="B125:G125"/>
    <mergeCell ref="B126:C126"/>
    <mergeCell ref="B128:C128"/>
    <mergeCell ref="B129:C129"/>
    <mergeCell ref="B130:C130"/>
    <mergeCell ref="B131:C131"/>
    <mergeCell ref="B119:C119"/>
    <mergeCell ref="B120:C120"/>
    <mergeCell ref="B121:C121"/>
    <mergeCell ref="B122:C122"/>
    <mergeCell ref="B123:E123"/>
    <mergeCell ref="B124:G124"/>
    <mergeCell ref="C111:E111"/>
    <mergeCell ref="C112:G112"/>
    <mergeCell ref="B113:G113"/>
    <mergeCell ref="B114:G114"/>
    <mergeCell ref="B116:C116"/>
    <mergeCell ref="B118:C118"/>
    <mergeCell ref="B143:C143"/>
    <mergeCell ref="B145:C145"/>
    <mergeCell ref="B146:C146"/>
    <mergeCell ref="B147:C147"/>
    <mergeCell ref="B148:C148"/>
    <mergeCell ref="B149:C149"/>
    <mergeCell ref="D137:E137"/>
    <mergeCell ref="D138:E138"/>
    <mergeCell ref="D139:E139"/>
    <mergeCell ref="B140:G140"/>
    <mergeCell ref="B141:G141"/>
    <mergeCell ref="B142:C142"/>
    <mergeCell ref="B132:C132"/>
    <mergeCell ref="B133:C133"/>
    <mergeCell ref="B134:C134"/>
    <mergeCell ref="B135:C135"/>
    <mergeCell ref="B136:C136"/>
    <mergeCell ref="B137:C139"/>
    <mergeCell ref="C163:E163"/>
    <mergeCell ref="C164:G164"/>
    <mergeCell ref="B165:G165"/>
    <mergeCell ref="B166:G166"/>
    <mergeCell ref="B168:C168"/>
    <mergeCell ref="B170:C170"/>
    <mergeCell ref="B157:E157"/>
    <mergeCell ref="B158:G158"/>
    <mergeCell ref="B159:F159"/>
    <mergeCell ref="B160:E160"/>
    <mergeCell ref="B161:F161"/>
    <mergeCell ref="C162:E162"/>
    <mergeCell ref="B150:E150"/>
    <mergeCell ref="B151:G151"/>
    <mergeCell ref="B152:G152"/>
    <mergeCell ref="B153:C153"/>
    <mergeCell ref="B155:C155"/>
    <mergeCell ref="B156:C156"/>
    <mergeCell ref="B184:C184"/>
    <mergeCell ref="B185:C185"/>
    <mergeCell ref="B186:C186"/>
    <mergeCell ref="B187:C187"/>
    <mergeCell ref="B188:C188"/>
    <mergeCell ref="B189:C191"/>
    <mergeCell ref="B177:G177"/>
    <mergeCell ref="B178:C178"/>
    <mergeCell ref="B180:C180"/>
    <mergeCell ref="B181:C181"/>
    <mergeCell ref="B182:C182"/>
    <mergeCell ref="B183:C183"/>
    <mergeCell ref="B171:C171"/>
    <mergeCell ref="B172:C172"/>
    <mergeCell ref="B173:C173"/>
    <mergeCell ref="B174:C174"/>
    <mergeCell ref="B175:E175"/>
    <mergeCell ref="B176:G176"/>
    <mergeCell ref="B202:E202"/>
    <mergeCell ref="B203:G203"/>
    <mergeCell ref="B204:G204"/>
    <mergeCell ref="B205:C205"/>
    <mergeCell ref="B207:C207"/>
    <mergeCell ref="B208:C208"/>
    <mergeCell ref="B195:C195"/>
    <mergeCell ref="B197:C197"/>
    <mergeCell ref="B198:C198"/>
    <mergeCell ref="B199:C199"/>
    <mergeCell ref="B200:C200"/>
    <mergeCell ref="B201:C201"/>
    <mergeCell ref="D189:E189"/>
    <mergeCell ref="D190:E190"/>
    <mergeCell ref="D191:E191"/>
    <mergeCell ref="B192:G192"/>
    <mergeCell ref="B193:G193"/>
    <mergeCell ref="B194:C194"/>
    <mergeCell ref="B223:C223"/>
    <mergeCell ref="B224:C224"/>
    <mergeCell ref="B225:C225"/>
    <mergeCell ref="B226:C226"/>
    <mergeCell ref="B227:E227"/>
    <mergeCell ref="B228:G228"/>
    <mergeCell ref="C215:E215"/>
    <mergeCell ref="C216:G216"/>
    <mergeCell ref="B217:G217"/>
    <mergeCell ref="B218:G218"/>
    <mergeCell ref="B220:C220"/>
    <mergeCell ref="B222:C222"/>
    <mergeCell ref="B209:E209"/>
    <mergeCell ref="B210:G210"/>
    <mergeCell ref="B211:F211"/>
    <mergeCell ref="B212:E212"/>
    <mergeCell ref="B213:F213"/>
    <mergeCell ref="C214:E214"/>
    <mergeCell ref="D241:E241"/>
    <mergeCell ref="D242:E242"/>
    <mergeCell ref="D243:E243"/>
    <mergeCell ref="B244:G244"/>
    <mergeCell ref="B245:G245"/>
    <mergeCell ref="B246:C246"/>
    <mergeCell ref="B236:C236"/>
    <mergeCell ref="B237:C237"/>
    <mergeCell ref="B238:C238"/>
    <mergeCell ref="B239:C239"/>
    <mergeCell ref="B240:C240"/>
    <mergeCell ref="B241:C243"/>
    <mergeCell ref="B229:G229"/>
    <mergeCell ref="B230:C230"/>
    <mergeCell ref="B232:C232"/>
    <mergeCell ref="B233:C233"/>
    <mergeCell ref="B234:C234"/>
    <mergeCell ref="B235:C235"/>
    <mergeCell ref="B261:E261"/>
    <mergeCell ref="B262:G262"/>
    <mergeCell ref="B263:F263"/>
    <mergeCell ref="B264:E264"/>
    <mergeCell ref="B265:F265"/>
    <mergeCell ref="C266:E266"/>
    <mergeCell ref="B254:E254"/>
    <mergeCell ref="B255:G255"/>
    <mergeCell ref="B256:G256"/>
    <mergeCell ref="B257:C257"/>
    <mergeCell ref="B259:C259"/>
    <mergeCell ref="B260:C260"/>
    <mergeCell ref="B247:C247"/>
    <mergeCell ref="B249:C249"/>
    <mergeCell ref="B250:C250"/>
    <mergeCell ref="B251:C251"/>
    <mergeCell ref="B252:C252"/>
    <mergeCell ref="B253:C253"/>
    <mergeCell ref="B281:G281"/>
    <mergeCell ref="B282:C282"/>
    <mergeCell ref="B284:C284"/>
    <mergeCell ref="B285:C285"/>
    <mergeCell ref="B286:C286"/>
    <mergeCell ref="B287:C287"/>
    <mergeCell ref="B275:C275"/>
    <mergeCell ref="B276:C276"/>
    <mergeCell ref="B277:C277"/>
    <mergeCell ref="B278:C278"/>
    <mergeCell ref="B279:E279"/>
    <mergeCell ref="B280:G280"/>
    <mergeCell ref="C267:E267"/>
    <mergeCell ref="C268:G268"/>
    <mergeCell ref="B269:G269"/>
    <mergeCell ref="B270:G270"/>
    <mergeCell ref="B272:C272"/>
    <mergeCell ref="B274:C274"/>
    <mergeCell ref="B299:C299"/>
    <mergeCell ref="B301:C301"/>
    <mergeCell ref="B302:C302"/>
    <mergeCell ref="B303:C303"/>
    <mergeCell ref="B304:C304"/>
    <mergeCell ref="B305:C305"/>
    <mergeCell ref="D293:E293"/>
    <mergeCell ref="D294:E294"/>
    <mergeCell ref="D295:E295"/>
    <mergeCell ref="B296:G296"/>
    <mergeCell ref="B297:G297"/>
    <mergeCell ref="B298:C298"/>
    <mergeCell ref="B288:C288"/>
    <mergeCell ref="B289:C289"/>
    <mergeCell ref="B290:C290"/>
    <mergeCell ref="B291:C291"/>
    <mergeCell ref="B292:C292"/>
    <mergeCell ref="B293:C295"/>
    <mergeCell ref="C319:E319"/>
    <mergeCell ref="C320:G320"/>
    <mergeCell ref="B321:G321"/>
    <mergeCell ref="B322:G322"/>
    <mergeCell ref="B324:C324"/>
    <mergeCell ref="B326:C326"/>
    <mergeCell ref="B313:E313"/>
    <mergeCell ref="B314:G314"/>
    <mergeCell ref="B315:F315"/>
    <mergeCell ref="B316:E316"/>
    <mergeCell ref="B317:F317"/>
    <mergeCell ref="C318:E318"/>
    <mergeCell ref="B306:E306"/>
    <mergeCell ref="B307:G307"/>
    <mergeCell ref="B308:G308"/>
    <mergeCell ref="B309:C309"/>
    <mergeCell ref="B311:C311"/>
    <mergeCell ref="B312:C312"/>
    <mergeCell ref="B336:C336"/>
    <mergeCell ref="B342:C342"/>
    <mergeCell ref="B343:C343"/>
    <mergeCell ref="B353:C353"/>
    <mergeCell ref="B338:C338"/>
    <mergeCell ref="B355:C355"/>
    <mergeCell ref="B339:C339"/>
    <mergeCell ref="B340:C340"/>
    <mergeCell ref="B341:C341"/>
    <mergeCell ref="B345:C347"/>
    <mergeCell ref="B327:C327"/>
    <mergeCell ref="B328:C328"/>
    <mergeCell ref="B329:C329"/>
    <mergeCell ref="B330:C330"/>
    <mergeCell ref="B331:E331"/>
    <mergeCell ref="B354:C354"/>
    <mergeCell ref="B333:G333"/>
    <mergeCell ref="B332:G332"/>
    <mergeCell ref="B334:C334"/>
    <mergeCell ref="B337:C337"/>
    <mergeCell ref="B374:G374"/>
    <mergeCell ref="B376:C376"/>
    <mergeCell ref="B378:C378"/>
    <mergeCell ref="B379:C379"/>
    <mergeCell ref="B366:G366"/>
    <mergeCell ref="B367:F367"/>
    <mergeCell ref="B368:E368"/>
    <mergeCell ref="B369:F369"/>
    <mergeCell ref="C370:E370"/>
    <mergeCell ref="C371:E371"/>
    <mergeCell ref="D398:E398"/>
    <mergeCell ref="D399:E399"/>
    <mergeCell ref="D400:E400"/>
    <mergeCell ref="B401:G401"/>
    <mergeCell ref="B402:G402"/>
    <mergeCell ref="B403:C403"/>
    <mergeCell ref="B393:C393"/>
    <mergeCell ref="B394:C394"/>
    <mergeCell ref="B395:C395"/>
    <mergeCell ref="B396:C396"/>
    <mergeCell ref="B397:C397"/>
    <mergeCell ref="B398:C400"/>
    <mergeCell ref="B386:G386"/>
    <mergeCell ref="B387:C387"/>
    <mergeCell ref="B389:C389"/>
    <mergeCell ref="B390:C390"/>
    <mergeCell ref="B391:C391"/>
    <mergeCell ref="B392:C392"/>
    <mergeCell ref="B418:E418"/>
    <mergeCell ref="B419:G419"/>
    <mergeCell ref="B420:F420"/>
    <mergeCell ref="B421:E421"/>
    <mergeCell ref="B422:F422"/>
    <mergeCell ref="C423:E423"/>
    <mergeCell ref="B411:E411"/>
    <mergeCell ref="B412:G412"/>
    <mergeCell ref="B413:G413"/>
    <mergeCell ref="B414:C414"/>
    <mergeCell ref="B416:C416"/>
    <mergeCell ref="B417:C417"/>
    <mergeCell ref="B404:C404"/>
    <mergeCell ref="B406:C406"/>
    <mergeCell ref="B407:C407"/>
    <mergeCell ref="B408:C408"/>
    <mergeCell ref="B409:C409"/>
    <mergeCell ref="B410:C410"/>
    <mergeCell ref="B438:G438"/>
    <mergeCell ref="B439:C439"/>
    <mergeCell ref="B441:C441"/>
    <mergeCell ref="B442:C442"/>
    <mergeCell ref="B443:C443"/>
    <mergeCell ref="B444:C444"/>
    <mergeCell ref="B432:C432"/>
    <mergeCell ref="B433:C433"/>
    <mergeCell ref="B434:C434"/>
    <mergeCell ref="B435:C435"/>
    <mergeCell ref="B436:E436"/>
    <mergeCell ref="B437:G437"/>
    <mergeCell ref="C424:E424"/>
    <mergeCell ref="C425:G425"/>
    <mergeCell ref="B426:G426"/>
    <mergeCell ref="B427:G427"/>
    <mergeCell ref="B429:C429"/>
    <mergeCell ref="B431:C431"/>
    <mergeCell ref="B456:C456"/>
    <mergeCell ref="B458:C458"/>
    <mergeCell ref="B459:C459"/>
    <mergeCell ref="B460:C460"/>
    <mergeCell ref="B461:C461"/>
    <mergeCell ref="B462:C462"/>
    <mergeCell ref="D450:E450"/>
    <mergeCell ref="D451:E451"/>
    <mergeCell ref="D452:E452"/>
    <mergeCell ref="B453:G453"/>
    <mergeCell ref="B454:G454"/>
    <mergeCell ref="B455:C455"/>
    <mergeCell ref="B445:C445"/>
    <mergeCell ref="B446:C446"/>
    <mergeCell ref="B447:C447"/>
    <mergeCell ref="B448:C448"/>
    <mergeCell ref="B449:C449"/>
    <mergeCell ref="B450:C452"/>
    <mergeCell ref="C476:E476"/>
    <mergeCell ref="C477:G477"/>
    <mergeCell ref="B478:G478"/>
    <mergeCell ref="B479:G479"/>
    <mergeCell ref="B481:C481"/>
    <mergeCell ref="B483:C483"/>
    <mergeCell ref="B470:E470"/>
    <mergeCell ref="B471:G471"/>
    <mergeCell ref="B472:F472"/>
    <mergeCell ref="B473:E473"/>
    <mergeCell ref="B474:F474"/>
    <mergeCell ref="C475:E475"/>
    <mergeCell ref="B463:E463"/>
    <mergeCell ref="B464:G464"/>
    <mergeCell ref="B465:G465"/>
    <mergeCell ref="B466:C466"/>
    <mergeCell ref="B468:C468"/>
    <mergeCell ref="B469:C469"/>
    <mergeCell ref="B497:C497"/>
    <mergeCell ref="B498:C498"/>
    <mergeCell ref="B499:C499"/>
    <mergeCell ref="B500:C500"/>
    <mergeCell ref="B501:C501"/>
    <mergeCell ref="B502:C504"/>
    <mergeCell ref="B490:G490"/>
    <mergeCell ref="B491:C491"/>
    <mergeCell ref="B493:C493"/>
    <mergeCell ref="B494:C494"/>
    <mergeCell ref="B495:C495"/>
    <mergeCell ref="B496:C496"/>
    <mergeCell ref="B484:C484"/>
    <mergeCell ref="B485:C485"/>
    <mergeCell ref="B486:C486"/>
    <mergeCell ref="B487:C487"/>
    <mergeCell ref="B488:E488"/>
    <mergeCell ref="B489:G489"/>
    <mergeCell ref="B515:E515"/>
    <mergeCell ref="B516:G516"/>
    <mergeCell ref="B517:G517"/>
    <mergeCell ref="B518:C518"/>
    <mergeCell ref="B520:C520"/>
    <mergeCell ref="B521:C521"/>
    <mergeCell ref="B508:C508"/>
    <mergeCell ref="B510:C510"/>
    <mergeCell ref="B511:C511"/>
    <mergeCell ref="B512:C512"/>
    <mergeCell ref="B513:C513"/>
    <mergeCell ref="B514:C514"/>
    <mergeCell ref="D502:E502"/>
    <mergeCell ref="D503:E503"/>
    <mergeCell ref="D504:E504"/>
    <mergeCell ref="B505:G505"/>
    <mergeCell ref="B506:G506"/>
    <mergeCell ref="B507:C507"/>
    <mergeCell ref="B536:C536"/>
    <mergeCell ref="B537:C537"/>
    <mergeCell ref="B538:C538"/>
    <mergeCell ref="B539:C539"/>
    <mergeCell ref="B540:E540"/>
    <mergeCell ref="B541:G541"/>
    <mergeCell ref="C528:E528"/>
    <mergeCell ref="C529:G529"/>
    <mergeCell ref="B530:G530"/>
    <mergeCell ref="B531:G531"/>
    <mergeCell ref="B533:C533"/>
    <mergeCell ref="B535:C535"/>
    <mergeCell ref="B522:E522"/>
    <mergeCell ref="B523:G523"/>
    <mergeCell ref="B524:F524"/>
    <mergeCell ref="B525:E525"/>
    <mergeCell ref="B526:F526"/>
    <mergeCell ref="C527:E527"/>
    <mergeCell ref="D554:E554"/>
    <mergeCell ref="D555:E555"/>
    <mergeCell ref="D556:E556"/>
    <mergeCell ref="B557:G557"/>
    <mergeCell ref="B558:G558"/>
    <mergeCell ref="B559:C559"/>
    <mergeCell ref="B549:C549"/>
    <mergeCell ref="B550:C550"/>
    <mergeCell ref="B551:C551"/>
    <mergeCell ref="B552:C552"/>
    <mergeCell ref="B553:C553"/>
    <mergeCell ref="B554:C556"/>
    <mergeCell ref="B542:G542"/>
    <mergeCell ref="B543:C543"/>
    <mergeCell ref="B545:C545"/>
    <mergeCell ref="B546:C546"/>
    <mergeCell ref="B547:C547"/>
    <mergeCell ref="B548:C548"/>
    <mergeCell ref="B574:E574"/>
    <mergeCell ref="B575:G575"/>
    <mergeCell ref="B576:F576"/>
    <mergeCell ref="B577:E577"/>
    <mergeCell ref="B578:F578"/>
    <mergeCell ref="C579:E579"/>
    <mergeCell ref="B567:E567"/>
    <mergeCell ref="B568:G568"/>
    <mergeCell ref="B569:G569"/>
    <mergeCell ref="B570:C570"/>
    <mergeCell ref="B572:C572"/>
    <mergeCell ref="B573:C573"/>
    <mergeCell ref="B560:C560"/>
    <mergeCell ref="B562:C562"/>
    <mergeCell ref="B563:C563"/>
    <mergeCell ref="B564:C564"/>
    <mergeCell ref="B565:C565"/>
    <mergeCell ref="B566:C566"/>
    <mergeCell ref="B594:G594"/>
    <mergeCell ref="B595:C595"/>
    <mergeCell ref="B597:C597"/>
    <mergeCell ref="B598:C598"/>
    <mergeCell ref="B599:C599"/>
    <mergeCell ref="B600:C600"/>
    <mergeCell ref="B588:C588"/>
    <mergeCell ref="B589:C589"/>
    <mergeCell ref="B590:C590"/>
    <mergeCell ref="B591:C591"/>
    <mergeCell ref="B592:E592"/>
    <mergeCell ref="B593:G593"/>
    <mergeCell ref="C580:E580"/>
    <mergeCell ref="C581:G581"/>
    <mergeCell ref="B582:G582"/>
    <mergeCell ref="B583:G583"/>
    <mergeCell ref="B585:C585"/>
    <mergeCell ref="B587:C587"/>
    <mergeCell ref="B612:C612"/>
    <mergeCell ref="B614:C614"/>
    <mergeCell ref="B615:C615"/>
    <mergeCell ref="B616:C616"/>
    <mergeCell ref="B617:C617"/>
    <mergeCell ref="B618:C618"/>
    <mergeCell ref="D606:E606"/>
    <mergeCell ref="D607:E607"/>
    <mergeCell ref="D608:E608"/>
    <mergeCell ref="B609:G609"/>
    <mergeCell ref="B610:G610"/>
    <mergeCell ref="B611:C611"/>
    <mergeCell ref="B601:C601"/>
    <mergeCell ref="B602:C602"/>
    <mergeCell ref="B603:C603"/>
    <mergeCell ref="B604:C604"/>
    <mergeCell ref="B605:C605"/>
    <mergeCell ref="B606:C608"/>
    <mergeCell ref="C632:E632"/>
    <mergeCell ref="C633:G633"/>
    <mergeCell ref="B634:G634"/>
    <mergeCell ref="B635:G635"/>
    <mergeCell ref="B637:C637"/>
    <mergeCell ref="B639:C639"/>
    <mergeCell ref="B626:E626"/>
    <mergeCell ref="B627:G627"/>
    <mergeCell ref="B628:F628"/>
    <mergeCell ref="B629:E629"/>
    <mergeCell ref="B630:F630"/>
    <mergeCell ref="C631:E631"/>
    <mergeCell ref="B619:E619"/>
    <mergeCell ref="B620:G620"/>
    <mergeCell ref="B621:G621"/>
    <mergeCell ref="B622:C622"/>
    <mergeCell ref="B624:C624"/>
    <mergeCell ref="B625:C625"/>
    <mergeCell ref="B653:C653"/>
    <mergeCell ref="B654:C654"/>
    <mergeCell ref="B655:C655"/>
    <mergeCell ref="B656:C658"/>
    <mergeCell ref="D656:E656"/>
    <mergeCell ref="D657:E657"/>
    <mergeCell ref="D658:E658"/>
    <mergeCell ref="B646:G646"/>
    <mergeCell ref="B647:C647"/>
    <mergeCell ref="B649:C649"/>
    <mergeCell ref="B650:C650"/>
    <mergeCell ref="B651:C651"/>
    <mergeCell ref="B652:C652"/>
    <mergeCell ref="B640:C640"/>
    <mergeCell ref="B641:C641"/>
    <mergeCell ref="B642:C642"/>
    <mergeCell ref="B643:C643"/>
    <mergeCell ref="B644:E644"/>
    <mergeCell ref="B645:G645"/>
    <mergeCell ref="B672:C672"/>
    <mergeCell ref="B674:C674"/>
    <mergeCell ref="B675:C675"/>
    <mergeCell ref="B676:E676"/>
    <mergeCell ref="B677:G677"/>
    <mergeCell ref="B678:F678"/>
    <mergeCell ref="B666:C666"/>
    <mergeCell ref="B667:C667"/>
    <mergeCell ref="B668:C668"/>
    <mergeCell ref="B669:E669"/>
    <mergeCell ref="B670:G670"/>
    <mergeCell ref="B671:G671"/>
    <mergeCell ref="B659:G659"/>
    <mergeCell ref="B660:G660"/>
    <mergeCell ref="B661:C661"/>
    <mergeCell ref="B662:C662"/>
    <mergeCell ref="B664:C664"/>
    <mergeCell ref="B665:C665"/>
    <mergeCell ref="B693:C693"/>
    <mergeCell ref="B694:E694"/>
    <mergeCell ref="B695:G695"/>
    <mergeCell ref="B696:G696"/>
    <mergeCell ref="B697:C697"/>
    <mergeCell ref="B699:C699"/>
    <mergeCell ref="B685:G685"/>
    <mergeCell ref="B687:C687"/>
    <mergeCell ref="B689:C689"/>
    <mergeCell ref="B690:C690"/>
    <mergeCell ref="B691:C691"/>
    <mergeCell ref="B692:C692"/>
    <mergeCell ref="B679:E679"/>
    <mergeCell ref="B680:F680"/>
    <mergeCell ref="C681:E681"/>
    <mergeCell ref="C682:E682"/>
    <mergeCell ref="C683:G683"/>
    <mergeCell ref="B684:G684"/>
    <mergeCell ref="B711:G711"/>
    <mergeCell ref="B712:C712"/>
    <mergeCell ref="B713:C713"/>
    <mergeCell ref="B715:C715"/>
    <mergeCell ref="B716:C716"/>
    <mergeCell ref="B717:C717"/>
    <mergeCell ref="B706:C706"/>
    <mergeCell ref="B707:C709"/>
    <mergeCell ref="D707:E707"/>
    <mergeCell ref="D708:E708"/>
    <mergeCell ref="D709:E709"/>
    <mergeCell ref="B710:G710"/>
    <mergeCell ref="B700:C700"/>
    <mergeCell ref="B701:C701"/>
    <mergeCell ref="B702:C702"/>
    <mergeCell ref="B703:C703"/>
    <mergeCell ref="B704:C704"/>
    <mergeCell ref="B705:C705"/>
    <mergeCell ref="B731:F731"/>
    <mergeCell ref="C732:E732"/>
    <mergeCell ref="C733:E733"/>
    <mergeCell ref="C734:G734"/>
    <mergeCell ref="B735:G735"/>
    <mergeCell ref="B736:G736"/>
    <mergeCell ref="B725:C725"/>
    <mergeCell ref="B726:C726"/>
    <mergeCell ref="B727:E727"/>
    <mergeCell ref="B728:G728"/>
    <mergeCell ref="B729:F729"/>
    <mergeCell ref="B730:E730"/>
    <mergeCell ref="B718:C718"/>
    <mergeCell ref="B719:C719"/>
    <mergeCell ref="B720:E720"/>
    <mergeCell ref="B721:G721"/>
    <mergeCell ref="B722:G722"/>
    <mergeCell ref="B723:C723"/>
    <mergeCell ref="B752:C752"/>
    <mergeCell ref="B753:C753"/>
    <mergeCell ref="B754:C754"/>
    <mergeCell ref="B755:C755"/>
    <mergeCell ref="B756:C756"/>
    <mergeCell ref="B757:C757"/>
    <mergeCell ref="B745:C745"/>
    <mergeCell ref="B746:E746"/>
    <mergeCell ref="B747:G747"/>
    <mergeCell ref="B748:G748"/>
    <mergeCell ref="B749:C749"/>
    <mergeCell ref="B751:C751"/>
    <mergeCell ref="B738:C738"/>
    <mergeCell ref="B740:C740"/>
    <mergeCell ref="B741:C741"/>
    <mergeCell ref="B742:C742"/>
    <mergeCell ref="B743:C743"/>
    <mergeCell ref="B744:C744"/>
    <mergeCell ref="B770:C770"/>
    <mergeCell ref="B771:C771"/>
    <mergeCell ref="B772:C772"/>
    <mergeCell ref="B773:E773"/>
    <mergeCell ref="B774:G774"/>
    <mergeCell ref="B775:G775"/>
    <mergeCell ref="B763:G763"/>
    <mergeCell ref="B764:G764"/>
    <mergeCell ref="B765:C765"/>
    <mergeCell ref="B766:C766"/>
    <mergeCell ref="B768:C768"/>
    <mergeCell ref="B769:C769"/>
    <mergeCell ref="B758:C758"/>
    <mergeCell ref="B759:C759"/>
    <mergeCell ref="B760:C762"/>
    <mergeCell ref="D760:E760"/>
    <mergeCell ref="D761:E761"/>
    <mergeCell ref="D762:E762"/>
    <mergeCell ref="C1090:G1090"/>
    <mergeCell ref="B1091:G1091"/>
    <mergeCell ref="B1092:G1092"/>
    <mergeCell ref="B1094:C1094"/>
    <mergeCell ref="B1096:C1096"/>
    <mergeCell ref="B1097:C1097"/>
    <mergeCell ref="C1088:E1088"/>
    <mergeCell ref="C1089:E1089"/>
    <mergeCell ref="B789:G789"/>
    <mergeCell ref="B791:C791"/>
    <mergeCell ref="C787:G787"/>
    <mergeCell ref="B788:G788"/>
    <mergeCell ref="B793:C793"/>
    <mergeCell ref="B798:C798"/>
    <mergeCell ref="B799:E799"/>
    <mergeCell ref="B800:G800"/>
    <mergeCell ref="B776:C776"/>
    <mergeCell ref="B778:C778"/>
    <mergeCell ref="B779:C779"/>
    <mergeCell ref="B780:E780"/>
    <mergeCell ref="C785:E785"/>
    <mergeCell ref="C786:E786"/>
    <mergeCell ref="B781:G781"/>
    <mergeCell ref="B782:F782"/>
    <mergeCell ref="B783:E783"/>
    <mergeCell ref="B784:F784"/>
    <mergeCell ref="B811:C811"/>
    <mergeCell ref="B812:C812"/>
    <mergeCell ref="B813:C815"/>
    <mergeCell ref="D813:E813"/>
    <mergeCell ref="D814:E814"/>
    <mergeCell ref="D815:E815"/>
    <mergeCell ref="B1111:C1111"/>
    <mergeCell ref="B1112:C1112"/>
    <mergeCell ref="B1113:C1115"/>
    <mergeCell ref="D1113:E1113"/>
    <mergeCell ref="D1114:E1114"/>
    <mergeCell ref="D1115:E1115"/>
    <mergeCell ref="B1104:C1104"/>
    <mergeCell ref="B1106:C1106"/>
    <mergeCell ref="B1107:C1107"/>
    <mergeCell ref="B1108:C1108"/>
    <mergeCell ref="B1109:C1109"/>
    <mergeCell ref="B1110:C1110"/>
    <mergeCell ref="B1098:C1098"/>
    <mergeCell ref="B1099:C1099"/>
    <mergeCell ref="B1100:C1100"/>
    <mergeCell ref="B1101:E1101"/>
    <mergeCell ref="B1102:G1102"/>
    <mergeCell ref="B1103:G1103"/>
    <mergeCell ref="B1136:E1136"/>
    <mergeCell ref="B1137:F1137"/>
    <mergeCell ref="B1129:C1129"/>
    <mergeCell ref="B1131:C1131"/>
    <mergeCell ref="B1132:C1132"/>
    <mergeCell ref="B1133:E1133"/>
    <mergeCell ref="B1134:G1134"/>
    <mergeCell ref="B1135:F1135"/>
    <mergeCell ref="B1123:C1123"/>
    <mergeCell ref="B1124:C1124"/>
    <mergeCell ref="B1125:C1125"/>
    <mergeCell ref="B1126:E1126"/>
    <mergeCell ref="B1127:G1127"/>
    <mergeCell ref="B1128:G1128"/>
    <mergeCell ref="B1116:G1116"/>
    <mergeCell ref="B1117:G1117"/>
    <mergeCell ref="B1118:C1118"/>
    <mergeCell ref="B1119:C1119"/>
    <mergeCell ref="B1121:C1121"/>
    <mergeCell ref="B1122:C1122"/>
  </mergeCells>
  <phoneticPr fontId="0" type="noConversion"/>
  <hyperlinks>
    <hyperlink ref="H6" location="'ITEMS RESUMEN'!CARPINTERIA_METALICA_Y_ALUMINIO" display="volver"/>
    <hyperlink ref="H31" location="'ITEMS RESUMEN'!CARPINTERIA_METALICA_Y_ALUMINIO" display="volver"/>
    <hyperlink ref="H57" location="'ITEMS RESUMEN'!CARPINTERIA_METALICA_Y_ALUMINIO" display="volver"/>
    <hyperlink ref="H82" location="'ITEMS RESUMEN'!CARPINTERIA_METALICA_Y_ALUMINIO" display="volver"/>
    <hyperlink ref="H109" location="'ITEMS RESUMEN'!CARPINTERIA_METALICA_Y_ALUMINIO" display="volver"/>
    <hyperlink ref="H134" location="'ITEMS RESUMEN'!CARPINTERIA_METALICA_Y_ALUMINIO" display="volver"/>
    <hyperlink ref="H161" location="'ITEMS RESUMEN'!CARPINTERIA_METALICA_Y_ALUMINIO" display="volver"/>
    <hyperlink ref="H187" location="'ITEMS RESUMEN'!CARPINTERIA_METALICA_Y_ALUMINIO" display="volver"/>
    <hyperlink ref="H213" location="'ITEMS RESUMEN'!CARPINTERIA_METALICA_Y_ALUMINIO" display="volver"/>
    <hyperlink ref="H238" location="'ITEMS RESUMEN'!CARPINTERIA_METALICA_Y_ALUMINIO" display="volver"/>
    <hyperlink ref="H265" location="'ITEMS RESUMEN'!CARPINTERIA_METALICA_Y_ALUMINIO" display="volver"/>
    <hyperlink ref="H290" location="'ITEMS RESUMEN'!CARPINTERIA_METALICA_Y_ALUMINIO" display="volver"/>
    <hyperlink ref="H317" location="'ITEMS RESUMEN'!CARPINTERIA_METALICA_Y_ALUMINIO" display="volver"/>
    <hyperlink ref="H342" location="'ITEMS RESUMEN'!CARPINTERIA_METALICA_Y_ALUMINIO" display="volver"/>
    <hyperlink ref="H369" location="'ITEMS RESUMEN'!CARPINTERIA_METALICA_Y_ALUMINIO" display="volver"/>
    <hyperlink ref="H395" location="'ITEMS RESUMEN'!CARPINTERIA_METALICA_Y_ALUMINIO" display="volver"/>
    <hyperlink ref="H422" location="'ITEMS RESUMEN'!CARPINTERIA_METALICA_Y_ALUMINIO" display="volver"/>
    <hyperlink ref="H447" location="'ITEMS RESUMEN'!CARPINTERIA_METALICA_Y_ALUMINIO" display="volver"/>
    <hyperlink ref="H474" location="'ITEMS RESUMEN'!CARPINTERIA_METALICA_Y_ALUMINIO" display="volver"/>
    <hyperlink ref="H499" location="'ITEMS RESUMEN'!CARPINTERIA_METALICA_Y_ALUMINIO" display="volver"/>
    <hyperlink ref="H526" location="'ITEMS RESUMEN'!CARPINTERIA_METALICA_Y_ALUMINIO" display="volver"/>
    <hyperlink ref="H551" location="'ITEMS RESUMEN'!CARPINTERIA_METALICA_Y_ALUMINIO" display="volver"/>
    <hyperlink ref="H578" location="'ITEMS RESUMEN'!CARPINTERIA_METALICA_Y_ALUMINIO" display="volver"/>
    <hyperlink ref="H603" location="'ITEMS RESUMEN'!CARPINTERIA_METALICA_Y_ALUMINIO" display="volver"/>
    <hyperlink ref="H630" location="'ITEMS RESUMEN'!CARPINTERIA_METALICA_Y_ALUMINIO" display="volver"/>
    <hyperlink ref="H654" location="'ITEMS RESUMEN'!CARPINTERIA_METALICA_Y_ALUMINIO" display="volver"/>
    <hyperlink ref="H680" location="'ITEMS RESUMEN'!CARPINTERIA_METALICA_Y_ALUMINIO" display="volver"/>
    <hyperlink ref="H704" location="'ITEMS RESUMEN'!CARPINTERIA_METALICA_Y_ALUMINIO" display="volver"/>
    <hyperlink ref="H731" location="'ITEMS RESUMEN'!CARPINTERIA_METALICA_Y_ALUMINIO" display="volver"/>
    <hyperlink ref="H757" location="'ITEMS RESUMEN'!CARPINTERIA_METALICA_Y_ALUMINIO" display="volver"/>
    <hyperlink ref="H784" location="'ITEMS RESUMEN'!CARPINTERIA_METALICA_Y_ALUMINIO" display="volver"/>
    <hyperlink ref="H811" location="'ITEMS RESUMEN'!CARPINTERIA_METALICA_Y_ALUMINIO" display="volver"/>
    <hyperlink ref="H837" location="'ITEMS RESUMEN'!CARPINTERIA_METALICA_Y_ALUMINIO" display="volver"/>
    <hyperlink ref="H860" location="'ITEMS RESUMEN'!CARPINTERIA_METALICA_Y_ALUMINIO" display="volver"/>
    <hyperlink ref="H887" location="'ITEMS RESUMEN'!CARPINTERIA_METALICA_Y_ALUMINIO" display="volver"/>
    <hyperlink ref="H911" location="'ITEMS RESUMEN'!CARPINTERIA_METALICA_Y_ALUMINIO" display="volver"/>
    <hyperlink ref="H937" location="'ITEMS RESUMEN'!CARPINTERIA_METALICA_Y_ALUMINIO" display="volver"/>
    <hyperlink ref="H961" location="'ITEMS RESUMEN'!CARPINTERIA_METALICA_Y_ALUMINIO" display="volver"/>
    <hyperlink ref="H987" location="'ITEMS RESUMEN'!CARPINTERIA_METALICA_Y_ALUMINIO" display="volver"/>
    <hyperlink ref="H1011" location="'ITEMS RESUMEN'!CARPINTERIA_METALICA_Y_ALUMINIO" display="volver"/>
    <hyperlink ref="H1037" location="'ITEMS RESUMEN'!CARPINTERIA_METALICA_Y_ALUMINIO" display="volver"/>
    <hyperlink ref="H1060" location="'ITEMS RESUMEN'!CARPINTERIA_METALICA_Y_ALUMINIO" display="volver"/>
    <hyperlink ref="H1087" location="'ITEMS RESUMEN'!CARPINTERIA_METALICA_Y_ALUMINIO" display="volver"/>
    <hyperlink ref="H1111" location="'ITEMS RESUMEN'!CARPINTERIA_METALICA_Y_ALUMINIO" display="volver"/>
    <hyperlink ref="H1137" location="'ITEMS RESUMEN'!CARPINTERIA_METALICA_Y_ALUMINIO" display="volver"/>
  </hyperlinks>
  <printOptions horizontalCentered="1" verticalCentered="1"/>
  <pageMargins left="0" right="0" top="0" bottom="0" header="0" footer="0"/>
  <pageSetup scale="85" orientation="portrait" r:id="rId1"/>
  <headerFooter alignWithMargins="0"/>
  <rowBreaks count="21" manualBreakCount="21">
    <brk id="57" min="1" max="6" man="1"/>
    <brk id="109" min="1" max="6" man="1"/>
    <brk id="161" min="1" max="6" man="1"/>
    <brk id="213" min="1" max="6" man="1"/>
    <brk id="265" min="1" max="6" man="1"/>
    <brk id="317" min="1" max="6" man="1"/>
    <brk id="369" min="1" max="6" man="1"/>
    <brk id="422" min="1" max="6" man="1"/>
    <brk id="474" min="1" max="6" man="1"/>
    <brk id="526" min="1" max="6" man="1"/>
    <brk id="578" min="1" max="6" man="1"/>
    <brk id="630" min="1" max="6" man="1"/>
    <brk id="680" min="1" max="6" man="1"/>
    <brk id="731" min="1" max="6" man="1"/>
    <brk id="784" min="1" max="6" man="1"/>
    <brk id="837" min="1" max="6" man="1"/>
    <brk id="887" min="1" max="6" man="1"/>
    <brk id="937" min="1" max="6" man="1"/>
    <brk id="987" min="1" max="6" man="1"/>
    <brk id="1037" min="1" max="6" man="1"/>
    <brk id="1087" min="1" max="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4"/>
  <dimension ref="A1:H910"/>
  <sheetViews>
    <sheetView topLeftCell="A879" zoomScale="85" zoomScaleNormal="85" workbookViewId="0">
      <selection activeCell="H909" sqref="H909"/>
    </sheetView>
  </sheetViews>
  <sheetFormatPr baseColWidth="10" defaultRowHeight="12.75"/>
  <cols>
    <col min="1" max="1" width="11.42578125" style="426"/>
    <col min="2" max="2" width="12.7109375" style="426" customWidth="1"/>
    <col min="3" max="3" width="27.28515625" style="426" customWidth="1"/>
    <col min="4" max="4" width="12.7109375" style="426" customWidth="1"/>
    <col min="5" max="5" width="13.7109375" style="426" customWidth="1"/>
    <col min="6" max="6" width="14.7109375" style="426" customWidth="1"/>
    <col min="7" max="7" width="16.7109375" style="426" customWidth="1"/>
    <col min="8" max="16384" width="11.42578125" style="426"/>
  </cols>
  <sheetData>
    <row r="1" spans="1:7" customFormat="1" ht="19.5" thickTop="1">
      <c r="A1" s="95"/>
      <c r="B1" s="90"/>
      <c r="C1" s="848" t="s">
        <v>1618</v>
      </c>
      <c r="D1" s="848"/>
      <c r="E1" s="848"/>
      <c r="F1" s="848"/>
      <c r="G1" s="849"/>
    </row>
    <row r="2" spans="1:7" customFormat="1" ht="18.75">
      <c r="A2" s="95"/>
      <c r="B2" s="91"/>
      <c r="C2" s="780" t="s">
        <v>302</v>
      </c>
      <c r="D2" s="780"/>
      <c r="E2" s="780"/>
      <c r="F2" s="780"/>
      <c r="G2" s="850"/>
    </row>
    <row r="3" spans="1:7" customFormat="1" ht="18.75">
      <c r="A3" s="95"/>
      <c r="B3" s="91"/>
      <c r="C3" s="781" t="s">
        <v>1054</v>
      </c>
      <c r="D3" s="781"/>
      <c r="E3" s="781"/>
      <c r="F3" s="781"/>
      <c r="G3" s="851"/>
    </row>
    <row r="4" spans="1:7" customFormat="1" ht="15.75" thickBot="1">
      <c r="A4" s="95"/>
      <c r="B4" s="421"/>
      <c r="C4" s="856" t="s">
        <v>780</v>
      </c>
      <c r="D4" s="856"/>
      <c r="E4" s="856"/>
      <c r="F4" s="856"/>
      <c r="G4" s="857"/>
    </row>
    <row r="5" spans="1:7" ht="14.25" hidden="1" thickTop="1" thickBot="1">
      <c r="A5" s="422"/>
      <c r="B5" s="423" t="s">
        <v>303</v>
      </c>
      <c r="C5" s="1064"/>
      <c r="D5" s="1064"/>
      <c r="E5" s="1064"/>
      <c r="F5" s="424" t="s">
        <v>781</v>
      </c>
      <c r="G5" s="425" t="s">
        <v>831</v>
      </c>
    </row>
    <row r="6" spans="1:7" ht="14.25" hidden="1" thickTop="1" thickBot="1">
      <c r="A6" s="422" t="s">
        <v>837</v>
      </c>
      <c r="B6" s="427" t="s">
        <v>834</v>
      </c>
      <c r="C6" s="1065" t="s">
        <v>1619</v>
      </c>
      <c r="D6" s="1065"/>
      <c r="E6" s="1065"/>
      <c r="F6" s="428" t="s">
        <v>833</v>
      </c>
      <c r="G6" s="429" t="str">
        <f>'[1]MANO DE OBRA'!$D$61</f>
        <v>Septiembre de 2009</v>
      </c>
    </row>
    <row r="7" spans="1:7" ht="14.25" hidden="1" thickTop="1" thickBot="1">
      <c r="A7" s="430">
        <v>18001</v>
      </c>
      <c r="B7" s="431" t="s">
        <v>835</v>
      </c>
      <c r="C7" s="1071" t="s">
        <v>1620</v>
      </c>
      <c r="D7" s="1072"/>
      <c r="E7" s="1072"/>
      <c r="F7" s="1072"/>
      <c r="G7" s="1073"/>
    </row>
    <row r="8" spans="1:7" ht="14.25" hidden="1" thickTop="1" thickBot="1">
      <c r="A8" s="422"/>
      <c r="B8" s="1068"/>
      <c r="C8" s="1068"/>
      <c r="D8" s="1068"/>
      <c r="E8" s="1068"/>
      <c r="F8" s="1068"/>
      <c r="G8" s="1068"/>
    </row>
    <row r="9" spans="1:7" ht="14.25" hidden="1" thickTop="1" thickBot="1">
      <c r="A9" s="95"/>
      <c r="B9" s="811" t="s">
        <v>304</v>
      </c>
      <c r="C9" s="812"/>
      <c r="D9" s="812"/>
      <c r="E9" s="812"/>
      <c r="F9" s="812"/>
      <c r="G9" s="825"/>
    </row>
    <row r="10" spans="1:7" ht="14.25" hidden="1" thickTop="1" thickBot="1">
      <c r="A10" s="95"/>
      <c r="B10" s="229"/>
      <c r="C10" s="97"/>
      <c r="D10" s="98" t="s">
        <v>301</v>
      </c>
      <c r="E10" s="98" t="s">
        <v>1072</v>
      </c>
      <c r="F10" s="99" t="s">
        <v>839</v>
      </c>
      <c r="G10" s="107" t="s">
        <v>840</v>
      </c>
    </row>
    <row r="11" spans="1:7" ht="14.25" hidden="1" thickTop="1" thickBot="1">
      <c r="A11" s="95"/>
      <c r="B11" s="821" t="s">
        <v>838</v>
      </c>
      <c r="C11" s="822"/>
      <c r="D11" s="100" t="s">
        <v>308</v>
      </c>
      <c r="E11" s="100" t="s">
        <v>305</v>
      </c>
      <c r="F11" s="101" t="s">
        <v>306</v>
      </c>
      <c r="G11" s="108" t="s">
        <v>310</v>
      </c>
    </row>
    <row r="12" spans="1:7" ht="14.25" hidden="1" thickTop="1" thickBot="1">
      <c r="A12" s="95"/>
      <c r="B12" s="230"/>
      <c r="C12" s="102"/>
      <c r="D12" s="103"/>
      <c r="E12" s="103" t="s">
        <v>309</v>
      </c>
      <c r="F12" s="104" t="s">
        <v>307</v>
      </c>
      <c r="G12" s="109"/>
    </row>
    <row r="13" spans="1:7" ht="14.25" hidden="1" thickTop="1" thickBot="1">
      <c r="A13" s="127">
        <f>[1]MAQUINARIA!$A$28</f>
        <v>10120</v>
      </c>
      <c r="B13" s="823" t="str">
        <f>[1]MAQUINARIA!$B$28</f>
        <v>HERRAMIENTAS MENORES</v>
      </c>
      <c r="C13" s="824"/>
      <c r="D13" s="87">
        <v>1</v>
      </c>
      <c r="E13" s="82">
        <f>ROUND(G46*0.05,0)</f>
        <v>149</v>
      </c>
      <c r="F13" s="81">
        <v>1</v>
      </c>
      <c r="G13" s="110">
        <f>ROUND(D13*E13/F13,0)</f>
        <v>149</v>
      </c>
    </row>
    <row r="14" spans="1:7" ht="14.25" hidden="1" thickTop="1" thickBot="1">
      <c r="A14" s="95">
        <f>[1]MAQUINARIA!$A$24</f>
        <v>10116</v>
      </c>
      <c r="B14" s="835" t="str">
        <f>[1]MAQUINARIA!$B$24</f>
        <v>EQUIPO TOPOGRAFIA</v>
      </c>
      <c r="C14" s="836"/>
      <c r="D14" s="37">
        <v>1</v>
      </c>
      <c r="E14" s="129">
        <f>[1]MAQUINARIA!$C$24</f>
        <v>50000</v>
      </c>
      <c r="F14" s="83">
        <f>F41</f>
        <v>65</v>
      </c>
      <c r="G14" s="111">
        <f>ROUND(D14*E14/F14,0)</f>
        <v>769</v>
      </c>
    </row>
    <row r="15" spans="1:7" ht="14.25" hidden="1" thickTop="1" thickBot="1">
      <c r="A15" s="95"/>
      <c r="B15" s="835"/>
      <c r="C15" s="836"/>
      <c r="D15" s="89"/>
      <c r="E15" s="82"/>
      <c r="F15" s="83"/>
      <c r="G15" s="111"/>
    </row>
    <row r="16" spans="1:7" ht="14.25" hidden="1" thickTop="1" thickBot="1">
      <c r="A16" s="95"/>
      <c r="B16" s="835"/>
      <c r="C16" s="836"/>
      <c r="D16" s="89"/>
      <c r="E16" s="82"/>
      <c r="F16" s="83"/>
      <c r="G16" s="111"/>
    </row>
    <row r="17" spans="1:7" ht="14.25" hidden="1" thickTop="1" thickBot="1">
      <c r="A17" s="95"/>
      <c r="B17" s="835" t="s">
        <v>841</v>
      </c>
      <c r="C17" s="836"/>
      <c r="D17" s="37"/>
      <c r="E17" s="82"/>
      <c r="F17" s="83"/>
      <c r="G17" s="111"/>
    </row>
    <row r="18" spans="1:7" ht="14.25" hidden="1" thickTop="1" thickBot="1">
      <c r="A18" s="95"/>
      <c r="B18" s="839" t="s">
        <v>841</v>
      </c>
      <c r="C18" s="840"/>
      <c r="D18" s="77"/>
      <c r="E18" s="106"/>
      <c r="F18" s="86"/>
      <c r="G18" s="112"/>
    </row>
    <row r="19" spans="1:7" ht="14.25" hidden="1" thickTop="1" thickBot="1">
      <c r="A19" s="95"/>
      <c r="B19" s="808"/>
      <c r="C19" s="808"/>
      <c r="D19" s="808"/>
      <c r="E19" s="809"/>
      <c r="F19" s="119" t="s">
        <v>856</v>
      </c>
      <c r="G19" s="118">
        <f>SUM(G13:G18)</f>
        <v>918</v>
      </c>
    </row>
    <row r="20" spans="1:7" ht="14.25" hidden="1" thickTop="1" thickBot="1">
      <c r="A20" s="95"/>
      <c r="B20" s="830"/>
      <c r="C20" s="830"/>
      <c r="D20" s="830"/>
      <c r="E20" s="830"/>
      <c r="F20" s="830"/>
      <c r="G20" s="830"/>
    </row>
    <row r="21" spans="1:7" ht="14.25" hidden="1" thickTop="1" thickBot="1">
      <c r="A21" s="95"/>
      <c r="B21" s="811" t="s">
        <v>311</v>
      </c>
      <c r="C21" s="812"/>
      <c r="D21" s="812"/>
      <c r="E21" s="812"/>
      <c r="F21" s="812"/>
      <c r="G21" s="825"/>
    </row>
    <row r="22" spans="1:7" ht="14.25" hidden="1" thickTop="1" thickBot="1">
      <c r="A22" s="95"/>
      <c r="B22" s="817" t="s">
        <v>838</v>
      </c>
      <c r="C22" s="818"/>
      <c r="D22" s="98" t="s">
        <v>842</v>
      </c>
      <c r="E22" s="98" t="s">
        <v>853</v>
      </c>
      <c r="F22" s="99" t="s">
        <v>1047</v>
      </c>
      <c r="G22" s="107" t="s">
        <v>840</v>
      </c>
    </row>
    <row r="23" spans="1:7" ht="14.25" hidden="1" thickTop="1" thickBot="1">
      <c r="A23" s="95"/>
      <c r="B23" s="230"/>
      <c r="C23" s="102"/>
      <c r="D23" s="100"/>
      <c r="E23" s="100" t="s">
        <v>312</v>
      </c>
      <c r="F23" s="101" t="s">
        <v>313</v>
      </c>
      <c r="G23" s="108" t="s">
        <v>314</v>
      </c>
    </row>
    <row r="24" spans="1:7" ht="14.25" hidden="1" thickTop="1" thickBot="1">
      <c r="A24" s="125">
        <f>[1]MATERIALES!$A$884</f>
        <v>22303</v>
      </c>
      <c r="B24" s="232" t="str">
        <f>[1]MATERIALES!$B$884</f>
        <v>ESTACAS 2"x2"x0.50 M</v>
      </c>
      <c r="C24" s="126"/>
      <c r="D24" s="87" t="str">
        <f>[1]MATERIALES!$C$884</f>
        <v>UND</v>
      </c>
      <c r="E24" s="10">
        <v>2</v>
      </c>
      <c r="F24" s="80">
        <f>[1]MATERIALES!$D$884</f>
        <v>319</v>
      </c>
      <c r="G24" s="110">
        <f>ROUND(E24*F24,0)</f>
        <v>638</v>
      </c>
    </row>
    <row r="25" spans="1:7" ht="14.25" hidden="1" thickTop="1" thickBot="1">
      <c r="A25" s="123">
        <f>[1]MATERIALES!$A$891</f>
        <v>22310</v>
      </c>
      <c r="B25" s="233" t="str">
        <f>[1]MATERIALES!$B$891</f>
        <v>PUNTILLAS DE 2"</v>
      </c>
      <c r="C25" s="124"/>
      <c r="D25" s="88" t="str">
        <f>[1]MATERIALES!$C$891</f>
        <v>LB</v>
      </c>
      <c r="E25" s="53">
        <v>0.02</v>
      </c>
      <c r="F25" s="82">
        <f>[1]MATERIALES!$D$891</f>
        <v>1500</v>
      </c>
      <c r="G25" s="111">
        <f>ROUND(E25*F25,0)</f>
        <v>30</v>
      </c>
    </row>
    <row r="26" spans="1:7" ht="14.25" hidden="1" thickTop="1" thickBot="1">
      <c r="A26" s="95"/>
      <c r="B26" s="835"/>
      <c r="C26" s="836"/>
      <c r="D26" s="37"/>
      <c r="E26" s="55"/>
      <c r="F26" s="82"/>
      <c r="G26" s="111"/>
    </row>
    <row r="27" spans="1:7" ht="14.25" hidden="1" thickTop="1" thickBot="1">
      <c r="A27" s="95"/>
      <c r="B27" s="835"/>
      <c r="C27" s="836"/>
      <c r="D27" s="37"/>
      <c r="E27" s="55"/>
      <c r="F27" s="82"/>
      <c r="G27" s="111"/>
    </row>
    <row r="28" spans="1:7" ht="14.25" hidden="1" thickTop="1" thickBot="1">
      <c r="A28" s="95"/>
      <c r="B28" s="837"/>
      <c r="C28" s="838"/>
      <c r="D28" s="37"/>
      <c r="E28" s="55"/>
      <c r="F28" s="82"/>
      <c r="G28" s="111"/>
    </row>
    <row r="29" spans="1:7" ht="14.25" hidden="1" thickTop="1" thickBot="1">
      <c r="A29" s="95"/>
      <c r="B29" s="837"/>
      <c r="C29" s="838"/>
      <c r="D29" s="53" t="s">
        <v>841</v>
      </c>
      <c r="E29" s="53"/>
      <c r="F29" s="82"/>
      <c r="G29" s="111"/>
    </row>
    <row r="30" spans="1:7" ht="14.25" hidden="1" thickTop="1" thickBot="1">
      <c r="A30" s="95"/>
      <c r="B30" s="837" t="s">
        <v>841</v>
      </c>
      <c r="C30" s="838"/>
      <c r="D30" s="53" t="s">
        <v>841</v>
      </c>
      <c r="E30" s="53"/>
      <c r="F30" s="82"/>
      <c r="G30" s="111"/>
    </row>
    <row r="31" spans="1:7" ht="14.25" hidden="1" thickTop="1" thickBot="1">
      <c r="A31" s="95"/>
      <c r="B31" s="837" t="s">
        <v>841</v>
      </c>
      <c r="C31" s="838"/>
      <c r="D31" s="53" t="s">
        <v>841</v>
      </c>
      <c r="E31" s="53"/>
      <c r="F31" s="82"/>
      <c r="G31" s="111"/>
    </row>
    <row r="32" spans="1:7" ht="14.25" hidden="1" thickTop="1" thickBot="1">
      <c r="A32" s="95"/>
      <c r="B32" s="839" t="s">
        <v>841</v>
      </c>
      <c r="C32" s="840"/>
      <c r="D32" s="84" t="s">
        <v>841</v>
      </c>
      <c r="E32" s="84"/>
      <c r="F32" s="85"/>
      <c r="G32" s="112"/>
    </row>
    <row r="33" spans="1:7" ht="14.25" hidden="1" thickTop="1" thickBot="1">
      <c r="A33" s="95"/>
      <c r="B33" s="808"/>
      <c r="C33" s="809"/>
      <c r="D33" s="801" t="s">
        <v>856</v>
      </c>
      <c r="E33" s="802"/>
      <c r="F33" s="9"/>
      <c r="G33" s="113">
        <f>SUM(G24:G32)</f>
        <v>668</v>
      </c>
    </row>
    <row r="34" spans="1:7" ht="14.25" hidden="1" thickTop="1" thickBot="1">
      <c r="A34" s="95"/>
      <c r="B34" s="819"/>
      <c r="C34" s="820"/>
      <c r="D34" s="801" t="s">
        <v>857</v>
      </c>
      <c r="E34" s="802"/>
      <c r="F34" s="79">
        <f>'[1]MANO DE OBRA'!$D$60</f>
        <v>0.05</v>
      </c>
      <c r="G34" s="113">
        <f>ROUND(G33*F34,0)</f>
        <v>33</v>
      </c>
    </row>
    <row r="35" spans="1:7" ht="14.25" hidden="1" thickTop="1" thickBot="1">
      <c r="A35" s="95"/>
      <c r="B35" s="819"/>
      <c r="C35" s="820"/>
      <c r="D35" s="803" t="s">
        <v>320</v>
      </c>
      <c r="E35" s="804"/>
      <c r="F35" s="114"/>
      <c r="G35" s="118">
        <f>+G33+G34</f>
        <v>701</v>
      </c>
    </row>
    <row r="36" spans="1:7" ht="14.25" hidden="1" thickTop="1" thickBot="1">
      <c r="A36" s="95"/>
      <c r="B36" s="830"/>
      <c r="C36" s="830"/>
      <c r="D36" s="830"/>
      <c r="E36" s="830"/>
      <c r="F36" s="830"/>
      <c r="G36" s="830"/>
    </row>
    <row r="37" spans="1:7" ht="14.25" hidden="1" thickTop="1" thickBot="1">
      <c r="A37" s="95"/>
      <c r="B37" s="811" t="s">
        <v>858</v>
      </c>
      <c r="C37" s="812"/>
      <c r="D37" s="812"/>
      <c r="E37" s="812"/>
      <c r="F37" s="812"/>
      <c r="G37" s="825"/>
    </row>
    <row r="38" spans="1:7" ht="14.25" hidden="1" thickTop="1" thickBot="1">
      <c r="A38" s="95"/>
      <c r="B38" s="817"/>
      <c r="C38" s="818"/>
      <c r="D38" s="98" t="s">
        <v>301</v>
      </c>
      <c r="E38" s="98" t="s">
        <v>859</v>
      </c>
      <c r="F38" s="99" t="s">
        <v>839</v>
      </c>
      <c r="G38" s="107" t="s">
        <v>840</v>
      </c>
    </row>
    <row r="39" spans="1:7" ht="14.25" hidden="1" thickTop="1" thickBot="1">
      <c r="A39" s="95"/>
      <c r="B39" s="821" t="s">
        <v>838</v>
      </c>
      <c r="C39" s="822"/>
      <c r="D39" s="100" t="s">
        <v>316</v>
      </c>
      <c r="E39" s="100" t="s">
        <v>315</v>
      </c>
      <c r="F39" s="101" t="s">
        <v>306</v>
      </c>
      <c r="G39" s="108" t="s">
        <v>319</v>
      </c>
    </row>
    <row r="40" spans="1:7" ht="14.25" hidden="1" thickTop="1" thickBot="1">
      <c r="A40" s="95"/>
      <c r="B40" s="230"/>
      <c r="C40" s="102"/>
      <c r="D40" s="103"/>
      <c r="E40" s="103" t="s">
        <v>317</v>
      </c>
      <c r="F40" s="104" t="s">
        <v>318</v>
      </c>
      <c r="G40" s="109"/>
    </row>
    <row r="41" spans="1:7" ht="14.25" hidden="1" thickTop="1" thickBot="1">
      <c r="A41" s="95">
        <f>'[1]MANO DE OBRA'!$A$23</f>
        <v>30113</v>
      </c>
      <c r="B41" s="823" t="str">
        <f>'[1]MANO DE OBRA'!$B$23</f>
        <v>TOPOGRAFO</v>
      </c>
      <c r="C41" s="824"/>
      <c r="D41" s="87">
        <v>1</v>
      </c>
      <c r="E41" s="80">
        <f>'[1]MANO DE OBRA'!$E$23</f>
        <v>100092</v>
      </c>
      <c r="F41" s="81">
        <v>65</v>
      </c>
      <c r="G41" s="110">
        <f>ROUND(D41*E41/F41,0)</f>
        <v>1540</v>
      </c>
    </row>
    <row r="42" spans="1:7" ht="14.25" hidden="1" thickTop="1" thickBot="1">
      <c r="A42" s="95">
        <f>'[1]MANO DE OBRA'!$A$24</f>
        <v>30114</v>
      </c>
      <c r="B42" s="835" t="str">
        <f>'[1]MANO DE OBRA'!$B$24</f>
        <v>CADENERO</v>
      </c>
      <c r="C42" s="836"/>
      <c r="D42" s="37">
        <v>1</v>
      </c>
      <c r="E42" s="82">
        <f>'[1]MANO DE OBRA'!$E$24</f>
        <v>59565</v>
      </c>
      <c r="F42" s="83">
        <f>F41</f>
        <v>65</v>
      </c>
      <c r="G42" s="111">
        <f>ROUND(D42*E42/F42,0)</f>
        <v>916</v>
      </c>
    </row>
    <row r="43" spans="1:7" ht="14.25" hidden="1" thickTop="1" thickBot="1">
      <c r="A43" s="95">
        <f>'[1]MANO DE OBRA'!$A$9</f>
        <v>30101</v>
      </c>
      <c r="B43" s="835" t="str">
        <f>'[1]MANO DE OBRA'!$B$9</f>
        <v>AYUDANTE CUAD. TIPO AA</v>
      </c>
      <c r="C43" s="836"/>
      <c r="D43" s="37">
        <v>1</v>
      </c>
      <c r="E43" s="82">
        <f>'[1]MANO DE OBRA'!$E$9</f>
        <v>34676</v>
      </c>
      <c r="F43" s="83">
        <f>F41</f>
        <v>65</v>
      </c>
      <c r="G43" s="111">
        <f>ROUND(D43*E43/F43,0)</f>
        <v>533</v>
      </c>
    </row>
    <row r="44" spans="1:7" ht="14.25" hidden="1" thickTop="1" thickBot="1">
      <c r="A44" s="95"/>
      <c r="B44" s="835" t="s">
        <v>841</v>
      </c>
      <c r="C44" s="836"/>
      <c r="D44" s="37"/>
      <c r="E44" s="82"/>
      <c r="F44" s="83"/>
      <c r="G44" s="111"/>
    </row>
    <row r="45" spans="1:7" ht="14.25" hidden="1" thickTop="1" thickBot="1">
      <c r="A45" s="95"/>
      <c r="B45" s="828" t="s">
        <v>841</v>
      </c>
      <c r="C45" s="829"/>
      <c r="D45" s="77"/>
      <c r="E45" s="82"/>
      <c r="F45" s="86"/>
      <c r="G45" s="112"/>
    </row>
    <row r="46" spans="1:7" ht="14.25" hidden="1" thickTop="1" thickBot="1">
      <c r="A46" s="95"/>
      <c r="B46" s="808"/>
      <c r="C46" s="808"/>
      <c r="D46" s="808"/>
      <c r="E46" s="809"/>
      <c r="F46" s="120" t="s">
        <v>856</v>
      </c>
      <c r="G46" s="118">
        <f>SUM(G41:G45)</f>
        <v>2989</v>
      </c>
    </row>
    <row r="47" spans="1:7" ht="14.25" hidden="1" thickTop="1" thickBot="1">
      <c r="A47" s="95"/>
      <c r="B47" s="810"/>
      <c r="C47" s="810"/>
      <c r="D47" s="810"/>
      <c r="E47" s="810"/>
      <c r="F47" s="810"/>
      <c r="G47" s="810"/>
    </row>
    <row r="48" spans="1:7" ht="14.25" hidden="1" thickTop="1" thickBot="1">
      <c r="A48" s="95"/>
      <c r="B48" s="811" t="s">
        <v>321</v>
      </c>
      <c r="C48" s="812"/>
      <c r="D48" s="812"/>
      <c r="E48" s="812"/>
      <c r="F48" s="812"/>
      <c r="G48" s="825"/>
    </row>
    <row r="49" spans="1:7" ht="14.25" hidden="1" thickTop="1" thickBot="1">
      <c r="A49" s="95"/>
      <c r="B49" s="817" t="s">
        <v>838</v>
      </c>
      <c r="C49" s="818"/>
      <c r="D49" s="98" t="s">
        <v>301</v>
      </c>
      <c r="E49" s="98" t="s">
        <v>297</v>
      </c>
      <c r="F49" s="99" t="s">
        <v>839</v>
      </c>
      <c r="G49" s="107" t="s">
        <v>840</v>
      </c>
    </row>
    <row r="50" spans="1:7" ht="14.25" hidden="1" thickTop="1" thickBot="1">
      <c r="A50" s="95"/>
      <c r="B50" s="230"/>
      <c r="C50" s="102"/>
      <c r="D50" s="103" t="s">
        <v>322</v>
      </c>
      <c r="E50" s="103" t="s">
        <v>323</v>
      </c>
      <c r="F50" s="104" t="s">
        <v>324</v>
      </c>
      <c r="G50" s="109" t="s">
        <v>325</v>
      </c>
    </row>
    <row r="51" spans="1:7" ht="14.25" hidden="1" thickTop="1" thickBot="1">
      <c r="A51" s="95"/>
      <c r="B51" s="826"/>
      <c r="C51" s="827"/>
      <c r="D51" s="96"/>
      <c r="E51" s="96"/>
      <c r="F51" s="96"/>
      <c r="G51" s="116"/>
    </row>
    <row r="52" spans="1:7" ht="14.25" hidden="1" thickTop="1" thickBot="1">
      <c r="A52" s="95"/>
      <c r="B52" s="828" t="s">
        <v>841</v>
      </c>
      <c r="C52" s="829"/>
      <c r="D52" s="77"/>
      <c r="E52" s="82"/>
      <c r="F52" s="86"/>
      <c r="G52" s="112"/>
    </row>
    <row r="53" spans="1:7" ht="14.25" hidden="1" thickTop="1" thickBot="1">
      <c r="A53" s="95"/>
      <c r="B53" s="808"/>
      <c r="C53" s="808"/>
      <c r="D53" s="808"/>
      <c r="E53" s="809"/>
      <c r="F53" s="120" t="s">
        <v>856</v>
      </c>
      <c r="G53" s="118">
        <f>SUM(G48:G52)</f>
        <v>0</v>
      </c>
    </row>
    <row r="54" spans="1:7" ht="14.25" hidden="1" thickTop="1" thickBot="1">
      <c r="A54" s="95"/>
      <c r="B54" s="810"/>
      <c r="C54" s="810"/>
      <c r="D54" s="810"/>
      <c r="E54" s="810"/>
      <c r="F54" s="810"/>
      <c r="G54" s="834"/>
    </row>
    <row r="55" spans="1:7" ht="14.25" hidden="1" thickTop="1" thickBot="1">
      <c r="A55" s="95"/>
      <c r="B55" s="811" t="s">
        <v>326</v>
      </c>
      <c r="C55" s="812"/>
      <c r="D55" s="812"/>
      <c r="E55" s="812"/>
      <c r="F55" s="813"/>
      <c r="G55" s="121">
        <f>+G19+G35+G46</f>
        <v>4608</v>
      </c>
    </row>
    <row r="56" spans="1:7" ht="14.25" hidden="1" thickTop="1" thickBot="1">
      <c r="A56" s="95"/>
      <c r="B56" s="814" t="s">
        <v>861</v>
      </c>
      <c r="C56" s="815"/>
      <c r="D56" s="815"/>
      <c r="E56" s="816"/>
      <c r="F56" s="128">
        <f>'[1]MANO DE OBRA'!$D$59</f>
        <v>0</v>
      </c>
      <c r="G56" s="122">
        <f>ROUND(G55*F56,0)</f>
        <v>0</v>
      </c>
    </row>
    <row r="57" spans="1:7" ht="14.25" hidden="1" thickTop="1" thickBot="1">
      <c r="A57" s="95"/>
      <c r="B57" s="805" t="s">
        <v>1049</v>
      </c>
      <c r="C57" s="806"/>
      <c r="D57" s="806"/>
      <c r="E57" s="806"/>
      <c r="F57" s="807"/>
      <c r="G57" s="118">
        <f>ROUND(G55+G56,-2)</f>
        <v>4600</v>
      </c>
    </row>
    <row r="58" spans="1:7" ht="14.25" hidden="1" thickTop="1" thickBot="1">
      <c r="A58" s="422"/>
      <c r="B58" s="423" t="s">
        <v>303</v>
      </c>
      <c r="C58" s="1064"/>
      <c r="D58" s="1064"/>
      <c r="E58" s="1064"/>
      <c r="F58" s="424" t="s">
        <v>781</v>
      </c>
      <c r="G58" s="425" t="s">
        <v>868</v>
      </c>
    </row>
    <row r="59" spans="1:7" ht="14.25" hidden="1" thickTop="1" thickBot="1">
      <c r="A59" s="422" t="s">
        <v>837</v>
      </c>
      <c r="B59" s="427" t="s">
        <v>834</v>
      </c>
      <c r="C59" s="1065" t="s">
        <v>1619</v>
      </c>
      <c r="D59" s="1065"/>
      <c r="E59" s="1065"/>
      <c r="F59" s="428" t="s">
        <v>833</v>
      </c>
      <c r="G59" s="429" t="str">
        <f>'[1]MANO DE OBRA'!$D$61</f>
        <v>Septiembre de 2009</v>
      </c>
    </row>
    <row r="60" spans="1:7" ht="14.25" hidden="1" thickTop="1" thickBot="1">
      <c r="A60" s="430">
        <v>18002</v>
      </c>
      <c r="B60" s="431" t="s">
        <v>835</v>
      </c>
      <c r="C60" s="1071" t="s">
        <v>1621</v>
      </c>
      <c r="D60" s="1072"/>
      <c r="E60" s="1072"/>
      <c r="F60" s="1072"/>
      <c r="G60" s="1073"/>
    </row>
    <row r="61" spans="1:7" ht="14.25" hidden="1" thickTop="1" thickBot="1">
      <c r="A61" s="422"/>
      <c r="B61" s="1068"/>
      <c r="C61" s="1068"/>
      <c r="D61" s="1068"/>
      <c r="E61" s="1068"/>
      <c r="F61" s="1068"/>
      <c r="G61" s="1068"/>
    </row>
    <row r="62" spans="1:7" ht="14.25" hidden="1" thickTop="1" thickBot="1">
      <c r="A62" s="95"/>
      <c r="B62" s="811" t="s">
        <v>304</v>
      </c>
      <c r="C62" s="812"/>
      <c r="D62" s="812"/>
      <c r="E62" s="812"/>
      <c r="F62" s="812"/>
      <c r="G62" s="825"/>
    </row>
    <row r="63" spans="1:7" ht="14.25" hidden="1" thickTop="1" thickBot="1">
      <c r="A63" s="95"/>
      <c r="B63" s="229"/>
      <c r="C63" s="97"/>
      <c r="D63" s="98" t="s">
        <v>301</v>
      </c>
      <c r="E63" s="98" t="s">
        <v>1072</v>
      </c>
      <c r="F63" s="99" t="s">
        <v>839</v>
      </c>
      <c r="G63" s="107" t="s">
        <v>840</v>
      </c>
    </row>
    <row r="64" spans="1:7" ht="14.25" hidden="1" thickTop="1" thickBot="1">
      <c r="A64" s="95"/>
      <c r="B64" s="821" t="s">
        <v>838</v>
      </c>
      <c r="C64" s="822"/>
      <c r="D64" s="100" t="s">
        <v>308</v>
      </c>
      <c r="E64" s="100" t="s">
        <v>305</v>
      </c>
      <c r="F64" s="101" t="s">
        <v>306</v>
      </c>
      <c r="G64" s="108" t="s">
        <v>310</v>
      </c>
    </row>
    <row r="65" spans="1:7" ht="14.25" hidden="1" thickTop="1" thickBot="1">
      <c r="A65" s="95"/>
      <c r="B65" s="230"/>
      <c r="C65" s="102"/>
      <c r="D65" s="103"/>
      <c r="E65" s="103" t="s">
        <v>309</v>
      </c>
      <c r="F65" s="104" t="s">
        <v>307</v>
      </c>
      <c r="G65" s="109"/>
    </row>
    <row r="66" spans="1:7" ht="14.25" hidden="1" thickTop="1" thickBot="1">
      <c r="A66" s="127">
        <f>[1]MAQUINARIA!$A$28</f>
        <v>10120</v>
      </c>
      <c r="B66" s="823" t="str">
        <f>[1]MAQUINARIA!$B$28</f>
        <v>HERRAMIENTAS MENORES</v>
      </c>
      <c r="C66" s="824"/>
      <c r="D66" s="87">
        <v>1</v>
      </c>
      <c r="E66" s="82">
        <f>ROUND(G99*0.05,0)</f>
        <v>86</v>
      </c>
      <c r="F66" s="81">
        <v>1</v>
      </c>
      <c r="G66" s="110">
        <f>ROUND(D66*E66/F66,0)</f>
        <v>86</v>
      </c>
    </row>
    <row r="67" spans="1:7" ht="14.25" hidden="1" thickTop="1" thickBot="1">
      <c r="A67" s="95"/>
      <c r="B67" s="835"/>
      <c r="C67" s="836"/>
      <c r="D67" s="37"/>
      <c r="E67" s="129"/>
      <c r="F67" s="83"/>
      <c r="G67" s="111"/>
    </row>
    <row r="68" spans="1:7" ht="14.25" hidden="1" thickTop="1" thickBot="1">
      <c r="A68" s="95"/>
      <c r="B68" s="835"/>
      <c r="C68" s="836"/>
      <c r="D68" s="89"/>
      <c r="E68" s="82"/>
      <c r="F68" s="83"/>
      <c r="G68" s="111"/>
    </row>
    <row r="69" spans="1:7" ht="14.25" hidden="1" thickTop="1" thickBot="1">
      <c r="A69" s="95"/>
      <c r="B69" s="835"/>
      <c r="C69" s="836"/>
      <c r="D69" s="89"/>
      <c r="E69" s="82"/>
      <c r="F69" s="83"/>
      <c r="G69" s="111"/>
    </row>
    <row r="70" spans="1:7" ht="14.25" hidden="1" thickTop="1" thickBot="1">
      <c r="A70" s="95"/>
      <c r="B70" s="835" t="s">
        <v>841</v>
      </c>
      <c r="C70" s="836"/>
      <c r="D70" s="37"/>
      <c r="E70" s="82"/>
      <c r="F70" s="83"/>
      <c r="G70" s="111"/>
    </row>
    <row r="71" spans="1:7" ht="14.25" hidden="1" thickTop="1" thickBot="1">
      <c r="A71" s="95"/>
      <c r="B71" s="839" t="s">
        <v>841</v>
      </c>
      <c r="C71" s="840"/>
      <c r="D71" s="77"/>
      <c r="E71" s="106"/>
      <c r="F71" s="86"/>
      <c r="G71" s="112"/>
    </row>
    <row r="72" spans="1:7" ht="14.25" hidden="1" thickTop="1" thickBot="1">
      <c r="A72" s="95"/>
      <c r="B72" s="808"/>
      <c r="C72" s="808"/>
      <c r="D72" s="808"/>
      <c r="E72" s="809"/>
      <c r="F72" s="119" t="s">
        <v>856</v>
      </c>
      <c r="G72" s="118">
        <f>SUM(G66:G71)</f>
        <v>86</v>
      </c>
    </row>
    <row r="73" spans="1:7" ht="14.25" hidden="1" thickTop="1" thickBot="1">
      <c r="A73" s="95"/>
      <c r="B73" s="830"/>
      <c r="C73" s="830"/>
      <c r="D73" s="830"/>
      <c r="E73" s="830"/>
      <c r="F73" s="830"/>
      <c r="G73" s="830"/>
    </row>
    <row r="74" spans="1:7" ht="14.25" hidden="1" thickTop="1" thickBot="1">
      <c r="A74" s="95"/>
      <c r="B74" s="811" t="s">
        <v>311</v>
      </c>
      <c r="C74" s="812"/>
      <c r="D74" s="812"/>
      <c r="E74" s="812"/>
      <c r="F74" s="812"/>
      <c r="G74" s="825"/>
    </row>
    <row r="75" spans="1:7" ht="14.25" hidden="1" thickTop="1" thickBot="1">
      <c r="A75" s="95"/>
      <c r="B75" s="817" t="s">
        <v>838</v>
      </c>
      <c r="C75" s="818"/>
      <c r="D75" s="98" t="s">
        <v>842</v>
      </c>
      <c r="E75" s="98" t="s">
        <v>853</v>
      </c>
      <c r="F75" s="99" t="s">
        <v>1047</v>
      </c>
      <c r="G75" s="107" t="s">
        <v>840</v>
      </c>
    </row>
    <row r="76" spans="1:7" ht="14.25" hidden="1" thickTop="1" thickBot="1">
      <c r="A76" s="95"/>
      <c r="B76" s="230"/>
      <c r="C76" s="102"/>
      <c r="D76" s="100"/>
      <c r="E76" s="100" t="s">
        <v>312</v>
      </c>
      <c r="F76" s="101" t="s">
        <v>313</v>
      </c>
      <c r="G76" s="108" t="s">
        <v>314</v>
      </c>
    </row>
    <row r="77" spans="1:7" ht="14.25" hidden="1" thickTop="1" thickBot="1">
      <c r="A77" s="125"/>
      <c r="B77" s="432"/>
      <c r="C77" s="126"/>
      <c r="D77" s="87"/>
      <c r="E77" s="10"/>
      <c r="F77" s="80"/>
      <c r="G77" s="110"/>
    </row>
    <row r="78" spans="1:7" ht="14.25" hidden="1" thickTop="1" thickBot="1">
      <c r="A78" s="123"/>
      <c r="B78" s="246"/>
      <c r="C78" s="124"/>
      <c r="D78" s="88"/>
      <c r="E78" s="53"/>
      <c r="F78" s="82"/>
      <c r="G78" s="111"/>
    </row>
    <row r="79" spans="1:7" ht="14.25" hidden="1" thickTop="1" thickBot="1">
      <c r="A79" s="95"/>
      <c r="B79" s="835"/>
      <c r="C79" s="836"/>
      <c r="D79" s="37"/>
      <c r="E79" s="55"/>
      <c r="F79" s="82"/>
      <c r="G79" s="111"/>
    </row>
    <row r="80" spans="1:7" ht="14.25" hidden="1" thickTop="1" thickBot="1">
      <c r="A80" s="95"/>
      <c r="B80" s="835"/>
      <c r="C80" s="836"/>
      <c r="D80" s="37"/>
      <c r="E80" s="55"/>
      <c r="F80" s="82"/>
      <c r="G80" s="111"/>
    </row>
    <row r="81" spans="1:7" ht="14.25" hidden="1" thickTop="1" thickBot="1">
      <c r="A81" s="95"/>
      <c r="B81" s="837"/>
      <c r="C81" s="838"/>
      <c r="D81" s="37"/>
      <c r="E81" s="55"/>
      <c r="F81" s="82"/>
      <c r="G81" s="111"/>
    </row>
    <row r="82" spans="1:7" ht="14.25" hidden="1" thickTop="1" thickBot="1">
      <c r="A82" s="95"/>
      <c r="B82" s="837"/>
      <c r="C82" s="838"/>
      <c r="D82" s="53" t="s">
        <v>841</v>
      </c>
      <c r="E82" s="53"/>
      <c r="F82" s="82"/>
      <c r="G82" s="111"/>
    </row>
    <row r="83" spans="1:7" ht="14.25" hidden="1" thickTop="1" thickBot="1">
      <c r="A83" s="95"/>
      <c r="B83" s="837" t="s">
        <v>841</v>
      </c>
      <c r="C83" s="838"/>
      <c r="D83" s="53" t="s">
        <v>841</v>
      </c>
      <c r="E83" s="53"/>
      <c r="F83" s="82"/>
      <c r="G83" s="111"/>
    </row>
    <row r="84" spans="1:7" ht="14.25" hidden="1" thickTop="1" thickBot="1">
      <c r="A84" s="95"/>
      <c r="B84" s="837" t="s">
        <v>841</v>
      </c>
      <c r="C84" s="838"/>
      <c r="D84" s="53" t="s">
        <v>841</v>
      </c>
      <c r="E84" s="53"/>
      <c r="F84" s="82"/>
      <c r="G84" s="111"/>
    </row>
    <row r="85" spans="1:7" ht="14.25" hidden="1" thickTop="1" thickBot="1">
      <c r="A85" s="95"/>
      <c r="B85" s="839" t="s">
        <v>841</v>
      </c>
      <c r="C85" s="840"/>
      <c r="D85" s="84" t="s">
        <v>841</v>
      </c>
      <c r="E85" s="84"/>
      <c r="F85" s="85"/>
      <c r="G85" s="112"/>
    </row>
    <row r="86" spans="1:7" ht="14.25" hidden="1" thickTop="1" thickBot="1">
      <c r="A86" s="95"/>
      <c r="B86" s="808"/>
      <c r="C86" s="809"/>
      <c r="D86" s="801" t="s">
        <v>856</v>
      </c>
      <c r="E86" s="802"/>
      <c r="F86" s="9"/>
      <c r="G86" s="113">
        <f>SUM(G77:G85)</f>
        <v>0</v>
      </c>
    </row>
    <row r="87" spans="1:7" ht="14.25" hidden="1" thickTop="1" thickBot="1">
      <c r="A87" s="95"/>
      <c r="B87" s="819"/>
      <c r="C87" s="820"/>
      <c r="D87" s="801" t="s">
        <v>857</v>
      </c>
      <c r="E87" s="802"/>
      <c r="F87" s="79">
        <f>'[1]MANO DE OBRA'!$D$60</f>
        <v>0.05</v>
      </c>
      <c r="G87" s="113">
        <f>ROUND(G86*F87,0)</f>
        <v>0</v>
      </c>
    </row>
    <row r="88" spans="1:7" ht="14.25" hidden="1" thickTop="1" thickBot="1">
      <c r="A88" s="95"/>
      <c r="B88" s="819"/>
      <c r="C88" s="820"/>
      <c r="D88" s="803" t="s">
        <v>320</v>
      </c>
      <c r="E88" s="804"/>
      <c r="F88" s="114"/>
      <c r="G88" s="118">
        <f>+G86+G87</f>
        <v>0</v>
      </c>
    </row>
    <row r="89" spans="1:7" ht="14.25" hidden="1" thickTop="1" thickBot="1">
      <c r="A89" s="95"/>
      <c r="B89" s="830"/>
      <c r="C89" s="830"/>
      <c r="D89" s="830"/>
      <c r="E89" s="830"/>
      <c r="F89" s="830"/>
      <c r="G89" s="830"/>
    </row>
    <row r="90" spans="1:7" ht="14.25" hidden="1" thickTop="1" thickBot="1">
      <c r="A90" s="95"/>
      <c r="B90" s="811" t="s">
        <v>858</v>
      </c>
      <c r="C90" s="812"/>
      <c r="D90" s="812"/>
      <c r="E90" s="812"/>
      <c r="F90" s="812"/>
      <c r="G90" s="825"/>
    </row>
    <row r="91" spans="1:7" ht="14.25" hidden="1" thickTop="1" thickBot="1">
      <c r="A91" s="95"/>
      <c r="B91" s="817"/>
      <c r="C91" s="818"/>
      <c r="D91" s="98" t="s">
        <v>301</v>
      </c>
      <c r="E91" s="98" t="s">
        <v>859</v>
      </c>
      <c r="F91" s="99" t="s">
        <v>839</v>
      </c>
      <c r="G91" s="107" t="s">
        <v>840</v>
      </c>
    </row>
    <row r="92" spans="1:7" ht="14.25" hidden="1" thickTop="1" thickBot="1">
      <c r="A92" s="95"/>
      <c r="B92" s="821" t="s">
        <v>838</v>
      </c>
      <c r="C92" s="822"/>
      <c r="D92" s="100" t="s">
        <v>316</v>
      </c>
      <c r="E92" s="100" t="s">
        <v>315</v>
      </c>
      <c r="F92" s="101" t="s">
        <v>306</v>
      </c>
      <c r="G92" s="108" t="s">
        <v>319</v>
      </c>
    </row>
    <row r="93" spans="1:7" ht="14.25" hidden="1" thickTop="1" thickBot="1">
      <c r="A93" s="95"/>
      <c r="B93" s="230"/>
      <c r="C93" s="102"/>
      <c r="D93" s="103"/>
      <c r="E93" s="103" t="s">
        <v>317</v>
      </c>
      <c r="F93" s="104" t="s">
        <v>318</v>
      </c>
      <c r="G93" s="109"/>
    </row>
    <row r="94" spans="1:7" ht="14.25" hidden="1" thickTop="1" thickBot="1">
      <c r="A94" s="95">
        <f>'[1]MANO DE OBRA'!$A$15</f>
        <v>30106</v>
      </c>
      <c r="B94" s="823" t="str">
        <f>'[1]MANO DE OBRA'!$B$15</f>
        <v xml:space="preserve">OFICIAL CUAD. TIPO AA </v>
      </c>
      <c r="C94" s="824"/>
      <c r="D94" s="87">
        <v>1</v>
      </c>
      <c r="E94" s="80">
        <f>'[1]MANO DE OBRA'!$E$15</f>
        <v>68658</v>
      </c>
      <c r="F94" s="81">
        <v>80</v>
      </c>
      <c r="G94" s="110">
        <f>ROUND(D94*E94/F94,0)</f>
        <v>858</v>
      </c>
    </row>
    <row r="95" spans="1:7" ht="14.25" hidden="1" thickTop="1" thickBot="1">
      <c r="A95" s="95">
        <f>'[1]MANO DE OBRA'!$A$9</f>
        <v>30101</v>
      </c>
      <c r="B95" s="835" t="str">
        <f>'[1]MANO DE OBRA'!$B$9</f>
        <v>AYUDANTE CUAD. TIPO AA</v>
      </c>
      <c r="C95" s="836"/>
      <c r="D95" s="37">
        <v>2</v>
      </c>
      <c r="E95" s="82">
        <f>'[1]MANO DE OBRA'!$E$9</f>
        <v>34676</v>
      </c>
      <c r="F95" s="83">
        <f>F94</f>
        <v>80</v>
      </c>
      <c r="G95" s="111">
        <f>ROUND(D95*E95/F95,0)</f>
        <v>867</v>
      </c>
    </row>
    <row r="96" spans="1:7" ht="14.25" hidden="1" thickTop="1" thickBot="1">
      <c r="A96" s="95"/>
      <c r="B96" s="835"/>
      <c r="C96" s="836"/>
      <c r="D96" s="37"/>
      <c r="E96" s="82"/>
      <c r="F96" s="83"/>
      <c r="G96" s="111"/>
    </row>
    <row r="97" spans="1:7" ht="14.25" hidden="1" thickTop="1" thickBot="1">
      <c r="A97" s="95"/>
      <c r="B97" s="835" t="s">
        <v>841</v>
      </c>
      <c r="C97" s="836"/>
      <c r="D97" s="37"/>
      <c r="E97" s="82"/>
      <c r="F97" s="83"/>
      <c r="G97" s="111"/>
    </row>
    <row r="98" spans="1:7" ht="14.25" hidden="1" thickTop="1" thickBot="1">
      <c r="A98" s="95"/>
      <c r="B98" s="828" t="s">
        <v>841</v>
      </c>
      <c r="C98" s="829"/>
      <c r="D98" s="77"/>
      <c r="E98" s="82"/>
      <c r="F98" s="86"/>
      <c r="G98" s="112"/>
    </row>
    <row r="99" spans="1:7" ht="14.25" hidden="1" thickTop="1" thickBot="1">
      <c r="A99" s="95"/>
      <c r="B99" s="808"/>
      <c r="C99" s="808"/>
      <c r="D99" s="808"/>
      <c r="E99" s="809"/>
      <c r="F99" s="120" t="s">
        <v>856</v>
      </c>
      <c r="G99" s="118">
        <f>SUM(G94:G98)</f>
        <v>1725</v>
      </c>
    </row>
    <row r="100" spans="1:7" ht="14.25" hidden="1" thickTop="1" thickBot="1">
      <c r="A100" s="95"/>
      <c r="B100" s="810"/>
      <c r="C100" s="810"/>
      <c r="D100" s="810"/>
      <c r="E100" s="810"/>
      <c r="F100" s="810"/>
      <c r="G100" s="810"/>
    </row>
    <row r="101" spans="1:7" ht="14.25" hidden="1" thickTop="1" thickBot="1">
      <c r="A101" s="95"/>
      <c r="B101" s="811" t="s">
        <v>321</v>
      </c>
      <c r="C101" s="812"/>
      <c r="D101" s="812"/>
      <c r="E101" s="812"/>
      <c r="F101" s="812"/>
      <c r="G101" s="825"/>
    </row>
    <row r="102" spans="1:7" ht="14.25" hidden="1" thickTop="1" thickBot="1">
      <c r="A102" s="95"/>
      <c r="B102" s="817" t="s">
        <v>838</v>
      </c>
      <c r="C102" s="818"/>
      <c r="D102" s="98" t="s">
        <v>301</v>
      </c>
      <c r="E102" s="98" t="s">
        <v>297</v>
      </c>
      <c r="F102" s="99" t="s">
        <v>839</v>
      </c>
      <c r="G102" s="107" t="s">
        <v>840</v>
      </c>
    </row>
    <row r="103" spans="1:7" ht="14.25" hidden="1" thickTop="1" thickBot="1">
      <c r="A103" s="95"/>
      <c r="B103" s="230"/>
      <c r="C103" s="102"/>
      <c r="D103" s="103" t="s">
        <v>322</v>
      </c>
      <c r="E103" s="103" t="s">
        <v>323</v>
      </c>
      <c r="F103" s="104" t="s">
        <v>324</v>
      </c>
      <c r="G103" s="109" t="s">
        <v>325</v>
      </c>
    </row>
    <row r="104" spans="1:7" ht="14.25" hidden="1" thickTop="1" thickBot="1">
      <c r="A104" s="95"/>
      <c r="B104" s="826"/>
      <c r="C104" s="827"/>
      <c r="D104" s="96"/>
      <c r="E104" s="96"/>
      <c r="F104" s="96"/>
      <c r="G104" s="116"/>
    </row>
    <row r="105" spans="1:7" ht="14.25" hidden="1" thickTop="1" thickBot="1">
      <c r="A105" s="95"/>
      <c r="B105" s="828" t="s">
        <v>841</v>
      </c>
      <c r="C105" s="829"/>
      <c r="D105" s="77"/>
      <c r="E105" s="82"/>
      <c r="F105" s="86"/>
      <c r="G105" s="112"/>
    </row>
    <row r="106" spans="1:7" ht="14.25" hidden="1" thickTop="1" thickBot="1">
      <c r="A106" s="95"/>
      <c r="B106" s="808"/>
      <c r="C106" s="808"/>
      <c r="D106" s="808"/>
      <c r="E106" s="809"/>
      <c r="F106" s="120" t="s">
        <v>856</v>
      </c>
      <c r="G106" s="118">
        <f>SUM(G101:G105)</f>
        <v>0</v>
      </c>
    </row>
    <row r="107" spans="1:7" ht="14.25" hidden="1" thickTop="1" thickBot="1">
      <c r="A107" s="95"/>
      <c r="B107" s="810"/>
      <c r="C107" s="810"/>
      <c r="D107" s="810"/>
      <c r="E107" s="810"/>
      <c r="F107" s="810"/>
      <c r="G107" s="834"/>
    </row>
    <row r="108" spans="1:7" ht="14.25" hidden="1" thickTop="1" thickBot="1">
      <c r="A108" s="95"/>
      <c r="B108" s="811" t="s">
        <v>326</v>
      </c>
      <c r="C108" s="812"/>
      <c r="D108" s="812"/>
      <c r="E108" s="812"/>
      <c r="F108" s="813"/>
      <c r="G108" s="121">
        <f>+G72+G88+G99</f>
        <v>1811</v>
      </c>
    </row>
    <row r="109" spans="1:7" ht="14.25" hidden="1" thickTop="1" thickBot="1">
      <c r="A109" s="95"/>
      <c r="B109" s="814" t="s">
        <v>861</v>
      </c>
      <c r="C109" s="815"/>
      <c r="D109" s="815"/>
      <c r="E109" s="816"/>
      <c r="F109" s="128">
        <f>'[1]MANO DE OBRA'!$D$59</f>
        <v>0</v>
      </c>
      <c r="G109" s="122">
        <f>ROUND(G108*F109,0)</f>
        <v>0</v>
      </c>
    </row>
    <row r="110" spans="1:7" ht="14.25" hidden="1" thickTop="1" thickBot="1">
      <c r="A110" s="95"/>
      <c r="B110" s="805" t="s">
        <v>1049</v>
      </c>
      <c r="C110" s="806"/>
      <c r="D110" s="806"/>
      <c r="E110" s="806"/>
      <c r="F110" s="807"/>
      <c r="G110" s="118">
        <f>ROUND(G108+G109,-2)</f>
        <v>1800</v>
      </c>
    </row>
    <row r="111" spans="1:7" ht="14.25" hidden="1" thickTop="1" thickBot="1">
      <c r="A111" s="422"/>
      <c r="B111" s="423" t="s">
        <v>303</v>
      </c>
      <c r="C111" s="1064"/>
      <c r="D111" s="1064"/>
      <c r="E111" s="1064"/>
      <c r="F111" s="424" t="s">
        <v>781</v>
      </c>
      <c r="G111" s="425" t="s">
        <v>868</v>
      </c>
    </row>
    <row r="112" spans="1:7" ht="14.25" hidden="1" thickTop="1" thickBot="1">
      <c r="A112" s="422" t="s">
        <v>837</v>
      </c>
      <c r="B112" s="427" t="s">
        <v>834</v>
      </c>
      <c r="C112" s="1065" t="s">
        <v>1619</v>
      </c>
      <c r="D112" s="1065"/>
      <c r="E112" s="1065"/>
      <c r="F112" s="428" t="s">
        <v>833</v>
      </c>
      <c r="G112" s="429" t="str">
        <f>'[1]MANO DE OBRA'!$D$61</f>
        <v>Septiembre de 2009</v>
      </c>
    </row>
    <row r="113" spans="1:7" ht="14.25" hidden="1" thickTop="1" thickBot="1">
      <c r="A113" s="430">
        <v>18003</v>
      </c>
      <c r="B113" s="431" t="s">
        <v>835</v>
      </c>
      <c r="C113" s="1071" t="s">
        <v>1622</v>
      </c>
      <c r="D113" s="1072"/>
      <c r="E113" s="1072"/>
      <c r="F113" s="1072"/>
      <c r="G113" s="1073"/>
    </row>
    <row r="114" spans="1:7" ht="14.25" hidden="1" thickTop="1" thickBot="1">
      <c r="A114" s="422"/>
      <c r="B114" s="1068"/>
      <c r="C114" s="1068"/>
      <c r="D114" s="1068"/>
      <c r="E114" s="1068"/>
      <c r="F114" s="1068"/>
      <c r="G114" s="1068"/>
    </row>
    <row r="115" spans="1:7" ht="14.25" hidden="1" thickTop="1" thickBot="1">
      <c r="A115" s="95"/>
      <c r="B115" s="811" t="s">
        <v>304</v>
      </c>
      <c r="C115" s="812"/>
      <c r="D115" s="812"/>
      <c r="E115" s="812"/>
      <c r="F115" s="812"/>
      <c r="G115" s="825"/>
    </row>
    <row r="116" spans="1:7" ht="14.25" hidden="1" thickTop="1" thickBot="1">
      <c r="A116" s="95"/>
      <c r="B116" s="229"/>
      <c r="C116" s="97"/>
      <c r="D116" s="98" t="s">
        <v>301</v>
      </c>
      <c r="E116" s="98" t="s">
        <v>1072</v>
      </c>
      <c r="F116" s="99" t="s">
        <v>839</v>
      </c>
      <c r="G116" s="107" t="s">
        <v>840</v>
      </c>
    </row>
    <row r="117" spans="1:7" ht="14.25" hidden="1" thickTop="1" thickBot="1">
      <c r="A117" s="95"/>
      <c r="B117" s="821" t="s">
        <v>838</v>
      </c>
      <c r="C117" s="822"/>
      <c r="D117" s="100" t="s">
        <v>308</v>
      </c>
      <c r="E117" s="100" t="s">
        <v>305</v>
      </c>
      <c r="F117" s="101" t="s">
        <v>306</v>
      </c>
      <c r="G117" s="108" t="s">
        <v>310</v>
      </c>
    </row>
    <row r="118" spans="1:7" ht="14.25" hidden="1" thickTop="1" thickBot="1">
      <c r="A118" s="95"/>
      <c r="B118" s="230"/>
      <c r="C118" s="102"/>
      <c r="D118" s="103"/>
      <c r="E118" s="103" t="s">
        <v>309</v>
      </c>
      <c r="F118" s="104" t="s">
        <v>307</v>
      </c>
      <c r="G118" s="109"/>
    </row>
    <row r="119" spans="1:7" ht="14.25" hidden="1" thickTop="1" thickBot="1">
      <c r="A119" s="127">
        <f>[1]MAQUINARIA!$A$28</f>
        <v>10120</v>
      </c>
      <c r="B119" s="823" t="str">
        <f>[1]MAQUINARIA!$B$28</f>
        <v>HERRAMIENTAS MENORES</v>
      </c>
      <c r="C119" s="824"/>
      <c r="D119" s="87">
        <v>1</v>
      </c>
      <c r="E119" s="82">
        <f>ROUND(G152*0.05,0)</f>
        <v>3</v>
      </c>
      <c r="F119" s="81">
        <v>1</v>
      </c>
      <c r="G119" s="110">
        <f>ROUND(D119*E119/F119,0)</f>
        <v>3</v>
      </c>
    </row>
    <row r="120" spans="1:7" ht="14.25" hidden="1" thickTop="1" thickBot="1">
      <c r="A120" s="95">
        <f>[1]MAQUINARIA!$A$58</f>
        <v>10203</v>
      </c>
      <c r="B120" s="835" t="str">
        <f>[1]MAQUINARIA!$B$58</f>
        <v xml:space="preserve">MOTONIVELADORA </v>
      </c>
      <c r="C120" s="836"/>
      <c r="D120" s="37">
        <v>1</v>
      </c>
      <c r="E120" s="129">
        <f>[1]MAQUINARIA!$C$58</f>
        <v>78750</v>
      </c>
      <c r="F120" s="83">
        <v>1325</v>
      </c>
      <c r="G120" s="111">
        <f>ROUND(D120*E120/F120,0)</f>
        <v>59</v>
      </c>
    </row>
    <row r="121" spans="1:7" ht="14.25" hidden="1" thickTop="1" thickBot="1">
      <c r="A121" s="95">
        <f>[1]MAQUINARIA!$A$61</f>
        <v>10206</v>
      </c>
      <c r="B121" s="835" t="str">
        <f>[1]MAQUINARIA!$B$61</f>
        <v>RETROEXCAVADORA</v>
      </c>
      <c r="C121" s="836"/>
      <c r="D121" s="37">
        <v>1</v>
      </c>
      <c r="E121" s="129">
        <f>[1]MAQUINARIA!$C$61</f>
        <v>150000</v>
      </c>
      <c r="F121" s="83">
        <v>1325</v>
      </c>
      <c r="G121" s="111">
        <f>ROUND(D121*E121/F121,0)</f>
        <v>113</v>
      </c>
    </row>
    <row r="122" spans="1:7" ht="14.25" hidden="1" thickTop="1" thickBot="1">
      <c r="A122" s="95">
        <f>[1]MAQUINARIA!$A$62</f>
        <v>10207</v>
      </c>
      <c r="B122" s="835" t="str">
        <f>[1]MAQUINARIA!$B$62</f>
        <v>CAMABAJA TRANSPORTE</v>
      </c>
      <c r="C122" s="836"/>
      <c r="D122" s="37">
        <v>1</v>
      </c>
      <c r="E122" s="129">
        <f>[1]MAQUINARIA!$C$62</f>
        <v>700000</v>
      </c>
      <c r="F122" s="83">
        <v>15500</v>
      </c>
      <c r="G122" s="111">
        <f>ROUND(D122*E122/F122,0)</f>
        <v>45</v>
      </c>
    </row>
    <row r="123" spans="1:7" ht="14.25" hidden="1" thickTop="1" thickBot="1">
      <c r="A123" s="95"/>
      <c r="B123" s="835" t="s">
        <v>841</v>
      </c>
      <c r="C123" s="836"/>
      <c r="D123" s="37"/>
      <c r="E123" s="82"/>
      <c r="F123" s="83"/>
      <c r="G123" s="111"/>
    </row>
    <row r="124" spans="1:7" ht="14.25" hidden="1" thickTop="1" thickBot="1">
      <c r="A124" s="95"/>
      <c r="B124" s="839" t="s">
        <v>841</v>
      </c>
      <c r="C124" s="840"/>
      <c r="D124" s="77"/>
      <c r="E124" s="106"/>
      <c r="F124" s="86"/>
      <c r="G124" s="112"/>
    </row>
    <row r="125" spans="1:7" ht="14.25" hidden="1" thickTop="1" thickBot="1">
      <c r="A125" s="95"/>
      <c r="B125" s="808"/>
      <c r="C125" s="808"/>
      <c r="D125" s="808"/>
      <c r="E125" s="809"/>
      <c r="F125" s="119" t="s">
        <v>856</v>
      </c>
      <c r="G125" s="118">
        <f>SUM(G119:G124)</f>
        <v>220</v>
      </c>
    </row>
    <row r="126" spans="1:7" ht="14.25" hidden="1" thickTop="1" thickBot="1">
      <c r="A126" s="95"/>
      <c r="B126" s="830"/>
      <c r="C126" s="830"/>
      <c r="D126" s="830"/>
      <c r="E126" s="830"/>
      <c r="F126" s="830"/>
      <c r="G126" s="830"/>
    </row>
    <row r="127" spans="1:7" ht="14.25" hidden="1" thickTop="1" thickBot="1">
      <c r="A127" s="95"/>
      <c r="B127" s="811" t="s">
        <v>311</v>
      </c>
      <c r="C127" s="812"/>
      <c r="D127" s="812"/>
      <c r="E127" s="812"/>
      <c r="F127" s="812"/>
      <c r="G127" s="825"/>
    </row>
    <row r="128" spans="1:7" ht="14.25" hidden="1" thickTop="1" thickBot="1">
      <c r="A128" s="95"/>
      <c r="B128" s="817" t="s">
        <v>838</v>
      </c>
      <c r="C128" s="818"/>
      <c r="D128" s="98" t="s">
        <v>842</v>
      </c>
      <c r="E128" s="98" t="s">
        <v>853</v>
      </c>
      <c r="F128" s="99" t="s">
        <v>1047</v>
      </c>
      <c r="G128" s="107" t="s">
        <v>840</v>
      </c>
    </row>
    <row r="129" spans="1:7" ht="14.25" hidden="1" thickTop="1" thickBot="1">
      <c r="A129" s="95"/>
      <c r="B129" s="230"/>
      <c r="C129" s="102"/>
      <c r="D129" s="100"/>
      <c r="E129" s="100" t="s">
        <v>312</v>
      </c>
      <c r="F129" s="101" t="s">
        <v>313</v>
      </c>
      <c r="G129" s="108" t="s">
        <v>314</v>
      </c>
    </row>
    <row r="130" spans="1:7" ht="14.25" hidden="1" thickTop="1" thickBot="1">
      <c r="A130" s="125"/>
      <c r="B130" s="432"/>
      <c r="C130" s="126"/>
      <c r="D130" s="87"/>
      <c r="E130" s="10"/>
      <c r="F130" s="80"/>
      <c r="G130" s="110"/>
    </row>
    <row r="131" spans="1:7" ht="14.25" hidden="1" thickTop="1" thickBot="1">
      <c r="A131" s="123"/>
      <c r="B131" s="246"/>
      <c r="C131" s="124"/>
      <c r="D131" s="88"/>
      <c r="E131" s="53"/>
      <c r="F131" s="82"/>
      <c r="G131" s="111"/>
    </row>
    <row r="132" spans="1:7" ht="14.25" hidden="1" thickTop="1" thickBot="1">
      <c r="A132" s="95"/>
      <c r="B132" s="835"/>
      <c r="C132" s="836"/>
      <c r="D132" s="37"/>
      <c r="E132" s="55"/>
      <c r="F132" s="82"/>
      <c r="G132" s="111"/>
    </row>
    <row r="133" spans="1:7" ht="14.25" hidden="1" thickTop="1" thickBot="1">
      <c r="A133" s="95"/>
      <c r="B133" s="835"/>
      <c r="C133" s="836"/>
      <c r="D133" s="37"/>
      <c r="E133" s="55"/>
      <c r="F133" s="82"/>
      <c r="G133" s="111"/>
    </row>
    <row r="134" spans="1:7" ht="14.25" hidden="1" thickTop="1" thickBot="1">
      <c r="A134" s="95"/>
      <c r="B134" s="837"/>
      <c r="C134" s="838"/>
      <c r="D134" s="37"/>
      <c r="E134" s="55"/>
      <c r="F134" s="82"/>
      <c r="G134" s="111"/>
    </row>
    <row r="135" spans="1:7" ht="14.25" hidden="1" thickTop="1" thickBot="1">
      <c r="A135" s="95"/>
      <c r="B135" s="837"/>
      <c r="C135" s="838"/>
      <c r="D135" s="53" t="s">
        <v>841</v>
      </c>
      <c r="E135" s="53"/>
      <c r="F135" s="82"/>
      <c r="G135" s="111"/>
    </row>
    <row r="136" spans="1:7" ht="14.25" hidden="1" thickTop="1" thickBot="1">
      <c r="A136" s="95"/>
      <c r="B136" s="837" t="s">
        <v>841</v>
      </c>
      <c r="C136" s="838"/>
      <c r="D136" s="53" t="s">
        <v>841</v>
      </c>
      <c r="E136" s="53"/>
      <c r="F136" s="82"/>
      <c r="G136" s="111"/>
    </row>
    <row r="137" spans="1:7" ht="14.25" hidden="1" thickTop="1" thickBot="1">
      <c r="A137" s="95"/>
      <c r="B137" s="837" t="s">
        <v>841</v>
      </c>
      <c r="C137" s="838"/>
      <c r="D137" s="53" t="s">
        <v>841</v>
      </c>
      <c r="E137" s="53"/>
      <c r="F137" s="82"/>
      <c r="G137" s="111"/>
    </row>
    <row r="138" spans="1:7" ht="14.25" hidden="1" thickTop="1" thickBot="1">
      <c r="A138" s="95"/>
      <c r="B138" s="839" t="s">
        <v>841</v>
      </c>
      <c r="C138" s="840"/>
      <c r="D138" s="84" t="s">
        <v>841</v>
      </c>
      <c r="E138" s="84"/>
      <c r="F138" s="85"/>
      <c r="G138" s="112"/>
    </row>
    <row r="139" spans="1:7" ht="14.25" hidden="1" thickTop="1" thickBot="1">
      <c r="A139" s="95"/>
      <c r="B139" s="808"/>
      <c r="C139" s="809"/>
      <c r="D139" s="801" t="s">
        <v>856</v>
      </c>
      <c r="E139" s="802"/>
      <c r="F139" s="9"/>
      <c r="G139" s="113">
        <f>SUM(G130:G138)</f>
        <v>0</v>
      </c>
    </row>
    <row r="140" spans="1:7" ht="14.25" hidden="1" thickTop="1" thickBot="1">
      <c r="A140" s="95"/>
      <c r="B140" s="819"/>
      <c r="C140" s="820"/>
      <c r="D140" s="801" t="s">
        <v>857</v>
      </c>
      <c r="E140" s="802"/>
      <c r="F140" s="79">
        <f>'[1]MANO DE OBRA'!$D$60</f>
        <v>0.05</v>
      </c>
      <c r="G140" s="113">
        <f>ROUND(G139*F140,0)</f>
        <v>0</v>
      </c>
    </row>
    <row r="141" spans="1:7" ht="14.25" hidden="1" thickTop="1" thickBot="1">
      <c r="A141" s="95"/>
      <c r="B141" s="819"/>
      <c r="C141" s="820"/>
      <c r="D141" s="803" t="s">
        <v>320</v>
      </c>
      <c r="E141" s="804"/>
      <c r="F141" s="114"/>
      <c r="G141" s="118">
        <f>+G139+G140</f>
        <v>0</v>
      </c>
    </row>
    <row r="142" spans="1:7" ht="14.25" hidden="1" thickTop="1" thickBot="1">
      <c r="A142" s="95"/>
      <c r="B142" s="830"/>
      <c r="C142" s="830"/>
      <c r="D142" s="830"/>
      <c r="E142" s="830"/>
      <c r="F142" s="830"/>
      <c r="G142" s="830"/>
    </row>
    <row r="143" spans="1:7" ht="14.25" hidden="1" thickTop="1" thickBot="1">
      <c r="A143" s="95"/>
      <c r="B143" s="811" t="s">
        <v>858</v>
      </c>
      <c r="C143" s="812"/>
      <c r="D143" s="812"/>
      <c r="E143" s="812"/>
      <c r="F143" s="812"/>
      <c r="G143" s="825"/>
    </row>
    <row r="144" spans="1:7" ht="14.25" hidden="1" thickTop="1" thickBot="1">
      <c r="A144" s="95"/>
      <c r="B144" s="817"/>
      <c r="C144" s="818"/>
      <c r="D144" s="98" t="s">
        <v>301</v>
      </c>
      <c r="E144" s="98" t="s">
        <v>859</v>
      </c>
      <c r="F144" s="99" t="s">
        <v>839</v>
      </c>
      <c r="G144" s="107" t="s">
        <v>840</v>
      </c>
    </row>
    <row r="145" spans="1:7" ht="14.25" hidden="1" thickTop="1" thickBot="1">
      <c r="A145" s="95"/>
      <c r="B145" s="821" t="s">
        <v>838</v>
      </c>
      <c r="C145" s="822"/>
      <c r="D145" s="100" t="s">
        <v>316</v>
      </c>
      <c r="E145" s="100" t="s">
        <v>315</v>
      </c>
      <c r="F145" s="101" t="s">
        <v>306</v>
      </c>
      <c r="G145" s="108" t="s">
        <v>319</v>
      </c>
    </row>
    <row r="146" spans="1:7" ht="14.25" hidden="1" thickTop="1" thickBot="1">
      <c r="A146" s="95"/>
      <c r="B146" s="230"/>
      <c r="C146" s="102"/>
      <c r="D146" s="103"/>
      <c r="E146" s="103" t="s">
        <v>317</v>
      </c>
      <c r="F146" s="104" t="s">
        <v>318</v>
      </c>
      <c r="G146" s="109"/>
    </row>
    <row r="147" spans="1:7" ht="14.25" hidden="1" thickTop="1" thickBot="1">
      <c r="A147" s="95">
        <f>'[1]MANO DE OBRA'!$A$9</f>
        <v>30101</v>
      </c>
      <c r="B147" s="823" t="str">
        <f>'[1]MANO DE OBRA'!$B$9</f>
        <v>AYUDANTE CUAD. TIPO AA</v>
      </c>
      <c r="C147" s="824"/>
      <c r="D147" s="87">
        <v>2</v>
      </c>
      <c r="E147" s="80">
        <f>'[1]MANO DE OBRA'!$E$9</f>
        <v>34676</v>
      </c>
      <c r="F147" s="81">
        <f>F120</f>
        <v>1325</v>
      </c>
      <c r="G147" s="110">
        <f>ROUND(D147*E147/F147,0)</f>
        <v>52</v>
      </c>
    </row>
    <row r="148" spans="1:7" ht="14.25" hidden="1" thickTop="1" thickBot="1">
      <c r="A148" s="95"/>
      <c r="B148" s="835"/>
      <c r="C148" s="836"/>
      <c r="D148" s="37"/>
      <c r="E148" s="82"/>
      <c r="F148" s="83"/>
      <c r="G148" s="111"/>
    </row>
    <row r="149" spans="1:7" ht="14.25" hidden="1" thickTop="1" thickBot="1">
      <c r="A149" s="95"/>
      <c r="B149" s="835"/>
      <c r="C149" s="836"/>
      <c r="D149" s="37"/>
      <c r="E149" s="82"/>
      <c r="F149" s="83"/>
      <c r="G149" s="111"/>
    </row>
    <row r="150" spans="1:7" ht="14.25" hidden="1" thickTop="1" thickBot="1">
      <c r="A150" s="95"/>
      <c r="B150" s="835" t="s">
        <v>841</v>
      </c>
      <c r="C150" s="836"/>
      <c r="D150" s="37"/>
      <c r="E150" s="82"/>
      <c r="F150" s="83"/>
      <c r="G150" s="111"/>
    </row>
    <row r="151" spans="1:7" ht="14.25" hidden="1" thickTop="1" thickBot="1">
      <c r="A151" s="95"/>
      <c r="B151" s="828" t="s">
        <v>841</v>
      </c>
      <c r="C151" s="829"/>
      <c r="D151" s="77"/>
      <c r="E151" s="82"/>
      <c r="F151" s="86"/>
      <c r="G151" s="112"/>
    </row>
    <row r="152" spans="1:7" ht="14.25" hidden="1" thickTop="1" thickBot="1">
      <c r="A152" s="95"/>
      <c r="B152" s="808"/>
      <c r="C152" s="808"/>
      <c r="D152" s="808"/>
      <c r="E152" s="809"/>
      <c r="F152" s="120" t="s">
        <v>856</v>
      </c>
      <c r="G152" s="118">
        <f>SUM(G147:G151)</f>
        <v>52</v>
      </c>
    </row>
    <row r="153" spans="1:7" ht="14.25" hidden="1" thickTop="1" thickBot="1">
      <c r="A153" s="95"/>
      <c r="B153" s="810"/>
      <c r="C153" s="810"/>
      <c r="D153" s="810"/>
      <c r="E153" s="810"/>
      <c r="F153" s="810"/>
      <c r="G153" s="810"/>
    </row>
    <row r="154" spans="1:7" ht="14.25" hidden="1" thickTop="1" thickBot="1">
      <c r="A154" s="95"/>
      <c r="B154" s="811" t="s">
        <v>321</v>
      </c>
      <c r="C154" s="812"/>
      <c r="D154" s="812"/>
      <c r="E154" s="812"/>
      <c r="F154" s="812"/>
      <c r="G154" s="825"/>
    </row>
    <row r="155" spans="1:7" ht="14.25" hidden="1" thickTop="1" thickBot="1">
      <c r="A155" s="95"/>
      <c r="B155" s="817" t="s">
        <v>838</v>
      </c>
      <c r="C155" s="818"/>
      <c r="D155" s="98" t="s">
        <v>301</v>
      </c>
      <c r="E155" s="98" t="s">
        <v>297</v>
      </c>
      <c r="F155" s="99" t="s">
        <v>839</v>
      </c>
      <c r="G155" s="107" t="s">
        <v>840</v>
      </c>
    </row>
    <row r="156" spans="1:7" ht="14.25" hidden="1" thickTop="1" thickBot="1">
      <c r="A156" s="95"/>
      <c r="B156" s="230"/>
      <c r="C156" s="102"/>
      <c r="D156" s="103" t="s">
        <v>322</v>
      </c>
      <c r="E156" s="103" t="s">
        <v>323</v>
      </c>
      <c r="F156" s="104" t="s">
        <v>324</v>
      </c>
      <c r="G156" s="109" t="s">
        <v>325</v>
      </c>
    </row>
    <row r="157" spans="1:7" ht="14.25" hidden="1" thickTop="1" thickBot="1">
      <c r="A157" s="95"/>
      <c r="B157" s="826"/>
      <c r="C157" s="827"/>
      <c r="D157" s="96"/>
      <c r="E157" s="96"/>
      <c r="F157" s="96"/>
      <c r="G157" s="116"/>
    </row>
    <row r="158" spans="1:7" ht="14.25" hidden="1" thickTop="1" thickBot="1">
      <c r="A158" s="95"/>
      <c r="B158" s="828" t="s">
        <v>841</v>
      </c>
      <c r="C158" s="829"/>
      <c r="D158" s="77"/>
      <c r="E158" s="82"/>
      <c r="F158" s="86"/>
      <c r="G158" s="112"/>
    </row>
    <row r="159" spans="1:7" ht="14.25" hidden="1" thickTop="1" thickBot="1">
      <c r="A159" s="95"/>
      <c r="B159" s="808"/>
      <c r="C159" s="808"/>
      <c r="D159" s="808"/>
      <c r="E159" s="809"/>
      <c r="F159" s="120" t="s">
        <v>856</v>
      </c>
      <c r="G159" s="118">
        <f>SUM(G154:G158)</f>
        <v>0</v>
      </c>
    </row>
    <row r="160" spans="1:7" ht="14.25" hidden="1" thickTop="1" thickBot="1">
      <c r="A160" s="95"/>
      <c r="B160" s="810"/>
      <c r="C160" s="810"/>
      <c r="D160" s="810"/>
      <c r="E160" s="810"/>
      <c r="F160" s="810"/>
      <c r="G160" s="834"/>
    </row>
    <row r="161" spans="1:7" ht="14.25" hidden="1" thickTop="1" thickBot="1">
      <c r="A161" s="95"/>
      <c r="B161" s="811" t="s">
        <v>326</v>
      </c>
      <c r="C161" s="812"/>
      <c r="D161" s="812"/>
      <c r="E161" s="812"/>
      <c r="F161" s="813"/>
      <c r="G161" s="121">
        <f>+G125+G141+G152</f>
        <v>272</v>
      </c>
    </row>
    <row r="162" spans="1:7" ht="14.25" hidden="1" thickTop="1" thickBot="1">
      <c r="A162" s="95"/>
      <c r="B162" s="814" t="s">
        <v>861</v>
      </c>
      <c r="C162" s="815"/>
      <c r="D162" s="815"/>
      <c r="E162" s="816"/>
      <c r="F162" s="128">
        <f>'[1]MANO DE OBRA'!$D$59</f>
        <v>0</v>
      </c>
      <c r="G162" s="122">
        <f>ROUND(G161*F162,0)</f>
        <v>0</v>
      </c>
    </row>
    <row r="163" spans="1:7" ht="14.25" hidden="1" thickTop="1" thickBot="1">
      <c r="A163" s="95"/>
      <c r="B163" s="805" t="s">
        <v>1049</v>
      </c>
      <c r="C163" s="806"/>
      <c r="D163" s="806"/>
      <c r="E163" s="806"/>
      <c r="F163" s="807"/>
      <c r="G163" s="118">
        <f>ROUND(G161+G162,-2)</f>
        <v>300</v>
      </c>
    </row>
    <row r="164" spans="1:7" ht="14.25" hidden="1" thickTop="1" thickBot="1">
      <c r="A164" s="422"/>
      <c r="B164" s="423" t="s">
        <v>303</v>
      </c>
      <c r="C164" s="1064"/>
      <c r="D164" s="1064"/>
      <c r="E164" s="1064"/>
      <c r="F164" s="424" t="s">
        <v>781</v>
      </c>
      <c r="G164" s="425" t="s">
        <v>669</v>
      </c>
    </row>
    <row r="165" spans="1:7" ht="14.25" hidden="1" thickTop="1" thickBot="1">
      <c r="A165" s="422" t="s">
        <v>837</v>
      </c>
      <c r="B165" s="427" t="s">
        <v>834</v>
      </c>
      <c r="C165" s="1065" t="s">
        <v>1619</v>
      </c>
      <c r="D165" s="1065"/>
      <c r="E165" s="1065"/>
      <c r="F165" s="428" t="s">
        <v>833</v>
      </c>
      <c r="G165" s="429" t="str">
        <f>'[1]MANO DE OBRA'!$D$61</f>
        <v>Septiembre de 2009</v>
      </c>
    </row>
    <row r="166" spans="1:7" ht="14.25" hidden="1" thickTop="1" thickBot="1">
      <c r="A166" s="430">
        <v>18004</v>
      </c>
      <c r="B166" s="431" t="s">
        <v>835</v>
      </c>
      <c r="C166" s="1071" t="s">
        <v>1623</v>
      </c>
      <c r="D166" s="1072"/>
      <c r="E166" s="1072"/>
      <c r="F166" s="1072"/>
      <c r="G166" s="1073"/>
    </row>
    <row r="167" spans="1:7" ht="14.25" hidden="1" thickTop="1" thickBot="1">
      <c r="A167" s="422"/>
      <c r="B167" s="1068"/>
      <c r="C167" s="1068"/>
      <c r="D167" s="1068"/>
      <c r="E167" s="1068"/>
      <c r="F167" s="1068"/>
      <c r="G167" s="1068"/>
    </row>
    <row r="168" spans="1:7" ht="14.25" hidden="1" thickTop="1" thickBot="1">
      <c r="A168" s="95"/>
      <c r="B168" s="811" t="s">
        <v>304</v>
      </c>
      <c r="C168" s="812"/>
      <c r="D168" s="812"/>
      <c r="E168" s="812"/>
      <c r="F168" s="812"/>
      <c r="G168" s="825"/>
    </row>
    <row r="169" spans="1:7" ht="14.25" hidden="1" thickTop="1" thickBot="1">
      <c r="A169" s="95"/>
      <c r="B169" s="229"/>
      <c r="C169" s="97"/>
      <c r="D169" s="98" t="s">
        <v>301</v>
      </c>
      <c r="E169" s="98" t="s">
        <v>1072</v>
      </c>
      <c r="F169" s="99" t="s">
        <v>839</v>
      </c>
      <c r="G169" s="107" t="s">
        <v>840</v>
      </c>
    </row>
    <row r="170" spans="1:7" ht="14.25" hidden="1" thickTop="1" thickBot="1">
      <c r="A170" s="95"/>
      <c r="B170" s="821" t="s">
        <v>838</v>
      </c>
      <c r="C170" s="822"/>
      <c r="D170" s="100" t="s">
        <v>308</v>
      </c>
      <c r="E170" s="100" t="s">
        <v>305</v>
      </c>
      <c r="F170" s="101" t="s">
        <v>306</v>
      </c>
      <c r="G170" s="108" t="s">
        <v>310</v>
      </c>
    </row>
    <row r="171" spans="1:7" ht="14.25" hidden="1" thickTop="1" thickBot="1">
      <c r="A171" s="95"/>
      <c r="B171" s="230"/>
      <c r="C171" s="102"/>
      <c r="D171" s="103"/>
      <c r="E171" s="103" t="s">
        <v>309</v>
      </c>
      <c r="F171" s="104" t="s">
        <v>307</v>
      </c>
      <c r="G171" s="109"/>
    </row>
    <row r="172" spans="1:7" ht="14.25" hidden="1" thickTop="1" thickBot="1">
      <c r="A172" s="127">
        <f>[1]MAQUINARIA!$A$28</f>
        <v>10120</v>
      </c>
      <c r="B172" s="823" t="str">
        <f>[1]MAQUINARIA!$B$28</f>
        <v>HERRAMIENTAS MENORES</v>
      </c>
      <c r="C172" s="824"/>
      <c r="D172" s="87">
        <v>1</v>
      </c>
      <c r="E172" s="82">
        <f>ROUND(G205*0.05,0)</f>
        <v>1211</v>
      </c>
      <c r="F172" s="81">
        <v>1</v>
      </c>
      <c r="G172" s="110">
        <f>ROUND(D172*E172/F172,0)</f>
        <v>1211</v>
      </c>
    </row>
    <row r="173" spans="1:7" ht="14.25" hidden="1" thickTop="1" thickBot="1">
      <c r="A173" s="95"/>
      <c r="B173" s="835"/>
      <c r="C173" s="836"/>
      <c r="D173" s="37"/>
      <c r="E173" s="129"/>
      <c r="F173" s="83"/>
      <c r="G173" s="111"/>
    </row>
    <row r="174" spans="1:7" ht="14.25" hidden="1" thickTop="1" thickBot="1">
      <c r="A174" s="95"/>
      <c r="B174" s="835"/>
      <c r="C174" s="836"/>
      <c r="D174" s="89"/>
      <c r="E174" s="82"/>
      <c r="F174" s="83"/>
      <c r="G174" s="111"/>
    </row>
    <row r="175" spans="1:7" ht="14.25" hidden="1" thickTop="1" thickBot="1">
      <c r="A175" s="95"/>
      <c r="B175" s="835"/>
      <c r="C175" s="836"/>
      <c r="D175" s="89"/>
      <c r="E175" s="82"/>
      <c r="F175" s="83"/>
      <c r="G175" s="111"/>
    </row>
    <row r="176" spans="1:7" ht="14.25" hidden="1" thickTop="1" thickBot="1">
      <c r="A176" s="95"/>
      <c r="B176" s="835" t="s">
        <v>841</v>
      </c>
      <c r="C176" s="836"/>
      <c r="D176" s="37"/>
      <c r="E176" s="82"/>
      <c r="F176" s="83"/>
      <c r="G176" s="111"/>
    </row>
    <row r="177" spans="1:7" ht="14.25" hidden="1" thickTop="1" thickBot="1">
      <c r="A177" s="95"/>
      <c r="B177" s="839" t="s">
        <v>841</v>
      </c>
      <c r="C177" s="840"/>
      <c r="D177" s="77"/>
      <c r="E177" s="106"/>
      <c r="F177" s="86"/>
      <c r="G177" s="112"/>
    </row>
    <row r="178" spans="1:7" ht="14.25" hidden="1" thickTop="1" thickBot="1">
      <c r="A178" s="95"/>
      <c r="B178" s="808"/>
      <c r="C178" s="808"/>
      <c r="D178" s="808"/>
      <c r="E178" s="809"/>
      <c r="F178" s="119" t="s">
        <v>856</v>
      </c>
      <c r="G178" s="118">
        <f>SUM(G172:G177)</f>
        <v>1211</v>
      </c>
    </row>
    <row r="179" spans="1:7" ht="14.25" hidden="1" thickTop="1" thickBot="1">
      <c r="A179" s="95"/>
      <c r="B179" s="830"/>
      <c r="C179" s="830"/>
      <c r="D179" s="830"/>
      <c r="E179" s="830"/>
      <c r="F179" s="830"/>
      <c r="G179" s="830"/>
    </row>
    <row r="180" spans="1:7" ht="14.25" hidden="1" thickTop="1" thickBot="1">
      <c r="A180" s="95"/>
      <c r="B180" s="811" t="s">
        <v>311</v>
      </c>
      <c r="C180" s="812"/>
      <c r="D180" s="812"/>
      <c r="E180" s="812"/>
      <c r="F180" s="812"/>
      <c r="G180" s="825"/>
    </row>
    <row r="181" spans="1:7" ht="14.25" hidden="1" thickTop="1" thickBot="1">
      <c r="A181" s="95"/>
      <c r="B181" s="817" t="s">
        <v>838</v>
      </c>
      <c r="C181" s="818"/>
      <c r="D181" s="98" t="s">
        <v>842</v>
      </c>
      <c r="E181" s="98" t="s">
        <v>853</v>
      </c>
      <c r="F181" s="99" t="s">
        <v>1047</v>
      </c>
      <c r="G181" s="107" t="s">
        <v>840</v>
      </c>
    </row>
    <row r="182" spans="1:7" ht="14.25" hidden="1" thickTop="1" thickBot="1">
      <c r="A182" s="95"/>
      <c r="B182" s="230"/>
      <c r="C182" s="102"/>
      <c r="D182" s="100"/>
      <c r="E182" s="100" t="s">
        <v>312</v>
      </c>
      <c r="F182" s="101" t="s">
        <v>313</v>
      </c>
      <c r="G182" s="108" t="s">
        <v>314</v>
      </c>
    </row>
    <row r="183" spans="1:7" ht="14.25" hidden="1" thickTop="1" thickBot="1">
      <c r="A183" s="125"/>
      <c r="B183" s="432"/>
      <c r="C183" s="126"/>
      <c r="D183" s="87"/>
      <c r="E183" s="10"/>
      <c r="F183" s="80"/>
      <c r="G183" s="110"/>
    </row>
    <row r="184" spans="1:7" ht="14.25" hidden="1" thickTop="1" thickBot="1">
      <c r="A184" s="123"/>
      <c r="B184" s="246"/>
      <c r="C184" s="124"/>
      <c r="D184" s="88"/>
      <c r="E184" s="53"/>
      <c r="F184" s="82"/>
      <c r="G184" s="111"/>
    </row>
    <row r="185" spans="1:7" ht="14.25" hidden="1" thickTop="1" thickBot="1">
      <c r="A185" s="95"/>
      <c r="B185" s="835"/>
      <c r="C185" s="836"/>
      <c r="D185" s="37"/>
      <c r="E185" s="55"/>
      <c r="F185" s="82"/>
      <c r="G185" s="111"/>
    </row>
    <row r="186" spans="1:7" ht="14.25" hidden="1" thickTop="1" thickBot="1">
      <c r="A186" s="95"/>
      <c r="B186" s="835"/>
      <c r="C186" s="836"/>
      <c r="D186" s="37"/>
      <c r="E186" s="55"/>
      <c r="F186" s="82"/>
      <c r="G186" s="111"/>
    </row>
    <row r="187" spans="1:7" ht="14.25" hidden="1" thickTop="1" thickBot="1">
      <c r="A187" s="95"/>
      <c r="B187" s="837"/>
      <c r="C187" s="838"/>
      <c r="D187" s="37"/>
      <c r="E187" s="55"/>
      <c r="F187" s="82"/>
      <c r="G187" s="111"/>
    </row>
    <row r="188" spans="1:7" ht="14.25" hidden="1" thickTop="1" thickBot="1">
      <c r="A188" s="95"/>
      <c r="B188" s="837"/>
      <c r="C188" s="838"/>
      <c r="D188" s="53" t="s">
        <v>841</v>
      </c>
      <c r="E188" s="53"/>
      <c r="F188" s="82"/>
      <c r="G188" s="111"/>
    </row>
    <row r="189" spans="1:7" ht="14.25" hidden="1" thickTop="1" thickBot="1">
      <c r="A189" s="95"/>
      <c r="B189" s="837" t="s">
        <v>841</v>
      </c>
      <c r="C189" s="838"/>
      <c r="D189" s="53" t="s">
        <v>841</v>
      </c>
      <c r="E189" s="53"/>
      <c r="F189" s="82"/>
      <c r="G189" s="111"/>
    </row>
    <row r="190" spans="1:7" ht="14.25" hidden="1" thickTop="1" thickBot="1">
      <c r="A190" s="95"/>
      <c r="B190" s="837" t="s">
        <v>841</v>
      </c>
      <c r="C190" s="838"/>
      <c r="D190" s="53" t="s">
        <v>841</v>
      </c>
      <c r="E190" s="53"/>
      <c r="F190" s="82"/>
      <c r="G190" s="111"/>
    </row>
    <row r="191" spans="1:7" ht="14.25" hidden="1" thickTop="1" thickBot="1">
      <c r="A191" s="95"/>
      <c r="B191" s="839" t="s">
        <v>841</v>
      </c>
      <c r="C191" s="840"/>
      <c r="D191" s="84" t="s">
        <v>841</v>
      </c>
      <c r="E191" s="84"/>
      <c r="F191" s="85"/>
      <c r="G191" s="112"/>
    </row>
    <row r="192" spans="1:7" ht="14.25" hidden="1" thickTop="1" thickBot="1">
      <c r="A192" s="95"/>
      <c r="B192" s="808"/>
      <c r="C192" s="809"/>
      <c r="D192" s="801" t="s">
        <v>856</v>
      </c>
      <c r="E192" s="802"/>
      <c r="F192" s="9"/>
      <c r="G192" s="113">
        <f>SUM(G183:G191)</f>
        <v>0</v>
      </c>
    </row>
    <row r="193" spans="1:7" ht="14.25" hidden="1" thickTop="1" thickBot="1">
      <c r="A193" s="95"/>
      <c r="B193" s="819"/>
      <c r="C193" s="820"/>
      <c r="D193" s="801" t="s">
        <v>857</v>
      </c>
      <c r="E193" s="802"/>
      <c r="F193" s="79">
        <f>'[1]MANO DE OBRA'!$D$60</f>
        <v>0.05</v>
      </c>
      <c r="G193" s="113">
        <f>ROUND(G192*F193,0)</f>
        <v>0</v>
      </c>
    </row>
    <row r="194" spans="1:7" ht="14.25" hidden="1" thickTop="1" thickBot="1">
      <c r="A194" s="95"/>
      <c r="B194" s="819"/>
      <c r="C194" s="820"/>
      <c r="D194" s="803" t="s">
        <v>320</v>
      </c>
      <c r="E194" s="804"/>
      <c r="F194" s="114"/>
      <c r="G194" s="118">
        <f>+G192+G193</f>
        <v>0</v>
      </c>
    </row>
    <row r="195" spans="1:7" ht="14.25" hidden="1" thickTop="1" thickBot="1">
      <c r="A195" s="95"/>
      <c r="B195" s="830"/>
      <c r="C195" s="830"/>
      <c r="D195" s="830"/>
      <c r="E195" s="830"/>
      <c r="F195" s="830"/>
      <c r="G195" s="830"/>
    </row>
    <row r="196" spans="1:7" ht="14.25" hidden="1" thickTop="1" thickBot="1">
      <c r="A196" s="95"/>
      <c r="B196" s="811" t="s">
        <v>858</v>
      </c>
      <c r="C196" s="812"/>
      <c r="D196" s="812"/>
      <c r="E196" s="812"/>
      <c r="F196" s="812"/>
      <c r="G196" s="825"/>
    </row>
    <row r="197" spans="1:7" ht="14.25" hidden="1" thickTop="1" thickBot="1">
      <c r="A197" s="95"/>
      <c r="B197" s="817"/>
      <c r="C197" s="818"/>
      <c r="D197" s="98" t="s">
        <v>301</v>
      </c>
      <c r="E197" s="98" t="s">
        <v>859</v>
      </c>
      <c r="F197" s="99" t="s">
        <v>839</v>
      </c>
      <c r="G197" s="107" t="s">
        <v>840</v>
      </c>
    </row>
    <row r="198" spans="1:7" ht="14.25" hidden="1" thickTop="1" thickBot="1">
      <c r="A198" s="95"/>
      <c r="B198" s="821" t="s">
        <v>838</v>
      </c>
      <c r="C198" s="822"/>
      <c r="D198" s="100" t="s">
        <v>316</v>
      </c>
      <c r="E198" s="100" t="s">
        <v>315</v>
      </c>
      <c r="F198" s="101" t="s">
        <v>306</v>
      </c>
      <c r="G198" s="108" t="s">
        <v>319</v>
      </c>
    </row>
    <row r="199" spans="1:7" ht="14.25" hidden="1" thickTop="1" thickBot="1">
      <c r="A199" s="95"/>
      <c r="B199" s="230"/>
      <c r="C199" s="102"/>
      <c r="D199" s="103"/>
      <c r="E199" s="103" t="s">
        <v>317</v>
      </c>
      <c r="F199" s="104" t="s">
        <v>318</v>
      </c>
      <c r="G199" s="109"/>
    </row>
    <row r="200" spans="1:7" ht="14.25" hidden="1" thickTop="1" thickBot="1">
      <c r="A200" s="95">
        <f>'[1]MANO DE OBRA'!$A$15</f>
        <v>30106</v>
      </c>
      <c r="B200" s="823" t="str">
        <f>'[1]MANO DE OBRA'!$B$15</f>
        <v xml:space="preserve">OFICIAL CUAD. TIPO AA </v>
      </c>
      <c r="C200" s="824"/>
      <c r="D200" s="87">
        <v>1</v>
      </c>
      <c r="E200" s="80">
        <f>'[1]MANO DE OBRA'!$E$15</f>
        <v>68658</v>
      </c>
      <c r="F200" s="81">
        <v>18</v>
      </c>
      <c r="G200" s="110">
        <f>ROUND(D200*E200/F200,0)</f>
        <v>3814</v>
      </c>
    </row>
    <row r="201" spans="1:7" ht="14.25" hidden="1" thickTop="1" thickBot="1">
      <c r="A201" s="95">
        <f>'[1]MANO DE OBRA'!$A$9</f>
        <v>30101</v>
      </c>
      <c r="B201" s="835" t="str">
        <f>'[1]MANO DE OBRA'!$B$9</f>
        <v>AYUDANTE CUAD. TIPO AA</v>
      </c>
      <c r="C201" s="836"/>
      <c r="D201" s="37">
        <v>2</v>
      </c>
      <c r="E201" s="82">
        <f>'[1]MANO DE OBRA'!$E$9</f>
        <v>34676</v>
      </c>
      <c r="F201" s="83">
        <v>3.4</v>
      </c>
      <c r="G201" s="111">
        <f>ROUND(D201*E201/F201,0)</f>
        <v>20398</v>
      </c>
    </row>
    <row r="202" spans="1:7" ht="14.25" hidden="1" thickTop="1" thickBot="1">
      <c r="A202" s="95"/>
      <c r="B202" s="835"/>
      <c r="C202" s="836"/>
      <c r="D202" s="37"/>
      <c r="E202" s="82"/>
      <c r="F202" s="83"/>
      <c r="G202" s="111"/>
    </row>
    <row r="203" spans="1:7" ht="14.25" hidden="1" thickTop="1" thickBot="1">
      <c r="A203" s="95"/>
      <c r="B203" s="835" t="s">
        <v>841</v>
      </c>
      <c r="C203" s="836"/>
      <c r="D203" s="37"/>
      <c r="E203" s="82"/>
      <c r="F203" s="83"/>
      <c r="G203" s="111"/>
    </row>
    <row r="204" spans="1:7" ht="14.25" hidden="1" thickTop="1" thickBot="1">
      <c r="A204" s="95"/>
      <c r="B204" s="828" t="s">
        <v>841</v>
      </c>
      <c r="C204" s="829"/>
      <c r="D204" s="77"/>
      <c r="E204" s="82"/>
      <c r="F204" s="86"/>
      <c r="G204" s="112"/>
    </row>
    <row r="205" spans="1:7" ht="14.25" hidden="1" thickTop="1" thickBot="1">
      <c r="A205" s="95"/>
      <c r="B205" s="808"/>
      <c r="C205" s="808"/>
      <c r="D205" s="808"/>
      <c r="E205" s="809"/>
      <c r="F205" s="120" t="s">
        <v>856</v>
      </c>
      <c r="G205" s="118">
        <f>SUM(G200:G204)</f>
        <v>24212</v>
      </c>
    </row>
    <row r="206" spans="1:7" ht="14.25" hidden="1" thickTop="1" thickBot="1">
      <c r="A206" s="95"/>
      <c r="B206" s="810"/>
      <c r="C206" s="810"/>
      <c r="D206" s="810"/>
      <c r="E206" s="810"/>
      <c r="F206" s="810"/>
      <c r="G206" s="810"/>
    </row>
    <row r="207" spans="1:7" ht="14.25" hidden="1" thickTop="1" thickBot="1">
      <c r="A207" s="95"/>
      <c r="B207" s="811" t="s">
        <v>321</v>
      </c>
      <c r="C207" s="812"/>
      <c r="D207" s="812"/>
      <c r="E207" s="812"/>
      <c r="F207" s="812"/>
      <c r="G207" s="825"/>
    </row>
    <row r="208" spans="1:7" ht="14.25" hidden="1" thickTop="1" thickBot="1">
      <c r="A208" s="95"/>
      <c r="B208" s="817" t="s">
        <v>838</v>
      </c>
      <c r="C208" s="818"/>
      <c r="D208" s="98" t="s">
        <v>301</v>
      </c>
      <c r="E208" s="98" t="s">
        <v>297</v>
      </c>
      <c r="F208" s="99" t="s">
        <v>839</v>
      </c>
      <c r="G208" s="107" t="s">
        <v>840</v>
      </c>
    </row>
    <row r="209" spans="1:7" ht="14.25" hidden="1" thickTop="1" thickBot="1">
      <c r="A209" s="95"/>
      <c r="B209" s="230"/>
      <c r="C209" s="102"/>
      <c r="D209" s="103" t="s">
        <v>322</v>
      </c>
      <c r="E209" s="103" t="s">
        <v>323</v>
      </c>
      <c r="F209" s="104" t="s">
        <v>324</v>
      </c>
      <c r="G209" s="109" t="s">
        <v>325</v>
      </c>
    </row>
    <row r="210" spans="1:7" ht="14.25" hidden="1" thickTop="1" thickBot="1">
      <c r="A210" s="95"/>
      <c r="B210" s="826"/>
      <c r="C210" s="827"/>
      <c r="D210" s="96"/>
      <c r="E210" s="96"/>
      <c r="F210" s="96"/>
      <c r="G210" s="116"/>
    </row>
    <row r="211" spans="1:7" ht="14.25" hidden="1" thickTop="1" thickBot="1">
      <c r="A211" s="95"/>
      <c r="B211" s="828" t="s">
        <v>841</v>
      </c>
      <c r="C211" s="829"/>
      <c r="D211" s="77"/>
      <c r="E211" s="82"/>
      <c r="F211" s="86"/>
      <c r="G211" s="112"/>
    </row>
    <row r="212" spans="1:7" ht="14.25" hidden="1" thickTop="1" thickBot="1">
      <c r="A212" s="95"/>
      <c r="B212" s="808"/>
      <c r="C212" s="808"/>
      <c r="D212" s="808"/>
      <c r="E212" s="809"/>
      <c r="F212" s="120" t="s">
        <v>856</v>
      </c>
      <c r="G212" s="118">
        <f>SUM(G207:G211)</f>
        <v>0</v>
      </c>
    </row>
    <row r="213" spans="1:7" ht="14.25" hidden="1" thickTop="1" thickBot="1">
      <c r="A213" s="95"/>
      <c r="B213" s="810"/>
      <c r="C213" s="810"/>
      <c r="D213" s="810"/>
      <c r="E213" s="810"/>
      <c r="F213" s="810"/>
      <c r="G213" s="834"/>
    </row>
    <row r="214" spans="1:7" ht="14.25" hidden="1" thickTop="1" thickBot="1">
      <c r="A214" s="95"/>
      <c r="B214" s="811" t="s">
        <v>326</v>
      </c>
      <c r="C214" s="812"/>
      <c r="D214" s="812"/>
      <c r="E214" s="812"/>
      <c r="F214" s="813"/>
      <c r="G214" s="121">
        <f>+G178+G194+G205</f>
        <v>25423</v>
      </c>
    </row>
    <row r="215" spans="1:7" ht="14.25" hidden="1" thickTop="1" thickBot="1">
      <c r="A215" s="95"/>
      <c r="B215" s="814" t="s">
        <v>861</v>
      </c>
      <c r="C215" s="815"/>
      <c r="D215" s="815"/>
      <c r="E215" s="816"/>
      <c r="F215" s="128">
        <f>'[1]MANO DE OBRA'!$D$59</f>
        <v>0</v>
      </c>
      <c r="G215" s="122">
        <f>ROUND(G214*F215,0)</f>
        <v>0</v>
      </c>
    </row>
    <row r="216" spans="1:7" ht="14.25" hidden="1" thickTop="1" thickBot="1">
      <c r="A216" s="95"/>
      <c r="B216" s="805" t="s">
        <v>1049</v>
      </c>
      <c r="C216" s="806"/>
      <c r="D216" s="806"/>
      <c r="E216" s="806"/>
      <c r="F216" s="807"/>
      <c r="G216" s="118">
        <f>ROUND(G214+G215,-2)</f>
        <v>25400</v>
      </c>
    </row>
    <row r="217" spans="1:7" ht="14.25" hidden="1" thickTop="1" thickBot="1">
      <c r="A217" s="422"/>
      <c r="B217" s="423" t="s">
        <v>303</v>
      </c>
      <c r="C217" s="1064"/>
      <c r="D217" s="1064"/>
      <c r="E217" s="1064"/>
      <c r="F217" s="424" t="s">
        <v>781</v>
      </c>
      <c r="G217" s="425" t="s">
        <v>669</v>
      </c>
    </row>
    <row r="218" spans="1:7" ht="14.25" hidden="1" thickTop="1" thickBot="1">
      <c r="A218" s="422" t="s">
        <v>837</v>
      </c>
      <c r="B218" s="427" t="s">
        <v>834</v>
      </c>
      <c r="C218" s="1065" t="s">
        <v>1619</v>
      </c>
      <c r="D218" s="1065"/>
      <c r="E218" s="1065"/>
      <c r="F218" s="428" t="s">
        <v>833</v>
      </c>
      <c r="G218" s="429" t="str">
        <f>'[1]MANO DE OBRA'!$D$61</f>
        <v>Septiembre de 2009</v>
      </c>
    </row>
    <row r="219" spans="1:7" ht="14.25" hidden="1" thickTop="1" thickBot="1">
      <c r="A219" s="430">
        <v>18005</v>
      </c>
      <c r="B219" s="431" t="s">
        <v>835</v>
      </c>
      <c r="C219" s="1071" t="s">
        <v>1624</v>
      </c>
      <c r="D219" s="1072"/>
      <c r="E219" s="1072"/>
      <c r="F219" s="1072"/>
      <c r="G219" s="1073"/>
    </row>
    <row r="220" spans="1:7" ht="14.25" hidden="1" thickTop="1" thickBot="1">
      <c r="A220" s="422"/>
      <c r="B220" s="1068"/>
      <c r="C220" s="1068"/>
      <c r="D220" s="1068"/>
      <c r="E220" s="1068"/>
      <c r="F220" s="1068"/>
      <c r="G220" s="1068"/>
    </row>
    <row r="221" spans="1:7" ht="14.25" hidden="1" thickTop="1" thickBot="1">
      <c r="A221" s="95"/>
      <c r="B221" s="811" t="s">
        <v>304</v>
      </c>
      <c r="C221" s="812"/>
      <c r="D221" s="812"/>
      <c r="E221" s="812"/>
      <c r="F221" s="812"/>
      <c r="G221" s="825"/>
    </row>
    <row r="222" spans="1:7" ht="14.25" hidden="1" thickTop="1" thickBot="1">
      <c r="A222" s="95"/>
      <c r="B222" s="229"/>
      <c r="C222" s="97"/>
      <c r="D222" s="98" t="s">
        <v>301</v>
      </c>
      <c r="E222" s="98" t="s">
        <v>1072</v>
      </c>
      <c r="F222" s="99" t="s">
        <v>839</v>
      </c>
      <c r="G222" s="107" t="s">
        <v>840</v>
      </c>
    </row>
    <row r="223" spans="1:7" ht="14.25" hidden="1" thickTop="1" thickBot="1">
      <c r="A223" s="95"/>
      <c r="B223" s="821" t="s">
        <v>838</v>
      </c>
      <c r="C223" s="822"/>
      <c r="D223" s="100" t="s">
        <v>308</v>
      </c>
      <c r="E223" s="100" t="s">
        <v>305</v>
      </c>
      <c r="F223" s="101" t="s">
        <v>306</v>
      </c>
      <c r="G223" s="108" t="s">
        <v>310</v>
      </c>
    </row>
    <row r="224" spans="1:7" ht="14.25" hidden="1" thickTop="1" thickBot="1">
      <c r="A224" s="95"/>
      <c r="B224" s="230"/>
      <c r="C224" s="102"/>
      <c r="D224" s="103"/>
      <c r="E224" s="103" t="s">
        <v>309</v>
      </c>
      <c r="F224" s="104" t="s">
        <v>307</v>
      </c>
      <c r="G224" s="109"/>
    </row>
    <row r="225" spans="1:7" ht="14.25" hidden="1" thickTop="1" thickBot="1">
      <c r="A225" s="127">
        <f>[1]MAQUINARIA!$A$28</f>
        <v>10120</v>
      </c>
      <c r="B225" s="823" t="str">
        <f>[1]MAQUINARIA!$B$28</f>
        <v>HERRAMIENTAS MENORES</v>
      </c>
      <c r="C225" s="824"/>
      <c r="D225" s="87">
        <v>1</v>
      </c>
      <c r="E225" s="82">
        <f>ROUND(G258*0.05,0)</f>
        <v>14</v>
      </c>
      <c r="F225" s="81">
        <v>1</v>
      </c>
      <c r="G225" s="110">
        <f>ROUND(D225*E225/F225,0)</f>
        <v>14</v>
      </c>
    </row>
    <row r="226" spans="1:7" ht="14.25" hidden="1" thickTop="1" thickBot="1">
      <c r="A226" s="95">
        <f>[1]MAQUINARIA!$A$61</f>
        <v>10206</v>
      </c>
      <c r="B226" s="835" t="str">
        <f>[1]MAQUINARIA!$B$61</f>
        <v>RETROEXCAVADORA</v>
      </c>
      <c r="C226" s="836"/>
      <c r="D226" s="37">
        <v>1</v>
      </c>
      <c r="E226" s="129">
        <f>[1]MAQUINARIA!$C$61</f>
        <v>150000</v>
      </c>
      <c r="F226" s="83">
        <v>120</v>
      </c>
      <c r="G226" s="111">
        <f>ROUND(D226*E226/F226,0)</f>
        <v>1250</v>
      </c>
    </row>
    <row r="227" spans="1:7" ht="14.25" hidden="1" thickTop="1" thickBot="1">
      <c r="A227" s="95">
        <f>[1]MAQUINARIA!$A$62</f>
        <v>10207</v>
      </c>
      <c r="B227" s="835" t="str">
        <f>[1]MAQUINARIA!$B$62</f>
        <v>CAMABAJA TRANSPORTE</v>
      </c>
      <c r="C227" s="836"/>
      <c r="D227" s="37">
        <v>1</v>
      </c>
      <c r="E227" s="129">
        <f>[1]MAQUINARIA!$C$62</f>
        <v>700000</v>
      </c>
      <c r="F227" s="83">
        <v>600</v>
      </c>
      <c r="G227" s="111">
        <f>ROUND(D227*E227/F227,0)</f>
        <v>1167</v>
      </c>
    </row>
    <row r="228" spans="1:7" ht="14.25" hidden="1" thickTop="1" thickBot="1">
      <c r="A228" s="95"/>
      <c r="B228" s="835"/>
      <c r="C228" s="836"/>
      <c r="D228" s="89"/>
      <c r="E228" s="82"/>
      <c r="F228" s="83"/>
      <c r="G228" s="111"/>
    </row>
    <row r="229" spans="1:7" ht="14.25" hidden="1" thickTop="1" thickBot="1">
      <c r="A229" s="95"/>
      <c r="B229" s="835" t="s">
        <v>841</v>
      </c>
      <c r="C229" s="836"/>
      <c r="D229" s="37"/>
      <c r="E229" s="82"/>
      <c r="F229" s="83"/>
      <c r="G229" s="111"/>
    </row>
    <row r="230" spans="1:7" ht="14.25" hidden="1" thickTop="1" thickBot="1">
      <c r="A230" s="95"/>
      <c r="B230" s="839" t="s">
        <v>841</v>
      </c>
      <c r="C230" s="840"/>
      <c r="D230" s="77"/>
      <c r="E230" s="106"/>
      <c r="F230" s="86"/>
      <c r="G230" s="112"/>
    </row>
    <row r="231" spans="1:7" ht="14.25" hidden="1" thickTop="1" thickBot="1">
      <c r="A231" s="95"/>
      <c r="B231" s="808"/>
      <c r="C231" s="808"/>
      <c r="D231" s="808"/>
      <c r="E231" s="809"/>
      <c r="F231" s="119" t="s">
        <v>856</v>
      </c>
      <c r="G231" s="118">
        <f>SUM(G225:G230)</f>
        <v>2431</v>
      </c>
    </row>
    <row r="232" spans="1:7" ht="14.25" hidden="1" thickTop="1" thickBot="1">
      <c r="A232" s="95"/>
      <c r="B232" s="830"/>
      <c r="C232" s="830"/>
      <c r="D232" s="830"/>
      <c r="E232" s="830"/>
      <c r="F232" s="830"/>
      <c r="G232" s="830"/>
    </row>
    <row r="233" spans="1:7" ht="14.25" hidden="1" thickTop="1" thickBot="1">
      <c r="A233" s="95"/>
      <c r="B233" s="811" t="s">
        <v>311</v>
      </c>
      <c r="C233" s="812"/>
      <c r="D233" s="812"/>
      <c r="E233" s="812"/>
      <c r="F233" s="812"/>
      <c r="G233" s="825"/>
    </row>
    <row r="234" spans="1:7" ht="14.25" hidden="1" thickTop="1" thickBot="1">
      <c r="A234" s="95"/>
      <c r="B234" s="817" t="s">
        <v>838</v>
      </c>
      <c r="C234" s="818"/>
      <c r="D234" s="98" t="s">
        <v>842</v>
      </c>
      <c r="E234" s="98" t="s">
        <v>853</v>
      </c>
      <c r="F234" s="99" t="s">
        <v>1047</v>
      </c>
      <c r="G234" s="107" t="s">
        <v>840</v>
      </c>
    </row>
    <row r="235" spans="1:7" ht="14.25" hidden="1" thickTop="1" thickBot="1">
      <c r="A235" s="95"/>
      <c r="B235" s="230"/>
      <c r="C235" s="102"/>
      <c r="D235" s="100"/>
      <c r="E235" s="100" t="s">
        <v>312</v>
      </c>
      <c r="F235" s="101" t="s">
        <v>313</v>
      </c>
      <c r="G235" s="108" t="s">
        <v>314</v>
      </c>
    </row>
    <row r="236" spans="1:7" ht="14.25" hidden="1" thickTop="1" thickBot="1">
      <c r="A236" s="125"/>
      <c r="B236" s="432"/>
      <c r="C236" s="126"/>
      <c r="D236" s="87"/>
      <c r="E236" s="10"/>
      <c r="F236" s="80"/>
      <c r="G236" s="110"/>
    </row>
    <row r="237" spans="1:7" ht="14.25" hidden="1" thickTop="1" thickBot="1">
      <c r="A237" s="123"/>
      <c r="B237" s="246"/>
      <c r="C237" s="124"/>
      <c r="D237" s="88"/>
      <c r="E237" s="53"/>
      <c r="F237" s="82"/>
      <c r="G237" s="111"/>
    </row>
    <row r="238" spans="1:7" ht="14.25" hidden="1" thickTop="1" thickBot="1">
      <c r="A238" s="95"/>
      <c r="B238" s="835"/>
      <c r="C238" s="836"/>
      <c r="D238" s="37"/>
      <c r="E238" s="55"/>
      <c r="F238" s="82"/>
      <c r="G238" s="111"/>
    </row>
    <row r="239" spans="1:7" ht="14.25" hidden="1" thickTop="1" thickBot="1">
      <c r="A239" s="95"/>
      <c r="B239" s="835"/>
      <c r="C239" s="836"/>
      <c r="D239" s="37"/>
      <c r="E239" s="55"/>
      <c r="F239" s="82"/>
      <c r="G239" s="111"/>
    </row>
    <row r="240" spans="1:7" ht="14.25" hidden="1" thickTop="1" thickBot="1">
      <c r="A240" s="95"/>
      <c r="B240" s="837"/>
      <c r="C240" s="838"/>
      <c r="D240" s="37"/>
      <c r="E240" s="55"/>
      <c r="F240" s="82"/>
      <c r="G240" s="111"/>
    </row>
    <row r="241" spans="1:7" ht="14.25" hidden="1" thickTop="1" thickBot="1">
      <c r="A241" s="95"/>
      <c r="B241" s="837"/>
      <c r="C241" s="838"/>
      <c r="D241" s="53" t="s">
        <v>841</v>
      </c>
      <c r="E241" s="53"/>
      <c r="F241" s="82"/>
      <c r="G241" s="111"/>
    </row>
    <row r="242" spans="1:7" ht="14.25" hidden="1" thickTop="1" thickBot="1">
      <c r="A242" s="95"/>
      <c r="B242" s="837" t="s">
        <v>841</v>
      </c>
      <c r="C242" s="838"/>
      <c r="D242" s="53" t="s">
        <v>841</v>
      </c>
      <c r="E242" s="53"/>
      <c r="F242" s="82"/>
      <c r="G242" s="111"/>
    </row>
    <row r="243" spans="1:7" ht="14.25" hidden="1" thickTop="1" thickBot="1">
      <c r="A243" s="95"/>
      <c r="B243" s="837" t="s">
        <v>841</v>
      </c>
      <c r="C243" s="838"/>
      <c r="D243" s="53" t="s">
        <v>841</v>
      </c>
      <c r="E243" s="53"/>
      <c r="F243" s="82"/>
      <c r="G243" s="111"/>
    </row>
    <row r="244" spans="1:7" ht="14.25" hidden="1" thickTop="1" thickBot="1">
      <c r="A244" s="95"/>
      <c r="B244" s="839" t="s">
        <v>841</v>
      </c>
      <c r="C244" s="840"/>
      <c r="D244" s="84" t="s">
        <v>841</v>
      </c>
      <c r="E244" s="84"/>
      <c r="F244" s="85"/>
      <c r="G244" s="112"/>
    </row>
    <row r="245" spans="1:7" ht="14.25" hidden="1" thickTop="1" thickBot="1">
      <c r="A245" s="95"/>
      <c r="B245" s="808"/>
      <c r="C245" s="809"/>
      <c r="D245" s="801" t="s">
        <v>856</v>
      </c>
      <c r="E245" s="802"/>
      <c r="F245" s="9"/>
      <c r="G245" s="113">
        <f>SUM(G236:G244)</f>
        <v>0</v>
      </c>
    </row>
    <row r="246" spans="1:7" ht="14.25" hidden="1" thickTop="1" thickBot="1">
      <c r="A246" s="95"/>
      <c r="B246" s="819"/>
      <c r="C246" s="820"/>
      <c r="D246" s="801" t="s">
        <v>857</v>
      </c>
      <c r="E246" s="802"/>
      <c r="F246" s="79">
        <f>'[1]MANO DE OBRA'!$D$60</f>
        <v>0.05</v>
      </c>
      <c r="G246" s="113">
        <f>ROUND(G245*F246,0)</f>
        <v>0</v>
      </c>
    </row>
    <row r="247" spans="1:7" ht="14.25" hidden="1" thickTop="1" thickBot="1">
      <c r="A247" s="95"/>
      <c r="B247" s="819"/>
      <c r="C247" s="820"/>
      <c r="D247" s="803" t="s">
        <v>320</v>
      </c>
      <c r="E247" s="804"/>
      <c r="F247" s="114"/>
      <c r="G247" s="118">
        <f>+G245+G246</f>
        <v>0</v>
      </c>
    </row>
    <row r="248" spans="1:7" ht="14.25" hidden="1" thickTop="1" thickBot="1">
      <c r="A248" s="95"/>
      <c r="B248" s="830"/>
      <c r="C248" s="830"/>
      <c r="D248" s="830"/>
      <c r="E248" s="830"/>
      <c r="F248" s="830"/>
      <c r="G248" s="830"/>
    </row>
    <row r="249" spans="1:7" ht="14.25" hidden="1" thickTop="1" thickBot="1">
      <c r="A249" s="95"/>
      <c r="B249" s="811" t="s">
        <v>858</v>
      </c>
      <c r="C249" s="812"/>
      <c r="D249" s="812"/>
      <c r="E249" s="812"/>
      <c r="F249" s="812"/>
      <c r="G249" s="825"/>
    </row>
    <row r="250" spans="1:7" ht="14.25" hidden="1" thickTop="1" thickBot="1">
      <c r="A250" s="95"/>
      <c r="B250" s="817"/>
      <c r="C250" s="818"/>
      <c r="D250" s="98" t="s">
        <v>301</v>
      </c>
      <c r="E250" s="98" t="s">
        <v>859</v>
      </c>
      <c r="F250" s="99" t="s">
        <v>839</v>
      </c>
      <c r="G250" s="107" t="s">
        <v>840</v>
      </c>
    </row>
    <row r="251" spans="1:7" ht="14.25" hidden="1" thickTop="1" thickBot="1">
      <c r="A251" s="95"/>
      <c r="B251" s="821" t="s">
        <v>838</v>
      </c>
      <c r="C251" s="822"/>
      <c r="D251" s="100" t="s">
        <v>316</v>
      </c>
      <c r="E251" s="100" t="s">
        <v>315</v>
      </c>
      <c r="F251" s="101" t="s">
        <v>306</v>
      </c>
      <c r="G251" s="108" t="s">
        <v>319</v>
      </c>
    </row>
    <row r="252" spans="1:7" ht="14.25" hidden="1" thickTop="1" thickBot="1">
      <c r="A252" s="95"/>
      <c r="B252" s="230"/>
      <c r="C252" s="102"/>
      <c r="D252" s="103"/>
      <c r="E252" s="103" t="s">
        <v>317</v>
      </c>
      <c r="F252" s="104" t="s">
        <v>318</v>
      </c>
      <c r="G252" s="109"/>
    </row>
    <row r="253" spans="1:7" ht="14.25" hidden="1" thickTop="1" thickBot="1">
      <c r="A253" s="95">
        <f>'[1]MANO DE OBRA'!$A$9</f>
        <v>30101</v>
      </c>
      <c r="B253" s="835" t="str">
        <f>'[1]MANO DE OBRA'!$B$9</f>
        <v>AYUDANTE CUAD. TIPO AA</v>
      </c>
      <c r="C253" s="836"/>
      <c r="D253" s="37">
        <v>1</v>
      </c>
      <c r="E253" s="82">
        <f>'[1]MANO DE OBRA'!$E$9</f>
        <v>34676</v>
      </c>
      <c r="F253" s="83">
        <v>120</v>
      </c>
      <c r="G253" s="111">
        <f>ROUND(D253*E253/F253,0)</f>
        <v>289</v>
      </c>
    </row>
    <row r="254" spans="1:7" ht="14.25" hidden="1" thickTop="1" thickBot="1">
      <c r="A254" s="95"/>
      <c r="B254" s="835"/>
      <c r="C254" s="836"/>
      <c r="D254" s="37"/>
      <c r="E254" s="82"/>
      <c r="F254" s="83"/>
      <c r="G254" s="111"/>
    </row>
    <row r="255" spans="1:7" ht="14.25" hidden="1" thickTop="1" thickBot="1">
      <c r="A255" s="95"/>
      <c r="B255" s="835"/>
      <c r="C255" s="836"/>
      <c r="D255" s="37"/>
      <c r="E255" s="82"/>
      <c r="F255" s="83"/>
      <c r="G255" s="111"/>
    </row>
    <row r="256" spans="1:7" ht="14.25" hidden="1" thickTop="1" thickBot="1">
      <c r="A256" s="95"/>
      <c r="B256" s="835" t="s">
        <v>841</v>
      </c>
      <c r="C256" s="836"/>
      <c r="D256" s="37"/>
      <c r="E256" s="82"/>
      <c r="F256" s="83"/>
      <c r="G256" s="111"/>
    </row>
    <row r="257" spans="1:7" ht="14.25" hidden="1" thickTop="1" thickBot="1">
      <c r="A257" s="95"/>
      <c r="B257" s="828" t="s">
        <v>841</v>
      </c>
      <c r="C257" s="829"/>
      <c r="D257" s="77"/>
      <c r="E257" s="82"/>
      <c r="F257" s="86"/>
      <c r="G257" s="112"/>
    </row>
    <row r="258" spans="1:7" ht="14.25" hidden="1" thickTop="1" thickBot="1">
      <c r="A258" s="95"/>
      <c r="B258" s="808"/>
      <c r="C258" s="808"/>
      <c r="D258" s="808"/>
      <c r="E258" s="809"/>
      <c r="F258" s="120" t="s">
        <v>856</v>
      </c>
      <c r="G258" s="118">
        <f>SUM(G253:G257)</f>
        <v>289</v>
      </c>
    </row>
    <row r="259" spans="1:7" ht="14.25" hidden="1" thickTop="1" thickBot="1">
      <c r="A259" s="95"/>
      <c r="B259" s="810"/>
      <c r="C259" s="810"/>
      <c r="D259" s="810"/>
      <c r="E259" s="810"/>
      <c r="F259" s="810"/>
      <c r="G259" s="810"/>
    </row>
    <row r="260" spans="1:7" ht="14.25" hidden="1" thickTop="1" thickBot="1">
      <c r="A260" s="95"/>
      <c r="B260" s="811" t="s">
        <v>321</v>
      </c>
      <c r="C260" s="812"/>
      <c r="D260" s="812"/>
      <c r="E260" s="812"/>
      <c r="F260" s="812"/>
      <c r="G260" s="825"/>
    </row>
    <row r="261" spans="1:7" ht="14.25" hidden="1" thickTop="1" thickBot="1">
      <c r="A261" s="95"/>
      <c r="B261" s="817" t="s">
        <v>838</v>
      </c>
      <c r="C261" s="818"/>
      <c r="D261" s="98" t="s">
        <v>301</v>
      </c>
      <c r="E261" s="98" t="s">
        <v>297</v>
      </c>
      <c r="F261" s="99" t="s">
        <v>839</v>
      </c>
      <c r="G261" s="107" t="s">
        <v>840</v>
      </c>
    </row>
    <row r="262" spans="1:7" ht="14.25" hidden="1" thickTop="1" thickBot="1">
      <c r="A262" s="95"/>
      <c r="B262" s="230"/>
      <c r="C262" s="102"/>
      <c r="D262" s="103" t="s">
        <v>322</v>
      </c>
      <c r="E262" s="103" t="s">
        <v>323</v>
      </c>
      <c r="F262" s="104" t="s">
        <v>324</v>
      </c>
      <c r="G262" s="109" t="s">
        <v>325</v>
      </c>
    </row>
    <row r="263" spans="1:7" ht="14.25" hidden="1" thickTop="1" thickBot="1">
      <c r="A263" s="95"/>
      <c r="B263" s="826"/>
      <c r="C263" s="827"/>
      <c r="D263" s="96"/>
      <c r="E263" s="96"/>
      <c r="F263" s="96"/>
      <c r="G263" s="116"/>
    </row>
    <row r="264" spans="1:7" ht="14.25" hidden="1" thickTop="1" thickBot="1">
      <c r="A264" s="95"/>
      <c r="B264" s="828" t="s">
        <v>841</v>
      </c>
      <c r="C264" s="829"/>
      <c r="D264" s="77"/>
      <c r="E264" s="82"/>
      <c r="F264" s="86"/>
      <c r="G264" s="112"/>
    </row>
    <row r="265" spans="1:7" ht="14.25" hidden="1" thickTop="1" thickBot="1">
      <c r="A265" s="95"/>
      <c r="B265" s="808"/>
      <c r="C265" s="808"/>
      <c r="D265" s="808"/>
      <c r="E265" s="809"/>
      <c r="F265" s="120" t="s">
        <v>856</v>
      </c>
      <c r="G265" s="118">
        <f>SUM(G260:G264)</f>
        <v>0</v>
      </c>
    </row>
    <row r="266" spans="1:7" ht="14.25" hidden="1" thickTop="1" thickBot="1">
      <c r="A266" s="95"/>
      <c r="B266" s="810"/>
      <c r="C266" s="810"/>
      <c r="D266" s="810"/>
      <c r="E266" s="810"/>
      <c r="F266" s="810"/>
      <c r="G266" s="834"/>
    </row>
    <row r="267" spans="1:7" ht="14.25" hidden="1" thickTop="1" thickBot="1">
      <c r="A267" s="95"/>
      <c r="B267" s="811" t="s">
        <v>326</v>
      </c>
      <c r="C267" s="812"/>
      <c r="D267" s="812"/>
      <c r="E267" s="812"/>
      <c r="F267" s="813"/>
      <c r="G267" s="121">
        <f>+G231+G247+G258</f>
        <v>2720</v>
      </c>
    </row>
    <row r="268" spans="1:7" ht="14.25" hidden="1" thickTop="1" thickBot="1">
      <c r="A268" s="95"/>
      <c r="B268" s="814" t="s">
        <v>861</v>
      </c>
      <c r="C268" s="815"/>
      <c r="D268" s="815"/>
      <c r="E268" s="816"/>
      <c r="F268" s="128">
        <f>'[1]MANO DE OBRA'!$D$59</f>
        <v>0</v>
      </c>
      <c r="G268" s="122">
        <f>ROUND(G267*F268,0)</f>
        <v>0</v>
      </c>
    </row>
    <row r="269" spans="1:7" ht="14.25" hidden="1" thickTop="1" thickBot="1">
      <c r="A269" s="95"/>
      <c r="B269" s="805" t="s">
        <v>1049</v>
      </c>
      <c r="C269" s="806"/>
      <c r="D269" s="806"/>
      <c r="E269" s="806"/>
      <c r="F269" s="807"/>
      <c r="G269" s="118">
        <f>ROUND(G267+G268,-2)</f>
        <v>2700</v>
      </c>
    </row>
    <row r="270" spans="1:7" ht="14.25" hidden="1" thickTop="1" thickBot="1">
      <c r="A270" s="422"/>
      <c r="B270" s="423" t="s">
        <v>303</v>
      </c>
      <c r="C270" s="1064"/>
      <c r="D270" s="1064"/>
      <c r="E270" s="1064"/>
      <c r="F270" s="424" t="s">
        <v>781</v>
      </c>
      <c r="G270" s="425" t="s">
        <v>669</v>
      </c>
    </row>
    <row r="271" spans="1:7" ht="14.25" hidden="1" thickTop="1" thickBot="1">
      <c r="A271" s="422" t="s">
        <v>837</v>
      </c>
      <c r="B271" s="427" t="s">
        <v>834</v>
      </c>
      <c r="C271" s="1065" t="s">
        <v>1619</v>
      </c>
      <c r="D271" s="1065"/>
      <c r="E271" s="1065"/>
      <c r="F271" s="428" t="s">
        <v>833</v>
      </c>
      <c r="G271" s="429" t="str">
        <f>'[1]MANO DE OBRA'!$D$61</f>
        <v>Septiembre de 2009</v>
      </c>
    </row>
    <row r="272" spans="1:7" ht="14.25" hidden="1" thickTop="1" thickBot="1">
      <c r="A272" s="430">
        <v>18006</v>
      </c>
      <c r="B272" s="431" t="s">
        <v>835</v>
      </c>
      <c r="C272" s="1071" t="s">
        <v>1625</v>
      </c>
      <c r="D272" s="1072"/>
      <c r="E272" s="1072"/>
      <c r="F272" s="1072"/>
      <c r="G272" s="1073"/>
    </row>
    <row r="273" spans="1:7" ht="14.25" hidden="1" thickTop="1" thickBot="1">
      <c r="A273" s="422"/>
      <c r="B273" s="1068"/>
      <c r="C273" s="1068"/>
      <c r="D273" s="1068"/>
      <c r="E273" s="1068"/>
      <c r="F273" s="1068"/>
      <c r="G273" s="1068"/>
    </row>
    <row r="274" spans="1:7" ht="14.25" hidden="1" thickTop="1" thickBot="1">
      <c r="A274" s="95"/>
      <c r="B274" s="811" t="s">
        <v>304</v>
      </c>
      <c r="C274" s="812"/>
      <c r="D274" s="812"/>
      <c r="E274" s="812"/>
      <c r="F274" s="812"/>
      <c r="G274" s="825"/>
    </row>
    <row r="275" spans="1:7" ht="14.25" hidden="1" thickTop="1" thickBot="1">
      <c r="A275" s="95"/>
      <c r="B275" s="229"/>
      <c r="C275" s="97"/>
      <c r="D275" s="98" t="s">
        <v>301</v>
      </c>
      <c r="E275" s="98" t="s">
        <v>1072</v>
      </c>
      <c r="F275" s="99" t="s">
        <v>839</v>
      </c>
      <c r="G275" s="107" t="s">
        <v>840</v>
      </c>
    </row>
    <row r="276" spans="1:7" ht="14.25" hidden="1" thickTop="1" thickBot="1">
      <c r="A276" s="95"/>
      <c r="B276" s="821" t="s">
        <v>838</v>
      </c>
      <c r="C276" s="822"/>
      <c r="D276" s="100" t="s">
        <v>308</v>
      </c>
      <c r="E276" s="100" t="s">
        <v>305</v>
      </c>
      <c r="F276" s="101" t="s">
        <v>306</v>
      </c>
      <c r="G276" s="108" t="s">
        <v>310</v>
      </c>
    </row>
    <row r="277" spans="1:7" ht="14.25" hidden="1" thickTop="1" thickBot="1">
      <c r="A277" s="95"/>
      <c r="B277" s="230"/>
      <c r="C277" s="102"/>
      <c r="D277" s="103"/>
      <c r="E277" s="103" t="s">
        <v>309</v>
      </c>
      <c r="F277" s="104" t="s">
        <v>307</v>
      </c>
      <c r="G277" s="109"/>
    </row>
    <row r="278" spans="1:7" ht="14.25" hidden="1" thickTop="1" thickBot="1">
      <c r="A278" s="127">
        <f>[1]MAQUINARIA!$A$28</f>
        <v>10120</v>
      </c>
      <c r="B278" s="823" t="str">
        <f>[1]MAQUINARIA!$B$28</f>
        <v>HERRAMIENTAS MENORES</v>
      </c>
      <c r="C278" s="824"/>
      <c r="D278" s="87">
        <v>1</v>
      </c>
      <c r="E278" s="82">
        <f>ROUND(G311*0.05,0)</f>
        <v>14</v>
      </c>
      <c r="F278" s="81">
        <v>1</v>
      </c>
      <c r="G278" s="110">
        <f>ROUND(D278*E278/F278,0)</f>
        <v>14</v>
      </c>
    </row>
    <row r="279" spans="1:7" ht="14.25" hidden="1" thickTop="1" thickBot="1">
      <c r="A279" s="95">
        <f>[1]MAQUINARIA!$A$57</f>
        <v>10202</v>
      </c>
      <c r="B279" s="835" t="str">
        <f>[1]MAQUINARIA!$B$57</f>
        <v>CARGADOR 950 81J</v>
      </c>
      <c r="C279" s="836"/>
      <c r="D279" s="37">
        <v>1</v>
      </c>
      <c r="E279" s="129">
        <f>[1]MAQUINARIA!$C$57</f>
        <v>520000</v>
      </c>
      <c r="F279" s="83">
        <v>480</v>
      </c>
      <c r="G279" s="111">
        <f>ROUND(D279*E279/F279,0)</f>
        <v>1083</v>
      </c>
    </row>
    <row r="280" spans="1:7" ht="14.25" hidden="1" thickTop="1" thickBot="1">
      <c r="A280" s="95">
        <f>[1]MAQUINARIA!$A$60</f>
        <v>10205</v>
      </c>
      <c r="B280" s="835" t="str">
        <f>[1]MAQUINARIA!$B$60</f>
        <v>VOLQUETA</v>
      </c>
      <c r="C280" s="836"/>
      <c r="D280" s="37">
        <v>1</v>
      </c>
      <c r="E280" s="129">
        <f>[1]MAQUINARIA!$C$60</f>
        <v>75000</v>
      </c>
      <c r="F280" s="83">
        <v>60</v>
      </c>
      <c r="G280" s="111">
        <f>ROUND(D280*E280/F280,0)</f>
        <v>1250</v>
      </c>
    </row>
    <row r="281" spans="1:7" ht="14.25" hidden="1" thickTop="1" thickBot="1">
      <c r="A281" s="95">
        <f>[1]MAQUINARIA!$A$58</f>
        <v>10203</v>
      </c>
      <c r="B281" s="835" t="str">
        <f>[1]MAQUINARIA!$B$58</f>
        <v xml:space="preserve">MOTONIVELADORA </v>
      </c>
      <c r="C281" s="836"/>
      <c r="D281" s="37">
        <v>1</v>
      </c>
      <c r="E281" s="129">
        <f>[1]MAQUINARIA!$C$58</f>
        <v>78750</v>
      </c>
      <c r="F281" s="83">
        <v>240</v>
      </c>
      <c r="G281" s="111">
        <f>ROUND(D281*E281/F281,0)</f>
        <v>328</v>
      </c>
    </row>
    <row r="282" spans="1:7" ht="14.25" hidden="1" thickTop="1" thickBot="1">
      <c r="A282" s="95">
        <f>[1]MAQUINARIA!$A$66</f>
        <v>10208</v>
      </c>
      <c r="B282" s="835" t="str">
        <f>[1]MAQUINARIA!$B$66</f>
        <v>VIBROCOMPACTADOR</v>
      </c>
      <c r="C282" s="836"/>
      <c r="D282" s="37">
        <v>1</v>
      </c>
      <c r="E282" s="129">
        <f>[1]MAQUINARIA!$C$66</f>
        <v>135000</v>
      </c>
      <c r="F282" s="83">
        <v>240</v>
      </c>
      <c r="G282" s="111">
        <f>ROUND(D282*E282/F282,0)</f>
        <v>563</v>
      </c>
    </row>
    <row r="283" spans="1:7" ht="14.25" hidden="1" thickTop="1" thickBot="1">
      <c r="A283" s="95"/>
      <c r="B283" s="839" t="s">
        <v>841</v>
      </c>
      <c r="C283" s="840"/>
      <c r="D283" s="77"/>
      <c r="E283" s="106"/>
      <c r="F283" s="86"/>
      <c r="G283" s="112"/>
    </row>
    <row r="284" spans="1:7" ht="14.25" hidden="1" thickTop="1" thickBot="1">
      <c r="A284" s="95"/>
      <c r="B284" s="808"/>
      <c r="C284" s="808"/>
      <c r="D284" s="808"/>
      <c r="E284" s="809"/>
      <c r="F284" s="119" t="s">
        <v>856</v>
      </c>
      <c r="G284" s="118">
        <f>SUM(G278:G283)</f>
        <v>3238</v>
      </c>
    </row>
    <row r="285" spans="1:7" ht="14.25" hidden="1" thickTop="1" thickBot="1">
      <c r="A285" s="95"/>
      <c r="B285" s="830"/>
      <c r="C285" s="830"/>
      <c r="D285" s="830"/>
      <c r="E285" s="830"/>
      <c r="F285" s="830"/>
      <c r="G285" s="830"/>
    </row>
    <row r="286" spans="1:7" ht="14.25" hidden="1" thickTop="1" thickBot="1">
      <c r="A286" s="95"/>
      <c r="B286" s="811" t="s">
        <v>311</v>
      </c>
      <c r="C286" s="812"/>
      <c r="D286" s="812"/>
      <c r="E286" s="812"/>
      <c r="F286" s="812"/>
      <c r="G286" s="825"/>
    </row>
    <row r="287" spans="1:7" ht="14.25" hidden="1" thickTop="1" thickBot="1">
      <c r="A287" s="95"/>
      <c r="B287" s="817" t="s">
        <v>838</v>
      </c>
      <c r="C287" s="818"/>
      <c r="D287" s="98" t="s">
        <v>842</v>
      </c>
      <c r="E287" s="98" t="s">
        <v>853</v>
      </c>
      <c r="F287" s="99" t="s">
        <v>1047</v>
      </c>
      <c r="G287" s="107" t="s">
        <v>840</v>
      </c>
    </row>
    <row r="288" spans="1:7" ht="14.25" hidden="1" thickTop="1" thickBot="1">
      <c r="A288" s="95"/>
      <c r="B288" s="230"/>
      <c r="C288" s="102"/>
      <c r="D288" s="100"/>
      <c r="E288" s="100" t="s">
        <v>312</v>
      </c>
      <c r="F288" s="101" t="s">
        <v>313</v>
      </c>
      <c r="G288" s="108" t="s">
        <v>314</v>
      </c>
    </row>
    <row r="289" spans="1:7" ht="14.25" hidden="1" thickTop="1" thickBot="1">
      <c r="A289" s="125">
        <f>[1]MATERIALES!A24</f>
        <v>20206</v>
      </c>
      <c r="B289" s="432" t="str">
        <f>[1]MATERIALES!B24</f>
        <v>RECEBO</v>
      </c>
      <c r="C289" s="126"/>
      <c r="D289" s="87" t="str">
        <f>[1]MATERIALES!C24</f>
        <v>M3</v>
      </c>
      <c r="E289" s="81">
        <v>1.3</v>
      </c>
      <c r="F289" s="80">
        <f>[1]MATERIALES!D24</f>
        <v>12500</v>
      </c>
      <c r="G289" s="110">
        <f>ROUND(E289*F289,0)</f>
        <v>16250</v>
      </c>
    </row>
    <row r="290" spans="1:7" ht="14.25" hidden="1" thickTop="1" thickBot="1">
      <c r="A290" s="123"/>
      <c r="B290" s="246"/>
      <c r="C290" s="124"/>
      <c r="D290" s="88"/>
      <c r="E290" s="53"/>
      <c r="F290" s="82"/>
      <c r="G290" s="111"/>
    </row>
    <row r="291" spans="1:7" ht="14.25" hidden="1" thickTop="1" thickBot="1">
      <c r="A291" s="95"/>
      <c r="B291" s="835"/>
      <c r="C291" s="836"/>
      <c r="D291" s="37"/>
      <c r="E291" s="55"/>
      <c r="F291" s="82"/>
      <c r="G291" s="111"/>
    </row>
    <row r="292" spans="1:7" ht="14.25" hidden="1" thickTop="1" thickBot="1">
      <c r="A292" s="95"/>
      <c r="B292" s="835"/>
      <c r="C292" s="836"/>
      <c r="D292" s="37"/>
      <c r="E292" s="55"/>
      <c r="F292" s="82"/>
      <c r="G292" s="111"/>
    </row>
    <row r="293" spans="1:7" ht="14.25" hidden="1" thickTop="1" thickBot="1">
      <c r="A293" s="95"/>
      <c r="B293" s="837"/>
      <c r="C293" s="838"/>
      <c r="D293" s="37"/>
      <c r="E293" s="55"/>
      <c r="F293" s="82"/>
      <c r="G293" s="111"/>
    </row>
    <row r="294" spans="1:7" ht="14.25" hidden="1" thickTop="1" thickBot="1">
      <c r="A294" s="95"/>
      <c r="B294" s="837"/>
      <c r="C294" s="838"/>
      <c r="D294" s="53" t="s">
        <v>841</v>
      </c>
      <c r="E294" s="53"/>
      <c r="F294" s="82"/>
      <c r="G294" s="111"/>
    </row>
    <row r="295" spans="1:7" ht="14.25" hidden="1" thickTop="1" thickBot="1">
      <c r="A295" s="95"/>
      <c r="B295" s="837" t="s">
        <v>841</v>
      </c>
      <c r="C295" s="838"/>
      <c r="D295" s="53" t="s">
        <v>841</v>
      </c>
      <c r="E295" s="53"/>
      <c r="F295" s="82"/>
      <c r="G295" s="111"/>
    </row>
    <row r="296" spans="1:7" ht="14.25" hidden="1" thickTop="1" thickBot="1">
      <c r="A296" s="95"/>
      <c r="B296" s="837" t="s">
        <v>841</v>
      </c>
      <c r="C296" s="838"/>
      <c r="D296" s="53" t="s">
        <v>841</v>
      </c>
      <c r="E296" s="53"/>
      <c r="F296" s="82"/>
      <c r="G296" s="111"/>
    </row>
    <row r="297" spans="1:7" ht="14.25" hidden="1" thickTop="1" thickBot="1">
      <c r="A297" s="95"/>
      <c r="B297" s="839" t="s">
        <v>841</v>
      </c>
      <c r="C297" s="840"/>
      <c r="D297" s="84" t="s">
        <v>841</v>
      </c>
      <c r="E297" s="84"/>
      <c r="F297" s="85"/>
      <c r="G297" s="112"/>
    </row>
    <row r="298" spans="1:7" ht="14.25" hidden="1" thickTop="1" thickBot="1">
      <c r="A298" s="95"/>
      <c r="B298" s="808"/>
      <c r="C298" s="809"/>
      <c r="D298" s="801" t="s">
        <v>856</v>
      </c>
      <c r="E298" s="802"/>
      <c r="F298" s="9"/>
      <c r="G298" s="113">
        <f>SUM(G289:G297)</f>
        <v>16250</v>
      </c>
    </row>
    <row r="299" spans="1:7" ht="14.25" hidden="1" thickTop="1" thickBot="1">
      <c r="A299" s="95"/>
      <c r="B299" s="819"/>
      <c r="C299" s="820"/>
      <c r="D299" s="801" t="s">
        <v>857</v>
      </c>
      <c r="E299" s="802"/>
      <c r="F299" s="79">
        <f>'[1]MANO DE OBRA'!$D$60</f>
        <v>0.05</v>
      </c>
      <c r="G299" s="113">
        <f>ROUND(G298*F299,0)</f>
        <v>813</v>
      </c>
    </row>
    <row r="300" spans="1:7" ht="14.25" hidden="1" thickTop="1" thickBot="1">
      <c r="A300" s="95"/>
      <c r="B300" s="819"/>
      <c r="C300" s="820"/>
      <c r="D300" s="803" t="s">
        <v>320</v>
      </c>
      <c r="E300" s="804"/>
      <c r="F300" s="114"/>
      <c r="G300" s="118">
        <f>+G298+G299</f>
        <v>17063</v>
      </c>
    </row>
    <row r="301" spans="1:7" ht="14.25" hidden="1" thickTop="1" thickBot="1">
      <c r="A301" s="95"/>
      <c r="B301" s="830"/>
      <c r="C301" s="830"/>
      <c r="D301" s="830"/>
      <c r="E301" s="830"/>
      <c r="F301" s="830"/>
      <c r="G301" s="830"/>
    </row>
    <row r="302" spans="1:7" ht="14.25" hidden="1" thickTop="1" thickBot="1">
      <c r="A302" s="95"/>
      <c r="B302" s="811" t="s">
        <v>858</v>
      </c>
      <c r="C302" s="812"/>
      <c r="D302" s="812"/>
      <c r="E302" s="812"/>
      <c r="F302" s="812"/>
      <c r="G302" s="825"/>
    </row>
    <row r="303" spans="1:7" ht="14.25" hidden="1" thickTop="1" thickBot="1">
      <c r="A303" s="95"/>
      <c r="B303" s="817"/>
      <c r="C303" s="818"/>
      <c r="D303" s="98" t="s">
        <v>301</v>
      </c>
      <c r="E303" s="98" t="s">
        <v>859</v>
      </c>
      <c r="F303" s="99" t="s">
        <v>839</v>
      </c>
      <c r="G303" s="107" t="s">
        <v>840</v>
      </c>
    </row>
    <row r="304" spans="1:7" ht="14.25" hidden="1" thickTop="1" thickBot="1">
      <c r="A304" s="95"/>
      <c r="B304" s="821" t="s">
        <v>838</v>
      </c>
      <c r="C304" s="822"/>
      <c r="D304" s="100" t="s">
        <v>316</v>
      </c>
      <c r="E304" s="100" t="s">
        <v>315</v>
      </c>
      <c r="F304" s="101" t="s">
        <v>306</v>
      </c>
      <c r="G304" s="108" t="s">
        <v>319</v>
      </c>
    </row>
    <row r="305" spans="1:7" ht="14.25" hidden="1" thickTop="1" thickBot="1">
      <c r="A305" s="95"/>
      <c r="B305" s="230"/>
      <c r="C305" s="102"/>
      <c r="D305" s="103"/>
      <c r="E305" s="103" t="s">
        <v>317</v>
      </c>
      <c r="F305" s="104" t="s">
        <v>318</v>
      </c>
      <c r="G305" s="109"/>
    </row>
    <row r="306" spans="1:7" ht="14.25" hidden="1" thickTop="1" thickBot="1">
      <c r="A306" s="95">
        <f>'[1]MANO DE OBRA'!$A$9</f>
        <v>30101</v>
      </c>
      <c r="B306" s="835" t="str">
        <f>'[1]MANO DE OBRA'!$B$9</f>
        <v>AYUDANTE CUAD. TIPO AA</v>
      </c>
      <c r="C306" s="836"/>
      <c r="D306" s="37">
        <v>1</v>
      </c>
      <c r="E306" s="82">
        <f>'[1]MANO DE OBRA'!$E$9</f>
        <v>34676</v>
      </c>
      <c r="F306" s="83">
        <v>120</v>
      </c>
      <c r="G306" s="111">
        <f>ROUND(D306*E306/F306,0)</f>
        <v>289</v>
      </c>
    </row>
    <row r="307" spans="1:7" ht="14.25" hidden="1" thickTop="1" thickBot="1">
      <c r="A307" s="95"/>
      <c r="B307" s="835"/>
      <c r="C307" s="836"/>
      <c r="D307" s="37"/>
      <c r="E307" s="82"/>
      <c r="F307" s="83"/>
      <c r="G307" s="111"/>
    </row>
    <row r="308" spans="1:7" ht="14.25" hidden="1" thickTop="1" thickBot="1">
      <c r="A308" s="95"/>
      <c r="B308" s="835"/>
      <c r="C308" s="836"/>
      <c r="D308" s="37"/>
      <c r="E308" s="82"/>
      <c r="F308" s="83"/>
      <c r="G308" s="111"/>
    </row>
    <row r="309" spans="1:7" ht="14.25" hidden="1" thickTop="1" thickBot="1">
      <c r="A309" s="95"/>
      <c r="B309" s="835" t="s">
        <v>841</v>
      </c>
      <c r="C309" s="836"/>
      <c r="D309" s="37"/>
      <c r="E309" s="82"/>
      <c r="F309" s="83"/>
      <c r="G309" s="111"/>
    </row>
    <row r="310" spans="1:7" ht="14.25" hidden="1" thickTop="1" thickBot="1">
      <c r="A310" s="95"/>
      <c r="B310" s="828" t="s">
        <v>841</v>
      </c>
      <c r="C310" s="829"/>
      <c r="D310" s="77"/>
      <c r="E310" s="82"/>
      <c r="F310" s="86"/>
      <c r="G310" s="112"/>
    </row>
    <row r="311" spans="1:7" ht="14.25" hidden="1" thickTop="1" thickBot="1">
      <c r="A311" s="95"/>
      <c r="B311" s="808"/>
      <c r="C311" s="808"/>
      <c r="D311" s="808"/>
      <c r="E311" s="809"/>
      <c r="F311" s="120" t="s">
        <v>856</v>
      </c>
      <c r="G311" s="118">
        <f>SUM(G306:G310)</f>
        <v>289</v>
      </c>
    </row>
    <row r="312" spans="1:7" ht="14.25" hidden="1" thickTop="1" thickBot="1">
      <c r="A312" s="95"/>
      <c r="B312" s="810"/>
      <c r="C312" s="810"/>
      <c r="D312" s="810"/>
      <c r="E312" s="810"/>
      <c r="F312" s="810"/>
      <c r="G312" s="810"/>
    </row>
    <row r="313" spans="1:7" ht="14.25" hidden="1" thickTop="1" thickBot="1">
      <c r="A313" s="95"/>
      <c r="B313" s="811" t="s">
        <v>321</v>
      </c>
      <c r="C313" s="812"/>
      <c r="D313" s="812"/>
      <c r="E313" s="812"/>
      <c r="F313" s="812"/>
      <c r="G313" s="825"/>
    </row>
    <row r="314" spans="1:7" ht="14.25" hidden="1" thickTop="1" thickBot="1">
      <c r="A314" s="95"/>
      <c r="B314" s="817" t="s">
        <v>838</v>
      </c>
      <c r="C314" s="818"/>
      <c r="D314" s="98" t="s">
        <v>301</v>
      </c>
      <c r="E314" s="98" t="s">
        <v>297</v>
      </c>
      <c r="F314" s="99" t="s">
        <v>839</v>
      </c>
      <c r="G314" s="107" t="s">
        <v>840</v>
      </c>
    </row>
    <row r="315" spans="1:7" ht="14.25" hidden="1" thickTop="1" thickBot="1">
      <c r="A315" s="95"/>
      <c r="B315" s="230"/>
      <c r="C315" s="102"/>
      <c r="D315" s="103" t="s">
        <v>322</v>
      </c>
      <c r="E315" s="103" t="s">
        <v>323</v>
      </c>
      <c r="F315" s="104" t="s">
        <v>324</v>
      </c>
      <c r="G315" s="109" t="s">
        <v>325</v>
      </c>
    </row>
    <row r="316" spans="1:7" ht="14.25" hidden="1" thickTop="1" thickBot="1">
      <c r="A316" s="95"/>
      <c r="B316" s="826"/>
      <c r="C316" s="827"/>
      <c r="D316" s="96"/>
      <c r="E316" s="96"/>
      <c r="F316" s="96"/>
      <c r="G316" s="116"/>
    </row>
    <row r="317" spans="1:7" ht="14.25" hidden="1" thickTop="1" thickBot="1">
      <c r="A317" s="95"/>
      <c r="B317" s="828" t="s">
        <v>841</v>
      </c>
      <c r="C317" s="829"/>
      <c r="D317" s="77"/>
      <c r="E317" s="82"/>
      <c r="F317" s="86"/>
      <c r="G317" s="112"/>
    </row>
    <row r="318" spans="1:7" ht="14.25" hidden="1" thickTop="1" thickBot="1">
      <c r="A318" s="95"/>
      <c r="B318" s="808"/>
      <c r="C318" s="808"/>
      <c r="D318" s="808"/>
      <c r="E318" s="809"/>
      <c r="F318" s="120" t="s">
        <v>856</v>
      </c>
      <c r="G318" s="118">
        <f>SUM(G313:G317)</f>
        <v>0</v>
      </c>
    </row>
    <row r="319" spans="1:7" ht="14.25" hidden="1" thickTop="1" thickBot="1">
      <c r="A319" s="95"/>
      <c r="B319" s="810"/>
      <c r="C319" s="810"/>
      <c r="D319" s="810"/>
      <c r="E319" s="810"/>
      <c r="F319" s="810"/>
      <c r="G319" s="834"/>
    </row>
    <row r="320" spans="1:7" ht="14.25" hidden="1" thickTop="1" thickBot="1">
      <c r="A320" s="95"/>
      <c r="B320" s="811" t="s">
        <v>326</v>
      </c>
      <c r="C320" s="812"/>
      <c r="D320" s="812"/>
      <c r="E320" s="812"/>
      <c r="F320" s="813"/>
      <c r="G320" s="121">
        <f>+G284+G300+G311</f>
        <v>20590</v>
      </c>
    </row>
    <row r="321" spans="1:7" ht="14.25" hidden="1" thickTop="1" thickBot="1">
      <c r="A321" s="95"/>
      <c r="B321" s="814" t="s">
        <v>861</v>
      </c>
      <c r="C321" s="815"/>
      <c r="D321" s="815"/>
      <c r="E321" s="816"/>
      <c r="F321" s="128">
        <f>'[1]MANO DE OBRA'!$D$59</f>
        <v>0</v>
      </c>
      <c r="G321" s="122">
        <f>ROUND(G320*F321,0)</f>
        <v>0</v>
      </c>
    </row>
    <row r="322" spans="1:7" ht="14.25" hidden="1" thickTop="1" thickBot="1">
      <c r="A322" s="95"/>
      <c r="B322" s="805" t="s">
        <v>1049</v>
      </c>
      <c r="C322" s="806"/>
      <c r="D322" s="806"/>
      <c r="E322" s="806"/>
      <c r="F322" s="807"/>
      <c r="G322" s="118">
        <f>ROUND(G320+G321,-2)</f>
        <v>20600</v>
      </c>
    </row>
    <row r="323" spans="1:7" ht="14.25" hidden="1" thickTop="1" thickBot="1">
      <c r="B323" s="423" t="s">
        <v>303</v>
      </c>
      <c r="C323" s="1064"/>
      <c r="D323" s="1064"/>
      <c r="E323" s="1064"/>
      <c r="F323" s="424" t="s">
        <v>781</v>
      </c>
      <c r="G323" s="425" t="s">
        <v>831</v>
      </c>
    </row>
    <row r="324" spans="1:7" ht="14.25" hidden="1" thickTop="1" thickBot="1">
      <c r="B324" s="427" t="s">
        <v>834</v>
      </c>
      <c r="C324" s="1065" t="s">
        <v>1619</v>
      </c>
      <c r="D324" s="1065"/>
      <c r="E324" s="1065"/>
      <c r="F324" s="428" t="s">
        <v>833</v>
      </c>
      <c r="G324" s="429" t="str">
        <f>'[1]MANO DE OBRA'!$D$61</f>
        <v>Septiembre de 2009</v>
      </c>
    </row>
    <row r="325" spans="1:7" ht="14.25" hidden="1" thickTop="1" thickBot="1">
      <c r="B325" s="431" t="s">
        <v>835</v>
      </c>
      <c r="C325" s="1071" t="s">
        <v>1620</v>
      </c>
      <c r="D325" s="1072"/>
      <c r="E325" s="1072"/>
      <c r="F325" s="1072"/>
      <c r="G325" s="1073"/>
    </row>
    <row r="326" spans="1:7" ht="14.25" hidden="1" thickTop="1" thickBot="1">
      <c r="B326" s="1068"/>
      <c r="C326" s="1068"/>
      <c r="D326" s="1068"/>
      <c r="E326" s="1068"/>
      <c r="F326" s="1068"/>
      <c r="G326" s="1068"/>
    </row>
    <row r="327" spans="1:7" ht="14.25" hidden="1" thickTop="1" thickBot="1">
      <c r="B327" s="811" t="s">
        <v>304</v>
      </c>
      <c r="C327" s="812"/>
      <c r="D327" s="812"/>
      <c r="E327" s="812"/>
      <c r="F327" s="812"/>
      <c r="G327" s="825"/>
    </row>
    <row r="328" spans="1:7" ht="14.25" hidden="1" thickTop="1" thickBot="1">
      <c r="B328" s="229"/>
      <c r="C328" s="97"/>
      <c r="D328" s="98" t="s">
        <v>301</v>
      </c>
      <c r="E328" s="98" t="s">
        <v>1072</v>
      </c>
      <c r="F328" s="99" t="s">
        <v>839</v>
      </c>
      <c r="G328" s="107" t="s">
        <v>840</v>
      </c>
    </row>
    <row r="329" spans="1:7" ht="14.25" hidden="1" thickTop="1" thickBot="1">
      <c r="B329" s="821" t="s">
        <v>838</v>
      </c>
      <c r="C329" s="822"/>
      <c r="D329" s="100" t="s">
        <v>308</v>
      </c>
      <c r="E329" s="100" t="s">
        <v>305</v>
      </c>
      <c r="F329" s="101" t="s">
        <v>306</v>
      </c>
      <c r="G329" s="108" t="s">
        <v>310</v>
      </c>
    </row>
    <row r="330" spans="1:7" ht="14.25" hidden="1" thickTop="1" thickBot="1">
      <c r="B330" s="230"/>
      <c r="C330" s="102"/>
      <c r="D330" s="103"/>
      <c r="E330" s="103" t="s">
        <v>309</v>
      </c>
      <c r="F330" s="104" t="s">
        <v>307</v>
      </c>
      <c r="G330" s="109"/>
    </row>
    <row r="331" spans="1:7" ht="14.25" hidden="1" thickTop="1" thickBot="1">
      <c r="B331" s="823" t="str">
        <f>[1]MAQUINARIA!$B$28</f>
        <v>HERRAMIENTAS MENORES</v>
      </c>
      <c r="C331" s="824"/>
      <c r="D331" s="87">
        <v>1</v>
      </c>
      <c r="E331" s="82">
        <f>ROUND(G364*0.05,0)</f>
        <v>149</v>
      </c>
      <c r="F331" s="81">
        <v>1</v>
      </c>
      <c r="G331" s="110">
        <f>ROUND(D331*E331/F331,0)</f>
        <v>149</v>
      </c>
    </row>
    <row r="332" spans="1:7" ht="14.25" hidden="1" thickTop="1" thickBot="1">
      <c r="B332" s="835" t="str">
        <f>[1]MAQUINARIA!$B$24</f>
        <v>EQUIPO TOPOGRAFIA</v>
      </c>
      <c r="C332" s="836"/>
      <c r="D332" s="37">
        <v>1</v>
      </c>
      <c r="E332" s="129">
        <f>[1]MAQUINARIA!$C$24</f>
        <v>50000</v>
      </c>
      <c r="F332" s="83">
        <f>F359</f>
        <v>65</v>
      </c>
      <c r="G332" s="111">
        <f>ROUND(D332*E332/F332,0)</f>
        <v>769</v>
      </c>
    </row>
    <row r="333" spans="1:7" ht="14.25" hidden="1" thickTop="1" thickBot="1">
      <c r="B333" s="835"/>
      <c r="C333" s="836"/>
      <c r="D333" s="89"/>
      <c r="E333" s="82"/>
      <c r="F333" s="83"/>
      <c r="G333" s="111"/>
    </row>
    <row r="334" spans="1:7" ht="14.25" hidden="1" thickTop="1" thickBot="1">
      <c r="B334" s="835"/>
      <c r="C334" s="836"/>
      <c r="D334" s="89"/>
      <c r="E334" s="82"/>
      <c r="F334" s="83"/>
      <c r="G334" s="111"/>
    </row>
    <row r="335" spans="1:7" ht="14.25" hidden="1" thickTop="1" thickBot="1">
      <c r="B335" s="835" t="s">
        <v>841</v>
      </c>
      <c r="C335" s="836"/>
      <c r="D335" s="37"/>
      <c r="E335" s="82"/>
      <c r="F335" s="83"/>
      <c r="G335" s="111"/>
    </row>
    <row r="336" spans="1:7" ht="14.25" hidden="1" thickTop="1" thickBot="1">
      <c r="B336" s="839" t="s">
        <v>841</v>
      </c>
      <c r="C336" s="840"/>
      <c r="D336" s="77"/>
      <c r="E336" s="106"/>
      <c r="F336" s="86"/>
      <c r="G336" s="112"/>
    </row>
    <row r="337" spans="2:7" ht="14.25" hidden="1" thickTop="1" thickBot="1">
      <c r="B337" s="808"/>
      <c r="C337" s="808"/>
      <c r="D337" s="808"/>
      <c r="E337" s="809"/>
      <c r="F337" s="119" t="s">
        <v>856</v>
      </c>
      <c r="G337" s="118">
        <f>SUM(G331:G336)</f>
        <v>918</v>
      </c>
    </row>
    <row r="338" spans="2:7" ht="14.25" hidden="1" thickTop="1" thickBot="1">
      <c r="B338" s="830"/>
      <c r="C338" s="830"/>
      <c r="D338" s="830"/>
      <c r="E338" s="830"/>
      <c r="F338" s="830"/>
      <c r="G338" s="830"/>
    </row>
    <row r="339" spans="2:7" ht="14.25" hidden="1" thickTop="1" thickBot="1">
      <c r="B339" s="811" t="s">
        <v>311</v>
      </c>
      <c r="C339" s="812"/>
      <c r="D339" s="812"/>
      <c r="E339" s="812"/>
      <c r="F339" s="812"/>
      <c r="G339" s="825"/>
    </row>
    <row r="340" spans="2:7" ht="14.25" hidden="1" thickTop="1" thickBot="1">
      <c r="B340" s="817" t="s">
        <v>838</v>
      </c>
      <c r="C340" s="818"/>
      <c r="D340" s="98" t="s">
        <v>842</v>
      </c>
      <c r="E340" s="98" t="s">
        <v>853</v>
      </c>
      <c r="F340" s="99" t="s">
        <v>1047</v>
      </c>
      <c r="G340" s="107" t="s">
        <v>840</v>
      </c>
    </row>
    <row r="341" spans="2:7" ht="14.25" hidden="1" thickTop="1" thickBot="1">
      <c r="B341" s="230"/>
      <c r="C341" s="102"/>
      <c r="D341" s="100"/>
      <c r="E341" s="100" t="s">
        <v>312</v>
      </c>
      <c r="F341" s="101" t="s">
        <v>313</v>
      </c>
      <c r="G341" s="108" t="s">
        <v>314</v>
      </c>
    </row>
    <row r="342" spans="2:7" ht="14.25" hidden="1" thickTop="1" thickBot="1">
      <c r="B342" s="232" t="str">
        <f>[1]MATERIALES!$B$884</f>
        <v>ESTACAS 2"x2"x0.50 M</v>
      </c>
      <c r="C342" s="126"/>
      <c r="D342" s="87" t="str">
        <f>[1]MATERIALES!$C$884</f>
        <v>UND</v>
      </c>
      <c r="E342" s="10">
        <v>2</v>
      </c>
      <c r="F342" s="80">
        <f>[1]MATERIALES!$D$884</f>
        <v>319</v>
      </c>
      <c r="G342" s="110">
        <f>ROUND(E342*F342,0)</f>
        <v>638</v>
      </c>
    </row>
    <row r="343" spans="2:7" ht="14.25" hidden="1" thickTop="1" thickBot="1">
      <c r="B343" s="233" t="str">
        <f>[1]MATERIALES!$B$891</f>
        <v>PUNTILLAS DE 2"</v>
      </c>
      <c r="C343" s="124"/>
      <c r="D343" s="88" t="str">
        <f>[1]MATERIALES!$C$891</f>
        <v>LB</v>
      </c>
      <c r="E343" s="53">
        <v>0.02</v>
      </c>
      <c r="F343" s="82">
        <f>[1]MATERIALES!$D$891</f>
        <v>1500</v>
      </c>
      <c r="G343" s="111">
        <f>ROUND(E343*F343,0)</f>
        <v>30</v>
      </c>
    </row>
    <row r="344" spans="2:7" ht="14.25" hidden="1" thickTop="1" thickBot="1">
      <c r="B344" s="835"/>
      <c r="C344" s="836"/>
      <c r="D344" s="37"/>
      <c r="E344" s="55"/>
      <c r="F344" s="82"/>
      <c r="G344" s="111"/>
    </row>
    <row r="345" spans="2:7" ht="14.25" hidden="1" thickTop="1" thickBot="1">
      <c r="B345" s="835"/>
      <c r="C345" s="836"/>
      <c r="D345" s="37"/>
      <c r="E345" s="55"/>
      <c r="F345" s="82"/>
      <c r="G345" s="111"/>
    </row>
    <row r="346" spans="2:7" ht="14.25" hidden="1" thickTop="1" thickBot="1">
      <c r="B346" s="837"/>
      <c r="C346" s="838"/>
      <c r="D346" s="37"/>
      <c r="E346" s="55"/>
      <c r="F346" s="82"/>
      <c r="G346" s="111"/>
    </row>
    <row r="347" spans="2:7" ht="14.25" hidden="1" thickTop="1" thickBot="1">
      <c r="B347" s="837"/>
      <c r="C347" s="838"/>
      <c r="D347" s="53" t="s">
        <v>841</v>
      </c>
      <c r="E347" s="53"/>
      <c r="F347" s="82"/>
      <c r="G347" s="111"/>
    </row>
    <row r="348" spans="2:7" ht="14.25" hidden="1" thickTop="1" thickBot="1">
      <c r="B348" s="837" t="s">
        <v>841</v>
      </c>
      <c r="C348" s="838"/>
      <c r="D348" s="53" t="s">
        <v>841</v>
      </c>
      <c r="E348" s="53"/>
      <c r="F348" s="82"/>
      <c r="G348" s="111"/>
    </row>
    <row r="349" spans="2:7" ht="14.25" hidden="1" thickTop="1" thickBot="1">
      <c r="B349" s="837" t="s">
        <v>841</v>
      </c>
      <c r="C349" s="838"/>
      <c r="D349" s="53" t="s">
        <v>841</v>
      </c>
      <c r="E349" s="53"/>
      <c r="F349" s="82"/>
      <c r="G349" s="111"/>
    </row>
    <row r="350" spans="2:7" ht="14.25" hidden="1" thickTop="1" thickBot="1">
      <c r="B350" s="839" t="s">
        <v>841</v>
      </c>
      <c r="C350" s="840"/>
      <c r="D350" s="84" t="s">
        <v>841</v>
      </c>
      <c r="E350" s="84"/>
      <c r="F350" s="85"/>
      <c r="G350" s="112"/>
    </row>
    <row r="351" spans="2:7" ht="14.25" hidden="1" thickTop="1" thickBot="1">
      <c r="B351" s="808"/>
      <c r="C351" s="809"/>
      <c r="D351" s="801" t="s">
        <v>856</v>
      </c>
      <c r="E351" s="802"/>
      <c r="F351" s="9"/>
      <c r="G351" s="113">
        <f>SUM(G342:G350)</f>
        <v>668</v>
      </c>
    </row>
    <row r="352" spans="2:7" ht="14.25" hidden="1" thickTop="1" thickBot="1">
      <c r="B352" s="819"/>
      <c r="C352" s="820"/>
      <c r="D352" s="801" t="s">
        <v>857</v>
      </c>
      <c r="E352" s="802"/>
      <c r="F352" s="79">
        <f>'[1]MANO DE OBRA'!$D$60</f>
        <v>0.05</v>
      </c>
      <c r="G352" s="113">
        <f>ROUND(G351*F352,0)</f>
        <v>33</v>
      </c>
    </row>
    <row r="353" spans="2:7" ht="14.25" hidden="1" thickTop="1" thickBot="1">
      <c r="B353" s="819"/>
      <c r="C353" s="820"/>
      <c r="D353" s="803" t="s">
        <v>320</v>
      </c>
      <c r="E353" s="804"/>
      <c r="F353" s="114"/>
      <c r="G353" s="118">
        <f>+G351+G352</f>
        <v>701</v>
      </c>
    </row>
    <row r="354" spans="2:7" ht="14.25" hidden="1" thickTop="1" thickBot="1">
      <c r="B354" s="830"/>
      <c r="C354" s="830"/>
      <c r="D354" s="830"/>
      <c r="E354" s="830"/>
      <c r="F354" s="830"/>
      <c r="G354" s="830"/>
    </row>
    <row r="355" spans="2:7" ht="14.25" hidden="1" thickTop="1" thickBot="1">
      <c r="B355" s="811" t="s">
        <v>858</v>
      </c>
      <c r="C355" s="812"/>
      <c r="D355" s="812"/>
      <c r="E355" s="812"/>
      <c r="F355" s="812"/>
      <c r="G355" s="825"/>
    </row>
    <row r="356" spans="2:7" ht="14.25" hidden="1" thickTop="1" thickBot="1">
      <c r="B356" s="817"/>
      <c r="C356" s="818"/>
      <c r="D356" s="98" t="s">
        <v>301</v>
      </c>
      <c r="E356" s="98" t="s">
        <v>859</v>
      </c>
      <c r="F356" s="99" t="s">
        <v>839</v>
      </c>
      <c r="G356" s="107" t="s">
        <v>840</v>
      </c>
    </row>
    <row r="357" spans="2:7" ht="14.25" hidden="1" thickTop="1" thickBot="1">
      <c r="B357" s="821" t="s">
        <v>838</v>
      </c>
      <c r="C357" s="822"/>
      <c r="D357" s="100" t="s">
        <v>316</v>
      </c>
      <c r="E357" s="100" t="s">
        <v>315</v>
      </c>
      <c r="F357" s="101" t="s">
        <v>306</v>
      </c>
      <c r="G357" s="108" t="s">
        <v>319</v>
      </c>
    </row>
    <row r="358" spans="2:7" ht="14.25" hidden="1" thickTop="1" thickBot="1">
      <c r="B358" s="230"/>
      <c r="C358" s="102"/>
      <c r="D358" s="103"/>
      <c r="E358" s="103" t="s">
        <v>317</v>
      </c>
      <c r="F358" s="104" t="s">
        <v>318</v>
      </c>
      <c r="G358" s="109"/>
    </row>
    <row r="359" spans="2:7" ht="14.25" hidden="1" thickTop="1" thickBot="1">
      <c r="B359" s="823" t="str">
        <f>'[1]MANO DE OBRA'!$B$23</f>
        <v>TOPOGRAFO</v>
      </c>
      <c r="C359" s="824"/>
      <c r="D359" s="87">
        <v>1</v>
      </c>
      <c r="E359" s="80">
        <f>'[1]MANO DE OBRA'!$E$23</f>
        <v>100092</v>
      </c>
      <c r="F359" s="81">
        <v>65</v>
      </c>
      <c r="G359" s="110">
        <f>ROUND(D359*E359/F359,0)</f>
        <v>1540</v>
      </c>
    </row>
    <row r="360" spans="2:7" ht="14.25" hidden="1" thickTop="1" thickBot="1">
      <c r="B360" s="835" t="str">
        <f>'[1]MANO DE OBRA'!$B$24</f>
        <v>CADENERO</v>
      </c>
      <c r="C360" s="836"/>
      <c r="D360" s="37">
        <v>1</v>
      </c>
      <c r="E360" s="82">
        <f>'[1]MANO DE OBRA'!$E$24</f>
        <v>59565</v>
      </c>
      <c r="F360" s="83">
        <f>F359</f>
        <v>65</v>
      </c>
      <c r="G360" s="111">
        <f>ROUND(D360*E360/F360,0)</f>
        <v>916</v>
      </c>
    </row>
    <row r="361" spans="2:7" ht="14.25" hidden="1" thickTop="1" thickBot="1">
      <c r="B361" s="835" t="str">
        <f>'[1]MANO DE OBRA'!$B$9</f>
        <v>AYUDANTE CUAD. TIPO AA</v>
      </c>
      <c r="C361" s="836"/>
      <c r="D361" s="37">
        <v>1</v>
      </c>
      <c r="E361" s="82">
        <f>'[1]MANO DE OBRA'!$E$9</f>
        <v>34676</v>
      </c>
      <c r="F361" s="83">
        <f>F359</f>
        <v>65</v>
      </c>
      <c r="G361" s="111">
        <f>ROUND(D361*E361/F361,0)</f>
        <v>533</v>
      </c>
    </row>
    <row r="362" spans="2:7" ht="14.25" hidden="1" thickTop="1" thickBot="1">
      <c r="B362" s="835" t="s">
        <v>841</v>
      </c>
      <c r="C362" s="836"/>
      <c r="D362" s="37"/>
      <c r="E362" s="82"/>
      <c r="F362" s="83"/>
      <c r="G362" s="111"/>
    </row>
    <row r="363" spans="2:7" ht="14.25" hidden="1" thickTop="1" thickBot="1">
      <c r="B363" s="828" t="s">
        <v>841</v>
      </c>
      <c r="C363" s="829"/>
      <c r="D363" s="77"/>
      <c r="E363" s="82"/>
      <c r="F363" s="86"/>
      <c r="G363" s="112"/>
    </row>
    <row r="364" spans="2:7" ht="14.25" hidden="1" thickTop="1" thickBot="1">
      <c r="B364" s="808"/>
      <c r="C364" s="808"/>
      <c r="D364" s="808"/>
      <c r="E364" s="809"/>
      <c r="F364" s="120" t="s">
        <v>856</v>
      </c>
      <c r="G364" s="118">
        <f>SUM(G359:G363)</f>
        <v>2989</v>
      </c>
    </row>
    <row r="365" spans="2:7" ht="14.25" hidden="1" thickTop="1" thickBot="1">
      <c r="B365" s="810"/>
      <c r="C365" s="810"/>
      <c r="D365" s="810"/>
      <c r="E365" s="810"/>
      <c r="F365" s="810"/>
      <c r="G365" s="810"/>
    </row>
    <row r="366" spans="2:7" ht="14.25" hidden="1" thickTop="1" thickBot="1">
      <c r="B366" s="811" t="s">
        <v>321</v>
      </c>
      <c r="C366" s="812"/>
      <c r="D366" s="812"/>
      <c r="E366" s="812"/>
      <c r="F366" s="812"/>
      <c r="G366" s="825"/>
    </row>
    <row r="367" spans="2:7" ht="14.25" hidden="1" thickTop="1" thickBot="1">
      <c r="B367" s="817" t="s">
        <v>838</v>
      </c>
      <c r="C367" s="818"/>
      <c r="D367" s="98" t="s">
        <v>301</v>
      </c>
      <c r="E367" s="98" t="s">
        <v>297</v>
      </c>
      <c r="F367" s="99" t="s">
        <v>839</v>
      </c>
      <c r="G367" s="107" t="s">
        <v>840</v>
      </c>
    </row>
    <row r="368" spans="2:7" ht="14.25" hidden="1" thickTop="1" thickBot="1">
      <c r="B368" s="230"/>
      <c r="C368" s="102"/>
      <c r="D368" s="103" t="s">
        <v>322</v>
      </c>
      <c r="E368" s="103" t="s">
        <v>323</v>
      </c>
      <c r="F368" s="104" t="s">
        <v>324</v>
      </c>
      <c r="G368" s="109" t="s">
        <v>325</v>
      </c>
    </row>
    <row r="369" spans="2:7" ht="14.25" hidden="1" thickTop="1" thickBot="1">
      <c r="B369" s="826"/>
      <c r="C369" s="827"/>
      <c r="D369" s="96"/>
      <c r="E369" s="96"/>
      <c r="F369" s="96"/>
      <c r="G369" s="116"/>
    </row>
    <row r="370" spans="2:7" ht="14.25" hidden="1" thickTop="1" thickBot="1">
      <c r="B370" s="828" t="s">
        <v>841</v>
      </c>
      <c r="C370" s="829"/>
      <c r="D370" s="77"/>
      <c r="E370" s="82"/>
      <c r="F370" s="86"/>
      <c r="G370" s="112"/>
    </row>
    <row r="371" spans="2:7" ht="14.25" hidden="1" thickTop="1" thickBot="1">
      <c r="B371" s="808"/>
      <c r="C371" s="808"/>
      <c r="D371" s="808"/>
      <c r="E371" s="809"/>
      <c r="F371" s="120" t="s">
        <v>856</v>
      </c>
      <c r="G371" s="118">
        <f>SUM(G366:G370)</f>
        <v>0</v>
      </c>
    </row>
    <row r="372" spans="2:7" ht="14.25" hidden="1" thickTop="1" thickBot="1">
      <c r="B372" s="810"/>
      <c r="C372" s="810"/>
      <c r="D372" s="810"/>
      <c r="E372" s="810"/>
      <c r="F372" s="810"/>
      <c r="G372" s="834"/>
    </row>
    <row r="373" spans="2:7" ht="14.25" hidden="1" thickTop="1" thickBot="1">
      <c r="B373" s="811" t="s">
        <v>326</v>
      </c>
      <c r="C373" s="812"/>
      <c r="D373" s="812"/>
      <c r="E373" s="812"/>
      <c r="F373" s="813"/>
      <c r="G373" s="121">
        <f>+G337+G353+G364</f>
        <v>4608</v>
      </c>
    </row>
    <row r="374" spans="2:7" ht="14.25" hidden="1" thickTop="1" thickBot="1">
      <c r="B374" s="814" t="s">
        <v>861</v>
      </c>
      <c r="C374" s="815"/>
      <c r="D374" s="815"/>
      <c r="E374" s="816"/>
      <c r="F374" s="128">
        <f>'[1]MANO DE OBRA'!$D$59</f>
        <v>0</v>
      </c>
      <c r="G374" s="122">
        <f>ROUND(G373*F374,0)</f>
        <v>0</v>
      </c>
    </row>
    <row r="375" spans="2:7" ht="14.25" hidden="1" thickTop="1" thickBot="1">
      <c r="B375" s="805" t="s">
        <v>1049</v>
      </c>
      <c r="C375" s="806"/>
      <c r="D375" s="806"/>
      <c r="E375" s="806"/>
      <c r="F375" s="807"/>
      <c r="G375" s="118">
        <f>ROUND(G373+G374,-2)</f>
        <v>4600</v>
      </c>
    </row>
    <row r="376" spans="2:7" ht="20.25" hidden="1" thickTop="1" thickBot="1">
      <c r="B376" s="423"/>
      <c r="C376" s="1074" t="s">
        <v>1618</v>
      </c>
      <c r="D376" s="1074"/>
      <c r="E376" s="1074"/>
      <c r="F376" s="1074"/>
      <c r="G376" s="1075"/>
    </row>
    <row r="377" spans="2:7" ht="20.25" hidden="1" thickTop="1" thickBot="1">
      <c r="B377" s="427"/>
      <c r="C377" s="1076" t="s">
        <v>302</v>
      </c>
      <c r="D377" s="1076"/>
      <c r="E377" s="1076"/>
      <c r="F377" s="1076"/>
      <c r="G377" s="1077"/>
    </row>
    <row r="378" spans="2:7" ht="20.25" hidden="1" thickTop="1" thickBot="1">
      <c r="B378" s="427"/>
      <c r="C378" s="1078" t="s">
        <v>1626</v>
      </c>
      <c r="D378" s="1078"/>
      <c r="E378" s="1078"/>
      <c r="F378" s="1078"/>
      <c r="G378" s="1079"/>
    </row>
    <row r="379" spans="2:7" ht="17.25" hidden="1" thickTop="1" thickBot="1">
      <c r="B379" s="427"/>
      <c r="C379" s="1080" t="s">
        <v>1627</v>
      </c>
      <c r="D379" s="1080"/>
      <c r="E379" s="1080"/>
      <c r="F379" s="1080"/>
      <c r="G379" s="1081"/>
    </row>
    <row r="380" spans="2:7" ht="16.5" hidden="1" thickTop="1" thickBot="1">
      <c r="B380" s="433"/>
      <c r="C380" s="1082" t="s">
        <v>780</v>
      </c>
      <c r="D380" s="1082"/>
      <c r="E380" s="1082"/>
      <c r="F380" s="1082"/>
      <c r="G380" s="1083"/>
    </row>
    <row r="381" spans="2:7" ht="14.25" hidden="1" thickTop="1" thickBot="1">
      <c r="B381" s="423" t="s">
        <v>303</v>
      </c>
      <c r="C381" s="1064"/>
      <c r="D381" s="1064"/>
      <c r="E381" s="1064"/>
      <c r="F381" s="424" t="s">
        <v>781</v>
      </c>
      <c r="G381" s="425" t="s">
        <v>831</v>
      </c>
    </row>
    <row r="382" spans="2:7" ht="14.25" hidden="1" thickTop="1" thickBot="1">
      <c r="B382" s="427" t="s">
        <v>834</v>
      </c>
      <c r="C382" s="1065" t="s">
        <v>1619</v>
      </c>
      <c r="D382" s="1065"/>
      <c r="E382" s="1065"/>
      <c r="F382" s="428" t="s">
        <v>833</v>
      </c>
      <c r="G382" s="429" t="str">
        <f>'[1]MANO DE OBRA'!$D$61</f>
        <v>Septiembre de 2009</v>
      </c>
    </row>
    <row r="383" spans="2:7" ht="14.25" hidden="1" thickTop="1" thickBot="1">
      <c r="B383" s="431" t="s">
        <v>835</v>
      </c>
      <c r="C383" s="1071" t="s">
        <v>1620</v>
      </c>
      <c r="D383" s="1072"/>
      <c r="E383" s="1072"/>
      <c r="F383" s="1072"/>
      <c r="G383" s="1073"/>
    </row>
    <row r="384" spans="2:7" ht="14.25" hidden="1" thickTop="1" thickBot="1">
      <c r="B384" s="1068"/>
      <c r="C384" s="1068"/>
      <c r="D384" s="1068"/>
      <c r="E384" s="1068"/>
      <c r="F384" s="1068"/>
      <c r="G384" s="1068"/>
    </row>
    <row r="385" spans="2:7" ht="14.25" hidden="1" thickTop="1" thickBot="1">
      <c r="B385" s="811" t="s">
        <v>304</v>
      </c>
      <c r="C385" s="812"/>
      <c r="D385" s="812"/>
      <c r="E385" s="812"/>
      <c r="F385" s="812"/>
      <c r="G385" s="825"/>
    </row>
    <row r="386" spans="2:7" ht="14.25" hidden="1" thickTop="1" thickBot="1">
      <c r="B386" s="229"/>
      <c r="C386" s="97"/>
      <c r="D386" s="98" t="s">
        <v>301</v>
      </c>
      <c r="E386" s="98" t="s">
        <v>1072</v>
      </c>
      <c r="F386" s="99" t="s">
        <v>839</v>
      </c>
      <c r="G386" s="107" t="s">
        <v>840</v>
      </c>
    </row>
    <row r="387" spans="2:7" ht="14.25" hidden="1" thickTop="1" thickBot="1">
      <c r="B387" s="821" t="s">
        <v>838</v>
      </c>
      <c r="C387" s="822"/>
      <c r="D387" s="100" t="s">
        <v>308</v>
      </c>
      <c r="E387" s="100" t="s">
        <v>305</v>
      </c>
      <c r="F387" s="101" t="s">
        <v>306</v>
      </c>
      <c r="G387" s="108" t="s">
        <v>310</v>
      </c>
    </row>
    <row r="388" spans="2:7" ht="14.25" hidden="1" thickTop="1" thickBot="1">
      <c r="B388" s="230"/>
      <c r="C388" s="102"/>
      <c r="D388" s="103"/>
      <c r="E388" s="103" t="s">
        <v>309</v>
      </c>
      <c r="F388" s="104" t="s">
        <v>307</v>
      </c>
      <c r="G388" s="109"/>
    </row>
    <row r="389" spans="2:7" ht="14.25" hidden="1" thickTop="1" thickBot="1">
      <c r="B389" s="823" t="str">
        <f>[1]MAQUINARIA!$B$28</f>
        <v>HERRAMIENTAS MENORES</v>
      </c>
      <c r="C389" s="824"/>
      <c r="D389" s="87">
        <v>1</v>
      </c>
      <c r="E389" s="82">
        <f>ROUND(G422*0.05,0)</f>
        <v>149</v>
      </c>
      <c r="F389" s="81">
        <v>1</v>
      </c>
      <c r="G389" s="110">
        <f>ROUND(D389*E389/F389,0)</f>
        <v>149</v>
      </c>
    </row>
    <row r="390" spans="2:7" ht="14.25" hidden="1" thickTop="1" thickBot="1">
      <c r="B390" s="835" t="str">
        <f>[1]MAQUINARIA!$B$24</f>
        <v>EQUIPO TOPOGRAFIA</v>
      </c>
      <c r="C390" s="836"/>
      <c r="D390" s="37">
        <v>1</v>
      </c>
      <c r="E390" s="129">
        <f>[1]MAQUINARIA!$C$24</f>
        <v>50000</v>
      </c>
      <c r="F390" s="83">
        <f>F417</f>
        <v>65</v>
      </c>
      <c r="G390" s="111">
        <f>ROUND(D390*E390/F390,0)</f>
        <v>769</v>
      </c>
    </row>
    <row r="391" spans="2:7" ht="14.25" hidden="1" thickTop="1" thickBot="1">
      <c r="B391" s="835"/>
      <c r="C391" s="836"/>
      <c r="D391" s="89"/>
      <c r="E391" s="82"/>
      <c r="F391" s="83"/>
      <c r="G391" s="111"/>
    </row>
    <row r="392" spans="2:7" ht="14.25" hidden="1" thickTop="1" thickBot="1">
      <c r="B392" s="835"/>
      <c r="C392" s="836"/>
      <c r="D392" s="89"/>
      <c r="E392" s="82"/>
      <c r="F392" s="83"/>
      <c r="G392" s="111"/>
    </row>
    <row r="393" spans="2:7" ht="14.25" hidden="1" thickTop="1" thickBot="1">
      <c r="B393" s="835" t="s">
        <v>841</v>
      </c>
      <c r="C393" s="836"/>
      <c r="D393" s="37"/>
      <c r="E393" s="82"/>
      <c r="F393" s="83"/>
      <c r="G393" s="111"/>
    </row>
    <row r="394" spans="2:7" ht="14.25" hidden="1" thickTop="1" thickBot="1">
      <c r="B394" s="839" t="s">
        <v>841</v>
      </c>
      <c r="C394" s="840"/>
      <c r="D394" s="77"/>
      <c r="E394" s="106"/>
      <c r="F394" s="86"/>
      <c r="G394" s="112"/>
    </row>
    <row r="395" spans="2:7" ht="14.25" hidden="1" thickTop="1" thickBot="1">
      <c r="B395" s="808"/>
      <c r="C395" s="808"/>
      <c r="D395" s="808"/>
      <c r="E395" s="809"/>
      <c r="F395" s="119" t="s">
        <v>856</v>
      </c>
      <c r="G395" s="118">
        <f>SUM(G389:G394)</f>
        <v>918</v>
      </c>
    </row>
    <row r="396" spans="2:7" ht="14.25" hidden="1" thickTop="1" thickBot="1">
      <c r="B396" s="830"/>
      <c r="C396" s="830"/>
      <c r="D396" s="830"/>
      <c r="E396" s="830"/>
      <c r="F396" s="830"/>
      <c r="G396" s="830"/>
    </row>
    <row r="397" spans="2:7" ht="14.25" hidden="1" thickTop="1" thickBot="1">
      <c r="B397" s="811" t="s">
        <v>311</v>
      </c>
      <c r="C397" s="812"/>
      <c r="D397" s="812"/>
      <c r="E397" s="812"/>
      <c r="F397" s="812"/>
      <c r="G397" s="825"/>
    </row>
    <row r="398" spans="2:7" ht="14.25" hidden="1" thickTop="1" thickBot="1">
      <c r="B398" s="817" t="s">
        <v>838</v>
      </c>
      <c r="C398" s="818"/>
      <c r="D398" s="98" t="s">
        <v>842</v>
      </c>
      <c r="E398" s="98" t="s">
        <v>853</v>
      </c>
      <c r="F398" s="99" t="s">
        <v>1047</v>
      </c>
      <c r="G398" s="107" t="s">
        <v>840</v>
      </c>
    </row>
    <row r="399" spans="2:7" ht="14.25" hidden="1" thickTop="1" thickBot="1">
      <c r="B399" s="230"/>
      <c r="C399" s="102"/>
      <c r="D399" s="100"/>
      <c r="E399" s="100" t="s">
        <v>312</v>
      </c>
      <c r="F399" s="101" t="s">
        <v>313</v>
      </c>
      <c r="G399" s="108" t="s">
        <v>314</v>
      </c>
    </row>
    <row r="400" spans="2:7" ht="14.25" hidden="1" thickTop="1" thickBot="1">
      <c r="B400" s="232" t="str">
        <f>[1]MATERIALES!$B$884</f>
        <v>ESTACAS 2"x2"x0.50 M</v>
      </c>
      <c r="C400" s="126"/>
      <c r="D400" s="87" t="str">
        <f>[1]MATERIALES!$C$884</f>
        <v>UND</v>
      </c>
      <c r="E400" s="10">
        <v>2</v>
      </c>
      <c r="F400" s="80">
        <f>[1]MATERIALES!$D$884</f>
        <v>319</v>
      </c>
      <c r="G400" s="110">
        <f>ROUND(E400*F400,0)</f>
        <v>638</v>
      </c>
    </row>
    <row r="401" spans="2:7" ht="14.25" hidden="1" thickTop="1" thickBot="1">
      <c r="B401" s="233" t="str">
        <f>[1]MATERIALES!$B$891</f>
        <v>PUNTILLAS DE 2"</v>
      </c>
      <c r="C401" s="124"/>
      <c r="D401" s="88" t="str">
        <f>[1]MATERIALES!$C$891</f>
        <v>LB</v>
      </c>
      <c r="E401" s="53">
        <v>0.02</v>
      </c>
      <c r="F401" s="82">
        <f>[1]MATERIALES!$D$891</f>
        <v>1500</v>
      </c>
      <c r="G401" s="111">
        <f>ROUND(E401*F401,0)</f>
        <v>30</v>
      </c>
    </row>
    <row r="402" spans="2:7" ht="14.25" hidden="1" thickTop="1" thickBot="1">
      <c r="B402" s="835"/>
      <c r="C402" s="836"/>
      <c r="D402" s="37"/>
      <c r="E402" s="55"/>
      <c r="F402" s="82"/>
      <c r="G402" s="111"/>
    </row>
    <row r="403" spans="2:7" ht="14.25" hidden="1" thickTop="1" thickBot="1">
      <c r="B403" s="835"/>
      <c r="C403" s="836"/>
      <c r="D403" s="37"/>
      <c r="E403" s="55"/>
      <c r="F403" s="82"/>
      <c r="G403" s="111"/>
    </row>
    <row r="404" spans="2:7" ht="14.25" hidden="1" thickTop="1" thickBot="1">
      <c r="B404" s="837"/>
      <c r="C404" s="838"/>
      <c r="D404" s="37"/>
      <c r="E404" s="55"/>
      <c r="F404" s="82"/>
      <c r="G404" s="111"/>
    </row>
    <row r="405" spans="2:7" ht="14.25" hidden="1" thickTop="1" thickBot="1">
      <c r="B405" s="837"/>
      <c r="C405" s="838"/>
      <c r="D405" s="53" t="s">
        <v>841</v>
      </c>
      <c r="E405" s="53"/>
      <c r="F405" s="82"/>
      <c r="G405" s="111"/>
    </row>
    <row r="406" spans="2:7" ht="14.25" hidden="1" thickTop="1" thickBot="1">
      <c r="B406" s="837" t="s">
        <v>841</v>
      </c>
      <c r="C406" s="838"/>
      <c r="D406" s="53" t="s">
        <v>841</v>
      </c>
      <c r="E406" s="53"/>
      <c r="F406" s="82"/>
      <c r="G406" s="111"/>
    </row>
    <row r="407" spans="2:7" ht="14.25" hidden="1" thickTop="1" thickBot="1">
      <c r="B407" s="837" t="s">
        <v>841</v>
      </c>
      <c r="C407" s="838"/>
      <c r="D407" s="53" t="s">
        <v>841</v>
      </c>
      <c r="E407" s="53"/>
      <c r="F407" s="82"/>
      <c r="G407" s="111"/>
    </row>
    <row r="408" spans="2:7" ht="14.25" hidden="1" thickTop="1" thickBot="1">
      <c r="B408" s="839" t="s">
        <v>841</v>
      </c>
      <c r="C408" s="840"/>
      <c r="D408" s="84" t="s">
        <v>841</v>
      </c>
      <c r="E408" s="84"/>
      <c r="F408" s="85"/>
      <c r="G408" s="112"/>
    </row>
    <row r="409" spans="2:7" ht="14.25" hidden="1" thickTop="1" thickBot="1">
      <c r="B409" s="808"/>
      <c r="C409" s="809"/>
      <c r="D409" s="801" t="s">
        <v>856</v>
      </c>
      <c r="E409" s="802"/>
      <c r="F409" s="9"/>
      <c r="G409" s="113">
        <f>SUM(G400:G408)</f>
        <v>668</v>
      </c>
    </row>
    <row r="410" spans="2:7" ht="14.25" hidden="1" thickTop="1" thickBot="1">
      <c r="B410" s="819"/>
      <c r="C410" s="820"/>
      <c r="D410" s="801" t="s">
        <v>857</v>
      </c>
      <c r="E410" s="802"/>
      <c r="F410" s="79">
        <f>'[1]MANO DE OBRA'!$D$60</f>
        <v>0.05</v>
      </c>
      <c r="G410" s="113">
        <f>ROUND(G409*F410,0)</f>
        <v>33</v>
      </c>
    </row>
    <row r="411" spans="2:7" ht="14.25" hidden="1" thickTop="1" thickBot="1">
      <c r="B411" s="819"/>
      <c r="C411" s="820"/>
      <c r="D411" s="803" t="s">
        <v>320</v>
      </c>
      <c r="E411" s="804"/>
      <c r="F411" s="114"/>
      <c r="G411" s="118">
        <f>+G409+G410</f>
        <v>701</v>
      </c>
    </row>
    <row r="412" spans="2:7" ht="14.25" hidden="1" thickTop="1" thickBot="1">
      <c r="B412" s="830"/>
      <c r="C412" s="830"/>
      <c r="D412" s="830"/>
      <c r="E412" s="830"/>
      <c r="F412" s="830"/>
      <c r="G412" s="830"/>
    </row>
    <row r="413" spans="2:7" ht="14.25" hidden="1" thickTop="1" thickBot="1">
      <c r="B413" s="811" t="s">
        <v>858</v>
      </c>
      <c r="C413" s="812"/>
      <c r="D413" s="812"/>
      <c r="E413" s="812"/>
      <c r="F413" s="812"/>
      <c r="G413" s="825"/>
    </row>
    <row r="414" spans="2:7" ht="14.25" hidden="1" thickTop="1" thickBot="1">
      <c r="B414" s="817"/>
      <c r="C414" s="818"/>
      <c r="D414" s="98" t="s">
        <v>301</v>
      </c>
      <c r="E414" s="98" t="s">
        <v>859</v>
      </c>
      <c r="F414" s="99" t="s">
        <v>839</v>
      </c>
      <c r="G414" s="107" t="s">
        <v>840</v>
      </c>
    </row>
    <row r="415" spans="2:7" ht="14.25" hidden="1" thickTop="1" thickBot="1">
      <c r="B415" s="821" t="s">
        <v>838</v>
      </c>
      <c r="C415" s="822"/>
      <c r="D415" s="100" t="s">
        <v>316</v>
      </c>
      <c r="E415" s="100" t="s">
        <v>315</v>
      </c>
      <c r="F415" s="101" t="s">
        <v>306</v>
      </c>
      <c r="G415" s="108" t="s">
        <v>319</v>
      </c>
    </row>
    <row r="416" spans="2:7" ht="14.25" hidden="1" thickTop="1" thickBot="1">
      <c r="B416" s="230"/>
      <c r="C416" s="102"/>
      <c r="D416" s="103"/>
      <c r="E416" s="103" t="s">
        <v>317</v>
      </c>
      <c r="F416" s="104" t="s">
        <v>318</v>
      </c>
      <c r="G416" s="109"/>
    </row>
    <row r="417" spans="2:7" ht="14.25" hidden="1" thickTop="1" thickBot="1">
      <c r="B417" s="823" t="str">
        <f>'[1]MANO DE OBRA'!$B$23</f>
        <v>TOPOGRAFO</v>
      </c>
      <c r="C417" s="824"/>
      <c r="D417" s="87">
        <v>1</v>
      </c>
      <c r="E417" s="80">
        <f>'[1]MANO DE OBRA'!$E$23</f>
        <v>100092</v>
      </c>
      <c r="F417" s="81">
        <v>65</v>
      </c>
      <c r="G417" s="110">
        <f>ROUND(D417*E417/F417,0)</f>
        <v>1540</v>
      </c>
    </row>
    <row r="418" spans="2:7" ht="14.25" hidden="1" thickTop="1" thickBot="1">
      <c r="B418" s="835" t="str">
        <f>'[1]MANO DE OBRA'!$B$24</f>
        <v>CADENERO</v>
      </c>
      <c r="C418" s="836"/>
      <c r="D418" s="37">
        <v>1</v>
      </c>
      <c r="E418" s="82">
        <f>'[1]MANO DE OBRA'!$E$24</f>
        <v>59565</v>
      </c>
      <c r="F418" s="83">
        <f>F417</f>
        <v>65</v>
      </c>
      <c r="G418" s="111">
        <f>ROUND(D418*E418/F418,0)</f>
        <v>916</v>
      </c>
    </row>
    <row r="419" spans="2:7" ht="14.25" hidden="1" thickTop="1" thickBot="1">
      <c r="B419" s="835" t="str">
        <f>'[1]MANO DE OBRA'!$B$9</f>
        <v>AYUDANTE CUAD. TIPO AA</v>
      </c>
      <c r="C419" s="836"/>
      <c r="D419" s="37">
        <v>1</v>
      </c>
      <c r="E419" s="82">
        <f>'[1]MANO DE OBRA'!$E$9</f>
        <v>34676</v>
      </c>
      <c r="F419" s="83">
        <f>F417</f>
        <v>65</v>
      </c>
      <c r="G419" s="111">
        <f>ROUND(D419*E419/F419,0)</f>
        <v>533</v>
      </c>
    </row>
    <row r="420" spans="2:7" ht="14.25" hidden="1" thickTop="1" thickBot="1">
      <c r="B420" s="835" t="s">
        <v>841</v>
      </c>
      <c r="C420" s="836"/>
      <c r="D420" s="37"/>
      <c r="E420" s="82"/>
      <c r="F420" s="83"/>
      <c r="G420" s="111"/>
    </row>
    <row r="421" spans="2:7" ht="14.25" hidden="1" thickTop="1" thickBot="1">
      <c r="B421" s="828" t="s">
        <v>841</v>
      </c>
      <c r="C421" s="829"/>
      <c r="D421" s="77"/>
      <c r="E421" s="82"/>
      <c r="F421" s="86"/>
      <c r="G421" s="112"/>
    </row>
    <row r="422" spans="2:7" ht="14.25" hidden="1" thickTop="1" thickBot="1">
      <c r="B422" s="808"/>
      <c r="C422" s="808"/>
      <c r="D422" s="808"/>
      <c r="E422" s="809"/>
      <c r="F422" s="120" t="s">
        <v>856</v>
      </c>
      <c r="G422" s="118">
        <f>SUM(G417:G421)</f>
        <v>2989</v>
      </c>
    </row>
    <row r="423" spans="2:7" ht="14.25" hidden="1" thickTop="1" thickBot="1">
      <c r="B423" s="810"/>
      <c r="C423" s="810"/>
      <c r="D423" s="810"/>
      <c r="E423" s="810"/>
      <c r="F423" s="810"/>
      <c r="G423" s="810"/>
    </row>
    <row r="424" spans="2:7" ht="14.25" hidden="1" thickTop="1" thickBot="1">
      <c r="B424" s="811" t="s">
        <v>321</v>
      </c>
      <c r="C424" s="812"/>
      <c r="D424" s="812"/>
      <c r="E424" s="812"/>
      <c r="F424" s="812"/>
      <c r="G424" s="825"/>
    </row>
    <row r="425" spans="2:7" ht="14.25" hidden="1" thickTop="1" thickBot="1">
      <c r="B425" s="817" t="s">
        <v>838</v>
      </c>
      <c r="C425" s="818"/>
      <c r="D425" s="98" t="s">
        <v>301</v>
      </c>
      <c r="E425" s="98" t="s">
        <v>297</v>
      </c>
      <c r="F425" s="99" t="s">
        <v>839</v>
      </c>
      <c r="G425" s="107" t="s">
        <v>840</v>
      </c>
    </row>
    <row r="426" spans="2:7" ht="14.25" hidden="1" thickTop="1" thickBot="1">
      <c r="B426" s="230"/>
      <c r="C426" s="102"/>
      <c r="D426" s="103" t="s">
        <v>322</v>
      </c>
      <c r="E426" s="103" t="s">
        <v>323</v>
      </c>
      <c r="F426" s="104" t="s">
        <v>324</v>
      </c>
      <c r="G426" s="109" t="s">
        <v>325</v>
      </c>
    </row>
    <row r="427" spans="2:7" ht="14.25" hidden="1" thickTop="1" thickBot="1">
      <c r="B427" s="826"/>
      <c r="C427" s="827"/>
      <c r="D427" s="96"/>
      <c r="E427" s="96"/>
      <c r="F427" s="96"/>
      <c r="G427" s="116"/>
    </row>
    <row r="428" spans="2:7" ht="14.25" hidden="1" thickTop="1" thickBot="1">
      <c r="B428" s="828" t="s">
        <v>841</v>
      </c>
      <c r="C428" s="829"/>
      <c r="D428" s="77"/>
      <c r="E428" s="82"/>
      <c r="F428" s="86"/>
      <c r="G428" s="112"/>
    </row>
    <row r="429" spans="2:7" ht="14.25" hidden="1" thickTop="1" thickBot="1">
      <c r="B429" s="808"/>
      <c r="C429" s="808"/>
      <c r="D429" s="808"/>
      <c r="E429" s="809"/>
      <c r="F429" s="120" t="s">
        <v>856</v>
      </c>
      <c r="G429" s="118">
        <f>SUM(G424:G428)</f>
        <v>0</v>
      </c>
    </row>
    <row r="430" spans="2:7" ht="14.25" hidden="1" thickTop="1" thickBot="1">
      <c r="B430" s="810"/>
      <c r="C430" s="810"/>
      <c r="D430" s="810"/>
      <c r="E430" s="810"/>
      <c r="F430" s="810"/>
      <c r="G430" s="834"/>
    </row>
    <row r="431" spans="2:7" ht="14.25" hidden="1" thickTop="1" thickBot="1">
      <c r="B431" s="811" t="s">
        <v>326</v>
      </c>
      <c r="C431" s="812"/>
      <c r="D431" s="812"/>
      <c r="E431" s="812"/>
      <c r="F431" s="813"/>
      <c r="G431" s="121">
        <f>+G395+G411+G422</f>
        <v>4608</v>
      </c>
    </row>
    <row r="432" spans="2:7" ht="14.25" hidden="1" thickTop="1" thickBot="1">
      <c r="B432" s="814" t="s">
        <v>861</v>
      </c>
      <c r="C432" s="815"/>
      <c r="D432" s="815"/>
      <c r="E432" s="816"/>
      <c r="F432" s="128">
        <f>'[1]MANO DE OBRA'!$D$59</f>
        <v>0</v>
      </c>
      <c r="G432" s="122">
        <f>ROUND(G431*F432,0)</f>
        <v>0</v>
      </c>
    </row>
    <row r="433" spans="2:8" ht="14.25" hidden="1" thickTop="1" thickBot="1">
      <c r="B433" s="805" t="s">
        <v>1049</v>
      </c>
      <c r="C433" s="806"/>
      <c r="D433" s="806"/>
      <c r="E433" s="806"/>
      <c r="F433" s="807"/>
      <c r="G433" s="118">
        <f>ROUND(G431+G432,-2)</f>
        <v>4600</v>
      </c>
    </row>
    <row r="434" spans="2:8" ht="13.5" thickTop="1">
      <c r="B434" s="423" t="s">
        <v>303</v>
      </c>
      <c r="C434" s="1064"/>
      <c r="D434" s="1064"/>
      <c r="E434" s="1064"/>
      <c r="F434" s="424" t="s">
        <v>781</v>
      </c>
      <c r="G434" s="425" t="s">
        <v>868</v>
      </c>
      <c r="H434" s="514" t="s">
        <v>1670</v>
      </c>
    </row>
    <row r="435" spans="2:8">
      <c r="B435" s="427" t="s">
        <v>834</v>
      </c>
      <c r="C435" s="1065" t="s">
        <v>1619</v>
      </c>
      <c r="D435" s="1065"/>
      <c r="E435" s="1065"/>
      <c r="F435" s="428" t="s">
        <v>833</v>
      </c>
      <c r="G435" s="429" t="str">
        <f>'MANO DE OBRA'!$D$61</f>
        <v>Agosto de 2010</v>
      </c>
    </row>
    <row r="436" spans="2:8" ht="13.5" thickBot="1">
      <c r="B436" s="431" t="s">
        <v>835</v>
      </c>
      <c r="C436" s="887" t="s">
        <v>1616</v>
      </c>
      <c r="D436" s="1066"/>
      <c r="E436" s="1066"/>
      <c r="F436" s="1066"/>
      <c r="G436" s="1067"/>
    </row>
    <row r="437" spans="2:8" ht="14.25" thickTop="1" thickBot="1">
      <c r="B437" s="1068"/>
      <c r="C437" s="1068"/>
      <c r="D437" s="1068"/>
      <c r="E437" s="1068"/>
      <c r="F437" s="1068"/>
      <c r="G437" s="1068"/>
    </row>
    <row r="438" spans="2:8" ht="13.5" thickTop="1">
      <c r="B438" s="811" t="s">
        <v>304</v>
      </c>
      <c r="C438" s="812"/>
      <c r="D438" s="812"/>
      <c r="E438" s="812"/>
      <c r="F438" s="812"/>
      <c r="G438" s="825"/>
    </row>
    <row r="439" spans="2:8">
      <c r="B439" s="229"/>
      <c r="C439" s="97"/>
      <c r="D439" s="98" t="s">
        <v>301</v>
      </c>
      <c r="E439" s="98" t="s">
        <v>1072</v>
      </c>
      <c r="F439" s="99" t="s">
        <v>839</v>
      </c>
      <c r="G439" s="107" t="s">
        <v>840</v>
      </c>
    </row>
    <row r="440" spans="2:8">
      <c r="B440" s="821" t="s">
        <v>838</v>
      </c>
      <c r="C440" s="822"/>
      <c r="D440" s="100" t="s">
        <v>308</v>
      </c>
      <c r="E440" s="100" t="s">
        <v>305</v>
      </c>
      <c r="F440" s="101" t="s">
        <v>306</v>
      </c>
      <c r="G440" s="108" t="s">
        <v>310</v>
      </c>
    </row>
    <row r="441" spans="2:8">
      <c r="B441" s="230"/>
      <c r="C441" s="102"/>
      <c r="D441" s="103"/>
      <c r="E441" s="103" t="s">
        <v>309</v>
      </c>
      <c r="F441" s="104" t="s">
        <v>307</v>
      </c>
      <c r="G441" s="109"/>
    </row>
    <row r="442" spans="2:8">
      <c r="B442" s="823" t="str">
        <f>'MAQUINARIA Y EQUIPOS'!C28</f>
        <v>HERRAMIENTAS MENORES</v>
      </c>
      <c r="C442" s="824"/>
      <c r="D442" s="87">
        <v>1</v>
      </c>
      <c r="E442" s="82">
        <f>ROUND(G475*0.05,0)</f>
        <v>18</v>
      </c>
      <c r="F442" s="81">
        <v>1</v>
      </c>
      <c r="G442" s="110">
        <f>ROUND(D442*E442/F442,0)</f>
        <v>18</v>
      </c>
    </row>
    <row r="443" spans="2:8">
      <c r="B443" s="835" t="str">
        <f>'MAQUINARIA Y EQUIPOS'!C62</f>
        <v>CARROTANQUE IRRIGADOR</v>
      </c>
      <c r="C443" s="836"/>
      <c r="D443" s="37">
        <v>1</v>
      </c>
      <c r="E443" s="82">
        <f>'MAQUINARIA Y EQUIPOS'!D62</f>
        <v>52500</v>
      </c>
      <c r="F443" s="83">
        <v>80</v>
      </c>
      <c r="G443" s="436">
        <f>ROUND(D443*E443/F443,0)</f>
        <v>656</v>
      </c>
    </row>
    <row r="444" spans="2:8">
      <c r="B444" s="835"/>
      <c r="C444" s="836"/>
      <c r="D444" s="89"/>
      <c r="E444" s="82"/>
      <c r="F444" s="83"/>
      <c r="G444" s="111"/>
    </row>
    <row r="445" spans="2:8">
      <c r="B445" s="835"/>
      <c r="C445" s="836"/>
      <c r="D445" s="89"/>
      <c r="E445" s="82"/>
      <c r="F445" s="83"/>
      <c r="G445" s="111"/>
    </row>
    <row r="446" spans="2:8">
      <c r="B446" s="835" t="s">
        <v>841</v>
      </c>
      <c r="C446" s="836"/>
      <c r="D446" s="37"/>
      <c r="E446" s="82"/>
      <c r="F446" s="83"/>
      <c r="G446" s="111"/>
    </row>
    <row r="447" spans="2:8" ht="13.5" thickBot="1">
      <c r="B447" s="839" t="s">
        <v>841</v>
      </c>
      <c r="C447" s="840"/>
      <c r="D447" s="77"/>
      <c r="E447" s="106"/>
      <c r="F447" s="86"/>
      <c r="G447" s="112"/>
    </row>
    <row r="448" spans="2:8" ht="14.25" thickTop="1" thickBot="1">
      <c r="B448" s="808"/>
      <c r="C448" s="808"/>
      <c r="D448" s="808"/>
      <c r="E448" s="809"/>
      <c r="F448" s="119" t="s">
        <v>856</v>
      </c>
      <c r="G448" s="118">
        <f>SUM(G442:G447)</f>
        <v>674</v>
      </c>
    </row>
    <row r="449" spans="2:8" ht="14.25" thickTop="1" thickBot="1">
      <c r="B449" s="830"/>
      <c r="C449" s="830"/>
      <c r="D449" s="830"/>
      <c r="E449" s="830"/>
      <c r="F449" s="830"/>
      <c r="G449" s="830"/>
    </row>
    <row r="450" spans="2:8" ht="13.5" thickTop="1">
      <c r="B450" s="811" t="s">
        <v>311</v>
      </c>
      <c r="C450" s="812"/>
      <c r="D450" s="812"/>
      <c r="E450" s="812"/>
      <c r="F450" s="812"/>
      <c r="G450" s="825"/>
    </row>
    <row r="451" spans="2:8">
      <c r="B451" s="817" t="s">
        <v>838</v>
      </c>
      <c r="C451" s="818"/>
      <c r="D451" s="98" t="s">
        <v>842</v>
      </c>
      <c r="E451" s="98" t="s">
        <v>853</v>
      </c>
      <c r="F451" s="99" t="s">
        <v>1047</v>
      </c>
      <c r="G451" s="107" t="s">
        <v>840</v>
      </c>
    </row>
    <row r="452" spans="2:8">
      <c r="B452" s="230"/>
      <c r="C452" s="102"/>
      <c r="D452" s="100"/>
      <c r="E452" s="100" t="s">
        <v>312</v>
      </c>
      <c r="F452" s="101" t="s">
        <v>313</v>
      </c>
      <c r="G452" s="108" t="s">
        <v>314</v>
      </c>
    </row>
    <row r="453" spans="2:8">
      <c r="B453" s="1069" t="str">
        <f>MATERIALES2!C927</f>
        <v>EMULSION DE ROMPIMENTO LENTO (CLR)</v>
      </c>
      <c r="C453" s="1070"/>
      <c r="D453" s="87" t="s">
        <v>669</v>
      </c>
      <c r="E453" s="10">
        <v>0.6</v>
      </c>
      <c r="F453" s="80">
        <f>MATERIALES2!E927</f>
        <v>1599</v>
      </c>
      <c r="G453" s="110">
        <f>E453*F453</f>
        <v>959.4</v>
      </c>
    </row>
    <row r="454" spans="2:8">
      <c r="B454" s="246"/>
      <c r="C454" s="124"/>
      <c r="D454" s="88"/>
      <c r="E454" s="53"/>
      <c r="F454" s="82"/>
      <c r="G454" s="111"/>
    </row>
    <row r="455" spans="2:8">
      <c r="B455" s="835"/>
      <c r="C455" s="836"/>
      <c r="D455" s="37"/>
      <c r="E455" s="55"/>
      <c r="F455" s="82"/>
      <c r="G455" s="111"/>
    </row>
    <row r="456" spans="2:8">
      <c r="B456" s="835"/>
      <c r="C456" s="836"/>
      <c r="D456" s="37"/>
      <c r="E456" s="55"/>
      <c r="F456" s="82"/>
      <c r="G456" s="111"/>
    </row>
    <row r="457" spans="2:8">
      <c r="B457" s="837"/>
      <c r="C457" s="838"/>
      <c r="D457" s="37"/>
      <c r="E457" s="55"/>
      <c r="F457" s="82"/>
      <c r="G457" s="111"/>
    </row>
    <row r="458" spans="2:8">
      <c r="B458" s="837"/>
      <c r="C458" s="838"/>
      <c r="D458" s="53" t="s">
        <v>841</v>
      </c>
      <c r="E458" s="53"/>
      <c r="F458" s="82"/>
      <c r="G458" s="111"/>
    </row>
    <row r="459" spans="2:8">
      <c r="B459" s="837" t="s">
        <v>841</v>
      </c>
      <c r="C459" s="838"/>
      <c r="D459" s="53" t="s">
        <v>841</v>
      </c>
      <c r="E459" s="53"/>
      <c r="F459" s="82"/>
      <c r="G459" s="111"/>
    </row>
    <row r="460" spans="2:8">
      <c r="B460" s="837" t="s">
        <v>841</v>
      </c>
      <c r="C460" s="838"/>
      <c r="D460" s="53" t="s">
        <v>841</v>
      </c>
      <c r="E460" s="53"/>
      <c r="F460" s="82"/>
      <c r="G460" s="111"/>
      <c r="H460" s="514" t="s">
        <v>1670</v>
      </c>
    </row>
    <row r="461" spans="2:8" ht="13.5" thickBot="1">
      <c r="B461" s="839" t="s">
        <v>841</v>
      </c>
      <c r="C461" s="840"/>
      <c r="D461" s="84" t="s">
        <v>841</v>
      </c>
      <c r="E461" s="84"/>
      <c r="F461" s="85"/>
      <c r="G461" s="112"/>
    </row>
    <row r="462" spans="2:8" ht="13.5" thickTop="1">
      <c r="B462" s="808"/>
      <c r="C462" s="809"/>
      <c r="D462" s="801" t="s">
        <v>856</v>
      </c>
      <c r="E462" s="802"/>
      <c r="F462" s="9"/>
      <c r="G462" s="113">
        <f>SUM(G453:G461)</f>
        <v>959.4</v>
      </c>
    </row>
    <row r="463" spans="2:8">
      <c r="B463" s="819"/>
      <c r="C463" s="820"/>
      <c r="D463" s="801" t="s">
        <v>857</v>
      </c>
      <c r="E463" s="802"/>
      <c r="F463" s="79">
        <f>'[1]MANO DE OBRA'!$D$60</f>
        <v>0.05</v>
      </c>
      <c r="G463" s="113">
        <f>ROUND(G462*F463,0)</f>
        <v>48</v>
      </c>
    </row>
    <row r="464" spans="2:8" ht="13.5" thickBot="1">
      <c r="B464" s="819"/>
      <c r="C464" s="820"/>
      <c r="D464" s="803" t="s">
        <v>320</v>
      </c>
      <c r="E464" s="804"/>
      <c r="F464" s="114"/>
      <c r="G464" s="118">
        <f>+G462+G463</f>
        <v>1007.4</v>
      </c>
    </row>
    <row r="465" spans="2:7" ht="14.25" thickTop="1" thickBot="1">
      <c r="B465" s="830"/>
      <c r="C465" s="830"/>
      <c r="D465" s="830"/>
      <c r="E465" s="830"/>
      <c r="F465" s="830"/>
      <c r="G465" s="830"/>
    </row>
    <row r="466" spans="2:7" ht="13.5" thickTop="1">
      <c r="B466" s="811" t="s">
        <v>858</v>
      </c>
      <c r="C466" s="812"/>
      <c r="D466" s="812"/>
      <c r="E466" s="812"/>
      <c r="F466" s="812"/>
      <c r="G466" s="825"/>
    </row>
    <row r="467" spans="2:7">
      <c r="B467" s="817"/>
      <c r="C467" s="818"/>
      <c r="D467" s="98" t="s">
        <v>301</v>
      </c>
      <c r="E467" s="98" t="s">
        <v>859</v>
      </c>
      <c r="F467" s="99" t="s">
        <v>839</v>
      </c>
      <c r="G467" s="107" t="s">
        <v>840</v>
      </c>
    </row>
    <row r="468" spans="2:7">
      <c r="B468" s="821" t="s">
        <v>838</v>
      </c>
      <c r="C468" s="822"/>
      <c r="D468" s="100" t="s">
        <v>316</v>
      </c>
      <c r="E468" s="100" t="s">
        <v>315</v>
      </c>
      <c r="F468" s="101" t="s">
        <v>306</v>
      </c>
      <c r="G468" s="108" t="s">
        <v>319</v>
      </c>
    </row>
    <row r="469" spans="2:7">
      <c r="B469" s="230"/>
      <c r="C469" s="102"/>
      <c r="D469" s="103"/>
      <c r="E469" s="103" t="s">
        <v>317</v>
      </c>
      <c r="F469" s="104" t="s">
        <v>318</v>
      </c>
      <c r="G469" s="109"/>
    </row>
    <row r="470" spans="2:7">
      <c r="B470" s="823" t="str">
        <f>'MANO DE OBRA'!B15</f>
        <v xml:space="preserve">OFICIAL CUAD. TIPO AA </v>
      </c>
      <c r="C470" s="824"/>
      <c r="D470" s="87">
        <v>1</v>
      </c>
      <c r="E470" s="80">
        <f>'MANO DE OBRA'!E15</f>
        <v>71474</v>
      </c>
      <c r="F470" s="81">
        <v>400</v>
      </c>
      <c r="G470" s="110">
        <f>ROUND(D470*E470/F470,0)</f>
        <v>179</v>
      </c>
    </row>
    <row r="471" spans="2:7">
      <c r="B471" s="835" t="str">
        <f>'MANO DE OBRA'!B10</f>
        <v>AYUDANTE CUAD. TIPO AA</v>
      </c>
      <c r="C471" s="836"/>
      <c r="D471" s="37">
        <v>2</v>
      </c>
      <c r="E471" s="82">
        <f>'MANO DE OBRA'!E10</f>
        <v>34680</v>
      </c>
      <c r="F471" s="83">
        <v>400</v>
      </c>
      <c r="G471" s="111">
        <f>ROUND(D471*E471/F471,0)</f>
        <v>173</v>
      </c>
    </row>
    <row r="472" spans="2:7">
      <c r="B472" s="835"/>
      <c r="C472" s="836"/>
      <c r="D472" s="37"/>
      <c r="E472" s="82"/>
      <c r="F472" s="83"/>
      <c r="G472" s="111"/>
    </row>
    <row r="473" spans="2:7">
      <c r="B473" s="835" t="s">
        <v>841</v>
      </c>
      <c r="C473" s="836"/>
      <c r="D473" s="37"/>
      <c r="E473" s="82"/>
      <c r="F473" s="83"/>
      <c r="G473" s="111"/>
    </row>
    <row r="474" spans="2:7" ht="13.5" thickBot="1">
      <c r="B474" s="828" t="s">
        <v>841</v>
      </c>
      <c r="C474" s="829"/>
      <c r="D474" s="77"/>
      <c r="E474" s="82"/>
      <c r="F474" s="86"/>
      <c r="G474" s="112"/>
    </row>
    <row r="475" spans="2:7" ht="14.25" thickTop="1" thickBot="1">
      <c r="B475" s="808"/>
      <c r="C475" s="808"/>
      <c r="D475" s="808"/>
      <c r="E475" s="809"/>
      <c r="F475" s="120" t="s">
        <v>856</v>
      </c>
      <c r="G475" s="118">
        <f>SUM(G470:G474)</f>
        <v>352</v>
      </c>
    </row>
    <row r="476" spans="2:7" ht="14.25" thickTop="1" thickBot="1">
      <c r="B476" s="810"/>
      <c r="C476" s="810"/>
      <c r="D476" s="810"/>
      <c r="E476" s="810"/>
      <c r="F476" s="810"/>
      <c r="G476" s="810"/>
    </row>
    <row r="477" spans="2:7" ht="13.5" thickTop="1">
      <c r="B477" s="811" t="s">
        <v>321</v>
      </c>
      <c r="C477" s="812"/>
      <c r="D477" s="812"/>
      <c r="E477" s="812"/>
      <c r="F477" s="812"/>
      <c r="G477" s="825"/>
    </row>
    <row r="478" spans="2:7">
      <c r="B478" s="817" t="s">
        <v>838</v>
      </c>
      <c r="C478" s="818"/>
      <c r="D478" s="98" t="s">
        <v>301</v>
      </c>
      <c r="E478" s="98" t="s">
        <v>297</v>
      </c>
      <c r="F478" s="99" t="s">
        <v>839</v>
      </c>
      <c r="G478" s="107" t="s">
        <v>840</v>
      </c>
    </row>
    <row r="479" spans="2:7">
      <c r="B479" s="230"/>
      <c r="C479" s="102"/>
      <c r="D479" s="103" t="s">
        <v>322</v>
      </c>
      <c r="E479" s="103" t="s">
        <v>323</v>
      </c>
      <c r="F479" s="104" t="s">
        <v>324</v>
      </c>
      <c r="G479" s="109" t="s">
        <v>325</v>
      </c>
    </row>
    <row r="480" spans="2:7">
      <c r="B480" s="826"/>
      <c r="C480" s="827"/>
      <c r="D480" s="96"/>
      <c r="E480" s="96"/>
      <c r="F480" s="96"/>
      <c r="G480" s="116"/>
    </row>
    <row r="481" spans="2:8" ht="13.5" thickBot="1">
      <c r="B481" s="828" t="s">
        <v>841</v>
      </c>
      <c r="C481" s="829"/>
      <c r="D481" s="77"/>
      <c r="E481" s="82"/>
      <c r="F481" s="86"/>
      <c r="G481" s="112"/>
    </row>
    <row r="482" spans="2:8" ht="14.25" thickTop="1" thickBot="1">
      <c r="B482" s="808"/>
      <c r="C482" s="808"/>
      <c r="D482" s="808"/>
      <c r="E482" s="809"/>
      <c r="F482" s="120" t="s">
        <v>856</v>
      </c>
      <c r="G482" s="118">
        <f>SUM(G477:G481)</f>
        <v>0</v>
      </c>
    </row>
    <row r="483" spans="2:8" ht="14.25" thickTop="1" thickBot="1">
      <c r="B483" s="810"/>
      <c r="C483" s="810"/>
      <c r="D483" s="810"/>
      <c r="E483" s="810"/>
      <c r="F483" s="810"/>
      <c r="G483" s="834"/>
    </row>
    <row r="484" spans="2:8" ht="13.5" thickTop="1">
      <c r="B484" s="811" t="s">
        <v>326</v>
      </c>
      <c r="C484" s="812"/>
      <c r="D484" s="812"/>
      <c r="E484" s="812"/>
      <c r="F484" s="813"/>
      <c r="G484" s="121">
        <f>+G448+G464+G475</f>
        <v>2033.4</v>
      </c>
    </row>
    <row r="485" spans="2:8">
      <c r="B485" s="814" t="s">
        <v>861</v>
      </c>
      <c r="C485" s="815"/>
      <c r="D485" s="815"/>
      <c r="E485" s="816"/>
      <c r="F485" s="128">
        <f>'[1]MANO DE OBRA'!$D$59</f>
        <v>0</v>
      </c>
      <c r="G485" s="122">
        <f>ROUND(G484*F485,0)</f>
        <v>0</v>
      </c>
    </row>
    <row r="486" spans="2:8" ht="13.5" thickBot="1">
      <c r="B486" s="805" t="s">
        <v>1049</v>
      </c>
      <c r="C486" s="806"/>
      <c r="D486" s="806"/>
      <c r="E486" s="806"/>
      <c r="F486" s="807"/>
      <c r="G486" s="118">
        <f>ROUND(G484+G485,-2)</f>
        <v>2000</v>
      </c>
      <c r="H486" s="514" t="s">
        <v>1670</v>
      </c>
    </row>
    <row r="487" spans="2:8" ht="13.5" thickTop="1">
      <c r="B487" s="423" t="s">
        <v>303</v>
      </c>
      <c r="C487" s="1064"/>
      <c r="D487" s="1064"/>
      <c r="E487" s="1064"/>
      <c r="F487" s="424" t="s">
        <v>781</v>
      </c>
      <c r="G487" s="425" t="s">
        <v>868</v>
      </c>
    </row>
    <row r="488" spans="2:8">
      <c r="B488" s="427" t="s">
        <v>834</v>
      </c>
      <c r="C488" s="1065" t="s">
        <v>1619</v>
      </c>
      <c r="D488" s="1065"/>
      <c r="E488" s="1065"/>
      <c r="F488" s="428" t="s">
        <v>833</v>
      </c>
      <c r="G488" s="429" t="str">
        <f>'MANO DE OBRA'!$D$61</f>
        <v>Agosto de 2010</v>
      </c>
    </row>
    <row r="489" spans="2:8" ht="13.5" thickBot="1">
      <c r="B489" s="431" t="s">
        <v>835</v>
      </c>
      <c r="C489" s="887" t="s">
        <v>1628</v>
      </c>
      <c r="D489" s="1066"/>
      <c r="E489" s="1066"/>
      <c r="F489" s="1066"/>
      <c r="G489" s="1067"/>
    </row>
    <row r="490" spans="2:8" ht="14.25" thickTop="1" thickBot="1">
      <c r="B490" s="1068"/>
      <c r="C490" s="1068"/>
      <c r="D490" s="1068"/>
      <c r="E490" s="1068"/>
      <c r="F490" s="1068"/>
      <c r="G490" s="1068"/>
    </row>
    <row r="491" spans="2:8" ht="13.5" thickTop="1">
      <c r="B491" s="811" t="s">
        <v>304</v>
      </c>
      <c r="C491" s="812"/>
      <c r="D491" s="812"/>
      <c r="E491" s="812"/>
      <c r="F491" s="812"/>
      <c r="G491" s="825"/>
    </row>
    <row r="492" spans="2:8">
      <c r="B492" s="229"/>
      <c r="C492" s="97"/>
      <c r="D492" s="98" t="s">
        <v>301</v>
      </c>
      <c r="E492" s="98" t="s">
        <v>1072</v>
      </c>
      <c r="F492" s="99" t="s">
        <v>839</v>
      </c>
      <c r="G492" s="107" t="s">
        <v>840</v>
      </c>
    </row>
    <row r="493" spans="2:8">
      <c r="B493" s="821" t="s">
        <v>838</v>
      </c>
      <c r="C493" s="822"/>
      <c r="D493" s="100" t="s">
        <v>308</v>
      </c>
      <c r="E493" s="100" t="s">
        <v>305</v>
      </c>
      <c r="F493" s="101" t="s">
        <v>306</v>
      </c>
      <c r="G493" s="108" t="s">
        <v>310</v>
      </c>
    </row>
    <row r="494" spans="2:8">
      <c r="B494" s="230"/>
      <c r="C494" s="102"/>
      <c r="D494" s="103"/>
      <c r="E494" s="103" t="s">
        <v>309</v>
      </c>
      <c r="F494" s="104" t="s">
        <v>307</v>
      </c>
      <c r="G494" s="109"/>
    </row>
    <row r="495" spans="2:8">
      <c r="B495" s="823" t="str">
        <f>'MAQUINARIA Y EQUIPOS'!C28</f>
        <v>HERRAMIENTAS MENORES</v>
      </c>
      <c r="C495" s="824"/>
      <c r="D495" s="87">
        <v>1</v>
      </c>
      <c r="E495" s="82">
        <f>ROUND(G528*0.05,0)</f>
        <v>5</v>
      </c>
      <c r="F495" s="434">
        <v>1</v>
      </c>
      <c r="G495" s="110">
        <f>ROUND(D495*E495/F495,0)</f>
        <v>5</v>
      </c>
    </row>
    <row r="496" spans="2:8">
      <c r="B496" s="835" t="str">
        <f>'MAQUINARIA Y EQUIPOS'!C58</f>
        <v>MOTONIVELADORA 12E</v>
      </c>
      <c r="C496" s="836"/>
      <c r="D496" s="37">
        <v>1</v>
      </c>
      <c r="E496" s="82">
        <f>'MAQUINARIA Y EQUIPOS'!D58</f>
        <v>78750</v>
      </c>
      <c r="F496" s="435">
        <v>300</v>
      </c>
      <c r="G496" s="436">
        <f>ROUND(D496*E496/F496,0)</f>
        <v>263</v>
      </c>
    </row>
    <row r="497" spans="2:8">
      <c r="B497" s="835" t="str">
        <f>'MAQUINARIA Y EQUIPOS'!C55</f>
        <v>VIBROCOMPACTADOR</v>
      </c>
      <c r="C497" s="836"/>
      <c r="D497" s="37">
        <v>1</v>
      </c>
      <c r="E497" s="82">
        <f>'MAQUINARIA Y EQUIPOS'!D55</f>
        <v>63000</v>
      </c>
      <c r="F497" s="435">
        <v>300</v>
      </c>
      <c r="G497" s="436">
        <f>ROUND(D497*E497/F497,0)</f>
        <v>210</v>
      </c>
    </row>
    <row r="498" spans="2:8">
      <c r="B498" s="835" t="str">
        <f>'MAQUINARIA Y EQUIPOS'!C63</f>
        <v>CARROTANQUE DE AGUA</v>
      </c>
      <c r="C498" s="836"/>
      <c r="D498" s="37">
        <v>1</v>
      </c>
      <c r="E498" s="82">
        <f>'MAQUINARIA Y EQUIPOS'!D63</f>
        <v>54600</v>
      </c>
      <c r="F498" s="435">
        <v>300</v>
      </c>
      <c r="G498" s="436">
        <f>ROUND(D498*E498/F498,0)</f>
        <v>182</v>
      </c>
    </row>
    <row r="499" spans="2:8">
      <c r="B499" s="835" t="s">
        <v>841</v>
      </c>
      <c r="C499" s="836"/>
      <c r="D499" s="37"/>
      <c r="E499" s="82"/>
      <c r="F499" s="435"/>
      <c r="G499" s="111"/>
    </row>
    <row r="500" spans="2:8" ht="13.5" thickBot="1">
      <c r="B500" s="839" t="s">
        <v>841</v>
      </c>
      <c r="C500" s="840"/>
      <c r="D500" s="77"/>
      <c r="E500" s="106"/>
      <c r="F500" s="437"/>
      <c r="G500" s="112"/>
    </row>
    <row r="501" spans="2:8" ht="14.25" thickTop="1" thickBot="1">
      <c r="B501" s="808"/>
      <c r="C501" s="808"/>
      <c r="D501" s="808"/>
      <c r="E501" s="809"/>
      <c r="F501" s="438" t="s">
        <v>856</v>
      </c>
      <c r="G501" s="118">
        <f>SUM(G495:G500)</f>
        <v>660</v>
      </c>
    </row>
    <row r="502" spans="2:8" ht="14.25" thickTop="1" thickBot="1">
      <c r="B502" s="830"/>
      <c r="C502" s="830"/>
      <c r="D502" s="830"/>
      <c r="E502" s="830"/>
      <c r="F502" s="830"/>
      <c r="G502" s="830"/>
    </row>
    <row r="503" spans="2:8" ht="13.5" thickTop="1">
      <c r="B503" s="811" t="s">
        <v>311</v>
      </c>
      <c r="C503" s="812"/>
      <c r="D503" s="812"/>
      <c r="E503" s="812"/>
      <c r="F503" s="812"/>
      <c r="G503" s="825"/>
    </row>
    <row r="504" spans="2:8">
      <c r="B504" s="817" t="s">
        <v>838</v>
      </c>
      <c r="C504" s="818"/>
      <c r="D504" s="98" t="s">
        <v>842</v>
      </c>
      <c r="E504" s="98" t="s">
        <v>853</v>
      </c>
      <c r="F504" s="99" t="s">
        <v>1047</v>
      </c>
      <c r="G504" s="107" t="s">
        <v>840</v>
      </c>
    </row>
    <row r="505" spans="2:8">
      <c r="B505" s="230"/>
      <c r="C505" s="102"/>
      <c r="D505" s="100"/>
      <c r="E505" s="100" t="s">
        <v>312</v>
      </c>
      <c r="F505" s="101" t="s">
        <v>313</v>
      </c>
      <c r="G505" s="108" t="s">
        <v>314</v>
      </c>
    </row>
    <row r="506" spans="2:8">
      <c r="B506" s="1069"/>
      <c r="C506" s="1070"/>
      <c r="D506" s="87"/>
      <c r="E506" s="10"/>
      <c r="F506" s="80"/>
      <c r="G506" s="110"/>
    </row>
    <row r="507" spans="2:8">
      <c r="B507" s="246"/>
      <c r="C507" s="124"/>
      <c r="D507" s="88"/>
      <c r="E507" s="53"/>
      <c r="F507" s="82"/>
      <c r="G507" s="111"/>
    </row>
    <row r="508" spans="2:8">
      <c r="B508" s="835"/>
      <c r="C508" s="836"/>
      <c r="D508" s="37"/>
      <c r="E508" s="55"/>
      <c r="F508" s="82"/>
      <c r="G508" s="111"/>
    </row>
    <row r="509" spans="2:8">
      <c r="B509" s="835"/>
      <c r="C509" s="836"/>
      <c r="D509" s="37"/>
      <c r="E509" s="55"/>
      <c r="F509" s="82"/>
      <c r="G509" s="111"/>
    </row>
    <row r="510" spans="2:8">
      <c r="B510" s="837"/>
      <c r="C510" s="838"/>
      <c r="D510" s="37"/>
      <c r="E510" s="55"/>
      <c r="F510" s="82"/>
      <c r="G510" s="111"/>
    </row>
    <row r="511" spans="2:8">
      <c r="B511" s="837"/>
      <c r="C511" s="838"/>
      <c r="D511" s="53" t="s">
        <v>841</v>
      </c>
      <c r="E511" s="53"/>
      <c r="F511" s="82"/>
      <c r="G511" s="111"/>
    </row>
    <row r="512" spans="2:8">
      <c r="B512" s="837" t="s">
        <v>841</v>
      </c>
      <c r="C512" s="838"/>
      <c r="D512" s="53" t="s">
        <v>841</v>
      </c>
      <c r="E512" s="53"/>
      <c r="F512" s="82"/>
      <c r="G512" s="111"/>
      <c r="H512" s="514" t="s">
        <v>1670</v>
      </c>
    </row>
    <row r="513" spans="2:7">
      <c r="B513" s="837" t="s">
        <v>841</v>
      </c>
      <c r="C513" s="838"/>
      <c r="D513" s="53" t="s">
        <v>841</v>
      </c>
      <c r="E513" s="53"/>
      <c r="F513" s="82"/>
      <c r="G513" s="111"/>
    </row>
    <row r="514" spans="2:7" ht="13.5" thickBot="1">
      <c r="B514" s="839" t="s">
        <v>841</v>
      </c>
      <c r="C514" s="840"/>
      <c r="D514" s="84" t="s">
        <v>841</v>
      </c>
      <c r="E514" s="84"/>
      <c r="F514" s="85"/>
      <c r="G514" s="112"/>
    </row>
    <row r="515" spans="2:7" ht="13.5" thickTop="1">
      <c r="B515" s="808"/>
      <c r="C515" s="809"/>
      <c r="D515" s="801" t="s">
        <v>856</v>
      </c>
      <c r="E515" s="802"/>
      <c r="F515" s="9"/>
      <c r="G515" s="113">
        <f>SUM(G506:G514)</f>
        <v>0</v>
      </c>
    </row>
    <row r="516" spans="2:7">
      <c r="B516" s="819"/>
      <c r="C516" s="820"/>
      <c r="D516" s="801" t="s">
        <v>857</v>
      </c>
      <c r="E516" s="802"/>
      <c r="F516" s="79">
        <f>'[1]MANO DE OBRA'!$D$60</f>
        <v>0.05</v>
      </c>
      <c r="G516" s="113">
        <f>ROUND(G515*F516,0)</f>
        <v>0</v>
      </c>
    </row>
    <row r="517" spans="2:7" ht="13.5" thickBot="1">
      <c r="B517" s="819"/>
      <c r="C517" s="820"/>
      <c r="D517" s="803" t="s">
        <v>320</v>
      </c>
      <c r="E517" s="804"/>
      <c r="F517" s="114"/>
      <c r="G517" s="118">
        <f>+G515+G516</f>
        <v>0</v>
      </c>
    </row>
    <row r="518" spans="2:7" ht="14.25" thickTop="1" thickBot="1">
      <c r="B518" s="830"/>
      <c r="C518" s="830"/>
      <c r="D518" s="830"/>
      <c r="E518" s="830"/>
      <c r="F518" s="830"/>
      <c r="G518" s="830"/>
    </row>
    <row r="519" spans="2:7" ht="13.5" thickTop="1">
      <c r="B519" s="811" t="s">
        <v>858</v>
      </c>
      <c r="C519" s="812"/>
      <c r="D519" s="812"/>
      <c r="E519" s="812"/>
      <c r="F519" s="812"/>
      <c r="G519" s="825"/>
    </row>
    <row r="520" spans="2:7">
      <c r="B520" s="817"/>
      <c r="C520" s="818"/>
      <c r="D520" s="98" t="s">
        <v>301</v>
      </c>
      <c r="E520" s="98" t="s">
        <v>859</v>
      </c>
      <c r="F520" s="99" t="s">
        <v>839</v>
      </c>
      <c r="G520" s="107" t="s">
        <v>840</v>
      </c>
    </row>
    <row r="521" spans="2:7">
      <c r="B521" s="821" t="s">
        <v>838</v>
      </c>
      <c r="C521" s="822"/>
      <c r="D521" s="100" t="s">
        <v>316</v>
      </c>
      <c r="E521" s="100" t="s">
        <v>315</v>
      </c>
      <c r="F521" s="101" t="s">
        <v>306</v>
      </c>
      <c r="G521" s="108" t="s">
        <v>319</v>
      </c>
    </row>
    <row r="522" spans="2:7">
      <c r="B522" s="230"/>
      <c r="C522" s="102"/>
      <c r="D522" s="103"/>
      <c r="E522" s="103" t="s">
        <v>317</v>
      </c>
      <c r="F522" s="104" t="s">
        <v>318</v>
      </c>
      <c r="G522" s="109"/>
    </row>
    <row r="523" spans="2:7">
      <c r="B523" s="823" t="str">
        <f>'MANO DE OBRA'!B15</f>
        <v xml:space="preserve">OFICIAL CUAD. TIPO AA </v>
      </c>
      <c r="C523" s="824"/>
      <c r="D523" s="87">
        <v>1</v>
      </c>
      <c r="E523" s="80">
        <f>'MANO DE OBRA'!E15</f>
        <v>71474</v>
      </c>
      <c r="F523" s="81">
        <v>1500</v>
      </c>
      <c r="G523" s="110">
        <f>ROUND(D523*E523/F523,0)</f>
        <v>48</v>
      </c>
    </row>
    <row r="524" spans="2:7">
      <c r="B524" s="835" t="str">
        <f>'MANO DE OBRA'!B10</f>
        <v>AYUDANTE CUAD. TIPO AA</v>
      </c>
      <c r="C524" s="836"/>
      <c r="D524" s="37">
        <v>2</v>
      </c>
      <c r="E524" s="82">
        <f>'MANO DE OBRA'!E10</f>
        <v>34680</v>
      </c>
      <c r="F524" s="83">
        <v>1500</v>
      </c>
      <c r="G524" s="111">
        <f>ROUND(D524*E524/F524,0)</f>
        <v>46</v>
      </c>
    </row>
    <row r="525" spans="2:7">
      <c r="B525" s="835"/>
      <c r="C525" s="836"/>
      <c r="D525" s="37"/>
      <c r="E525" s="82"/>
      <c r="F525" s="83"/>
      <c r="G525" s="111"/>
    </row>
    <row r="526" spans="2:7">
      <c r="B526" s="835" t="s">
        <v>841</v>
      </c>
      <c r="C526" s="836"/>
      <c r="D526" s="37"/>
      <c r="E526" s="82"/>
      <c r="F526" s="83"/>
      <c r="G526" s="111"/>
    </row>
    <row r="527" spans="2:7" ht="13.5" thickBot="1">
      <c r="B527" s="828" t="s">
        <v>841</v>
      </c>
      <c r="C527" s="829"/>
      <c r="D527" s="77"/>
      <c r="E527" s="82"/>
      <c r="F527" s="86"/>
      <c r="G527" s="112"/>
    </row>
    <row r="528" spans="2:7" ht="14.25" thickTop="1" thickBot="1">
      <c r="B528" s="808"/>
      <c r="C528" s="808"/>
      <c r="D528" s="808"/>
      <c r="E528" s="809"/>
      <c r="F528" s="120" t="s">
        <v>856</v>
      </c>
      <c r="G528" s="118">
        <f>SUM(G523:G527)</f>
        <v>94</v>
      </c>
    </row>
    <row r="529" spans="2:8" ht="14.25" thickTop="1" thickBot="1">
      <c r="B529" s="810"/>
      <c r="C529" s="810"/>
      <c r="D529" s="810"/>
      <c r="E529" s="810"/>
      <c r="F529" s="810"/>
      <c r="G529" s="810"/>
    </row>
    <row r="530" spans="2:8" ht="13.5" thickTop="1">
      <c r="B530" s="811" t="s">
        <v>321</v>
      </c>
      <c r="C530" s="812"/>
      <c r="D530" s="812"/>
      <c r="E530" s="812"/>
      <c r="F530" s="812"/>
      <c r="G530" s="825"/>
    </row>
    <row r="531" spans="2:8">
      <c r="B531" s="817" t="s">
        <v>838</v>
      </c>
      <c r="C531" s="818"/>
      <c r="D531" s="98" t="s">
        <v>301</v>
      </c>
      <c r="E531" s="98" t="s">
        <v>297</v>
      </c>
      <c r="F531" s="99" t="s">
        <v>839</v>
      </c>
      <c r="G531" s="107" t="s">
        <v>840</v>
      </c>
    </row>
    <row r="532" spans="2:8">
      <c r="B532" s="230"/>
      <c r="C532" s="102"/>
      <c r="D532" s="103" t="s">
        <v>322</v>
      </c>
      <c r="E532" s="103" t="s">
        <v>323</v>
      </c>
      <c r="F532" s="104" t="s">
        <v>324</v>
      </c>
      <c r="G532" s="109" t="s">
        <v>325</v>
      </c>
    </row>
    <row r="533" spans="2:8">
      <c r="B533" s="826"/>
      <c r="C533" s="827"/>
      <c r="D533" s="96"/>
      <c r="E533" s="96"/>
      <c r="F533" s="96"/>
      <c r="G533" s="116"/>
    </row>
    <row r="534" spans="2:8" ht="13.5" thickBot="1">
      <c r="B534" s="828" t="s">
        <v>841</v>
      </c>
      <c r="C534" s="829"/>
      <c r="D534" s="77"/>
      <c r="E534" s="82"/>
      <c r="F534" s="86"/>
      <c r="G534" s="112"/>
    </row>
    <row r="535" spans="2:8" ht="14.25" thickTop="1" thickBot="1">
      <c r="B535" s="808"/>
      <c r="C535" s="808"/>
      <c r="D535" s="808"/>
      <c r="E535" s="809"/>
      <c r="F535" s="120" t="s">
        <v>856</v>
      </c>
      <c r="G535" s="118">
        <f>SUM(G530:G534)</f>
        <v>0</v>
      </c>
    </row>
    <row r="536" spans="2:8" ht="14.25" thickTop="1" thickBot="1">
      <c r="B536" s="810"/>
      <c r="C536" s="810"/>
      <c r="D536" s="810"/>
      <c r="E536" s="810"/>
      <c r="F536" s="810"/>
      <c r="G536" s="834"/>
    </row>
    <row r="537" spans="2:8" ht="13.5" thickTop="1">
      <c r="B537" s="811" t="s">
        <v>326</v>
      </c>
      <c r="C537" s="812"/>
      <c r="D537" s="812"/>
      <c r="E537" s="812"/>
      <c r="F537" s="813"/>
      <c r="G537" s="121">
        <f>+G501+G517+G528</f>
        <v>754</v>
      </c>
    </row>
    <row r="538" spans="2:8">
      <c r="B538" s="814" t="s">
        <v>861</v>
      </c>
      <c r="C538" s="815"/>
      <c r="D538" s="815"/>
      <c r="E538" s="816"/>
      <c r="F538" s="128">
        <f>'[1]MANO DE OBRA'!$D$59</f>
        <v>0</v>
      </c>
      <c r="G538" s="122">
        <f>ROUND(G537*F538,0)</f>
        <v>0</v>
      </c>
    </row>
    <row r="539" spans="2:8" ht="13.5" thickBot="1">
      <c r="B539" s="805" t="s">
        <v>1049</v>
      </c>
      <c r="C539" s="806"/>
      <c r="D539" s="806"/>
      <c r="E539" s="806"/>
      <c r="F539" s="807"/>
      <c r="G539" s="118">
        <f>ROUND(G537+G538,-2)</f>
        <v>800</v>
      </c>
      <c r="H539" s="514" t="s">
        <v>1670</v>
      </c>
    </row>
    <row r="540" spans="2:8" ht="13.5" thickTop="1">
      <c r="B540" s="423" t="s">
        <v>303</v>
      </c>
      <c r="C540" s="1064"/>
      <c r="D540" s="1064"/>
      <c r="E540" s="1064"/>
      <c r="F540" s="424" t="s">
        <v>781</v>
      </c>
      <c r="G540" s="441" t="s">
        <v>669</v>
      </c>
    </row>
    <row r="541" spans="2:8">
      <c r="B541" s="427" t="s">
        <v>834</v>
      </c>
      <c r="C541" s="1065" t="s">
        <v>1619</v>
      </c>
      <c r="D541" s="1065"/>
      <c r="E541" s="1065"/>
      <c r="F541" s="428" t="s">
        <v>833</v>
      </c>
      <c r="G541" s="429" t="str">
        <f>'MANO DE OBRA'!$D$61</f>
        <v>Agosto de 2010</v>
      </c>
    </row>
    <row r="542" spans="2:8" ht="13.5" thickBot="1">
      <c r="B542" s="431" t="s">
        <v>835</v>
      </c>
      <c r="C542" s="887" t="s">
        <v>1629</v>
      </c>
      <c r="D542" s="1066"/>
      <c r="E542" s="1066"/>
      <c r="F542" s="1066"/>
      <c r="G542" s="1067"/>
    </row>
    <row r="543" spans="2:8" ht="14.25" thickTop="1" thickBot="1">
      <c r="B543" s="1068"/>
      <c r="C543" s="1068"/>
      <c r="D543" s="1068"/>
      <c r="E543" s="1068"/>
      <c r="F543" s="1068"/>
      <c r="G543" s="1068"/>
    </row>
    <row r="544" spans="2:8" ht="13.5" thickTop="1">
      <c r="B544" s="811" t="s">
        <v>304</v>
      </c>
      <c r="C544" s="812"/>
      <c r="D544" s="812"/>
      <c r="E544" s="812"/>
      <c r="F544" s="812"/>
      <c r="G544" s="825"/>
    </row>
    <row r="545" spans="2:7">
      <c r="B545" s="229"/>
      <c r="C545" s="97"/>
      <c r="D545" s="98" t="s">
        <v>301</v>
      </c>
      <c r="E545" s="98" t="s">
        <v>1072</v>
      </c>
      <c r="F545" s="99" t="s">
        <v>839</v>
      </c>
      <c r="G545" s="107" t="s">
        <v>840</v>
      </c>
    </row>
    <row r="546" spans="2:7">
      <c r="B546" s="821" t="s">
        <v>838</v>
      </c>
      <c r="C546" s="822"/>
      <c r="D546" s="100" t="s">
        <v>308</v>
      </c>
      <c r="E546" s="100" t="s">
        <v>305</v>
      </c>
      <c r="F546" s="101" t="s">
        <v>306</v>
      </c>
      <c r="G546" s="108" t="s">
        <v>310</v>
      </c>
    </row>
    <row r="547" spans="2:7">
      <c r="B547" s="230"/>
      <c r="C547" s="102"/>
      <c r="D547" s="103"/>
      <c r="E547" s="103" t="s">
        <v>309</v>
      </c>
      <c r="F547" s="104" t="s">
        <v>307</v>
      </c>
      <c r="G547" s="109"/>
    </row>
    <row r="548" spans="2:7">
      <c r="B548" s="823" t="str">
        <f>'MAQUINARIA Y EQUIPOS'!C28</f>
        <v>HERRAMIENTAS MENORES</v>
      </c>
      <c r="C548" s="824"/>
      <c r="D548" s="87">
        <v>1</v>
      </c>
      <c r="E548" s="82">
        <f>ROUND(G581*0.15,0)</f>
        <v>744</v>
      </c>
      <c r="F548" s="434">
        <v>1</v>
      </c>
      <c r="G548" s="110">
        <f>ROUND(D548*E548/F548,0)</f>
        <v>744</v>
      </c>
    </row>
    <row r="549" spans="2:7">
      <c r="B549" s="835" t="str">
        <f>'MAQUINARIA Y EQUIPOS'!C64</f>
        <v>VIBROCOMPACTADOR</v>
      </c>
      <c r="C549" s="836"/>
      <c r="D549" s="37">
        <v>1</v>
      </c>
      <c r="E549" s="82">
        <f>'MAQUINARIA Y EQUIPOS'!D64</f>
        <v>135000</v>
      </c>
      <c r="F549" s="435">
        <v>12.5</v>
      </c>
      <c r="G549" s="436">
        <f>ROUND(D549*E549/F549,0)</f>
        <v>10800</v>
      </c>
    </row>
    <row r="550" spans="2:7">
      <c r="B550" s="835" t="str">
        <f>'MAQUINARIA Y EQUIPOS'!C65</f>
        <v>COMPACTADOR DE LLANTAS</v>
      </c>
      <c r="C550" s="836"/>
      <c r="D550" s="37">
        <v>1</v>
      </c>
      <c r="E550" s="82">
        <f>'MAQUINARIA Y EQUIPOS'!D65</f>
        <v>135000</v>
      </c>
      <c r="F550" s="435">
        <v>12.5</v>
      </c>
      <c r="G550" s="436">
        <f>ROUND(D550*E550/F550,0)</f>
        <v>10800</v>
      </c>
    </row>
    <row r="551" spans="2:7">
      <c r="B551" s="835" t="str">
        <f>'MAQUINARIA Y EQUIPOS'!C59</f>
        <v xml:space="preserve">FINISHER </v>
      </c>
      <c r="C551" s="836"/>
      <c r="D551" s="37">
        <v>1</v>
      </c>
      <c r="E551" s="82">
        <f>'MAQUINARIA Y EQUIPOS'!D59</f>
        <v>135000</v>
      </c>
      <c r="F551" s="435">
        <v>12.5</v>
      </c>
      <c r="G551" s="436">
        <f>ROUND(D551*E551/F551,0)</f>
        <v>10800</v>
      </c>
    </row>
    <row r="552" spans="2:7">
      <c r="B552" s="835" t="s">
        <v>841</v>
      </c>
      <c r="C552" s="836"/>
      <c r="D552" s="37"/>
      <c r="E552" s="82"/>
      <c r="F552" s="83"/>
      <c r="G552" s="111"/>
    </row>
    <row r="553" spans="2:7" ht="13.5" thickBot="1">
      <c r="B553" s="839" t="s">
        <v>841</v>
      </c>
      <c r="C553" s="840"/>
      <c r="D553" s="77"/>
      <c r="E553" s="106"/>
      <c r="F553" s="86"/>
      <c r="G553" s="112"/>
    </row>
    <row r="554" spans="2:7" ht="14.25" thickTop="1" thickBot="1">
      <c r="B554" s="808"/>
      <c r="C554" s="808"/>
      <c r="D554" s="808"/>
      <c r="E554" s="809"/>
      <c r="F554" s="119" t="s">
        <v>856</v>
      </c>
      <c r="G554" s="118">
        <f>SUM(G548:G553)</f>
        <v>33144</v>
      </c>
    </row>
    <row r="555" spans="2:7" ht="14.25" thickTop="1" thickBot="1">
      <c r="B555" s="830"/>
      <c r="C555" s="830"/>
      <c r="D555" s="830"/>
      <c r="E555" s="830"/>
      <c r="F555" s="830"/>
      <c r="G555" s="830"/>
    </row>
    <row r="556" spans="2:7" ht="13.5" thickTop="1">
      <c r="B556" s="811" t="s">
        <v>311</v>
      </c>
      <c r="C556" s="812"/>
      <c r="D556" s="812"/>
      <c r="E556" s="812"/>
      <c r="F556" s="812"/>
      <c r="G556" s="825"/>
    </row>
    <row r="557" spans="2:7">
      <c r="B557" s="817" t="s">
        <v>838</v>
      </c>
      <c r="C557" s="818"/>
      <c r="D557" s="98" t="s">
        <v>842</v>
      </c>
      <c r="E557" s="98" t="s">
        <v>853</v>
      </c>
      <c r="F557" s="99" t="s">
        <v>1047</v>
      </c>
      <c r="G557" s="107" t="s">
        <v>840</v>
      </c>
    </row>
    <row r="558" spans="2:7">
      <c r="B558" s="230"/>
      <c r="C558" s="102"/>
      <c r="D558" s="100"/>
      <c r="E558" s="100" t="s">
        <v>312</v>
      </c>
      <c r="F558" s="101" t="s">
        <v>313</v>
      </c>
      <c r="G558" s="108" t="s">
        <v>314</v>
      </c>
    </row>
    <row r="559" spans="2:7">
      <c r="B559" s="1062" t="str">
        <f>MATERIALES2!C928</f>
        <v>MEZCLA DENSA EN FRIO TIPO MDF-3</v>
      </c>
      <c r="C559" s="1063"/>
      <c r="D559" s="439" t="s">
        <v>669</v>
      </c>
      <c r="E559" s="10">
        <v>1</v>
      </c>
      <c r="F559" s="80">
        <f>MATERIALES2!E928</f>
        <v>360000</v>
      </c>
      <c r="G559" s="110">
        <f>E559*F559</f>
        <v>360000</v>
      </c>
    </row>
    <row r="560" spans="2:7">
      <c r="B560" s="246"/>
      <c r="C560" s="124"/>
      <c r="D560" s="88"/>
      <c r="E560" s="53"/>
      <c r="F560" s="82"/>
      <c r="G560" s="111"/>
    </row>
    <row r="561" spans="2:8">
      <c r="B561" s="835"/>
      <c r="C561" s="836"/>
      <c r="D561" s="37"/>
      <c r="E561" s="55"/>
      <c r="F561" s="82"/>
      <c r="G561" s="111"/>
    </row>
    <row r="562" spans="2:8">
      <c r="B562" s="835"/>
      <c r="C562" s="836"/>
      <c r="D562" s="37"/>
      <c r="E562" s="55"/>
      <c r="F562" s="82"/>
      <c r="G562" s="111"/>
    </row>
    <row r="563" spans="2:8">
      <c r="B563" s="837"/>
      <c r="C563" s="838"/>
      <c r="D563" s="37"/>
      <c r="E563" s="55"/>
      <c r="F563" s="82"/>
      <c r="G563" s="111"/>
    </row>
    <row r="564" spans="2:8">
      <c r="B564" s="837"/>
      <c r="C564" s="838"/>
      <c r="D564" s="53" t="s">
        <v>841</v>
      </c>
      <c r="E564" s="53"/>
      <c r="F564" s="82"/>
      <c r="G564" s="111"/>
    </row>
    <row r="565" spans="2:8">
      <c r="B565" s="837" t="s">
        <v>841</v>
      </c>
      <c r="C565" s="838"/>
      <c r="D565" s="53" t="s">
        <v>841</v>
      </c>
      <c r="E565" s="53"/>
      <c r="F565" s="82"/>
      <c r="G565" s="111"/>
    </row>
    <row r="566" spans="2:8">
      <c r="B566" s="837" t="s">
        <v>841</v>
      </c>
      <c r="C566" s="838"/>
      <c r="D566" s="53" t="s">
        <v>841</v>
      </c>
      <c r="E566" s="53"/>
      <c r="F566" s="82"/>
      <c r="G566" s="111"/>
      <c r="H566" s="514" t="s">
        <v>1670</v>
      </c>
    </row>
    <row r="567" spans="2:8" ht="13.5" thickBot="1">
      <c r="B567" s="839" t="s">
        <v>841</v>
      </c>
      <c r="C567" s="840"/>
      <c r="D567" s="84" t="s">
        <v>841</v>
      </c>
      <c r="E567" s="84"/>
      <c r="F567" s="85"/>
      <c r="G567" s="112"/>
    </row>
    <row r="568" spans="2:8" ht="13.5" thickTop="1">
      <c r="B568" s="808"/>
      <c r="C568" s="809"/>
      <c r="D568" s="801" t="s">
        <v>856</v>
      </c>
      <c r="E568" s="802"/>
      <c r="F568" s="9"/>
      <c r="G568" s="113">
        <f>SUM(G559:G567)</f>
        <v>360000</v>
      </c>
    </row>
    <row r="569" spans="2:8">
      <c r="B569" s="819"/>
      <c r="C569" s="820"/>
      <c r="D569" s="801" t="s">
        <v>857</v>
      </c>
      <c r="E569" s="802"/>
      <c r="F569" s="79">
        <f>'[1]MANO DE OBRA'!$D$60</f>
        <v>0.05</v>
      </c>
      <c r="G569" s="113">
        <f>ROUND(G568*F569,0)</f>
        <v>18000</v>
      </c>
    </row>
    <row r="570" spans="2:8" ht="13.5" thickBot="1">
      <c r="B570" s="819"/>
      <c r="C570" s="820"/>
      <c r="D570" s="803" t="s">
        <v>320</v>
      </c>
      <c r="E570" s="804"/>
      <c r="F570" s="114"/>
      <c r="G570" s="118">
        <f>+G568+G569</f>
        <v>378000</v>
      </c>
    </row>
    <row r="571" spans="2:8" ht="14.25" thickTop="1" thickBot="1">
      <c r="B571" s="830"/>
      <c r="C571" s="830"/>
      <c r="D571" s="830"/>
      <c r="E571" s="830"/>
      <c r="F571" s="830"/>
      <c r="G571" s="830"/>
    </row>
    <row r="572" spans="2:8" ht="13.5" thickTop="1">
      <c r="B572" s="811" t="s">
        <v>858</v>
      </c>
      <c r="C572" s="812"/>
      <c r="D572" s="812"/>
      <c r="E572" s="812"/>
      <c r="F572" s="812"/>
      <c r="G572" s="825"/>
    </row>
    <row r="573" spans="2:8">
      <c r="B573" s="817"/>
      <c r="C573" s="818"/>
      <c r="D573" s="98" t="s">
        <v>301</v>
      </c>
      <c r="E573" s="98" t="s">
        <v>859</v>
      </c>
      <c r="F573" s="99" t="s">
        <v>839</v>
      </c>
      <c r="G573" s="107" t="s">
        <v>840</v>
      </c>
    </row>
    <row r="574" spans="2:8">
      <c r="B574" s="821" t="s">
        <v>838</v>
      </c>
      <c r="C574" s="822"/>
      <c r="D574" s="100" t="s">
        <v>316</v>
      </c>
      <c r="E574" s="100" t="s">
        <v>315</v>
      </c>
      <c r="F574" s="101" t="s">
        <v>306</v>
      </c>
      <c r="G574" s="108" t="s">
        <v>319</v>
      </c>
    </row>
    <row r="575" spans="2:8">
      <c r="B575" s="230"/>
      <c r="C575" s="102"/>
      <c r="D575" s="103"/>
      <c r="E575" s="103" t="s">
        <v>317</v>
      </c>
      <c r="F575" s="104" t="s">
        <v>318</v>
      </c>
      <c r="G575" s="109"/>
    </row>
    <row r="576" spans="2:8">
      <c r="B576" s="823" t="str">
        <f>'MANO DE OBRA'!B15</f>
        <v xml:space="preserve">OFICIAL CUAD. TIPO AA </v>
      </c>
      <c r="C576" s="824"/>
      <c r="D576" s="87">
        <v>1</v>
      </c>
      <c r="E576" s="80">
        <f>'MANO DE OBRA'!$E$15</f>
        <v>71474</v>
      </c>
      <c r="F576" s="81">
        <v>80</v>
      </c>
      <c r="G576" s="110">
        <f>ROUND(D576*E576/F576,0)</f>
        <v>893</v>
      </c>
    </row>
    <row r="577" spans="2:8">
      <c r="B577" s="835" t="str">
        <f>'MANO DE OBRA'!B10</f>
        <v>AYUDANTE CUAD. TIPO AA</v>
      </c>
      <c r="C577" s="836"/>
      <c r="D577" s="37">
        <v>6</v>
      </c>
      <c r="E577" s="82">
        <f>'MANO DE OBRA'!$E$10</f>
        <v>34680</v>
      </c>
      <c r="F577" s="83">
        <v>65</v>
      </c>
      <c r="G577" s="111">
        <f>ROUND(D577*E577/F577,0)</f>
        <v>3201</v>
      </c>
    </row>
    <row r="578" spans="2:8">
      <c r="B578" s="835" t="str">
        <f>'MANO DE OBRA'!B37</f>
        <v>RASTRILLERO</v>
      </c>
      <c r="C578" s="836"/>
      <c r="D578" s="37">
        <v>2</v>
      </c>
      <c r="E578" s="82">
        <f>'MANO DE OBRA'!$E$37</f>
        <v>34680</v>
      </c>
      <c r="F578" s="83">
        <v>80</v>
      </c>
      <c r="G578" s="111">
        <f>ROUND(D578*E578/F578,0)</f>
        <v>867</v>
      </c>
    </row>
    <row r="579" spans="2:8">
      <c r="B579" s="835" t="s">
        <v>841</v>
      </c>
      <c r="C579" s="836"/>
      <c r="D579" s="37"/>
      <c r="E579" s="82"/>
      <c r="F579" s="83"/>
      <c r="G579" s="111"/>
    </row>
    <row r="580" spans="2:8" ht="13.5" thickBot="1">
      <c r="B580" s="828" t="s">
        <v>841</v>
      </c>
      <c r="C580" s="829"/>
      <c r="D580" s="77"/>
      <c r="E580" s="82"/>
      <c r="F580" s="86"/>
      <c r="G580" s="112"/>
    </row>
    <row r="581" spans="2:8" ht="14.25" thickTop="1" thickBot="1">
      <c r="B581" s="808"/>
      <c r="C581" s="808"/>
      <c r="D581" s="808"/>
      <c r="E581" s="809"/>
      <c r="F581" s="120" t="s">
        <v>856</v>
      </c>
      <c r="G581" s="118">
        <f>SUM(G576:G580)</f>
        <v>4961</v>
      </c>
    </row>
    <row r="582" spans="2:8" ht="14.25" thickTop="1" thickBot="1">
      <c r="B582" s="810"/>
      <c r="C582" s="810"/>
      <c r="D582" s="810"/>
      <c r="E582" s="810"/>
      <c r="F582" s="810"/>
      <c r="G582" s="810"/>
    </row>
    <row r="583" spans="2:8" ht="13.5" thickTop="1">
      <c r="B583" s="811" t="s">
        <v>321</v>
      </c>
      <c r="C583" s="812"/>
      <c r="D583" s="812"/>
      <c r="E583" s="812"/>
      <c r="F583" s="812"/>
      <c r="G583" s="825"/>
    </row>
    <row r="584" spans="2:8">
      <c r="B584" s="817" t="s">
        <v>838</v>
      </c>
      <c r="C584" s="818"/>
      <c r="D584" s="98" t="s">
        <v>301</v>
      </c>
      <c r="E584" s="98" t="s">
        <v>297</v>
      </c>
      <c r="F584" s="99" t="s">
        <v>839</v>
      </c>
      <c r="G584" s="107" t="s">
        <v>840</v>
      </c>
    </row>
    <row r="585" spans="2:8">
      <c r="B585" s="230"/>
      <c r="C585" s="102"/>
      <c r="D585" s="103" t="s">
        <v>322</v>
      </c>
      <c r="E585" s="103" t="s">
        <v>323</v>
      </c>
      <c r="F585" s="104" t="s">
        <v>324</v>
      </c>
      <c r="G585" s="109" t="s">
        <v>325</v>
      </c>
    </row>
    <row r="586" spans="2:8">
      <c r="B586" s="826"/>
      <c r="C586" s="827"/>
      <c r="D586" s="96"/>
      <c r="E586" s="96"/>
      <c r="F586" s="96"/>
      <c r="G586" s="116"/>
    </row>
    <row r="587" spans="2:8" ht="13.5" thickBot="1">
      <c r="B587" s="828" t="s">
        <v>841</v>
      </c>
      <c r="C587" s="829"/>
      <c r="D587" s="77"/>
      <c r="E587" s="82"/>
      <c r="F587" s="86"/>
      <c r="G587" s="112"/>
    </row>
    <row r="588" spans="2:8" ht="14.25" thickTop="1" thickBot="1">
      <c r="B588" s="808"/>
      <c r="C588" s="808"/>
      <c r="D588" s="808"/>
      <c r="E588" s="809"/>
      <c r="F588" s="120" t="s">
        <v>856</v>
      </c>
      <c r="G588" s="118">
        <f>SUM(G583:G587)</f>
        <v>0</v>
      </c>
    </row>
    <row r="589" spans="2:8" ht="14.25" thickTop="1" thickBot="1">
      <c r="B589" s="810"/>
      <c r="C589" s="810"/>
      <c r="D589" s="810"/>
      <c r="E589" s="810"/>
      <c r="F589" s="810"/>
      <c r="G589" s="834"/>
    </row>
    <row r="590" spans="2:8" ht="13.5" thickTop="1">
      <c r="B590" s="811" t="s">
        <v>326</v>
      </c>
      <c r="C590" s="812"/>
      <c r="D590" s="812"/>
      <c r="E590" s="812"/>
      <c r="F590" s="813"/>
      <c r="G590" s="121">
        <f>+G554+G570+G581</f>
        <v>416105</v>
      </c>
    </row>
    <row r="591" spans="2:8">
      <c r="B591" s="814" t="s">
        <v>861</v>
      </c>
      <c r="C591" s="815"/>
      <c r="D591" s="815"/>
      <c r="E591" s="816"/>
      <c r="F591" s="128">
        <f>'[1]MANO DE OBRA'!$D$59</f>
        <v>0</v>
      </c>
      <c r="G591" s="122">
        <f>ROUND(G590*F591,0)</f>
        <v>0</v>
      </c>
    </row>
    <row r="592" spans="2:8" ht="13.5" thickBot="1">
      <c r="B592" s="805" t="s">
        <v>1049</v>
      </c>
      <c r="C592" s="806"/>
      <c r="D592" s="806"/>
      <c r="E592" s="806"/>
      <c r="F592" s="807"/>
      <c r="G592" s="118">
        <f>ROUND(G590+G591,-2)</f>
        <v>416100</v>
      </c>
      <c r="H592" s="514" t="s">
        <v>1670</v>
      </c>
    </row>
    <row r="593" spans="2:7" ht="13.5" thickTop="1">
      <c r="B593" s="423" t="s">
        <v>303</v>
      </c>
      <c r="C593" s="1064"/>
      <c r="D593" s="1064"/>
      <c r="E593" s="1064"/>
      <c r="F593" s="424" t="s">
        <v>781</v>
      </c>
      <c r="G593" s="441" t="s">
        <v>669</v>
      </c>
    </row>
    <row r="594" spans="2:7">
      <c r="B594" s="427" t="s">
        <v>834</v>
      </c>
      <c r="C594" s="1065" t="s">
        <v>1619</v>
      </c>
      <c r="D594" s="1065"/>
      <c r="E594" s="1065"/>
      <c r="F594" s="428" t="s">
        <v>833</v>
      </c>
      <c r="G594" s="429" t="str">
        <f>'MANO DE OBRA'!$D$61</f>
        <v>Agosto de 2010</v>
      </c>
    </row>
    <row r="595" spans="2:7" ht="13.5" thickBot="1">
      <c r="B595" s="431" t="s">
        <v>835</v>
      </c>
      <c r="C595" s="887" t="s">
        <v>1614</v>
      </c>
      <c r="D595" s="1066"/>
      <c r="E595" s="1066"/>
      <c r="F595" s="1066"/>
      <c r="G595" s="1067"/>
    </row>
    <row r="596" spans="2:7" ht="14.25" thickTop="1" thickBot="1">
      <c r="B596" s="1068"/>
      <c r="C596" s="1068"/>
      <c r="D596" s="1068"/>
      <c r="E596" s="1068"/>
      <c r="F596" s="1068"/>
      <c r="G596" s="1068"/>
    </row>
    <row r="597" spans="2:7" ht="13.5" thickTop="1">
      <c r="B597" s="811" t="s">
        <v>304</v>
      </c>
      <c r="C597" s="812"/>
      <c r="D597" s="812"/>
      <c r="E597" s="812"/>
      <c r="F597" s="812"/>
      <c r="G597" s="825"/>
    </row>
    <row r="598" spans="2:7">
      <c r="B598" s="229"/>
      <c r="C598" s="97"/>
      <c r="D598" s="98" t="s">
        <v>301</v>
      </c>
      <c r="E598" s="98" t="s">
        <v>1072</v>
      </c>
      <c r="F598" s="99" t="s">
        <v>839</v>
      </c>
      <c r="G598" s="107" t="s">
        <v>840</v>
      </c>
    </row>
    <row r="599" spans="2:7">
      <c r="B599" s="821" t="s">
        <v>838</v>
      </c>
      <c r="C599" s="822"/>
      <c r="D599" s="100" t="s">
        <v>308</v>
      </c>
      <c r="E599" s="100" t="s">
        <v>305</v>
      </c>
      <c r="F599" s="101" t="s">
        <v>306</v>
      </c>
      <c r="G599" s="108" t="s">
        <v>310</v>
      </c>
    </row>
    <row r="600" spans="2:7">
      <c r="B600" s="230"/>
      <c r="C600" s="102"/>
      <c r="D600" s="103"/>
      <c r="E600" s="103" t="s">
        <v>309</v>
      </c>
      <c r="F600" s="104" t="s">
        <v>307</v>
      </c>
      <c r="G600" s="109"/>
    </row>
    <row r="601" spans="2:7">
      <c r="B601" s="823" t="str">
        <f>'MAQUINARIA Y EQUIPOS'!$C$28</f>
        <v>HERRAMIENTAS MENORES</v>
      </c>
      <c r="C601" s="824"/>
      <c r="D601" s="87">
        <v>1</v>
      </c>
      <c r="E601" s="82">
        <f>ROUND(G634*0.05,0)</f>
        <v>42</v>
      </c>
      <c r="F601" s="434">
        <v>1</v>
      </c>
      <c r="G601" s="110">
        <f>ROUND(D601*E601/F601,0)</f>
        <v>42</v>
      </c>
    </row>
    <row r="602" spans="2:7">
      <c r="B602" s="835" t="str">
        <f>'MAQUINARIA Y EQUIPOS'!$C$58</f>
        <v>MOTONIVELADORA 12E</v>
      </c>
      <c r="C602" s="836"/>
      <c r="D602" s="37">
        <v>1</v>
      </c>
      <c r="E602" s="82">
        <f>'MAQUINARIA Y EQUIPOS'!$D$58</f>
        <v>78750</v>
      </c>
      <c r="F602" s="435">
        <v>21</v>
      </c>
      <c r="G602" s="436">
        <f>ROUND(D602*E602/F602,0)</f>
        <v>3750</v>
      </c>
    </row>
    <row r="603" spans="2:7">
      <c r="B603" s="835" t="str">
        <f>'MAQUINARIA Y EQUIPOS'!$C$55</f>
        <v>VIBROCOMPACTADOR</v>
      </c>
      <c r="C603" s="836"/>
      <c r="D603" s="37">
        <v>1</v>
      </c>
      <c r="E603" s="82">
        <f>'MAQUINARIA Y EQUIPOS'!$D$55</f>
        <v>63000</v>
      </c>
      <c r="F603" s="435">
        <v>21</v>
      </c>
      <c r="G603" s="436">
        <f>ROUND(D603*E603/F603,0)</f>
        <v>3000</v>
      </c>
    </row>
    <row r="604" spans="2:7">
      <c r="B604" s="835" t="str">
        <f>'MAQUINARIA Y EQUIPOS'!$C$63</f>
        <v>CARROTANQUE DE AGUA</v>
      </c>
      <c r="C604" s="836"/>
      <c r="D604" s="37">
        <v>1</v>
      </c>
      <c r="E604" s="82">
        <f>'MAQUINARIA Y EQUIPOS'!$D$63</f>
        <v>54600</v>
      </c>
      <c r="F604" s="435">
        <v>21</v>
      </c>
      <c r="G604" s="436">
        <f>ROUND(D604*E604/F604,0)</f>
        <v>2600</v>
      </c>
    </row>
    <row r="605" spans="2:7">
      <c r="B605" s="835" t="s">
        <v>841</v>
      </c>
      <c r="C605" s="836"/>
      <c r="D605" s="37"/>
      <c r="E605" s="82"/>
      <c r="F605" s="435"/>
      <c r="G605" s="111"/>
    </row>
    <row r="606" spans="2:7" ht="13.5" thickBot="1">
      <c r="B606" s="839" t="s">
        <v>841</v>
      </c>
      <c r="C606" s="840"/>
      <c r="D606" s="77"/>
      <c r="E606" s="106"/>
      <c r="F606" s="437"/>
      <c r="G606" s="112"/>
    </row>
    <row r="607" spans="2:7" ht="14.25" thickTop="1" thickBot="1">
      <c r="B607" s="808"/>
      <c r="C607" s="808"/>
      <c r="D607" s="808"/>
      <c r="E607" s="809"/>
      <c r="F607" s="438" t="s">
        <v>856</v>
      </c>
      <c r="G607" s="118">
        <f>SUM(G601:G606)</f>
        <v>9392</v>
      </c>
    </row>
    <row r="608" spans="2:7" ht="14.25" thickTop="1" thickBot="1">
      <c r="B608" s="830"/>
      <c r="C608" s="830"/>
      <c r="D608" s="830"/>
      <c r="E608" s="830"/>
      <c r="F608" s="830"/>
      <c r="G608" s="830"/>
    </row>
    <row r="609" spans="2:8" ht="13.5" thickTop="1">
      <c r="B609" s="811" t="s">
        <v>311</v>
      </c>
      <c r="C609" s="812"/>
      <c r="D609" s="812"/>
      <c r="E609" s="812"/>
      <c r="F609" s="812"/>
      <c r="G609" s="825"/>
    </row>
    <row r="610" spans="2:8">
      <c r="B610" s="817" t="s">
        <v>838</v>
      </c>
      <c r="C610" s="818"/>
      <c r="D610" s="98" t="s">
        <v>842</v>
      </c>
      <c r="E610" s="98" t="s">
        <v>853</v>
      </c>
      <c r="F610" s="99" t="s">
        <v>1047</v>
      </c>
      <c r="G610" s="107" t="s">
        <v>840</v>
      </c>
    </row>
    <row r="611" spans="2:8">
      <c r="B611" s="230"/>
      <c r="C611" s="102"/>
      <c r="D611" s="100"/>
      <c r="E611" s="100" t="s">
        <v>312</v>
      </c>
      <c r="F611" s="101" t="s">
        <v>313</v>
      </c>
      <c r="G611" s="108" t="s">
        <v>314</v>
      </c>
    </row>
    <row r="612" spans="2:8">
      <c r="B612" s="1062" t="str">
        <f>MATERIALES2!C929</f>
        <v>AFIRMADO</v>
      </c>
      <c r="C612" s="1063"/>
      <c r="D612" s="439" t="s">
        <v>669</v>
      </c>
      <c r="E612" s="442">
        <v>1.3</v>
      </c>
      <c r="F612" s="80">
        <f>MATERIALES2!E929</f>
        <v>20000</v>
      </c>
      <c r="G612" s="443">
        <f>F612*E612</f>
        <v>26000</v>
      </c>
    </row>
    <row r="613" spans="2:8">
      <c r="B613" s="246"/>
      <c r="C613" s="124"/>
      <c r="D613" s="88"/>
      <c r="E613" s="53"/>
      <c r="F613" s="82"/>
      <c r="G613" s="111"/>
    </row>
    <row r="614" spans="2:8">
      <c r="B614" s="835"/>
      <c r="C614" s="836"/>
      <c r="D614" s="37"/>
      <c r="E614" s="55"/>
      <c r="F614" s="82"/>
      <c r="G614" s="111"/>
    </row>
    <row r="615" spans="2:8">
      <c r="B615" s="835"/>
      <c r="C615" s="836"/>
      <c r="D615" s="37"/>
      <c r="E615" s="55"/>
      <c r="F615" s="82"/>
      <c r="G615" s="111"/>
    </row>
    <row r="616" spans="2:8">
      <c r="B616" s="837"/>
      <c r="C616" s="838"/>
      <c r="D616" s="37"/>
      <c r="E616" s="55"/>
      <c r="F616" s="82"/>
      <c r="G616" s="111"/>
    </row>
    <row r="617" spans="2:8">
      <c r="B617" s="837"/>
      <c r="C617" s="838"/>
      <c r="D617" s="53" t="s">
        <v>841</v>
      </c>
      <c r="E617" s="53"/>
      <c r="F617" s="82"/>
      <c r="G617" s="111"/>
    </row>
    <row r="618" spans="2:8">
      <c r="B618" s="837" t="s">
        <v>841</v>
      </c>
      <c r="C618" s="838"/>
      <c r="D618" s="53" t="s">
        <v>841</v>
      </c>
      <c r="E618" s="53"/>
      <c r="F618" s="82"/>
      <c r="G618" s="111"/>
    </row>
    <row r="619" spans="2:8">
      <c r="B619" s="837" t="s">
        <v>841</v>
      </c>
      <c r="C619" s="838"/>
      <c r="D619" s="53" t="s">
        <v>841</v>
      </c>
      <c r="E619" s="53"/>
      <c r="F619" s="82"/>
      <c r="G619" s="111"/>
      <c r="H619" s="514" t="s">
        <v>1670</v>
      </c>
    </row>
    <row r="620" spans="2:8" ht="13.5" thickBot="1">
      <c r="B620" s="839" t="s">
        <v>841</v>
      </c>
      <c r="C620" s="840"/>
      <c r="D620" s="84" t="s">
        <v>841</v>
      </c>
      <c r="E620" s="84"/>
      <c r="F620" s="85"/>
      <c r="G620" s="112"/>
    </row>
    <row r="621" spans="2:8" ht="13.5" thickTop="1">
      <c r="B621" s="808"/>
      <c r="C621" s="809"/>
      <c r="D621" s="801" t="s">
        <v>856</v>
      </c>
      <c r="E621" s="802"/>
      <c r="F621" s="9"/>
      <c r="G621" s="113">
        <f>SUM(G612:G620)</f>
        <v>26000</v>
      </c>
    </row>
    <row r="622" spans="2:8">
      <c r="B622" s="819"/>
      <c r="C622" s="820"/>
      <c r="D622" s="801" t="s">
        <v>857</v>
      </c>
      <c r="E622" s="802"/>
      <c r="F622" s="79">
        <v>0</v>
      </c>
      <c r="G622" s="113">
        <f>ROUND(G621*F622,0)</f>
        <v>0</v>
      </c>
    </row>
    <row r="623" spans="2:8" ht="13.5" thickBot="1">
      <c r="B623" s="819"/>
      <c r="C623" s="820"/>
      <c r="D623" s="803" t="s">
        <v>320</v>
      </c>
      <c r="E623" s="804"/>
      <c r="F623" s="114"/>
      <c r="G623" s="118">
        <f>+G621+G622</f>
        <v>26000</v>
      </c>
    </row>
    <row r="624" spans="2:8" ht="14.25" thickTop="1" thickBot="1">
      <c r="B624" s="830"/>
      <c r="C624" s="830"/>
      <c r="D624" s="830"/>
      <c r="E624" s="830"/>
      <c r="F624" s="830"/>
      <c r="G624" s="830"/>
    </row>
    <row r="625" spans="2:7" ht="13.5" thickTop="1">
      <c r="B625" s="811" t="s">
        <v>858</v>
      </c>
      <c r="C625" s="812"/>
      <c r="D625" s="812"/>
      <c r="E625" s="812"/>
      <c r="F625" s="812"/>
      <c r="G625" s="825"/>
    </row>
    <row r="626" spans="2:7">
      <c r="B626" s="817"/>
      <c r="C626" s="818"/>
      <c r="D626" s="98" t="s">
        <v>301</v>
      </c>
      <c r="E626" s="98" t="s">
        <v>859</v>
      </c>
      <c r="F626" s="99" t="s">
        <v>839</v>
      </c>
      <c r="G626" s="107" t="s">
        <v>840</v>
      </c>
    </row>
    <row r="627" spans="2:7">
      <c r="B627" s="821" t="s">
        <v>838</v>
      </c>
      <c r="C627" s="822"/>
      <c r="D627" s="100" t="s">
        <v>316</v>
      </c>
      <c r="E627" s="100" t="s">
        <v>315</v>
      </c>
      <c r="F627" s="101" t="s">
        <v>306</v>
      </c>
      <c r="G627" s="108" t="s">
        <v>319</v>
      </c>
    </row>
    <row r="628" spans="2:7">
      <c r="B628" s="230"/>
      <c r="C628" s="102"/>
      <c r="D628" s="103"/>
      <c r="E628" s="103" t="s">
        <v>317</v>
      </c>
      <c r="F628" s="104" t="s">
        <v>318</v>
      </c>
      <c r="G628" s="109"/>
    </row>
    <row r="629" spans="2:7">
      <c r="B629" s="823" t="str">
        <f>'MANO DE OBRA'!$B$15</f>
        <v xml:space="preserve">OFICIAL CUAD. TIPO AA </v>
      </c>
      <c r="C629" s="824"/>
      <c r="D629" s="87">
        <v>1</v>
      </c>
      <c r="E629" s="80">
        <f>'MANO DE OBRA'!$E$15</f>
        <v>71474</v>
      </c>
      <c r="F629" s="81">
        <v>168</v>
      </c>
      <c r="G629" s="110">
        <f>ROUND(D629*E629/F629,0)</f>
        <v>425</v>
      </c>
    </row>
    <row r="630" spans="2:7">
      <c r="B630" s="835" t="str">
        <f>'MANO DE OBRA'!$B$10</f>
        <v>AYUDANTE CUAD. TIPO AA</v>
      </c>
      <c r="C630" s="836"/>
      <c r="D630" s="37">
        <v>2</v>
      </c>
      <c r="E630" s="82">
        <f>'MANO DE OBRA'!$E$10</f>
        <v>34680</v>
      </c>
      <c r="F630" s="83">
        <v>168</v>
      </c>
      <c r="G630" s="111">
        <f>ROUND(D630*E630/F630,0)</f>
        <v>413</v>
      </c>
    </row>
    <row r="631" spans="2:7">
      <c r="B631" s="835"/>
      <c r="C631" s="836"/>
      <c r="D631" s="37"/>
      <c r="E631" s="82"/>
      <c r="F631" s="83"/>
      <c r="G631" s="111"/>
    </row>
    <row r="632" spans="2:7">
      <c r="B632" s="835" t="s">
        <v>841</v>
      </c>
      <c r="C632" s="836"/>
      <c r="D632" s="37"/>
      <c r="E632" s="82"/>
      <c r="F632" s="83"/>
      <c r="G632" s="111"/>
    </row>
    <row r="633" spans="2:7" ht="13.5" thickBot="1">
      <c r="B633" s="828" t="s">
        <v>841</v>
      </c>
      <c r="C633" s="829"/>
      <c r="D633" s="77"/>
      <c r="E633" s="82"/>
      <c r="F633" s="86"/>
      <c r="G633" s="112"/>
    </row>
    <row r="634" spans="2:7" ht="14.25" thickTop="1" thickBot="1">
      <c r="B634" s="808"/>
      <c r="C634" s="808"/>
      <c r="D634" s="808"/>
      <c r="E634" s="809"/>
      <c r="F634" s="120" t="s">
        <v>856</v>
      </c>
      <c r="G634" s="118">
        <f>SUM(G629:G633)</f>
        <v>838</v>
      </c>
    </row>
    <row r="635" spans="2:7" ht="14.25" thickTop="1" thickBot="1">
      <c r="B635" s="810"/>
      <c r="C635" s="810"/>
      <c r="D635" s="810"/>
      <c r="E635" s="810"/>
      <c r="F635" s="810"/>
      <c r="G635" s="810"/>
    </row>
    <row r="636" spans="2:7" ht="13.5" thickTop="1">
      <c r="B636" s="811" t="s">
        <v>321</v>
      </c>
      <c r="C636" s="812"/>
      <c r="D636" s="812"/>
      <c r="E636" s="812"/>
      <c r="F636" s="812"/>
      <c r="G636" s="825"/>
    </row>
    <row r="637" spans="2:7">
      <c r="B637" s="817" t="s">
        <v>838</v>
      </c>
      <c r="C637" s="818"/>
      <c r="D637" s="98" t="s">
        <v>301</v>
      </c>
      <c r="E637" s="98" t="s">
        <v>297</v>
      </c>
      <c r="F637" s="99" t="s">
        <v>839</v>
      </c>
      <c r="G637" s="107" t="s">
        <v>840</v>
      </c>
    </row>
    <row r="638" spans="2:7">
      <c r="B638" s="230"/>
      <c r="C638" s="102"/>
      <c r="D638" s="103" t="s">
        <v>322</v>
      </c>
      <c r="E638" s="103" t="s">
        <v>323</v>
      </c>
      <c r="F638" s="104" t="s">
        <v>324</v>
      </c>
      <c r="G638" s="109" t="s">
        <v>325</v>
      </c>
    </row>
    <row r="639" spans="2:7">
      <c r="B639" s="826"/>
      <c r="C639" s="827"/>
      <c r="D639" s="96"/>
      <c r="E639" s="96"/>
      <c r="F639" s="96"/>
      <c r="G639" s="116"/>
    </row>
    <row r="640" spans="2:7" ht="13.5" thickBot="1">
      <c r="B640" s="828" t="s">
        <v>841</v>
      </c>
      <c r="C640" s="829"/>
      <c r="D640" s="77"/>
      <c r="E640" s="82"/>
      <c r="F640" s="86"/>
      <c r="G640" s="112"/>
    </row>
    <row r="641" spans="2:8" ht="14.25" thickTop="1" thickBot="1">
      <c r="B641" s="808"/>
      <c r="C641" s="808"/>
      <c r="D641" s="808"/>
      <c r="E641" s="809"/>
      <c r="F641" s="120" t="s">
        <v>856</v>
      </c>
      <c r="G641" s="118">
        <f>SUM(G636:G640)</f>
        <v>0</v>
      </c>
    </row>
    <row r="642" spans="2:8" ht="14.25" thickTop="1" thickBot="1">
      <c r="B642" s="810"/>
      <c r="C642" s="810"/>
      <c r="D642" s="810"/>
      <c r="E642" s="810"/>
      <c r="F642" s="810"/>
      <c r="G642" s="834"/>
    </row>
    <row r="643" spans="2:8" ht="13.5" thickTop="1">
      <c r="B643" s="811" t="s">
        <v>326</v>
      </c>
      <c r="C643" s="812"/>
      <c r="D643" s="812"/>
      <c r="E643" s="812"/>
      <c r="F643" s="813"/>
      <c r="G643" s="121">
        <f>+G607+G623+G634</f>
        <v>36230</v>
      </c>
    </row>
    <row r="644" spans="2:8">
      <c r="B644" s="814" t="s">
        <v>861</v>
      </c>
      <c r="C644" s="815"/>
      <c r="D644" s="815"/>
      <c r="E644" s="816"/>
      <c r="F644" s="128">
        <f>'[1]MANO DE OBRA'!$D$59</f>
        <v>0</v>
      </c>
      <c r="G644" s="122">
        <f>ROUND(G643*F644,0)</f>
        <v>0</v>
      </c>
    </row>
    <row r="645" spans="2:8" ht="13.5" thickBot="1">
      <c r="B645" s="805" t="s">
        <v>1049</v>
      </c>
      <c r="C645" s="806"/>
      <c r="D645" s="806"/>
      <c r="E645" s="806"/>
      <c r="F645" s="807"/>
      <c r="G645" s="118">
        <f>ROUND(G643+G644,-2)</f>
        <v>36200</v>
      </c>
      <c r="H645" s="514" t="s">
        <v>1670</v>
      </c>
    </row>
    <row r="646" spans="2:8" ht="13.5" thickTop="1">
      <c r="B646" s="423" t="s">
        <v>303</v>
      </c>
      <c r="C646" s="1064"/>
      <c r="D646" s="1064"/>
      <c r="E646" s="1064"/>
      <c r="F646" s="424" t="s">
        <v>781</v>
      </c>
      <c r="G646" s="441" t="s">
        <v>669</v>
      </c>
    </row>
    <row r="647" spans="2:8">
      <c r="B647" s="427" t="s">
        <v>834</v>
      </c>
      <c r="C647" s="1065" t="s">
        <v>1619</v>
      </c>
      <c r="D647" s="1065"/>
      <c r="E647" s="1065"/>
      <c r="F647" s="428" t="s">
        <v>833</v>
      </c>
      <c r="G647" s="429" t="str">
        <f>'MANO DE OBRA'!$D$61</f>
        <v>Agosto de 2010</v>
      </c>
    </row>
    <row r="648" spans="2:8" ht="13.5" thickBot="1">
      <c r="B648" s="431" t="s">
        <v>835</v>
      </c>
      <c r="C648" s="887" t="s">
        <v>1637</v>
      </c>
      <c r="D648" s="1066"/>
      <c r="E648" s="1066"/>
      <c r="F648" s="1066"/>
      <c r="G648" s="1067"/>
    </row>
    <row r="649" spans="2:8" ht="14.25" thickTop="1" thickBot="1">
      <c r="B649" s="1068"/>
      <c r="C649" s="1068"/>
      <c r="D649" s="1068"/>
      <c r="E649" s="1068"/>
      <c r="F649" s="1068"/>
      <c r="G649" s="1068"/>
    </row>
    <row r="650" spans="2:8" ht="13.5" thickTop="1">
      <c r="B650" s="811" t="s">
        <v>304</v>
      </c>
      <c r="C650" s="812"/>
      <c r="D650" s="812"/>
      <c r="E650" s="812"/>
      <c r="F650" s="812"/>
      <c r="G650" s="825"/>
    </row>
    <row r="651" spans="2:8">
      <c r="B651" s="229"/>
      <c r="C651" s="97"/>
      <c r="D651" s="98" t="s">
        <v>301</v>
      </c>
      <c r="E651" s="98" t="s">
        <v>1072</v>
      </c>
      <c r="F651" s="99" t="s">
        <v>839</v>
      </c>
      <c r="G651" s="107" t="s">
        <v>840</v>
      </c>
    </row>
    <row r="652" spans="2:8">
      <c r="B652" s="821" t="s">
        <v>838</v>
      </c>
      <c r="C652" s="822"/>
      <c r="D652" s="100" t="s">
        <v>308</v>
      </c>
      <c r="E652" s="100" t="s">
        <v>305</v>
      </c>
      <c r="F652" s="101" t="s">
        <v>306</v>
      </c>
      <c r="G652" s="108" t="s">
        <v>310</v>
      </c>
    </row>
    <row r="653" spans="2:8">
      <c r="B653" s="230"/>
      <c r="C653" s="102"/>
      <c r="D653" s="103"/>
      <c r="E653" s="103" t="s">
        <v>309</v>
      </c>
      <c r="F653" s="104" t="s">
        <v>307</v>
      </c>
      <c r="G653" s="109"/>
    </row>
    <row r="654" spans="2:8">
      <c r="B654" s="823" t="str">
        <f>'MAQUINARIA Y EQUIPOS'!$C$28</f>
        <v>HERRAMIENTAS MENORES</v>
      </c>
      <c r="C654" s="824"/>
      <c r="D654" s="87">
        <v>1</v>
      </c>
      <c r="E654" s="82">
        <f>ROUND(G687*0.05,0)</f>
        <v>62</v>
      </c>
      <c r="F654" s="434">
        <v>1</v>
      </c>
      <c r="G654" s="110">
        <f>ROUND(D654*E654/F654,0)</f>
        <v>62</v>
      </c>
    </row>
    <row r="655" spans="2:8">
      <c r="B655" s="835" t="str">
        <f>'MAQUINARIA Y EQUIPOS'!$C$58</f>
        <v>MOTONIVELADORA 12E</v>
      </c>
      <c r="C655" s="836"/>
      <c r="D655" s="37">
        <v>1</v>
      </c>
      <c r="E655" s="82">
        <f>'MAQUINARIA Y EQUIPOS'!$D$58</f>
        <v>78750</v>
      </c>
      <c r="F655" s="435">
        <v>17.8</v>
      </c>
      <c r="G655" s="436">
        <f>ROUND(D655*E655/F655,0)</f>
        <v>4424</v>
      </c>
    </row>
    <row r="656" spans="2:8">
      <c r="B656" s="835" t="str">
        <f>'MAQUINARIA Y EQUIPOS'!$C$55</f>
        <v>VIBROCOMPACTADOR</v>
      </c>
      <c r="C656" s="836"/>
      <c r="D656" s="37">
        <v>1</v>
      </c>
      <c r="E656" s="82">
        <f>'MAQUINARIA Y EQUIPOS'!$D$55</f>
        <v>63000</v>
      </c>
      <c r="F656" s="435">
        <v>17.8</v>
      </c>
      <c r="G656" s="436">
        <f>ROUND(D656*E656/F656,0)</f>
        <v>3539</v>
      </c>
    </row>
    <row r="657" spans="2:8">
      <c r="B657" s="835" t="str">
        <f>'MAQUINARIA Y EQUIPOS'!$C$63</f>
        <v>CARROTANQUE DE AGUA</v>
      </c>
      <c r="C657" s="836"/>
      <c r="D657" s="37">
        <v>1</v>
      </c>
      <c r="E657" s="82">
        <f>'MAQUINARIA Y EQUIPOS'!$D$63</f>
        <v>54600</v>
      </c>
      <c r="F657" s="435">
        <v>17.8</v>
      </c>
      <c r="G657" s="436">
        <f>ROUND(D657*E657/F657,0)</f>
        <v>3067</v>
      </c>
    </row>
    <row r="658" spans="2:8">
      <c r="B658" s="835" t="s">
        <v>841</v>
      </c>
      <c r="C658" s="836"/>
      <c r="D658" s="37"/>
      <c r="E658" s="82"/>
      <c r="F658" s="435"/>
      <c r="G658" s="111"/>
    </row>
    <row r="659" spans="2:8" ht="13.5" thickBot="1">
      <c r="B659" s="839" t="s">
        <v>841</v>
      </c>
      <c r="C659" s="840"/>
      <c r="D659" s="77"/>
      <c r="E659" s="106"/>
      <c r="F659" s="437"/>
      <c r="G659" s="112"/>
    </row>
    <row r="660" spans="2:8" ht="14.25" thickTop="1" thickBot="1">
      <c r="B660" s="808"/>
      <c r="C660" s="808"/>
      <c r="D660" s="808"/>
      <c r="E660" s="809"/>
      <c r="F660" s="438" t="s">
        <v>856</v>
      </c>
      <c r="G660" s="118">
        <f>SUM(G654:G659)</f>
        <v>11092</v>
      </c>
    </row>
    <row r="661" spans="2:8" ht="14.25" thickTop="1" thickBot="1">
      <c r="B661" s="830"/>
      <c r="C661" s="830"/>
      <c r="D661" s="830"/>
      <c r="E661" s="830"/>
      <c r="F661" s="830"/>
      <c r="G661" s="830"/>
    </row>
    <row r="662" spans="2:8" ht="13.5" thickTop="1">
      <c r="B662" s="811" t="s">
        <v>311</v>
      </c>
      <c r="C662" s="812"/>
      <c r="D662" s="812"/>
      <c r="E662" s="812"/>
      <c r="F662" s="812"/>
      <c r="G662" s="825"/>
    </row>
    <row r="663" spans="2:8">
      <c r="B663" s="817" t="s">
        <v>838</v>
      </c>
      <c r="C663" s="818"/>
      <c r="D663" s="98" t="s">
        <v>842</v>
      </c>
      <c r="E663" s="98" t="s">
        <v>853</v>
      </c>
      <c r="F663" s="99" t="s">
        <v>1047</v>
      </c>
      <c r="G663" s="107" t="s">
        <v>840</v>
      </c>
    </row>
    <row r="664" spans="2:8">
      <c r="B664" s="230"/>
      <c r="C664" s="102"/>
      <c r="D664" s="100"/>
      <c r="E664" s="100" t="s">
        <v>312</v>
      </c>
      <c r="F664" s="101" t="s">
        <v>313</v>
      </c>
      <c r="G664" s="108" t="s">
        <v>314</v>
      </c>
    </row>
    <row r="665" spans="2:8">
      <c r="B665" s="1062" t="str">
        <f>MATERIALES2!C930</f>
        <v>SUBBASE GRANULAR PUESTA EN OBRA</v>
      </c>
      <c r="C665" s="1063"/>
      <c r="D665" s="439" t="s">
        <v>669</v>
      </c>
      <c r="E665" s="442">
        <v>1.3</v>
      </c>
      <c r="F665" s="80">
        <f>MATERIALES2!E930</f>
        <v>47500</v>
      </c>
      <c r="G665" s="446">
        <f>F665*E665</f>
        <v>61750</v>
      </c>
    </row>
    <row r="666" spans="2:8">
      <c r="B666" s="938"/>
      <c r="C666" s="939"/>
      <c r="D666" s="88"/>
      <c r="E666" s="53"/>
      <c r="F666" s="82"/>
      <c r="G666" s="111"/>
    </row>
    <row r="667" spans="2:8">
      <c r="B667" s="835"/>
      <c r="C667" s="836"/>
      <c r="D667" s="37"/>
      <c r="E667" s="55"/>
      <c r="F667" s="82"/>
      <c r="G667" s="111"/>
    </row>
    <row r="668" spans="2:8">
      <c r="B668" s="835"/>
      <c r="C668" s="836"/>
      <c r="D668" s="37"/>
      <c r="E668" s="55"/>
      <c r="F668" s="82"/>
      <c r="G668" s="111"/>
    </row>
    <row r="669" spans="2:8">
      <c r="B669" s="837"/>
      <c r="C669" s="838"/>
      <c r="D669" s="37"/>
      <c r="E669" s="55"/>
      <c r="F669" s="82"/>
      <c r="G669" s="111"/>
    </row>
    <row r="670" spans="2:8">
      <c r="B670" s="837"/>
      <c r="C670" s="838"/>
      <c r="D670" s="53" t="s">
        <v>841</v>
      </c>
      <c r="E670" s="53"/>
      <c r="F670" s="82"/>
      <c r="G670" s="111"/>
    </row>
    <row r="671" spans="2:8">
      <c r="B671" s="837" t="s">
        <v>841</v>
      </c>
      <c r="C671" s="838"/>
      <c r="D671" s="53" t="s">
        <v>841</v>
      </c>
      <c r="E671" s="53"/>
      <c r="F671" s="82"/>
      <c r="G671" s="111"/>
    </row>
    <row r="672" spans="2:8">
      <c r="B672" s="837" t="s">
        <v>841</v>
      </c>
      <c r="C672" s="838"/>
      <c r="D672" s="53" t="s">
        <v>841</v>
      </c>
      <c r="E672" s="53"/>
      <c r="F672" s="82"/>
      <c r="G672" s="111"/>
      <c r="H672" s="514" t="s">
        <v>1670</v>
      </c>
    </row>
    <row r="673" spans="2:7" ht="13.5" thickBot="1">
      <c r="B673" s="839" t="s">
        <v>841</v>
      </c>
      <c r="C673" s="840"/>
      <c r="D673" s="84" t="s">
        <v>841</v>
      </c>
      <c r="E673" s="84"/>
      <c r="F673" s="85"/>
      <c r="G673" s="112"/>
    </row>
    <row r="674" spans="2:7" ht="13.5" thickTop="1">
      <c r="B674" s="808"/>
      <c r="C674" s="809"/>
      <c r="D674" s="801" t="s">
        <v>856</v>
      </c>
      <c r="E674" s="802"/>
      <c r="F674" s="9"/>
      <c r="G674" s="113">
        <f>SUM(G665:G673)</f>
        <v>61750</v>
      </c>
    </row>
    <row r="675" spans="2:7">
      <c r="B675" s="819"/>
      <c r="C675" s="820"/>
      <c r="D675" s="801" t="s">
        <v>857</v>
      </c>
      <c r="E675" s="802"/>
      <c r="F675" s="79">
        <v>0.05</v>
      </c>
      <c r="G675" s="113">
        <f>ROUND(G674*F675,0)</f>
        <v>3088</v>
      </c>
    </row>
    <row r="676" spans="2:7" ht="13.5" thickBot="1">
      <c r="B676" s="819"/>
      <c r="C676" s="820"/>
      <c r="D676" s="803" t="s">
        <v>320</v>
      </c>
      <c r="E676" s="804"/>
      <c r="F676" s="114"/>
      <c r="G676" s="118">
        <f>+G674+G675</f>
        <v>64838</v>
      </c>
    </row>
    <row r="677" spans="2:7" ht="14.25" thickTop="1" thickBot="1">
      <c r="B677" s="830"/>
      <c r="C677" s="830"/>
      <c r="D677" s="830"/>
      <c r="E677" s="830"/>
      <c r="F677" s="830"/>
      <c r="G677" s="830"/>
    </row>
    <row r="678" spans="2:7" ht="13.5" thickTop="1">
      <c r="B678" s="811" t="s">
        <v>858</v>
      </c>
      <c r="C678" s="812"/>
      <c r="D678" s="812"/>
      <c r="E678" s="812"/>
      <c r="F678" s="812"/>
      <c r="G678" s="825"/>
    </row>
    <row r="679" spans="2:7">
      <c r="B679" s="817"/>
      <c r="C679" s="818"/>
      <c r="D679" s="98" t="s">
        <v>301</v>
      </c>
      <c r="E679" s="98" t="s">
        <v>859</v>
      </c>
      <c r="F679" s="99" t="s">
        <v>839</v>
      </c>
      <c r="G679" s="107" t="s">
        <v>840</v>
      </c>
    </row>
    <row r="680" spans="2:7">
      <c r="B680" s="821" t="s">
        <v>838</v>
      </c>
      <c r="C680" s="822"/>
      <c r="D680" s="100" t="s">
        <v>316</v>
      </c>
      <c r="E680" s="100" t="s">
        <v>315</v>
      </c>
      <c r="F680" s="101" t="s">
        <v>306</v>
      </c>
      <c r="G680" s="108" t="s">
        <v>319</v>
      </c>
    </row>
    <row r="681" spans="2:7">
      <c r="B681" s="230"/>
      <c r="C681" s="102"/>
      <c r="D681" s="103"/>
      <c r="E681" s="103" t="s">
        <v>317</v>
      </c>
      <c r="F681" s="104" t="s">
        <v>318</v>
      </c>
      <c r="G681" s="109"/>
    </row>
    <row r="682" spans="2:7">
      <c r="B682" s="823" t="str">
        <f>'MANO DE OBRA'!$B$15</f>
        <v xml:space="preserve">OFICIAL CUAD. TIPO AA </v>
      </c>
      <c r="C682" s="824"/>
      <c r="D682" s="87">
        <v>1</v>
      </c>
      <c r="E682" s="80">
        <f>'MANO DE OBRA'!$E$15</f>
        <v>71474</v>
      </c>
      <c r="F682" s="444">
        <v>142.4</v>
      </c>
      <c r="G682" s="110">
        <f>ROUND(D682*E682/F682,0)</f>
        <v>502</v>
      </c>
    </row>
    <row r="683" spans="2:7">
      <c r="B683" s="835" t="str">
        <f>'MANO DE OBRA'!$B$10</f>
        <v>AYUDANTE CUAD. TIPO AA</v>
      </c>
      <c r="C683" s="836"/>
      <c r="D683" s="37">
        <v>3</v>
      </c>
      <c r="E683" s="82">
        <f>'MANO DE OBRA'!$E$10</f>
        <v>34680</v>
      </c>
      <c r="F683" s="83">
        <v>142.4</v>
      </c>
      <c r="G683" s="111">
        <f>ROUND(D683*E683/F683,0)</f>
        <v>731</v>
      </c>
    </row>
    <row r="684" spans="2:7">
      <c r="B684" s="835"/>
      <c r="C684" s="836"/>
      <c r="D684" s="37"/>
      <c r="E684" s="82"/>
      <c r="F684" s="83"/>
      <c r="G684" s="111"/>
    </row>
    <row r="685" spans="2:7">
      <c r="B685" s="835" t="s">
        <v>841</v>
      </c>
      <c r="C685" s="836"/>
      <c r="D685" s="37"/>
      <c r="E685" s="82"/>
      <c r="F685" s="83"/>
      <c r="G685" s="111"/>
    </row>
    <row r="686" spans="2:7" ht="13.5" thickBot="1">
      <c r="B686" s="828" t="s">
        <v>841</v>
      </c>
      <c r="C686" s="829"/>
      <c r="D686" s="77"/>
      <c r="E686" s="82"/>
      <c r="F686" s="86"/>
      <c r="G686" s="112"/>
    </row>
    <row r="687" spans="2:7" ht="14.25" thickTop="1" thickBot="1">
      <c r="B687" s="808"/>
      <c r="C687" s="808"/>
      <c r="D687" s="808"/>
      <c r="E687" s="809"/>
      <c r="F687" s="120" t="s">
        <v>856</v>
      </c>
      <c r="G687" s="118">
        <f>SUM(G682:G686)</f>
        <v>1233</v>
      </c>
    </row>
    <row r="688" spans="2:7" ht="14.25" thickTop="1" thickBot="1">
      <c r="B688" s="810"/>
      <c r="C688" s="810"/>
      <c r="D688" s="810"/>
      <c r="E688" s="810"/>
      <c r="F688" s="810"/>
      <c r="G688" s="810"/>
    </row>
    <row r="689" spans="2:8" ht="13.5" thickTop="1">
      <c r="B689" s="811" t="s">
        <v>321</v>
      </c>
      <c r="C689" s="812"/>
      <c r="D689" s="812"/>
      <c r="E689" s="812"/>
      <c r="F689" s="812"/>
      <c r="G689" s="825"/>
    </row>
    <row r="690" spans="2:8">
      <c r="B690" s="817" t="s">
        <v>838</v>
      </c>
      <c r="C690" s="818"/>
      <c r="D690" s="98" t="s">
        <v>301</v>
      </c>
      <c r="E690" s="98" t="s">
        <v>297</v>
      </c>
      <c r="F690" s="99" t="s">
        <v>839</v>
      </c>
      <c r="G690" s="107" t="s">
        <v>840</v>
      </c>
    </row>
    <row r="691" spans="2:8">
      <c r="B691" s="230"/>
      <c r="C691" s="102"/>
      <c r="D691" s="103" t="s">
        <v>322</v>
      </c>
      <c r="E691" s="103" t="s">
        <v>323</v>
      </c>
      <c r="F691" s="104" t="s">
        <v>324</v>
      </c>
      <c r="G691" s="109" t="s">
        <v>325</v>
      </c>
    </row>
    <row r="692" spans="2:8">
      <c r="B692" s="826"/>
      <c r="C692" s="827"/>
      <c r="D692" s="96"/>
      <c r="E692" s="96"/>
      <c r="F692" s="96"/>
      <c r="G692" s="116"/>
    </row>
    <row r="693" spans="2:8" ht="13.5" thickBot="1">
      <c r="B693" s="828" t="s">
        <v>841</v>
      </c>
      <c r="C693" s="829"/>
      <c r="D693" s="77"/>
      <c r="E693" s="82"/>
      <c r="F693" s="86"/>
      <c r="G693" s="112"/>
    </row>
    <row r="694" spans="2:8" ht="14.25" thickTop="1" thickBot="1">
      <c r="B694" s="808"/>
      <c r="C694" s="808"/>
      <c r="D694" s="808"/>
      <c r="E694" s="809"/>
      <c r="F694" s="120" t="s">
        <v>856</v>
      </c>
      <c r="G694" s="118">
        <f>SUM(G689:G693)</f>
        <v>0</v>
      </c>
    </row>
    <row r="695" spans="2:8" ht="14.25" thickTop="1" thickBot="1">
      <c r="B695" s="810"/>
      <c r="C695" s="810"/>
      <c r="D695" s="810"/>
      <c r="E695" s="810"/>
      <c r="F695" s="810"/>
      <c r="G695" s="834"/>
    </row>
    <row r="696" spans="2:8" ht="13.5" thickTop="1">
      <c r="B696" s="811" t="s">
        <v>326</v>
      </c>
      <c r="C696" s="812"/>
      <c r="D696" s="812"/>
      <c r="E696" s="812"/>
      <c r="F696" s="813"/>
      <c r="G696" s="121">
        <f>+G660+G676+G687</f>
        <v>77163</v>
      </c>
    </row>
    <row r="697" spans="2:8">
      <c r="B697" s="814" t="s">
        <v>861</v>
      </c>
      <c r="C697" s="815"/>
      <c r="D697" s="815"/>
      <c r="E697" s="816"/>
      <c r="F697" s="128">
        <f>'[1]MANO DE OBRA'!$D$59</f>
        <v>0</v>
      </c>
      <c r="G697" s="122">
        <f>ROUND(G696*F697,0)</f>
        <v>0</v>
      </c>
    </row>
    <row r="698" spans="2:8" ht="13.5" thickBot="1">
      <c r="B698" s="805" t="s">
        <v>1049</v>
      </c>
      <c r="C698" s="806"/>
      <c r="D698" s="806"/>
      <c r="E698" s="806"/>
      <c r="F698" s="807"/>
      <c r="G698" s="118">
        <f>ROUND(G696+G697,-2)</f>
        <v>77200</v>
      </c>
      <c r="H698" s="514" t="s">
        <v>1670</v>
      </c>
    </row>
    <row r="699" spans="2:8" ht="13.5" thickTop="1">
      <c r="B699" s="423" t="s">
        <v>303</v>
      </c>
      <c r="C699" s="1064"/>
      <c r="D699" s="1064"/>
      <c r="E699" s="1064"/>
      <c r="F699" s="424" t="s">
        <v>781</v>
      </c>
      <c r="G699" s="441" t="s">
        <v>669</v>
      </c>
    </row>
    <row r="700" spans="2:8">
      <c r="B700" s="427" t="s">
        <v>834</v>
      </c>
      <c r="C700" s="1065" t="s">
        <v>1619</v>
      </c>
      <c r="D700" s="1065"/>
      <c r="E700" s="1065"/>
      <c r="F700" s="428" t="s">
        <v>833</v>
      </c>
      <c r="G700" s="429" t="str">
        <f>'MANO DE OBRA'!$D$61</f>
        <v>Agosto de 2010</v>
      </c>
    </row>
    <row r="701" spans="2:8" ht="13.5" thickBot="1">
      <c r="B701" s="431" t="s">
        <v>835</v>
      </c>
      <c r="C701" s="887" t="s">
        <v>1639</v>
      </c>
      <c r="D701" s="1066"/>
      <c r="E701" s="1066"/>
      <c r="F701" s="1066"/>
      <c r="G701" s="1067"/>
    </row>
    <row r="702" spans="2:8" ht="14.25" thickTop="1" thickBot="1">
      <c r="B702" s="1068"/>
      <c r="C702" s="1068"/>
      <c r="D702" s="1068"/>
      <c r="E702" s="1068"/>
      <c r="F702" s="1068"/>
      <c r="G702" s="1068"/>
    </row>
    <row r="703" spans="2:8" ht="13.5" thickTop="1">
      <c r="B703" s="811" t="s">
        <v>304</v>
      </c>
      <c r="C703" s="812"/>
      <c r="D703" s="812"/>
      <c r="E703" s="812"/>
      <c r="F703" s="812"/>
      <c r="G703" s="825"/>
    </row>
    <row r="704" spans="2:8">
      <c r="B704" s="229"/>
      <c r="C704" s="97"/>
      <c r="D704" s="98" t="s">
        <v>301</v>
      </c>
      <c r="E704" s="98" t="s">
        <v>1072</v>
      </c>
      <c r="F704" s="99" t="s">
        <v>839</v>
      </c>
      <c r="G704" s="107" t="s">
        <v>840</v>
      </c>
    </row>
    <row r="705" spans="2:7">
      <c r="B705" s="821" t="s">
        <v>838</v>
      </c>
      <c r="C705" s="822"/>
      <c r="D705" s="100" t="s">
        <v>308</v>
      </c>
      <c r="E705" s="100" t="s">
        <v>305</v>
      </c>
      <c r="F705" s="101" t="s">
        <v>306</v>
      </c>
      <c r="G705" s="108" t="s">
        <v>310</v>
      </c>
    </row>
    <row r="706" spans="2:7">
      <c r="B706" s="230"/>
      <c r="C706" s="102"/>
      <c r="D706" s="103"/>
      <c r="E706" s="103" t="s">
        <v>309</v>
      </c>
      <c r="F706" s="104" t="s">
        <v>307</v>
      </c>
      <c r="G706" s="109"/>
    </row>
    <row r="707" spans="2:7">
      <c r="B707" s="823" t="str">
        <f>'MAQUINARIA Y EQUIPOS'!$C$28</f>
        <v>HERRAMIENTAS MENORES</v>
      </c>
      <c r="C707" s="824"/>
      <c r="D707" s="87">
        <v>1</v>
      </c>
      <c r="E707" s="82">
        <f>ROUND(G740*0.05,0)</f>
        <v>62</v>
      </c>
      <c r="F707" s="434">
        <v>1</v>
      </c>
      <c r="G707" s="110">
        <f>ROUND(D707*E707/F707,0)</f>
        <v>62</v>
      </c>
    </row>
    <row r="708" spans="2:7">
      <c r="B708" s="835" t="str">
        <f>'MAQUINARIA Y EQUIPOS'!$C$58</f>
        <v>MOTONIVELADORA 12E</v>
      </c>
      <c r="C708" s="836"/>
      <c r="D708" s="37">
        <v>1</v>
      </c>
      <c r="E708" s="82">
        <f>'MAQUINARIA Y EQUIPOS'!$D$58</f>
        <v>78750</v>
      </c>
      <c r="F708" s="435">
        <v>17.8</v>
      </c>
      <c r="G708" s="436">
        <f>ROUND(D708*E708/F708,0)</f>
        <v>4424</v>
      </c>
    </row>
    <row r="709" spans="2:7">
      <c r="B709" s="835" t="str">
        <f>'MAQUINARIA Y EQUIPOS'!$C$55</f>
        <v>VIBROCOMPACTADOR</v>
      </c>
      <c r="C709" s="836"/>
      <c r="D709" s="37">
        <v>1</v>
      </c>
      <c r="E709" s="82">
        <f>'MAQUINARIA Y EQUIPOS'!$D$55</f>
        <v>63000</v>
      </c>
      <c r="F709" s="435">
        <v>17.8</v>
      </c>
      <c r="G709" s="436">
        <f>ROUND(D709*E709/F709,0)</f>
        <v>3539</v>
      </c>
    </row>
    <row r="710" spans="2:7">
      <c r="B710" s="835" t="str">
        <f>'MAQUINARIA Y EQUIPOS'!$C$63</f>
        <v>CARROTANQUE DE AGUA</v>
      </c>
      <c r="C710" s="836"/>
      <c r="D710" s="37">
        <v>1</v>
      </c>
      <c r="E710" s="82">
        <f>'MAQUINARIA Y EQUIPOS'!$D$63</f>
        <v>54600</v>
      </c>
      <c r="F710" s="435">
        <v>17.8</v>
      </c>
      <c r="G710" s="436">
        <f>ROUND(D710*E710/F710,0)</f>
        <v>3067</v>
      </c>
    </row>
    <row r="711" spans="2:7">
      <c r="B711" s="835" t="s">
        <v>841</v>
      </c>
      <c r="C711" s="836"/>
      <c r="D711" s="37"/>
      <c r="E711" s="82"/>
      <c r="F711" s="435"/>
      <c r="G711" s="111"/>
    </row>
    <row r="712" spans="2:7" ht="13.5" thickBot="1">
      <c r="B712" s="839" t="s">
        <v>841</v>
      </c>
      <c r="C712" s="840"/>
      <c r="D712" s="77"/>
      <c r="E712" s="106"/>
      <c r="F712" s="437"/>
      <c r="G712" s="112"/>
    </row>
    <row r="713" spans="2:7" ht="14.25" thickTop="1" thickBot="1">
      <c r="B713" s="808"/>
      <c r="C713" s="808"/>
      <c r="D713" s="808"/>
      <c r="E713" s="809"/>
      <c r="F713" s="438" t="s">
        <v>856</v>
      </c>
      <c r="G713" s="118">
        <f>SUM(G707:G712)</f>
        <v>11092</v>
      </c>
    </row>
    <row r="714" spans="2:7" ht="14.25" thickTop="1" thickBot="1">
      <c r="B714" s="830"/>
      <c r="C714" s="830"/>
      <c r="D714" s="830"/>
      <c r="E714" s="830"/>
      <c r="F714" s="830"/>
      <c r="G714" s="830"/>
    </row>
    <row r="715" spans="2:7" ht="13.5" thickTop="1">
      <c r="B715" s="811" t="s">
        <v>311</v>
      </c>
      <c r="C715" s="812"/>
      <c r="D715" s="812"/>
      <c r="E715" s="812"/>
      <c r="F715" s="812"/>
      <c r="G715" s="825"/>
    </row>
    <row r="716" spans="2:7">
      <c r="B716" s="817" t="s">
        <v>838</v>
      </c>
      <c r="C716" s="818"/>
      <c r="D716" s="98" t="s">
        <v>842</v>
      </c>
      <c r="E716" s="98" t="s">
        <v>853</v>
      </c>
      <c r="F716" s="99" t="s">
        <v>1047</v>
      </c>
      <c r="G716" s="107" t="s">
        <v>840</v>
      </c>
    </row>
    <row r="717" spans="2:7">
      <c r="B717" s="230"/>
      <c r="C717" s="102"/>
      <c r="D717" s="100"/>
      <c r="E717" s="100" t="s">
        <v>312</v>
      </c>
      <c r="F717" s="101" t="s">
        <v>313</v>
      </c>
      <c r="G717" s="108" t="s">
        <v>314</v>
      </c>
    </row>
    <row r="718" spans="2:7">
      <c r="B718" s="1062" t="str">
        <f>MATERIALES2!C931</f>
        <v>BASE GRANULAR PUESTA EN OBRA</v>
      </c>
      <c r="C718" s="1063"/>
      <c r="D718" s="439" t="s">
        <v>669</v>
      </c>
      <c r="E718" s="442">
        <v>1.3</v>
      </c>
      <c r="F718" s="80">
        <f>MATERIALES2!E931</f>
        <v>54166.67</v>
      </c>
      <c r="G718" s="445">
        <f>F718*E718</f>
        <v>70416.671000000002</v>
      </c>
    </row>
    <row r="719" spans="2:7">
      <c r="B719" s="246"/>
      <c r="C719" s="124"/>
      <c r="D719" s="88"/>
      <c r="E719" s="53"/>
      <c r="F719" s="82"/>
      <c r="G719" s="111"/>
    </row>
    <row r="720" spans="2:7">
      <c r="B720" s="835"/>
      <c r="C720" s="836"/>
      <c r="D720" s="37"/>
      <c r="E720" s="55"/>
      <c r="F720" s="82"/>
      <c r="G720" s="111"/>
    </row>
    <row r="721" spans="2:8">
      <c r="B721" s="835"/>
      <c r="C721" s="836"/>
      <c r="D721" s="37"/>
      <c r="E721" s="55"/>
      <c r="F721" s="82"/>
      <c r="G721" s="111"/>
    </row>
    <row r="722" spans="2:8">
      <c r="B722" s="837"/>
      <c r="C722" s="838"/>
      <c r="D722" s="37"/>
      <c r="E722" s="55"/>
      <c r="F722" s="82"/>
      <c r="G722" s="111"/>
    </row>
    <row r="723" spans="2:8">
      <c r="B723" s="837"/>
      <c r="C723" s="838"/>
      <c r="D723" s="53" t="s">
        <v>841</v>
      </c>
      <c r="E723" s="53"/>
      <c r="F723" s="82"/>
      <c r="G723" s="111"/>
    </row>
    <row r="724" spans="2:8">
      <c r="B724" s="837" t="s">
        <v>841</v>
      </c>
      <c r="C724" s="838"/>
      <c r="D724" s="53" t="s">
        <v>841</v>
      </c>
      <c r="E724" s="53"/>
      <c r="F724" s="82"/>
      <c r="G724" s="111"/>
    </row>
    <row r="725" spans="2:8">
      <c r="B725" s="837" t="s">
        <v>841</v>
      </c>
      <c r="C725" s="838"/>
      <c r="D725" s="53" t="s">
        <v>841</v>
      </c>
      <c r="E725" s="53"/>
      <c r="F725" s="82"/>
      <c r="G725" s="111"/>
      <c r="H725" s="514" t="s">
        <v>1670</v>
      </c>
    </row>
    <row r="726" spans="2:8" ht="13.5" thickBot="1">
      <c r="B726" s="839" t="s">
        <v>841</v>
      </c>
      <c r="C726" s="840"/>
      <c r="D726" s="84" t="s">
        <v>841</v>
      </c>
      <c r="E726" s="84"/>
      <c r="F726" s="85"/>
      <c r="G726" s="112"/>
    </row>
    <row r="727" spans="2:8" ht="13.5" thickTop="1">
      <c r="B727" s="808"/>
      <c r="C727" s="809"/>
      <c r="D727" s="801" t="s">
        <v>856</v>
      </c>
      <c r="E727" s="802"/>
      <c r="F727" s="9"/>
      <c r="G727" s="113">
        <f>SUM(G718:G726)</f>
        <v>70416.671000000002</v>
      </c>
    </row>
    <row r="728" spans="2:8">
      <c r="B728" s="819"/>
      <c r="C728" s="820"/>
      <c r="D728" s="801" t="s">
        <v>857</v>
      </c>
      <c r="E728" s="802"/>
      <c r="F728" s="79">
        <v>0.05</v>
      </c>
      <c r="G728" s="113">
        <f>ROUND(G727*F728,0)</f>
        <v>3521</v>
      </c>
    </row>
    <row r="729" spans="2:8" ht="13.5" thickBot="1">
      <c r="B729" s="819"/>
      <c r="C729" s="820"/>
      <c r="D729" s="803" t="s">
        <v>320</v>
      </c>
      <c r="E729" s="804"/>
      <c r="F729" s="114"/>
      <c r="G729" s="118">
        <f>+G727+G728</f>
        <v>73937.671000000002</v>
      </c>
    </row>
    <row r="730" spans="2:8" ht="14.25" thickTop="1" thickBot="1">
      <c r="B730" s="830"/>
      <c r="C730" s="830"/>
      <c r="D730" s="830"/>
      <c r="E730" s="830"/>
      <c r="F730" s="830"/>
      <c r="G730" s="830"/>
    </row>
    <row r="731" spans="2:8" ht="13.5" thickTop="1">
      <c r="B731" s="811" t="s">
        <v>858</v>
      </c>
      <c r="C731" s="812"/>
      <c r="D731" s="812"/>
      <c r="E731" s="812"/>
      <c r="F731" s="812"/>
      <c r="G731" s="825"/>
    </row>
    <row r="732" spans="2:8">
      <c r="B732" s="817"/>
      <c r="C732" s="818"/>
      <c r="D732" s="98" t="s">
        <v>301</v>
      </c>
      <c r="E732" s="98" t="s">
        <v>859</v>
      </c>
      <c r="F732" s="99" t="s">
        <v>839</v>
      </c>
      <c r="G732" s="107" t="s">
        <v>840</v>
      </c>
    </row>
    <row r="733" spans="2:8">
      <c r="B733" s="821" t="s">
        <v>838</v>
      </c>
      <c r="C733" s="822"/>
      <c r="D733" s="100" t="s">
        <v>316</v>
      </c>
      <c r="E733" s="100" t="s">
        <v>315</v>
      </c>
      <c r="F733" s="101" t="s">
        <v>306</v>
      </c>
      <c r="G733" s="108" t="s">
        <v>319</v>
      </c>
    </row>
    <row r="734" spans="2:8">
      <c r="B734" s="230"/>
      <c r="C734" s="102"/>
      <c r="D734" s="103"/>
      <c r="E734" s="103" t="s">
        <v>317</v>
      </c>
      <c r="F734" s="104" t="s">
        <v>318</v>
      </c>
      <c r="G734" s="109"/>
    </row>
    <row r="735" spans="2:8">
      <c r="B735" s="823" t="str">
        <f>'MANO DE OBRA'!$B$15</f>
        <v xml:space="preserve">OFICIAL CUAD. TIPO AA </v>
      </c>
      <c r="C735" s="824"/>
      <c r="D735" s="87">
        <v>1</v>
      </c>
      <c r="E735" s="80">
        <f>'MANO DE OBRA'!$E$15</f>
        <v>71474</v>
      </c>
      <c r="F735" s="444">
        <v>142.4</v>
      </c>
      <c r="G735" s="110">
        <f>ROUND(D735*E735/F735,0)</f>
        <v>502</v>
      </c>
    </row>
    <row r="736" spans="2:8">
      <c r="B736" s="835" t="str">
        <f>'MANO DE OBRA'!$B$10</f>
        <v>AYUDANTE CUAD. TIPO AA</v>
      </c>
      <c r="C736" s="836"/>
      <c r="D736" s="37">
        <v>3</v>
      </c>
      <c r="E736" s="82">
        <f>'MANO DE OBRA'!$E$10</f>
        <v>34680</v>
      </c>
      <c r="F736" s="83">
        <v>142.4</v>
      </c>
      <c r="G736" s="111">
        <f>ROUND(D736*E736/F736,0)</f>
        <v>731</v>
      </c>
    </row>
    <row r="737" spans="2:8">
      <c r="B737" s="835"/>
      <c r="C737" s="836"/>
      <c r="D737" s="37"/>
      <c r="E737" s="82"/>
      <c r="F737" s="83"/>
      <c r="G737" s="111"/>
    </row>
    <row r="738" spans="2:8">
      <c r="B738" s="835" t="s">
        <v>841</v>
      </c>
      <c r="C738" s="836"/>
      <c r="D738" s="37"/>
      <c r="E738" s="82"/>
      <c r="F738" s="83"/>
      <c r="G738" s="111"/>
    </row>
    <row r="739" spans="2:8" ht="13.5" thickBot="1">
      <c r="B739" s="828" t="s">
        <v>841</v>
      </c>
      <c r="C739" s="829"/>
      <c r="D739" s="77"/>
      <c r="E739" s="82"/>
      <c r="F739" s="86"/>
      <c r="G739" s="112"/>
    </row>
    <row r="740" spans="2:8" ht="14.25" thickTop="1" thickBot="1">
      <c r="B740" s="808"/>
      <c r="C740" s="808"/>
      <c r="D740" s="808"/>
      <c r="E740" s="809"/>
      <c r="F740" s="120" t="s">
        <v>856</v>
      </c>
      <c r="G740" s="118">
        <f>SUM(G735:G739)</f>
        <v>1233</v>
      </c>
    </row>
    <row r="741" spans="2:8" ht="14.25" thickTop="1" thickBot="1">
      <c r="B741" s="810"/>
      <c r="C741" s="810"/>
      <c r="D741" s="810"/>
      <c r="E741" s="810"/>
      <c r="F741" s="810"/>
      <c r="G741" s="810"/>
    </row>
    <row r="742" spans="2:8" ht="13.5" thickTop="1">
      <c r="B742" s="811" t="s">
        <v>321</v>
      </c>
      <c r="C742" s="812"/>
      <c r="D742" s="812"/>
      <c r="E742" s="812"/>
      <c r="F742" s="812"/>
      <c r="G742" s="825"/>
    </row>
    <row r="743" spans="2:8">
      <c r="B743" s="817" t="s">
        <v>838</v>
      </c>
      <c r="C743" s="818"/>
      <c r="D743" s="98" t="s">
        <v>301</v>
      </c>
      <c r="E743" s="98" t="s">
        <v>297</v>
      </c>
      <c r="F743" s="99" t="s">
        <v>839</v>
      </c>
      <c r="G743" s="107" t="s">
        <v>840</v>
      </c>
    </row>
    <row r="744" spans="2:8">
      <c r="B744" s="230"/>
      <c r="C744" s="102"/>
      <c r="D744" s="103" t="s">
        <v>322</v>
      </c>
      <c r="E744" s="103" t="s">
        <v>323</v>
      </c>
      <c r="F744" s="104" t="s">
        <v>324</v>
      </c>
      <c r="G744" s="109" t="s">
        <v>325</v>
      </c>
    </row>
    <row r="745" spans="2:8">
      <c r="B745" s="826"/>
      <c r="C745" s="827"/>
      <c r="D745" s="96"/>
      <c r="E745" s="96"/>
      <c r="F745" s="96"/>
      <c r="G745" s="116"/>
    </row>
    <row r="746" spans="2:8" ht="13.5" thickBot="1">
      <c r="B746" s="828" t="s">
        <v>841</v>
      </c>
      <c r="C746" s="829"/>
      <c r="D746" s="77"/>
      <c r="E746" s="82"/>
      <c r="F746" s="86"/>
      <c r="G746" s="112"/>
    </row>
    <row r="747" spans="2:8" ht="14.25" thickTop="1" thickBot="1">
      <c r="B747" s="808"/>
      <c r="C747" s="808"/>
      <c r="D747" s="808"/>
      <c r="E747" s="809"/>
      <c r="F747" s="120" t="s">
        <v>856</v>
      </c>
      <c r="G747" s="118">
        <f>SUM(G742:G746)</f>
        <v>0</v>
      </c>
    </row>
    <row r="748" spans="2:8" ht="14.25" thickTop="1" thickBot="1">
      <c r="B748" s="810"/>
      <c r="C748" s="810"/>
      <c r="D748" s="810"/>
      <c r="E748" s="810"/>
      <c r="F748" s="810"/>
      <c r="G748" s="834"/>
    </row>
    <row r="749" spans="2:8" ht="13.5" thickTop="1">
      <c r="B749" s="811" t="s">
        <v>326</v>
      </c>
      <c r="C749" s="812"/>
      <c r="D749" s="812"/>
      <c r="E749" s="812"/>
      <c r="F749" s="813"/>
      <c r="G749" s="121">
        <f>+G713+G729+G740</f>
        <v>86262.671000000002</v>
      </c>
    </row>
    <row r="750" spans="2:8">
      <c r="B750" s="814" t="s">
        <v>861</v>
      </c>
      <c r="C750" s="815"/>
      <c r="D750" s="815"/>
      <c r="E750" s="816"/>
      <c r="F750" s="128">
        <f>'[1]MANO DE OBRA'!$D$59</f>
        <v>0</v>
      </c>
      <c r="G750" s="122">
        <f>ROUND(G749*F750,0)</f>
        <v>0</v>
      </c>
    </row>
    <row r="751" spans="2:8" ht="13.5" thickBot="1">
      <c r="B751" s="805" t="s">
        <v>1049</v>
      </c>
      <c r="C751" s="806"/>
      <c r="D751" s="806"/>
      <c r="E751" s="806"/>
      <c r="F751" s="807"/>
      <c r="G751" s="118">
        <f>ROUND(G749+G750,-2)</f>
        <v>86300</v>
      </c>
      <c r="H751" s="514" t="s">
        <v>1670</v>
      </c>
    </row>
    <row r="752" spans="2:8" ht="13.5" thickTop="1">
      <c r="B752" s="423" t="s">
        <v>303</v>
      </c>
      <c r="C752" s="1064"/>
      <c r="D752" s="1064"/>
      <c r="E752" s="1064"/>
      <c r="F752" s="424" t="s">
        <v>781</v>
      </c>
      <c r="G752" s="441" t="s">
        <v>669</v>
      </c>
    </row>
    <row r="753" spans="2:7">
      <c r="B753" s="427" t="s">
        <v>834</v>
      </c>
      <c r="C753" s="1065" t="s">
        <v>1619</v>
      </c>
      <c r="D753" s="1065"/>
      <c r="E753" s="1065"/>
      <c r="F753" s="428" t="s">
        <v>833</v>
      </c>
      <c r="G753" s="429" t="str">
        <f>'MANO DE OBRA'!$D$61</f>
        <v>Agosto de 2010</v>
      </c>
    </row>
    <row r="754" spans="2:7" ht="25.5" customHeight="1" thickBot="1">
      <c r="B754" s="431" t="s">
        <v>835</v>
      </c>
      <c r="C754" s="1084" t="s">
        <v>1641</v>
      </c>
      <c r="D754" s="1085"/>
      <c r="E754" s="1085"/>
      <c r="F754" s="1085"/>
      <c r="G754" s="1086"/>
    </row>
    <row r="755" spans="2:7" ht="14.25" thickTop="1" thickBot="1">
      <c r="B755" s="1068"/>
      <c r="C755" s="1068"/>
      <c r="D755" s="1068"/>
      <c r="E755" s="1068"/>
      <c r="F755" s="1068"/>
      <c r="G755" s="1068"/>
    </row>
    <row r="756" spans="2:7" ht="13.5" thickTop="1">
      <c r="B756" s="811" t="s">
        <v>304</v>
      </c>
      <c r="C756" s="812"/>
      <c r="D756" s="812"/>
      <c r="E756" s="812"/>
      <c r="F756" s="812"/>
      <c r="G756" s="825"/>
    </row>
    <row r="757" spans="2:7">
      <c r="B757" s="229"/>
      <c r="C757" s="97"/>
      <c r="D757" s="98" t="s">
        <v>301</v>
      </c>
      <c r="E757" s="98" t="s">
        <v>1072</v>
      </c>
      <c r="F757" s="99" t="s">
        <v>839</v>
      </c>
      <c r="G757" s="107" t="s">
        <v>840</v>
      </c>
    </row>
    <row r="758" spans="2:7">
      <c r="B758" s="821" t="s">
        <v>838</v>
      </c>
      <c r="C758" s="822"/>
      <c r="D758" s="100" t="s">
        <v>308</v>
      </c>
      <c r="E758" s="100" t="s">
        <v>305</v>
      </c>
      <c r="F758" s="101" t="s">
        <v>306</v>
      </c>
      <c r="G758" s="108" t="s">
        <v>310</v>
      </c>
    </row>
    <row r="759" spans="2:7">
      <c r="B759" s="230"/>
      <c r="C759" s="102"/>
      <c r="D759" s="103"/>
      <c r="E759" s="103" t="s">
        <v>309</v>
      </c>
      <c r="F759" s="104" t="s">
        <v>307</v>
      </c>
      <c r="G759" s="109"/>
    </row>
    <row r="760" spans="2:7">
      <c r="B760" s="823" t="str">
        <f>'MAQUINARIA Y EQUIPOS'!$C$28</f>
        <v>HERRAMIENTAS MENORES</v>
      </c>
      <c r="C760" s="824"/>
      <c r="D760" s="87">
        <v>1</v>
      </c>
      <c r="E760" s="82">
        <f>ROUND(G793*0.05,0)</f>
        <v>159</v>
      </c>
      <c r="F760" s="447">
        <v>1</v>
      </c>
      <c r="G760" s="110">
        <f>ROUND(D760*E760/F760,0)</f>
        <v>159</v>
      </c>
    </row>
    <row r="761" spans="2:7">
      <c r="B761" s="835" t="str">
        <f>'MAQUINARIA Y EQUIPOS'!$C$59</f>
        <v xml:space="preserve">FINISHER </v>
      </c>
      <c r="C761" s="836"/>
      <c r="D761" s="37">
        <v>1</v>
      </c>
      <c r="E761" s="82">
        <f>'MAQUINARIA Y EQUIPOS'!$D$59</f>
        <v>135000</v>
      </c>
      <c r="F761" s="435">
        <v>13.75</v>
      </c>
      <c r="G761" s="436">
        <f>ROUND(D761*E761/F761,0)</f>
        <v>9818</v>
      </c>
    </row>
    <row r="762" spans="2:7">
      <c r="B762" s="835" t="str">
        <f>'MAQUINARIA Y EQUIPOS'!$C$64</f>
        <v>VIBROCOMPACTADOR</v>
      </c>
      <c r="C762" s="836"/>
      <c r="D762" s="37">
        <v>1</v>
      </c>
      <c r="E762" s="82">
        <f>'MAQUINARIA Y EQUIPOS'!D64</f>
        <v>135000</v>
      </c>
      <c r="F762" s="435">
        <v>13.75</v>
      </c>
      <c r="G762" s="436">
        <f>ROUND(D762*E762/F762,0)</f>
        <v>9818</v>
      </c>
    </row>
    <row r="763" spans="2:7">
      <c r="B763" s="835" t="str">
        <f>'MAQUINARIA Y EQUIPOS'!$C$65</f>
        <v>COMPACTADOR DE LLANTAS</v>
      </c>
      <c r="C763" s="836"/>
      <c r="D763" s="37">
        <v>1</v>
      </c>
      <c r="E763" s="82">
        <f>'MAQUINARIA Y EQUIPOS'!$D$65</f>
        <v>135000</v>
      </c>
      <c r="F763" s="435">
        <v>13.75</v>
      </c>
      <c r="G763" s="436">
        <f>ROUND(D763*E763/F763,0)</f>
        <v>9818</v>
      </c>
    </row>
    <row r="764" spans="2:7">
      <c r="B764" s="835" t="s">
        <v>841</v>
      </c>
      <c r="C764" s="836"/>
      <c r="D764" s="37"/>
      <c r="E764" s="82"/>
      <c r="F764" s="435"/>
      <c r="G764" s="111"/>
    </row>
    <row r="765" spans="2:7" ht="13.5" thickBot="1">
      <c r="B765" s="839" t="s">
        <v>841</v>
      </c>
      <c r="C765" s="840"/>
      <c r="D765" s="77"/>
      <c r="E765" s="106"/>
      <c r="F765" s="437"/>
      <c r="G765" s="112"/>
    </row>
    <row r="766" spans="2:7" ht="14.25" thickTop="1" thickBot="1">
      <c r="B766" s="808"/>
      <c r="C766" s="808"/>
      <c r="D766" s="808"/>
      <c r="E766" s="809"/>
      <c r="F766" s="438" t="s">
        <v>856</v>
      </c>
      <c r="G766" s="118">
        <f>SUM(G760:G765)</f>
        <v>29613</v>
      </c>
    </row>
    <row r="767" spans="2:7" ht="14.25" thickTop="1" thickBot="1">
      <c r="B767" s="830"/>
      <c r="C767" s="830"/>
      <c r="D767" s="830"/>
      <c r="E767" s="830"/>
      <c r="F767" s="830"/>
      <c r="G767" s="830"/>
    </row>
    <row r="768" spans="2:7" ht="13.5" thickTop="1">
      <c r="B768" s="811" t="s">
        <v>311</v>
      </c>
      <c r="C768" s="812"/>
      <c r="D768" s="812"/>
      <c r="E768" s="812"/>
      <c r="F768" s="812"/>
      <c r="G768" s="825"/>
    </row>
    <row r="769" spans="2:8">
      <c r="B769" s="817" t="s">
        <v>838</v>
      </c>
      <c r="C769" s="818"/>
      <c r="D769" s="98" t="s">
        <v>842</v>
      </c>
      <c r="E769" s="98" t="s">
        <v>853</v>
      </c>
      <c r="F769" s="99" t="s">
        <v>1047</v>
      </c>
      <c r="G769" s="107" t="s">
        <v>840</v>
      </c>
    </row>
    <row r="770" spans="2:8">
      <c r="B770" s="230"/>
      <c r="C770" s="102"/>
      <c r="D770" s="100"/>
      <c r="E770" s="100" t="s">
        <v>312</v>
      </c>
      <c r="F770" s="101" t="s">
        <v>313</v>
      </c>
      <c r="G770" s="108" t="s">
        <v>314</v>
      </c>
    </row>
    <row r="771" spans="2:8" ht="54.75" customHeight="1">
      <c r="B771" s="1060" t="str">
        <f>MATERIALES2!C932</f>
        <v>MEZCLA ASFALTICA MDC-1 CON ASFALTO CON POLIMEROS REDUCTORES DE LA SUCEPTIBILIDAD TERMICA</v>
      </c>
      <c r="C771" s="1061"/>
      <c r="D771" s="442" t="s">
        <v>669</v>
      </c>
      <c r="E771" s="442">
        <v>1.2</v>
      </c>
      <c r="F771" s="80">
        <f>MATERIALES2!E932</f>
        <v>295000</v>
      </c>
      <c r="G771" s="445">
        <f>F771*E771</f>
        <v>354000</v>
      </c>
    </row>
    <row r="772" spans="2:8">
      <c r="B772" s="938"/>
      <c r="C772" s="939"/>
      <c r="D772" s="88"/>
      <c r="E772" s="53"/>
      <c r="F772" s="82"/>
      <c r="G772" s="111"/>
    </row>
    <row r="773" spans="2:8">
      <c r="B773" s="835"/>
      <c r="C773" s="836"/>
      <c r="D773" s="37"/>
      <c r="E773" s="55"/>
      <c r="F773" s="82"/>
      <c r="G773" s="111"/>
    </row>
    <row r="774" spans="2:8">
      <c r="B774" s="835"/>
      <c r="C774" s="836"/>
      <c r="D774" s="37"/>
      <c r="E774" s="55"/>
      <c r="F774" s="82"/>
      <c r="G774" s="111"/>
    </row>
    <row r="775" spans="2:8">
      <c r="B775" s="837"/>
      <c r="C775" s="838"/>
      <c r="D775" s="37"/>
      <c r="E775" s="55"/>
      <c r="F775" s="82"/>
      <c r="G775" s="111"/>
    </row>
    <row r="776" spans="2:8">
      <c r="B776" s="837"/>
      <c r="C776" s="838"/>
      <c r="D776" s="53" t="s">
        <v>841</v>
      </c>
      <c r="E776" s="53"/>
      <c r="F776" s="82"/>
      <c r="G776" s="111"/>
    </row>
    <row r="777" spans="2:8">
      <c r="B777" s="837" t="s">
        <v>841</v>
      </c>
      <c r="C777" s="838"/>
      <c r="D777" s="53" t="s">
        <v>841</v>
      </c>
      <c r="E777" s="53"/>
      <c r="F777" s="82"/>
      <c r="G777" s="111"/>
    </row>
    <row r="778" spans="2:8">
      <c r="B778" s="837" t="s">
        <v>841</v>
      </c>
      <c r="C778" s="838"/>
      <c r="D778" s="53" t="s">
        <v>841</v>
      </c>
      <c r="E778" s="53"/>
      <c r="F778" s="82"/>
      <c r="G778" s="111"/>
      <c r="H778" s="514" t="s">
        <v>1670</v>
      </c>
    </row>
    <row r="779" spans="2:8" ht="13.5" thickBot="1">
      <c r="B779" s="839" t="s">
        <v>841</v>
      </c>
      <c r="C779" s="840"/>
      <c r="D779" s="84" t="s">
        <v>841</v>
      </c>
      <c r="E779" s="84"/>
      <c r="F779" s="85"/>
      <c r="G779" s="112"/>
    </row>
    <row r="780" spans="2:8" ht="13.5" thickTop="1">
      <c r="B780" s="808"/>
      <c r="C780" s="809"/>
      <c r="D780" s="801" t="s">
        <v>856</v>
      </c>
      <c r="E780" s="802"/>
      <c r="F780" s="9"/>
      <c r="G780" s="113">
        <f>SUM(G771:G779)</f>
        <v>354000</v>
      </c>
    </row>
    <row r="781" spans="2:8">
      <c r="B781" s="819"/>
      <c r="C781" s="820"/>
      <c r="D781" s="801" t="s">
        <v>857</v>
      </c>
      <c r="E781" s="802"/>
      <c r="F781" s="79"/>
      <c r="G781" s="113">
        <f>ROUND(G780*F781,0)</f>
        <v>0</v>
      </c>
    </row>
    <row r="782" spans="2:8" ht="13.5" thickBot="1">
      <c r="B782" s="819"/>
      <c r="C782" s="820"/>
      <c r="D782" s="803" t="s">
        <v>320</v>
      </c>
      <c r="E782" s="804"/>
      <c r="F782" s="114"/>
      <c r="G782" s="118">
        <f>+G780+G781</f>
        <v>354000</v>
      </c>
    </row>
    <row r="783" spans="2:8" ht="14.25" thickTop="1" thickBot="1">
      <c r="B783" s="830"/>
      <c r="C783" s="830"/>
      <c r="D783" s="830"/>
      <c r="E783" s="830"/>
      <c r="F783" s="830"/>
      <c r="G783" s="830"/>
    </row>
    <row r="784" spans="2:8" ht="13.5" thickTop="1">
      <c r="B784" s="811" t="s">
        <v>858</v>
      </c>
      <c r="C784" s="812"/>
      <c r="D784" s="812"/>
      <c r="E784" s="812"/>
      <c r="F784" s="812"/>
      <c r="G784" s="825"/>
    </row>
    <row r="785" spans="2:7">
      <c r="B785" s="817"/>
      <c r="C785" s="818"/>
      <c r="D785" s="98" t="s">
        <v>301</v>
      </c>
      <c r="E785" s="98" t="s">
        <v>859</v>
      </c>
      <c r="F785" s="99" t="s">
        <v>839</v>
      </c>
      <c r="G785" s="107" t="s">
        <v>840</v>
      </c>
    </row>
    <row r="786" spans="2:7">
      <c r="B786" s="821" t="s">
        <v>838</v>
      </c>
      <c r="C786" s="822"/>
      <c r="D786" s="100" t="s">
        <v>316</v>
      </c>
      <c r="E786" s="100" t="s">
        <v>315</v>
      </c>
      <c r="F786" s="101" t="s">
        <v>306</v>
      </c>
      <c r="G786" s="108" t="s">
        <v>319</v>
      </c>
    </row>
    <row r="787" spans="2:7">
      <c r="B787" s="230"/>
      <c r="C787" s="102"/>
      <c r="D787" s="103"/>
      <c r="E787" s="103" t="s">
        <v>317</v>
      </c>
      <c r="F787" s="104" t="s">
        <v>318</v>
      </c>
      <c r="G787" s="109"/>
    </row>
    <row r="788" spans="2:7">
      <c r="B788" s="823" t="str">
        <f>'MANO DE OBRA'!$B$15</f>
        <v xml:space="preserve">OFICIAL CUAD. TIPO AA </v>
      </c>
      <c r="C788" s="824"/>
      <c r="D788" s="87">
        <v>1</v>
      </c>
      <c r="E788" s="80">
        <f>'MANO DE OBRA'!$E$15</f>
        <v>71474</v>
      </c>
      <c r="F788" s="444">
        <v>110</v>
      </c>
      <c r="G788" s="110">
        <f>ROUND(D788*E788/F788,0)</f>
        <v>650</v>
      </c>
    </row>
    <row r="789" spans="2:7">
      <c r="B789" s="835" t="str">
        <f>'MANO DE OBRA'!$B$10</f>
        <v>AYUDANTE CUAD. TIPO AA</v>
      </c>
      <c r="C789" s="836"/>
      <c r="D789" s="37">
        <v>6</v>
      </c>
      <c r="E789" s="82">
        <f>'MANO DE OBRA'!$E$10</f>
        <v>34680</v>
      </c>
      <c r="F789" s="83">
        <v>110</v>
      </c>
      <c r="G789" s="111">
        <f>ROUND(D789*E789/F789,0)</f>
        <v>1892</v>
      </c>
    </row>
    <row r="790" spans="2:7">
      <c r="B790" s="835" t="str">
        <f>'MANO DE OBRA'!$B$37</f>
        <v>RASTRILLERO</v>
      </c>
      <c r="C790" s="836"/>
      <c r="D790" s="37">
        <v>2</v>
      </c>
      <c r="E790" s="82">
        <f>'MANO DE OBRA'!$E$37</f>
        <v>34680</v>
      </c>
      <c r="F790" s="83">
        <v>110</v>
      </c>
      <c r="G790" s="111">
        <f>ROUND(D790*E790/F790,0)</f>
        <v>631</v>
      </c>
    </row>
    <row r="791" spans="2:7">
      <c r="B791" s="835" t="s">
        <v>841</v>
      </c>
      <c r="C791" s="836"/>
      <c r="D791" s="37"/>
      <c r="E791" s="82"/>
      <c r="F791" s="83"/>
      <c r="G791" s="111"/>
    </row>
    <row r="792" spans="2:7" ht="13.5" thickBot="1">
      <c r="B792" s="828" t="s">
        <v>841</v>
      </c>
      <c r="C792" s="829"/>
      <c r="D792" s="77"/>
      <c r="E792" s="82"/>
      <c r="F792" s="86"/>
      <c r="G792" s="112"/>
    </row>
    <row r="793" spans="2:7" ht="14.25" thickTop="1" thickBot="1">
      <c r="B793" s="808"/>
      <c r="C793" s="808"/>
      <c r="D793" s="808"/>
      <c r="E793" s="809"/>
      <c r="F793" s="120" t="s">
        <v>856</v>
      </c>
      <c r="G793" s="118">
        <f>SUM(G788:G792)</f>
        <v>3173</v>
      </c>
    </row>
    <row r="794" spans="2:7" ht="14.25" thickTop="1" thickBot="1">
      <c r="B794" s="810"/>
      <c r="C794" s="810"/>
      <c r="D794" s="810"/>
      <c r="E794" s="810"/>
      <c r="F794" s="810"/>
      <c r="G794" s="810"/>
    </row>
    <row r="795" spans="2:7" ht="13.5" thickTop="1">
      <c r="B795" s="811" t="s">
        <v>321</v>
      </c>
      <c r="C795" s="812"/>
      <c r="D795" s="812"/>
      <c r="E795" s="812"/>
      <c r="F795" s="812"/>
      <c r="G795" s="825"/>
    </row>
    <row r="796" spans="2:7">
      <c r="B796" s="817" t="s">
        <v>838</v>
      </c>
      <c r="C796" s="818"/>
      <c r="D796" s="98" t="s">
        <v>301</v>
      </c>
      <c r="E796" s="98" t="s">
        <v>297</v>
      </c>
      <c r="F796" s="99" t="s">
        <v>839</v>
      </c>
      <c r="G796" s="107" t="s">
        <v>840</v>
      </c>
    </row>
    <row r="797" spans="2:7">
      <c r="B797" s="230"/>
      <c r="C797" s="102"/>
      <c r="D797" s="103" t="s">
        <v>322</v>
      </c>
      <c r="E797" s="103" t="s">
        <v>323</v>
      </c>
      <c r="F797" s="104" t="s">
        <v>324</v>
      </c>
      <c r="G797" s="109" t="s">
        <v>325</v>
      </c>
    </row>
    <row r="798" spans="2:7">
      <c r="B798" s="826" t="str">
        <f>'MAQUINARIA Y EQUIPOS'!$C$60</f>
        <v>VOLQUETA</v>
      </c>
      <c r="C798" s="827"/>
      <c r="D798" s="96">
        <v>1</v>
      </c>
      <c r="E798" s="449">
        <f>'MAQUINARIA Y EQUIPOS'!$D$60</f>
        <v>57800</v>
      </c>
      <c r="F798" s="96">
        <v>1</v>
      </c>
      <c r="G798" s="448">
        <f>F798*E798*D798</f>
        <v>57800</v>
      </c>
    </row>
    <row r="799" spans="2:7" ht="13.5" thickBot="1">
      <c r="B799" s="828" t="s">
        <v>841</v>
      </c>
      <c r="C799" s="829"/>
      <c r="D799" s="77"/>
      <c r="E799" s="82"/>
      <c r="F799" s="86"/>
      <c r="G799" s="112"/>
    </row>
    <row r="800" spans="2:7" ht="14.25" thickTop="1" thickBot="1">
      <c r="B800" s="808"/>
      <c r="C800" s="808"/>
      <c r="D800" s="808"/>
      <c r="E800" s="809"/>
      <c r="F800" s="120" t="s">
        <v>856</v>
      </c>
      <c r="G800" s="118">
        <f>SUM(G795:G799)</f>
        <v>57800</v>
      </c>
    </row>
    <row r="801" spans="2:8" ht="14.25" thickTop="1" thickBot="1">
      <c r="B801" s="810"/>
      <c r="C801" s="810"/>
      <c r="D801" s="810"/>
      <c r="E801" s="810"/>
      <c r="F801" s="810"/>
      <c r="G801" s="834"/>
    </row>
    <row r="802" spans="2:8" ht="13.5" thickTop="1">
      <c r="B802" s="811" t="s">
        <v>326</v>
      </c>
      <c r="C802" s="812"/>
      <c r="D802" s="812"/>
      <c r="E802" s="812"/>
      <c r="F802" s="813"/>
      <c r="G802" s="121">
        <f>+G766+G782+G793+G800</f>
        <v>444586</v>
      </c>
    </row>
    <row r="803" spans="2:8">
      <c r="B803" s="814" t="s">
        <v>861</v>
      </c>
      <c r="C803" s="815"/>
      <c r="D803" s="815"/>
      <c r="E803" s="816"/>
      <c r="F803" s="128">
        <f>'[1]MANO DE OBRA'!$D$59</f>
        <v>0</v>
      </c>
      <c r="G803" s="122">
        <f>ROUND(G802*F803,0)</f>
        <v>0</v>
      </c>
    </row>
    <row r="804" spans="2:8" ht="13.5" thickBot="1">
      <c r="B804" s="805" t="s">
        <v>1049</v>
      </c>
      <c r="C804" s="806"/>
      <c r="D804" s="806"/>
      <c r="E804" s="806"/>
      <c r="F804" s="807"/>
      <c r="G804" s="118">
        <f>ROUND(G802+G803,-2)</f>
        <v>444600</v>
      </c>
      <c r="H804" s="514" t="s">
        <v>1670</v>
      </c>
    </row>
    <row r="805" spans="2:8" ht="13.5" thickTop="1">
      <c r="B805" s="423" t="s">
        <v>303</v>
      </c>
      <c r="C805" s="1064"/>
      <c r="D805" s="1064"/>
      <c r="E805" s="1064"/>
      <c r="F805" s="424" t="s">
        <v>781</v>
      </c>
      <c r="G805" s="441" t="s">
        <v>669</v>
      </c>
    </row>
    <row r="806" spans="2:8">
      <c r="B806" s="427" t="s">
        <v>834</v>
      </c>
      <c r="C806" s="1065" t="s">
        <v>1619</v>
      </c>
      <c r="D806" s="1065"/>
      <c r="E806" s="1065"/>
      <c r="F806" s="428" t="s">
        <v>833</v>
      </c>
      <c r="G806" s="429" t="str">
        <f>'MANO DE OBRA'!$D$61</f>
        <v>Agosto de 2010</v>
      </c>
    </row>
    <row r="807" spans="2:8" ht="24" customHeight="1" thickBot="1">
      <c r="B807" s="431" t="s">
        <v>835</v>
      </c>
      <c r="C807" s="1084" t="s">
        <v>1645</v>
      </c>
      <c r="D807" s="1085"/>
      <c r="E807" s="1085"/>
      <c r="F807" s="1085"/>
      <c r="G807" s="1086"/>
    </row>
    <row r="808" spans="2:8" ht="14.25" thickTop="1" thickBot="1">
      <c r="B808" s="1068"/>
      <c r="C808" s="1068"/>
      <c r="D808" s="1068"/>
      <c r="E808" s="1068"/>
      <c r="F808" s="1068"/>
      <c r="G808" s="1068"/>
    </row>
    <row r="809" spans="2:8" ht="13.5" thickTop="1">
      <c r="B809" s="811" t="s">
        <v>304</v>
      </c>
      <c r="C809" s="812"/>
      <c r="D809" s="812"/>
      <c r="E809" s="812"/>
      <c r="F809" s="812"/>
      <c r="G809" s="825"/>
    </row>
    <row r="810" spans="2:8">
      <c r="B810" s="229"/>
      <c r="C810" s="97"/>
      <c r="D810" s="98" t="s">
        <v>301</v>
      </c>
      <c r="E810" s="98" t="s">
        <v>1072</v>
      </c>
      <c r="F810" s="99" t="s">
        <v>839</v>
      </c>
      <c r="G810" s="107" t="s">
        <v>840</v>
      </c>
    </row>
    <row r="811" spans="2:8">
      <c r="B811" s="821" t="s">
        <v>838</v>
      </c>
      <c r="C811" s="822"/>
      <c r="D811" s="100" t="s">
        <v>308</v>
      </c>
      <c r="E811" s="100" t="s">
        <v>305</v>
      </c>
      <c r="F811" s="101" t="s">
        <v>306</v>
      </c>
      <c r="G811" s="108" t="s">
        <v>310</v>
      </c>
    </row>
    <row r="812" spans="2:8">
      <c r="B812" s="230"/>
      <c r="C812" s="102"/>
      <c r="D812" s="103"/>
      <c r="E812" s="103" t="s">
        <v>309</v>
      </c>
      <c r="F812" s="104" t="s">
        <v>307</v>
      </c>
      <c r="G812" s="109"/>
    </row>
    <row r="813" spans="2:8">
      <c r="B813" s="823" t="str">
        <f>'MAQUINARIA Y EQUIPOS'!$C$28</f>
        <v>HERRAMIENTAS MENORES</v>
      </c>
      <c r="C813" s="824"/>
      <c r="D813" s="87">
        <v>1</v>
      </c>
      <c r="E813" s="82">
        <f>ROUND(G846*0.05,0)</f>
        <v>171</v>
      </c>
      <c r="F813" s="447">
        <v>1</v>
      </c>
      <c r="G813" s="110">
        <f>ROUND(D813*E813/F813,0)</f>
        <v>171</v>
      </c>
    </row>
    <row r="814" spans="2:8">
      <c r="B814" s="835" t="str">
        <f>'MAQUINARIA Y EQUIPOS'!$C$59</f>
        <v xml:space="preserve">FINISHER </v>
      </c>
      <c r="C814" s="836"/>
      <c r="D814" s="37">
        <v>1</v>
      </c>
      <c r="E814" s="82">
        <f>'MAQUINARIA Y EQUIPOS'!$D$59</f>
        <v>135000</v>
      </c>
      <c r="F814" s="435">
        <v>12.5</v>
      </c>
      <c r="G814" s="436">
        <f>ROUND(D814*E814/F814,0)</f>
        <v>10800</v>
      </c>
    </row>
    <row r="815" spans="2:8">
      <c r="B815" s="835" t="str">
        <f>'MAQUINARIA Y EQUIPOS'!$C$64</f>
        <v>VIBROCOMPACTADOR</v>
      </c>
      <c r="C815" s="836"/>
      <c r="D815" s="37">
        <v>1</v>
      </c>
      <c r="E815" s="82">
        <f>'MAQUINARIA Y EQUIPOS'!D64</f>
        <v>135000</v>
      </c>
      <c r="F815" s="435">
        <v>12.5</v>
      </c>
      <c r="G815" s="436">
        <f>ROUND(D815*E815/F815,0)</f>
        <v>10800</v>
      </c>
    </row>
    <row r="816" spans="2:8">
      <c r="B816" s="835" t="str">
        <f>'MAQUINARIA Y EQUIPOS'!$C$65</f>
        <v>COMPACTADOR DE LLANTAS</v>
      </c>
      <c r="C816" s="836"/>
      <c r="D816" s="37">
        <v>1</v>
      </c>
      <c r="E816" s="82">
        <f>'MAQUINARIA Y EQUIPOS'!$D$65</f>
        <v>135000</v>
      </c>
      <c r="F816" s="435">
        <v>12.5</v>
      </c>
      <c r="G816" s="436">
        <f>ROUND(D816*E816/F816,0)</f>
        <v>10800</v>
      </c>
    </row>
    <row r="817" spans="2:8">
      <c r="B817" s="835" t="s">
        <v>841</v>
      </c>
      <c r="C817" s="836"/>
      <c r="D817" s="37"/>
      <c r="E817" s="82"/>
      <c r="F817" s="435"/>
      <c r="G817" s="111"/>
    </row>
    <row r="818" spans="2:8" ht="13.5" thickBot="1">
      <c r="B818" s="839" t="s">
        <v>841</v>
      </c>
      <c r="C818" s="840"/>
      <c r="D818" s="77"/>
      <c r="E818" s="106"/>
      <c r="F818" s="437"/>
      <c r="G818" s="112"/>
    </row>
    <row r="819" spans="2:8" ht="14.25" thickTop="1" thickBot="1">
      <c r="B819" s="808"/>
      <c r="C819" s="808"/>
      <c r="D819" s="808"/>
      <c r="E819" s="809"/>
      <c r="F819" s="438" t="s">
        <v>856</v>
      </c>
      <c r="G819" s="118">
        <f>SUM(G813:G818)</f>
        <v>32571</v>
      </c>
    </row>
    <row r="820" spans="2:8" ht="14.25" thickTop="1" thickBot="1">
      <c r="B820" s="830"/>
      <c r="C820" s="830"/>
      <c r="D820" s="830"/>
      <c r="E820" s="830"/>
      <c r="F820" s="830"/>
      <c r="G820" s="830"/>
    </row>
    <row r="821" spans="2:8" ht="13.5" thickTop="1">
      <c r="B821" s="811" t="s">
        <v>311</v>
      </c>
      <c r="C821" s="812"/>
      <c r="D821" s="812"/>
      <c r="E821" s="812"/>
      <c r="F821" s="812"/>
      <c r="G821" s="825"/>
    </row>
    <row r="822" spans="2:8">
      <c r="B822" s="817" t="s">
        <v>838</v>
      </c>
      <c r="C822" s="818"/>
      <c r="D822" s="98" t="s">
        <v>842</v>
      </c>
      <c r="E822" s="98" t="s">
        <v>853</v>
      </c>
      <c r="F822" s="99" t="s">
        <v>1047</v>
      </c>
      <c r="G822" s="107" t="s">
        <v>840</v>
      </c>
    </row>
    <row r="823" spans="2:8">
      <c r="B823" s="230"/>
      <c r="C823" s="102"/>
      <c r="D823" s="100"/>
      <c r="E823" s="100" t="s">
        <v>312</v>
      </c>
      <c r="F823" s="101" t="s">
        <v>313</v>
      </c>
      <c r="G823" s="108" t="s">
        <v>314</v>
      </c>
    </row>
    <row r="824" spans="2:8" ht="56.25" customHeight="1">
      <c r="B824" s="1060" t="str">
        <f>MATERIALES2!C933</f>
        <v>MEZCLA ASFALTICA MDC-2 CON ASFALTO CON POLIMEROS REDUCTORES DE LA SUCEPTIBILIDAD TERMICA</v>
      </c>
      <c r="C824" s="1061"/>
      <c r="D824" s="442" t="s">
        <v>669</v>
      </c>
      <c r="E824" s="442">
        <v>1.2</v>
      </c>
      <c r="F824" s="80">
        <f>MATERIALES2!E933</f>
        <v>295000</v>
      </c>
      <c r="G824" s="445">
        <f>F824*E824</f>
        <v>354000</v>
      </c>
    </row>
    <row r="825" spans="2:8">
      <c r="B825" s="246"/>
      <c r="C825" s="124"/>
      <c r="D825" s="88"/>
      <c r="E825" s="53"/>
      <c r="F825" s="82"/>
      <c r="G825" s="111"/>
    </row>
    <row r="826" spans="2:8">
      <c r="B826" s="835"/>
      <c r="C826" s="836"/>
      <c r="D826" s="37"/>
      <c r="E826" s="55"/>
      <c r="F826" s="82"/>
      <c r="G826" s="111"/>
    </row>
    <row r="827" spans="2:8">
      <c r="B827" s="835"/>
      <c r="C827" s="836"/>
      <c r="D827" s="37"/>
      <c r="E827" s="55"/>
      <c r="F827" s="82"/>
      <c r="G827" s="111"/>
    </row>
    <row r="828" spans="2:8">
      <c r="B828" s="837"/>
      <c r="C828" s="838"/>
      <c r="D828" s="37"/>
      <c r="E828" s="55"/>
      <c r="F828" s="82"/>
      <c r="G828" s="111"/>
    </row>
    <row r="829" spans="2:8">
      <c r="B829" s="837"/>
      <c r="C829" s="838"/>
      <c r="D829" s="53" t="s">
        <v>841</v>
      </c>
      <c r="E829" s="53"/>
      <c r="F829" s="82"/>
      <c r="G829" s="111"/>
    </row>
    <row r="830" spans="2:8">
      <c r="B830" s="837" t="s">
        <v>841</v>
      </c>
      <c r="C830" s="838"/>
      <c r="D830" s="53" t="s">
        <v>841</v>
      </c>
      <c r="E830" s="53"/>
      <c r="F830" s="82"/>
      <c r="G830" s="111"/>
    </row>
    <row r="831" spans="2:8">
      <c r="B831" s="837" t="s">
        <v>841</v>
      </c>
      <c r="C831" s="838"/>
      <c r="D831" s="53" t="s">
        <v>841</v>
      </c>
      <c r="E831" s="53"/>
      <c r="F831" s="82"/>
      <c r="G831" s="111"/>
      <c r="H831" s="514" t="s">
        <v>1670</v>
      </c>
    </row>
    <row r="832" spans="2:8" ht="13.5" thickBot="1">
      <c r="B832" s="839" t="s">
        <v>841</v>
      </c>
      <c r="C832" s="840"/>
      <c r="D832" s="84" t="s">
        <v>841</v>
      </c>
      <c r="E832" s="84"/>
      <c r="F832" s="85"/>
      <c r="G832" s="112"/>
    </row>
    <row r="833" spans="2:7" ht="13.5" thickTop="1">
      <c r="B833" s="808"/>
      <c r="C833" s="809"/>
      <c r="D833" s="801" t="s">
        <v>856</v>
      </c>
      <c r="E833" s="802"/>
      <c r="F833" s="9"/>
      <c r="G833" s="113">
        <f>SUM(G824:G832)</f>
        <v>354000</v>
      </c>
    </row>
    <row r="834" spans="2:7">
      <c r="B834" s="819"/>
      <c r="C834" s="820"/>
      <c r="D834" s="801" t="s">
        <v>857</v>
      </c>
      <c r="E834" s="802"/>
      <c r="F834" s="79"/>
      <c r="G834" s="113">
        <f>ROUND(G833*F834,0)</f>
        <v>0</v>
      </c>
    </row>
    <row r="835" spans="2:7" ht="13.5" thickBot="1">
      <c r="B835" s="819"/>
      <c r="C835" s="820"/>
      <c r="D835" s="803" t="s">
        <v>320</v>
      </c>
      <c r="E835" s="804"/>
      <c r="F835" s="114"/>
      <c r="G835" s="118">
        <f>+G833+G834</f>
        <v>354000</v>
      </c>
    </row>
    <row r="836" spans="2:7" ht="14.25" thickTop="1" thickBot="1">
      <c r="B836" s="830"/>
      <c r="C836" s="830"/>
      <c r="D836" s="830"/>
      <c r="E836" s="830"/>
      <c r="F836" s="830"/>
      <c r="G836" s="830"/>
    </row>
    <row r="837" spans="2:7" ht="13.5" thickTop="1">
      <c r="B837" s="811" t="s">
        <v>858</v>
      </c>
      <c r="C837" s="812"/>
      <c r="D837" s="812"/>
      <c r="E837" s="812"/>
      <c r="F837" s="812"/>
      <c r="G837" s="825"/>
    </row>
    <row r="838" spans="2:7">
      <c r="B838" s="817"/>
      <c r="C838" s="818"/>
      <c r="D838" s="98" t="s">
        <v>301</v>
      </c>
      <c r="E838" s="98" t="s">
        <v>859</v>
      </c>
      <c r="F838" s="99" t="s">
        <v>839</v>
      </c>
      <c r="G838" s="107" t="s">
        <v>840</v>
      </c>
    </row>
    <row r="839" spans="2:7">
      <c r="B839" s="821" t="s">
        <v>838</v>
      </c>
      <c r="C839" s="822"/>
      <c r="D839" s="100" t="s">
        <v>316</v>
      </c>
      <c r="E839" s="100" t="s">
        <v>315</v>
      </c>
      <c r="F839" s="101" t="s">
        <v>306</v>
      </c>
      <c r="G839" s="108" t="s">
        <v>319</v>
      </c>
    </row>
    <row r="840" spans="2:7">
      <c r="B840" s="230"/>
      <c r="C840" s="102"/>
      <c r="D840" s="103"/>
      <c r="E840" s="103" t="s">
        <v>317</v>
      </c>
      <c r="F840" s="104" t="s">
        <v>318</v>
      </c>
      <c r="G840" s="109"/>
    </row>
    <row r="841" spans="2:7">
      <c r="B841" s="823" t="str">
        <f>'MANO DE OBRA'!$B$15</f>
        <v xml:space="preserve">OFICIAL CUAD. TIPO AA </v>
      </c>
      <c r="C841" s="824"/>
      <c r="D841" s="87">
        <v>1</v>
      </c>
      <c r="E841" s="80">
        <f>'MANO DE OBRA'!$E$15</f>
        <v>71474</v>
      </c>
      <c r="F841" s="444">
        <v>100</v>
      </c>
      <c r="G841" s="110">
        <f>ROUND(D841*E841/F841,0)</f>
        <v>715</v>
      </c>
    </row>
    <row r="842" spans="2:7">
      <c r="B842" s="835" t="str">
        <f>'MANO DE OBRA'!$B$10</f>
        <v>AYUDANTE CUAD. TIPO AA</v>
      </c>
      <c r="C842" s="836"/>
      <c r="D842" s="37">
        <v>6</v>
      </c>
      <c r="E842" s="82">
        <f>'MANO DE OBRA'!$E$10</f>
        <v>34680</v>
      </c>
      <c r="F842" s="83">
        <v>100</v>
      </c>
      <c r="G842" s="111">
        <f>ROUND(D842*E842/F842,0)</f>
        <v>2081</v>
      </c>
    </row>
    <row r="843" spans="2:7">
      <c r="B843" s="835" t="str">
        <f>'MANO DE OBRA'!$B$37</f>
        <v>RASTRILLERO</v>
      </c>
      <c r="C843" s="836"/>
      <c r="D843" s="37">
        <v>2</v>
      </c>
      <c r="E843" s="82">
        <f>'MANO DE OBRA'!$E$37</f>
        <v>34680</v>
      </c>
      <c r="F843" s="83">
        <v>110</v>
      </c>
      <c r="G843" s="111">
        <f>ROUND(D843*E843/F843,0)</f>
        <v>631</v>
      </c>
    </row>
    <row r="844" spans="2:7">
      <c r="B844" s="835" t="s">
        <v>841</v>
      </c>
      <c r="C844" s="836"/>
      <c r="D844" s="37"/>
      <c r="E844" s="82"/>
      <c r="F844" s="83"/>
      <c r="G844" s="111"/>
    </row>
    <row r="845" spans="2:7" ht="13.5" thickBot="1">
      <c r="B845" s="828" t="s">
        <v>841</v>
      </c>
      <c r="C845" s="829"/>
      <c r="D845" s="77"/>
      <c r="E845" s="82"/>
      <c r="F845" s="86"/>
      <c r="G845" s="112"/>
    </row>
    <row r="846" spans="2:7" ht="14.25" thickTop="1" thickBot="1">
      <c r="B846" s="808"/>
      <c r="C846" s="808"/>
      <c r="D846" s="808"/>
      <c r="E846" s="809"/>
      <c r="F846" s="120" t="s">
        <v>856</v>
      </c>
      <c r="G846" s="118">
        <f>SUM(G841:G845)</f>
        <v>3427</v>
      </c>
    </row>
    <row r="847" spans="2:7" ht="14.25" thickTop="1" thickBot="1">
      <c r="B847" s="810"/>
      <c r="C847" s="810"/>
      <c r="D847" s="810"/>
      <c r="E847" s="810"/>
      <c r="F847" s="810"/>
      <c r="G847" s="810"/>
    </row>
    <row r="848" spans="2:7" ht="13.5" thickTop="1">
      <c r="B848" s="811" t="s">
        <v>321</v>
      </c>
      <c r="C848" s="812"/>
      <c r="D848" s="812"/>
      <c r="E848" s="812"/>
      <c r="F848" s="812"/>
      <c r="G848" s="825"/>
    </row>
    <row r="849" spans="2:8">
      <c r="B849" s="817" t="s">
        <v>838</v>
      </c>
      <c r="C849" s="818"/>
      <c r="D849" s="98" t="s">
        <v>301</v>
      </c>
      <c r="E849" s="98" t="s">
        <v>297</v>
      </c>
      <c r="F849" s="99" t="s">
        <v>839</v>
      </c>
      <c r="G849" s="107" t="s">
        <v>840</v>
      </c>
    </row>
    <row r="850" spans="2:8">
      <c r="B850" s="230"/>
      <c r="C850" s="102"/>
      <c r="D850" s="103" t="s">
        <v>322</v>
      </c>
      <c r="E850" s="103" t="s">
        <v>323</v>
      </c>
      <c r="F850" s="104" t="s">
        <v>324</v>
      </c>
      <c r="G850" s="109" t="s">
        <v>325</v>
      </c>
    </row>
    <row r="851" spans="2:8">
      <c r="B851" s="826" t="str">
        <f>'MAQUINARIA Y EQUIPOS'!$C$60</f>
        <v>VOLQUETA</v>
      </c>
      <c r="C851" s="827"/>
      <c r="D851" s="96">
        <v>1</v>
      </c>
      <c r="E851" s="449">
        <f>'MAQUINARIA Y EQUIPOS'!$D$60</f>
        <v>57800</v>
      </c>
      <c r="F851" s="96">
        <v>1</v>
      </c>
      <c r="G851" s="448">
        <f>F851*E851*D851</f>
        <v>57800</v>
      </c>
    </row>
    <row r="852" spans="2:8" ht="13.5" thickBot="1">
      <c r="B852" s="828" t="s">
        <v>841</v>
      </c>
      <c r="C852" s="829"/>
      <c r="D852" s="77"/>
      <c r="E852" s="82"/>
      <c r="F852" s="86"/>
      <c r="G852" s="112"/>
    </row>
    <row r="853" spans="2:8" ht="14.25" thickTop="1" thickBot="1">
      <c r="B853" s="808"/>
      <c r="C853" s="808"/>
      <c r="D853" s="808"/>
      <c r="E853" s="809"/>
      <c r="F853" s="120" t="s">
        <v>856</v>
      </c>
      <c r="G853" s="118">
        <f>SUM(G848:G852)</f>
        <v>57800</v>
      </c>
    </row>
    <row r="854" spans="2:8" ht="14.25" thickTop="1" thickBot="1">
      <c r="B854" s="810"/>
      <c r="C854" s="810"/>
      <c r="D854" s="810"/>
      <c r="E854" s="810"/>
      <c r="F854" s="810"/>
      <c r="G854" s="834"/>
    </row>
    <row r="855" spans="2:8" ht="13.5" thickTop="1">
      <c r="B855" s="811" t="s">
        <v>326</v>
      </c>
      <c r="C855" s="812"/>
      <c r="D855" s="812"/>
      <c r="E855" s="812"/>
      <c r="F855" s="813"/>
      <c r="G855" s="121">
        <f>+G819+G835+G846+G853</f>
        <v>447798</v>
      </c>
    </row>
    <row r="856" spans="2:8">
      <c r="B856" s="814" t="s">
        <v>861</v>
      </c>
      <c r="C856" s="815"/>
      <c r="D856" s="815"/>
      <c r="E856" s="816"/>
      <c r="F856" s="128">
        <f>'[1]MANO DE OBRA'!$D$59</f>
        <v>0</v>
      </c>
      <c r="G856" s="122">
        <f>ROUND(G855*F856,0)</f>
        <v>0</v>
      </c>
    </row>
    <row r="857" spans="2:8" ht="13.5" thickBot="1">
      <c r="B857" s="805" t="s">
        <v>1049</v>
      </c>
      <c r="C857" s="806"/>
      <c r="D857" s="806"/>
      <c r="E857" s="806"/>
      <c r="F857" s="807"/>
      <c r="G857" s="118">
        <f>ROUND(G855+G856,-2)</f>
        <v>447800</v>
      </c>
      <c r="H857" s="514" t="s">
        <v>1670</v>
      </c>
    </row>
    <row r="858" spans="2:8" ht="13.5" thickTop="1">
      <c r="B858" s="423" t="s">
        <v>303</v>
      </c>
      <c r="C858" s="1064"/>
      <c r="D858" s="1064"/>
      <c r="E858" s="1064"/>
      <c r="F858" s="424" t="s">
        <v>781</v>
      </c>
      <c r="G858" s="441" t="s">
        <v>868</v>
      </c>
    </row>
    <row r="859" spans="2:8">
      <c r="B859" s="427" t="s">
        <v>834</v>
      </c>
      <c r="C859" s="1065" t="s">
        <v>1619</v>
      </c>
      <c r="D859" s="1065"/>
      <c r="E859" s="1065"/>
      <c r="F859" s="428" t="s">
        <v>833</v>
      </c>
      <c r="G859" s="429" t="str">
        <f>'MANO DE OBRA'!$D$61</f>
        <v>Agosto de 2010</v>
      </c>
    </row>
    <row r="860" spans="2:8" ht="13.5" thickBot="1">
      <c r="B860" s="431" t="s">
        <v>835</v>
      </c>
      <c r="C860" s="1084" t="s">
        <v>1617</v>
      </c>
      <c r="D860" s="1085"/>
      <c r="E860" s="1085"/>
      <c r="F860" s="1085"/>
      <c r="G860" s="1086"/>
    </row>
    <row r="861" spans="2:8" ht="14.25" thickTop="1" thickBot="1">
      <c r="B861" s="1068"/>
      <c r="C861" s="1068"/>
      <c r="D861" s="1068"/>
      <c r="E861" s="1068"/>
      <c r="F861" s="1068"/>
      <c r="G861" s="1068"/>
    </row>
    <row r="862" spans="2:8" ht="13.5" thickTop="1">
      <c r="B862" s="811" t="s">
        <v>304</v>
      </c>
      <c r="C862" s="812"/>
      <c r="D862" s="812"/>
      <c r="E862" s="812"/>
      <c r="F862" s="812"/>
      <c r="G862" s="825"/>
    </row>
    <row r="863" spans="2:8">
      <c r="B863" s="229"/>
      <c r="C863" s="97"/>
      <c r="D863" s="98" t="s">
        <v>301</v>
      </c>
      <c r="E863" s="98" t="s">
        <v>1072</v>
      </c>
      <c r="F863" s="99" t="s">
        <v>839</v>
      </c>
      <c r="G863" s="107" t="s">
        <v>840</v>
      </c>
    </row>
    <row r="864" spans="2:8">
      <c r="B864" s="821" t="s">
        <v>838</v>
      </c>
      <c r="C864" s="822"/>
      <c r="D864" s="100" t="s">
        <v>308</v>
      </c>
      <c r="E864" s="100" t="s">
        <v>305</v>
      </c>
      <c r="F864" s="101" t="s">
        <v>306</v>
      </c>
      <c r="G864" s="108" t="s">
        <v>310</v>
      </c>
    </row>
    <row r="865" spans="2:7">
      <c r="B865" s="230"/>
      <c r="C865" s="102"/>
      <c r="D865" s="103"/>
      <c r="E865" s="103" t="s">
        <v>309</v>
      </c>
      <c r="F865" s="104" t="s">
        <v>307</v>
      </c>
      <c r="G865" s="109"/>
    </row>
    <row r="866" spans="2:7">
      <c r="B866" s="823" t="str">
        <f>'MAQUINARIA Y EQUIPOS'!$C$28</f>
        <v>HERRAMIENTAS MENORES</v>
      </c>
      <c r="C866" s="824"/>
      <c r="D866" s="87">
        <v>1</v>
      </c>
      <c r="E866" s="82">
        <f>ROUND(G898*0.05,0)</f>
        <v>18</v>
      </c>
      <c r="F866" s="447">
        <v>1</v>
      </c>
      <c r="G866" s="110">
        <f>ROUND(D866*E866/F866,0)</f>
        <v>18</v>
      </c>
    </row>
    <row r="867" spans="2:7">
      <c r="B867" s="835" t="str">
        <f>'MAQUINARIA Y EQUIPOS'!$C$62</f>
        <v>CARROTANQUE IRRIGADOR</v>
      </c>
      <c r="C867" s="836"/>
      <c r="D867" s="37">
        <v>1</v>
      </c>
      <c r="E867" s="82">
        <f>'MAQUINARIA Y EQUIPOS'!$D$62</f>
        <v>52500</v>
      </c>
      <c r="F867" s="435">
        <v>90</v>
      </c>
      <c r="G867" s="436">
        <f>ROUND(D867*E867/F867,0)</f>
        <v>583</v>
      </c>
    </row>
    <row r="868" spans="2:7">
      <c r="B868" s="835"/>
      <c r="C868" s="836"/>
      <c r="D868" s="37"/>
      <c r="E868" s="82"/>
      <c r="F868" s="435"/>
      <c r="G868" s="436"/>
    </row>
    <row r="869" spans="2:7">
      <c r="B869" s="835"/>
      <c r="C869" s="836"/>
      <c r="D869" s="37"/>
      <c r="E869" s="82"/>
      <c r="F869" s="435"/>
      <c r="G869" s="436"/>
    </row>
    <row r="870" spans="2:7">
      <c r="B870" s="835" t="s">
        <v>841</v>
      </c>
      <c r="C870" s="836"/>
      <c r="D870" s="37"/>
      <c r="E870" s="82"/>
      <c r="F870" s="435"/>
      <c r="G870" s="111"/>
    </row>
    <row r="871" spans="2:7" ht="13.5" thickBot="1">
      <c r="B871" s="839" t="s">
        <v>841</v>
      </c>
      <c r="C871" s="840"/>
      <c r="D871" s="77"/>
      <c r="E871" s="106"/>
      <c r="F871" s="437"/>
      <c r="G871" s="112"/>
    </row>
    <row r="872" spans="2:7" ht="14.25" thickTop="1" thickBot="1">
      <c r="B872" s="808"/>
      <c r="C872" s="808"/>
      <c r="D872" s="808"/>
      <c r="E872" s="809"/>
      <c r="F872" s="438" t="s">
        <v>856</v>
      </c>
      <c r="G872" s="118">
        <f>SUM(G866:G871)</f>
        <v>601</v>
      </c>
    </row>
    <row r="873" spans="2:7" ht="14.25" thickTop="1" thickBot="1">
      <c r="B873" s="830"/>
      <c r="C873" s="830"/>
      <c r="D873" s="830"/>
      <c r="E873" s="830"/>
      <c r="F873" s="830"/>
      <c r="G873" s="830"/>
    </row>
    <row r="874" spans="2:7" ht="13.5" thickTop="1">
      <c r="B874" s="811" t="s">
        <v>311</v>
      </c>
      <c r="C874" s="812"/>
      <c r="D874" s="812"/>
      <c r="E874" s="812"/>
      <c r="F874" s="812"/>
      <c r="G874" s="825"/>
    </row>
    <row r="875" spans="2:7">
      <c r="B875" s="817" t="s">
        <v>838</v>
      </c>
      <c r="C875" s="818"/>
      <c r="D875" s="98" t="s">
        <v>842</v>
      </c>
      <c r="E875" s="98" t="s">
        <v>853</v>
      </c>
      <c r="F875" s="99" t="s">
        <v>1047</v>
      </c>
      <c r="G875" s="107" t="s">
        <v>840</v>
      </c>
    </row>
    <row r="876" spans="2:7">
      <c r="B876" s="230"/>
      <c r="C876" s="102"/>
      <c r="D876" s="100"/>
      <c r="E876" s="100" t="s">
        <v>312</v>
      </c>
      <c r="F876" s="101" t="s">
        <v>313</v>
      </c>
      <c r="G876" s="108" t="s">
        <v>314</v>
      </c>
    </row>
    <row r="877" spans="2:7">
      <c r="B877" s="1060" t="str">
        <f>MATERIALES2!C934</f>
        <v>EMULSION DE ROMPIMENTO RAPIDO (CRR-1 O CRR-2)</v>
      </c>
      <c r="C877" s="1061"/>
      <c r="D877" s="442" t="s">
        <v>669</v>
      </c>
      <c r="E877" s="442">
        <v>0.6</v>
      </c>
      <c r="F877" s="80">
        <f>MATERIALES2!E934</f>
        <v>1599</v>
      </c>
      <c r="G877" s="445">
        <f>F877*E877</f>
        <v>959.4</v>
      </c>
    </row>
    <row r="878" spans="2:7">
      <c r="B878" s="246"/>
      <c r="C878" s="124"/>
      <c r="D878" s="88"/>
      <c r="E878" s="53"/>
      <c r="F878" s="82"/>
      <c r="G878" s="111"/>
    </row>
    <row r="879" spans="2:7">
      <c r="B879" s="835"/>
      <c r="C879" s="836"/>
      <c r="D879" s="37"/>
      <c r="E879" s="55"/>
      <c r="F879" s="82"/>
      <c r="G879" s="111"/>
    </row>
    <row r="880" spans="2:7">
      <c r="B880" s="835"/>
      <c r="C880" s="836"/>
      <c r="D880" s="37"/>
      <c r="E880" s="55"/>
      <c r="F880" s="82"/>
      <c r="G880" s="111"/>
    </row>
    <row r="881" spans="2:8">
      <c r="B881" s="837"/>
      <c r="C881" s="838"/>
      <c r="D881" s="37"/>
      <c r="E881" s="55"/>
      <c r="F881" s="82"/>
      <c r="G881" s="111"/>
    </row>
    <row r="882" spans="2:8">
      <c r="B882" s="837"/>
      <c r="C882" s="838"/>
      <c r="D882" s="53" t="s">
        <v>841</v>
      </c>
      <c r="E882" s="53"/>
      <c r="F882" s="82"/>
      <c r="G882" s="111"/>
    </row>
    <row r="883" spans="2:8">
      <c r="B883" s="837" t="s">
        <v>841</v>
      </c>
      <c r="C883" s="838"/>
      <c r="D883" s="53" t="s">
        <v>841</v>
      </c>
      <c r="E883" s="53"/>
      <c r="F883" s="82"/>
      <c r="G883" s="111"/>
    </row>
    <row r="884" spans="2:8">
      <c r="B884" s="837" t="s">
        <v>841</v>
      </c>
      <c r="C884" s="838"/>
      <c r="D884" s="53" t="s">
        <v>841</v>
      </c>
      <c r="E884" s="53"/>
      <c r="F884" s="82"/>
      <c r="G884" s="111"/>
      <c r="H884" s="514" t="s">
        <v>1670</v>
      </c>
    </row>
    <row r="885" spans="2:8" ht="13.5" thickBot="1">
      <c r="B885" s="839" t="s">
        <v>841</v>
      </c>
      <c r="C885" s="840"/>
      <c r="D885" s="84" t="s">
        <v>841</v>
      </c>
      <c r="E885" s="84"/>
      <c r="F885" s="85"/>
      <c r="G885" s="112"/>
    </row>
    <row r="886" spans="2:8" ht="13.5" thickTop="1">
      <c r="B886" s="808"/>
      <c r="C886" s="809"/>
      <c r="D886" s="801" t="s">
        <v>856</v>
      </c>
      <c r="E886" s="802"/>
      <c r="F886" s="9"/>
      <c r="G886" s="113">
        <f>SUM(G877:G885)</f>
        <v>959.4</v>
      </c>
    </row>
    <row r="887" spans="2:8">
      <c r="B887" s="819"/>
      <c r="C887" s="820"/>
      <c r="D887" s="801" t="s">
        <v>857</v>
      </c>
      <c r="E887" s="802"/>
      <c r="F887" s="79"/>
      <c r="G887" s="113">
        <f>ROUND(G886*F887,0)</f>
        <v>0</v>
      </c>
    </row>
    <row r="888" spans="2:8" ht="13.5" thickBot="1">
      <c r="B888" s="819"/>
      <c r="C888" s="820"/>
      <c r="D888" s="803" t="s">
        <v>320</v>
      </c>
      <c r="E888" s="804"/>
      <c r="F888" s="114"/>
      <c r="G888" s="118">
        <f>+G886+G887</f>
        <v>959.4</v>
      </c>
    </row>
    <row r="889" spans="2:8" ht="14.25" thickTop="1" thickBot="1">
      <c r="B889" s="830"/>
      <c r="C889" s="830"/>
      <c r="D889" s="830"/>
      <c r="E889" s="830"/>
      <c r="F889" s="830"/>
      <c r="G889" s="830"/>
    </row>
    <row r="890" spans="2:8" ht="13.5" thickTop="1">
      <c r="B890" s="811" t="s">
        <v>858</v>
      </c>
      <c r="C890" s="812"/>
      <c r="D890" s="812"/>
      <c r="E890" s="812"/>
      <c r="F890" s="812"/>
      <c r="G890" s="825"/>
    </row>
    <row r="891" spans="2:8">
      <c r="B891" s="817"/>
      <c r="C891" s="818"/>
      <c r="D891" s="98" t="s">
        <v>301</v>
      </c>
      <c r="E891" s="98" t="s">
        <v>859</v>
      </c>
      <c r="F891" s="99" t="s">
        <v>839</v>
      </c>
      <c r="G891" s="107" t="s">
        <v>840</v>
      </c>
    </row>
    <row r="892" spans="2:8">
      <c r="B892" s="821" t="s">
        <v>838</v>
      </c>
      <c r="C892" s="822"/>
      <c r="D892" s="100" t="s">
        <v>316</v>
      </c>
      <c r="E892" s="100" t="s">
        <v>315</v>
      </c>
      <c r="F892" s="101" t="s">
        <v>306</v>
      </c>
      <c r="G892" s="108" t="s">
        <v>319</v>
      </c>
    </row>
    <row r="893" spans="2:8">
      <c r="B893" s="230"/>
      <c r="C893" s="102"/>
      <c r="D893" s="103"/>
      <c r="E893" s="103" t="s">
        <v>317</v>
      </c>
      <c r="F893" s="104" t="s">
        <v>318</v>
      </c>
      <c r="G893" s="109"/>
    </row>
    <row r="894" spans="2:8">
      <c r="B894" s="823" t="str">
        <f>'MANO DE OBRA'!$B$15</f>
        <v xml:space="preserve">OFICIAL CUAD. TIPO AA </v>
      </c>
      <c r="C894" s="824"/>
      <c r="D894" s="87">
        <v>1</v>
      </c>
      <c r="E894" s="80">
        <f>'MANO DE OBRA'!$E$15</f>
        <v>71474</v>
      </c>
      <c r="F894" s="444">
        <v>300</v>
      </c>
      <c r="G894" s="110">
        <f>ROUND(D894*E894/F894,0)</f>
        <v>238</v>
      </c>
    </row>
    <row r="895" spans="2:8">
      <c r="B895" s="835" t="str">
        <f>'MANO DE OBRA'!$B$10</f>
        <v>AYUDANTE CUAD. TIPO AA</v>
      </c>
      <c r="C895" s="836"/>
      <c r="D895" s="37">
        <v>1</v>
      </c>
      <c r="E895" s="82">
        <f>'MANO DE OBRA'!$E$10</f>
        <v>34680</v>
      </c>
      <c r="F895" s="83">
        <v>300</v>
      </c>
      <c r="G895" s="111">
        <f>ROUND(D895*E895/F895,0)</f>
        <v>116</v>
      </c>
    </row>
    <row r="896" spans="2:8">
      <c r="B896" s="835" t="s">
        <v>841</v>
      </c>
      <c r="C896" s="836"/>
      <c r="D896" s="37"/>
      <c r="E896" s="82"/>
      <c r="F896" s="83"/>
      <c r="G896" s="111"/>
    </row>
    <row r="897" spans="2:8" ht="13.5" thickBot="1">
      <c r="B897" s="828" t="s">
        <v>841</v>
      </c>
      <c r="C897" s="829"/>
      <c r="D897" s="77"/>
      <c r="E897" s="82"/>
      <c r="F897" s="86"/>
      <c r="G897" s="112"/>
    </row>
    <row r="898" spans="2:8" ht="14.25" thickTop="1" thickBot="1">
      <c r="B898" s="808"/>
      <c r="C898" s="808"/>
      <c r="D898" s="808"/>
      <c r="E898" s="809"/>
      <c r="F898" s="120" t="s">
        <v>856</v>
      </c>
      <c r="G898" s="118">
        <f>SUM(G894:G897)</f>
        <v>354</v>
      </c>
    </row>
    <row r="899" spans="2:8" ht="14.25" thickTop="1" thickBot="1">
      <c r="B899" s="810"/>
      <c r="C899" s="810"/>
      <c r="D899" s="810"/>
      <c r="E899" s="810"/>
      <c r="F899" s="810"/>
      <c r="G899" s="810"/>
    </row>
    <row r="900" spans="2:8" ht="13.5" thickTop="1">
      <c r="B900" s="811" t="s">
        <v>321</v>
      </c>
      <c r="C900" s="812"/>
      <c r="D900" s="812"/>
      <c r="E900" s="812"/>
      <c r="F900" s="812"/>
      <c r="G900" s="825"/>
    </row>
    <row r="901" spans="2:8">
      <c r="B901" s="817" t="s">
        <v>838</v>
      </c>
      <c r="C901" s="818"/>
      <c r="D901" s="98" t="s">
        <v>301</v>
      </c>
      <c r="E901" s="98" t="s">
        <v>297</v>
      </c>
      <c r="F901" s="99" t="s">
        <v>839</v>
      </c>
      <c r="G901" s="107" t="s">
        <v>840</v>
      </c>
    </row>
    <row r="902" spans="2:8">
      <c r="B902" s="230"/>
      <c r="C902" s="102"/>
      <c r="D902" s="103" t="s">
        <v>322</v>
      </c>
      <c r="E902" s="103" t="s">
        <v>323</v>
      </c>
      <c r="F902" s="104" t="s">
        <v>324</v>
      </c>
      <c r="G902" s="109" t="s">
        <v>325</v>
      </c>
    </row>
    <row r="903" spans="2:8">
      <c r="B903" s="826"/>
      <c r="C903" s="827"/>
      <c r="D903" s="96"/>
      <c r="E903" s="449"/>
      <c r="F903" s="96"/>
      <c r="G903" s="448"/>
    </row>
    <row r="904" spans="2:8" ht="13.5" thickBot="1">
      <c r="B904" s="828" t="s">
        <v>841</v>
      </c>
      <c r="C904" s="829"/>
      <c r="D904" s="77"/>
      <c r="E904" s="82"/>
      <c r="F904" s="86"/>
      <c r="G904" s="112"/>
    </row>
    <row r="905" spans="2:8" ht="14.25" thickTop="1" thickBot="1">
      <c r="B905" s="808"/>
      <c r="C905" s="808"/>
      <c r="D905" s="808"/>
      <c r="E905" s="809"/>
      <c r="F905" s="120" t="s">
        <v>856</v>
      </c>
      <c r="G905" s="118">
        <f>SUM(G900:G904)</f>
        <v>0</v>
      </c>
    </row>
    <row r="906" spans="2:8" ht="14.25" thickTop="1" thickBot="1">
      <c r="B906" s="810"/>
      <c r="C906" s="810"/>
      <c r="D906" s="810"/>
      <c r="E906" s="810"/>
      <c r="F906" s="810"/>
      <c r="G906" s="834"/>
    </row>
    <row r="907" spans="2:8" ht="13.5" thickTop="1">
      <c r="B907" s="811" t="s">
        <v>326</v>
      </c>
      <c r="C907" s="812"/>
      <c r="D907" s="812"/>
      <c r="E907" s="812"/>
      <c r="F907" s="813"/>
      <c r="G907" s="121">
        <f>+G872+G888+G898+G905</f>
        <v>1914.4</v>
      </c>
    </row>
    <row r="908" spans="2:8">
      <c r="B908" s="814" t="s">
        <v>861</v>
      </c>
      <c r="C908" s="815"/>
      <c r="D908" s="815"/>
      <c r="E908" s="816"/>
      <c r="F908" s="128">
        <f>'[1]MANO DE OBRA'!$D$59</f>
        <v>0</v>
      </c>
      <c r="G908" s="122">
        <f>ROUND(G907*F908,0)</f>
        <v>0</v>
      </c>
    </row>
    <row r="909" spans="2:8" ht="13.5" thickBot="1">
      <c r="B909" s="805" t="s">
        <v>1049</v>
      </c>
      <c r="C909" s="806"/>
      <c r="D909" s="806"/>
      <c r="E909" s="806"/>
      <c r="F909" s="807"/>
      <c r="G909" s="118">
        <f>ROUND(G907+G908,-2)</f>
        <v>1900</v>
      </c>
      <c r="H909" s="514" t="s">
        <v>1670</v>
      </c>
    </row>
    <row r="910" spans="2:8" ht="13.5" thickTop="1"/>
  </sheetData>
  <mergeCells count="818">
    <mergeCell ref="B908:E908"/>
    <mergeCell ref="B909:F909"/>
    <mergeCell ref="B898:E898"/>
    <mergeCell ref="B899:G899"/>
    <mergeCell ref="D886:E886"/>
    <mergeCell ref="D887:E887"/>
    <mergeCell ref="D888:E888"/>
    <mergeCell ref="B889:G889"/>
    <mergeCell ref="B890:G890"/>
    <mergeCell ref="B900:G900"/>
    <mergeCell ref="B901:C901"/>
    <mergeCell ref="B903:C903"/>
    <mergeCell ref="B904:C904"/>
    <mergeCell ref="B905:E905"/>
    <mergeCell ref="B906:G906"/>
    <mergeCell ref="B907:F907"/>
    <mergeCell ref="B870:C870"/>
    <mergeCell ref="B871:C871"/>
    <mergeCell ref="B891:C891"/>
    <mergeCell ref="B892:C892"/>
    <mergeCell ref="B894:C894"/>
    <mergeCell ref="B895:C895"/>
    <mergeCell ref="B896:C896"/>
    <mergeCell ref="B886:C888"/>
    <mergeCell ref="B897:C897"/>
    <mergeCell ref="B885:C885"/>
    <mergeCell ref="B872:E872"/>
    <mergeCell ref="B873:G873"/>
    <mergeCell ref="B874:G874"/>
    <mergeCell ref="B875:C875"/>
    <mergeCell ref="B877:C877"/>
    <mergeCell ref="B879:C879"/>
    <mergeCell ref="B880:C880"/>
    <mergeCell ref="B881:C881"/>
    <mergeCell ref="B882:C882"/>
    <mergeCell ref="B883:C883"/>
    <mergeCell ref="B884:C884"/>
    <mergeCell ref="B867:C867"/>
    <mergeCell ref="B868:C868"/>
    <mergeCell ref="B869:C869"/>
    <mergeCell ref="B846:E846"/>
    <mergeCell ref="B847:G847"/>
    <mergeCell ref="B848:G848"/>
    <mergeCell ref="B849:C849"/>
    <mergeCell ref="B851:C851"/>
    <mergeCell ref="B852:C852"/>
    <mergeCell ref="B853:E853"/>
    <mergeCell ref="B854:G854"/>
    <mergeCell ref="B855:F855"/>
    <mergeCell ref="B856:E856"/>
    <mergeCell ref="B857:F857"/>
    <mergeCell ref="C858:E858"/>
    <mergeCell ref="C859:E859"/>
    <mergeCell ref="C860:G860"/>
    <mergeCell ref="B861:G861"/>
    <mergeCell ref="B862:G862"/>
    <mergeCell ref="B864:C864"/>
    <mergeCell ref="B866:C866"/>
    <mergeCell ref="B836:G836"/>
    <mergeCell ref="B837:G837"/>
    <mergeCell ref="B838:C838"/>
    <mergeCell ref="B839:C839"/>
    <mergeCell ref="B841:C841"/>
    <mergeCell ref="B842:C842"/>
    <mergeCell ref="B843:C843"/>
    <mergeCell ref="B844:C844"/>
    <mergeCell ref="B845:C845"/>
    <mergeCell ref="B828:C828"/>
    <mergeCell ref="B829:C829"/>
    <mergeCell ref="B830:C830"/>
    <mergeCell ref="B831:C831"/>
    <mergeCell ref="B832:C832"/>
    <mergeCell ref="B833:C835"/>
    <mergeCell ref="D833:E833"/>
    <mergeCell ref="D834:E834"/>
    <mergeCell ref="D835:E835"/>
    <mergeCell ref="B817:C817"/>
    <mergeCell ref="B818:C818"/>
    <mergeCell ref="B819:E819"/>
    <mergeCell ref="B820:G820"/>
    <mergeCell ref="B821:G821"/>
    <mergeCell ref="B822:C822"/>
    <mergeCell ref="B824:C824"/>
    <mergeCell ref="B826:C826"/>
    <mergeCell ref="B827:C827"/>
    <mergeCell ref="C806:E806"/>
    <mergeCell ref="C807:G807"/>
    <mergeCell ref="B808:G808"/>
    <mergeCell ref="B809:G809"/>
    <mergeCell ref="B811:C811"/>
    <mergeCell ref="B813:C813"/>
    <mergeCell ref="B814:C814"/>
    <mergeCell ref="B815:C815"/>
    <mergeCell ref="B816:C816"/>
    <mergeCell ref="B743:C743"/>
    <mergeCell ref="B745:C745"/>
    <mergeCell ref="B746:C746"/>
    <mergeCell ref="B747:E747"/>
    <mergeCell ref="B748:G748"/>
    <mergeCell ref="B749:F749"/>
    <mergeCell ref="B750:E750"/>
    <mergeCell ref="B751:F751"/>
    <mergeCell ref="C805:E805"/>
    <mergeCell ref="B760:C760"/>
    <mergeCell ref="B761:C761"/>
    <mergeCell ref="B762:C762"/>
    <mergeCell ref="B763:C763"/>
    <mergeCell ref="B764:C764"/>
    <mergeCell ref="B765:C765"/>
    <mergeCell ref="C752:E752"/>
    <mergeCell ref="C753:E753"/>
    <mergeCell ref="C754:G754"/>
    <mergeCell ref="B755:G755"/>
    <mergeCell ref="B756:G756"/>
    <mergeCell ref="B758:C758"/>
    <mergeCell ref="B774:C774"/>
    <mergeCell ref="B775:C775"/>
    <mergeCell ref="B776:C776"/>
    <mergeCell ref="B733:C733"/>
    <mergeCell ref="B735:C735"/>
    <mergeCell ref="B736:C736"/>
    <mergeCell ref="B737:C737"/>
    <mergeCell ref="B738:C738"/>
    <mergeCell ref="B739:C739"/>
    <mergeCell ref="B740:E740"/>
    <mergeCell ref="B741:G741"/>
    <mergeCell ref="B742:G742"/>
    <mergeCell ref="B697:E697"/>
    <mergeCell ref="B698:F698"/>
    <mergeCell ref="B727:C729"/>
    <mergeCell ref="D727:E727"/>
    <mergeCell ref="D728:E728"/>
    <mergeCell ref="D729:E729"/>
    <mergeCell ref="B730:G730"/>
    <mergeCell ref="B731:G731"/>
    <mergeCell ref="B732:C732"/>
    <mergeCell ref="B707:C707"/>
    <mergeCell ref="B708:C708"/>
    <mergeCell ref="B709:C709"/>
    <mergeCell ref="B710:C710"/>
    <mergeCell ref="B711:C711"/>
    <mergeCell ref="B712:C712"/>
    <mergeCell ref="C699:E699"/>
    <mergeCell ref="C700:E700"/>
    <mergeCell ref="C701:G701"/>
    <mergeCell ref="B702:G702"/>
    <mergeCell ref="B703:G703"/>
    <mergeCell ref="B705:C705"/>
    <mergeCell ref="B721:C721"/>
    <mergeCell ref="B722:C722"/>
    <mergeCell ref="B723:C723"/>
    <mergeCell ref="B687:E687"/>
    <mergeCell ref="B688:G688"/>
    <mergeCell ref="B689:G689"/>
    <mergeCell ref="B690:C690"/>
    <mergeCell ref="B692:C692"/>
    <mergeCell ref="B693:C693"/>
    <mergeCell ref="B694:E694"/>
    <mergeCell ref="B695:G695"/>
    <mergeCell ref="B696:F696"/>
    <mergeCell ref="B677:G677"/>
    <mergeCell ref="B678:G678"/>
    <mergeCell ref="B679:C679"/>
    <mergeCell ref="B680:C680"/>
    <mergeCell ref="B682:C682"/>
    <mergeCell ref="B683:C683"/>
    <mergeCell ref="B684:C684"/>
    <mergeCell ref="B685:C685"/>
    <mergeCell ref="B686:C686"/>
    <mergeCell ref="B668:C668"/>
    <mergeCell ref="B669:C669"/>
    <mergeCell ref="B670:C670"/>
    <mergeCell ref="B671:C671"/>
    <mergeCell ref="B672:C672"/>
    <mergeCell ref="B673:C673"/>
    <mergeCell ref="B674:C676"/>
    <mergeCell ref="D674:E674"/>
    <mergeCell ref="D675:E675"/>
    <mergeCell ref="D676:E676"/>
    <mergeCell ref="B657:C657"/>
    <mergeCell ref="B658:C658"/>
    <mergeCell ref="B659:C659"/>
    <mergeCell ref="B660:E660"/>
    <mergeCell ref="B661:G661"/>
    <mergeCell ref="B662:G662"/>
    <mergeCell ref="B663:C663"/>
    <mergeCell ref="B665:C665"/>
    <mergeCell ref="B667:C667"/>
    <mergeCell ref="B666:C666"/>
    <mergeCell ref="C646:E646"/>
    <mergeCell ref="C647:E647"/>
    <mergeCell ref="C648:G648"/>
    <mergeCell ref="B649:G649"/>
    <mergeCell ref="B650:G650"/>
    <mergeCell ref="B652:C652"/>
    <mergeCell ref="B654:C654"/>
    <mergeCell ref="B655:C655"/>
    <mergeCell ref="B656:C656"/>
    <mergeCell ref="B724:C724"/>
    <mergeCell ref="B725:C725"/>
    <mergeCell ref="B726:C726"/>
    <mergeCell ref="B713:E713"/>
    <mergeCell ref="B714:G714"/>
    <mergeCell ref="B715:G715"/>
    <mergeCell ref="B716:C716"/>
    <mergeCell ref="B718:C718"/>
    <mergeCell ref="B720:C720"/>
    <mergeCell ref="B636:G636"/>
    <mergeCell ref="B637:C637"/>
    <mergeCell ref="B639:C639"/>
    <mergeCell ref="B640:C640"/>
    <mergeCell ref="B641:E641"/>
    <mergeCell ref="B642:G642"/>
    <mergeCell ref="B643:F643"/>
    <mergeCell ref="B644:E644"/>
    <mergeCell ref="B645:F645"/>
    <mergeCell ref="B626:C626"/>
    <mergeCell ref="B627:C627"/>
    <mergeCell ref="B629:C629"/>
    <mergeCell ref="B630:C630"/>
    <mergeCell ref="B631:C631"/>
    <mergeCell ref="B632:C632"/>
    <mergeCell ref="B633:C633"/>
    <mergeCell ref="B634:E634"/>
    <mergeCell ref="B635:G635"/>
    <mergeCell ref="B618:C618"/>
    <mergeCell ref="B619:C619"/>
    <mergeCell ref="B620:C620"/>
    <mergeCell ref="B621:C623"/>
    <mergeCell ref="D621:E621"/>
    <mergeCell ref="D622:E622"/>
    <mergeCell ref="D623:E623"/>
    <mergeCell ref="B624:G624"/>
    <mergeCell ref="B625:G625"/>
    <mergeCell ref="B607:E607"/>
    <mergeCell ref="B608:G608"/>
    <mergeCell ref="B609:G609"/>
    <mergeCell ref="B610:C610"/>
    <mergeCell ref="B612:C612"/>
    <mergeCell ref="B614:C614"/>
    <mergeCell ref="B615:C615"/>
    <mergeCell ref="B616:C616"/>
    <mergeCell ref="B617:C617"/>
    <mergeCell ref="B596:G596"/>
    <mergeCell ref="B597:G597"/>
    <mergeCell ref="B599:C599"/>
    <mergeCell ref="B601:C601"/>
    <mergeCell ref="B602:C602"/>
    <mergeCell ref="B603:C603"/>
    <mergeCell ref="B604:C604"/>
    <mergeCell ref="B605:C605"/>
    <mergeCell ref="B606:C606"/>
    <mergeCell ref="C1:G1"/>
    <mergeCell ref="C2:G2"/>
    <mergeCell ref="C3:G3"/>
    <mergeCell ref="C4:G4"/>
    <mergeCell ref="C5:E5"/>
    <mergeCell ref="C6:E6"/>
    <mergeCell ref="C593:E593"/>
    <mergeCell ref="C594:E594"/>
    <mergeCell ref="C595:G595"/>
    <mergeCell ref="B15:C15"/>
    <mergeCell ref="B16:C16"/>
    <mergeCell ref="B17:C17"/>
    <mergeCell ref="B18:C18"/>
    <mergeCell ref="B19:E19"/>
    <mergeCell ref="B20:G20"/>
    <mergeCell ref="C7:G7"/>
    <mergeCell ref="B8:G8"/>
    <mergeCell ref="B9:G9"/>
    <mergeCell ref="B11:C11"/>
    <mergeCell ref="B13:C13"/>
    <mergeCell ref="B14:C14"/>
    <mergeCell ref="B30:C30"/>
    <mergeCell ref="B31:C31"/>
    <mergeCell ref="B32:C32"/>
    <mergeCell ref="B33:C35"/>
    <mergeCell ref="D33:E33"/>
    <mergeCell ref="D34:E34"/>
    <mergeCell ref="D35:E35"/>
    <mergeCell ref="B21:G21"/>
    <mergeCell ref="B22:C22"/>
    <mergeCell ref="B26:C26"/>
    <mergeCell ref="B27:C27"/>
    <mergeCell ref="B28:C28"/>
    <mergeCell ref="B29:C29"/>
    <mergeCell ref="B43:C43"/>
    <mergeCell ref="B44:C44"/>
    <mergeCell ref="B45:C45"/>
    <mergeCell ref="B46:E46"/>
    <mergeCell ref="B47:G47"/>
    <mergeCell ref="B48:G48"/>
    <mergeCell ref="B36:G36"/>
    <mergeCell ref="B37:G37"/>
    <mergeCell ref="B38:C38"/>
    <mergeCell ref="B39:C39"/>
    <mergeCell ref="B41:C41"/>
    <mergeCell ref="B42:C42"/>
    <mergeCell ref="B56:E56"/>
    <mergeCell ref="B57:F57"/>
    <mergeCell ref="C58:E58"/>
    <mergeCell ref="C59:E59"/>
    <mergeCell ref="C60:G60"/>
    <mergeCell ref="B61:G61"/>
    <mergeCell ref="B49:C49"/>
    <mergeCell ref="B51:C51"/>
    <mergeCell ref="B52:C52"/>
    <mergeCell ref="B53:E53"/>
    <mergeCell ref="B54:G54"/>
    <mergeCell ref="B55:F55"/>
    <mergeCell ref="B70:C70"/>
    <mergeCell ref="B71:C71"/>
    <mergeCell ref="B72:E72"/>
    <mergeCell ref="B73:G73"/>
    <mergeCell ref="B74:G74"/>
    <mergeCell ref="B75:C75"/>
    <mergeCell ref="B62:G62"/>
    <mergeCell ref="B64:C64"/>
    <mergeCell ref="B66:C66"/>
    <mergeCell ref="B67:C67"/>
    <mergeCell ref="B68:C68"/>
    <mergeCell ref="B69:C69"/>
    <mergeCell ref="B85:C85"/>
    <mergeCell ref="B86:C88"/>
    <mergeCell ref="D86:E86"/>
    <mergeCell ref="D87:E87"/>
    <mergeCell ref="D88:E88"/>
    <mergeCell ref="B89:G89"/>
    <mergeCell ref="B79:C79"/>
    <mergeCell ref="B80:C80"/>
    <mergeCell ref="B81:C81"/>
    <mergeCell ref="B82:C82"/>
    <mergeCell ref="B83:C83"/>
    <mergeCell ref="B84:C84"/>
    <mergeCell ref="B97:C97"/>
    <mergeCell ref="B98:C98"/>
    <mergeCell ref="B99:E99"/>
    <mergeCell ref="B100:G100"/>
    <mergeCell ref="B101:G101"/>
    <mergeCell ref="B102:C102"/>
    <mergeCell ref="B90:G90"/>
    <mergeCell ref="B91:C91"/>
    <mergeCell ref="B92:C92"/>
    <mergeCell ref="B94:C94"/>
    <mergeCell ref="B95:C95"/>
    <mergeCell ref="B96:C96"/>
    <mergeCell ref="B110:F110"/>
    <mergeCell ref="C111:E111"/>
    <mergeCell ref="C112:E112"/>
    <mergeCell ref="C113:G113"/>
    <mergeCell ref="B114:G114"/>
    <mergeCell ref="B115:G115"/>
    <mergeCell ref="B104:C104"/>
    <mergeCell ref="B105:C105"/>
    <mergeCell ref="B106:E106"/>
    <mergeCell ref="B107:G107"/>
    <mergeCell ref="B108:F108"/>
    <mergeCell ref="B109:E109"/>
    <mergeCell ref="B124:C124"/>
    <mergeCell ref="B125:E125"/>
    <mergeCell ref="B126:G126"/>
    <mergeCell ref="B127:G127"/>
    <mergeCell ref="B128:C128"/>
    <mergeCell ref="B132:C132"/>
    <mergeCell ref="B117:C117"/>
    <mergeCell ref="B119:C119"/>
    <mergeCell ref="B120:C120"/>
    <mergeCell ref="B121:C121"/>
    <mergeCell ref="B122:C122"/>
    <mergeCell ref="B123:C123"/>
    <mergeCell ref="B139:C141"/>
    <mergeCell ref="D139:E139"/>
    <mergeCell ref="D140:E140"/>
    <mergeCell ref="D141:E141"/>
    <mergeCell ref="B142:G142"/>
    <mergeCell ref="B143:G143"/>
    <mergeCell ref="B133:C133"/>
    <mergeCell ref="B134:C134"/>
    <mergeCell ref="B135:C135"/>
    <mergeCell ref="B136:C136"/>
    <mergeCell ref="B137:C137"/>
    <mergeCell ref="B138:C138"/>
    <mergeCell ref="B151:C151"/>
    <mergeCell ref="B152:E152"/>
    <mergeCell ref="B153:G153"/>
    <mergeCell ref="B154:G154"/>
    <mergeCell ref="B155:C155"/>
    <mergeCell ref="B157:C157"/>
    <mergeCell ref="B144:C144"/>
    <mergeCell ref="B145:C145"/>
    <mergeCell ref="B147:C147"/>
    <mergeCell ref="B148:C148"/>
    <mergeCell ref="B149:C149"/>
    <mergeCell ref="B150:C150"/>
    <mergeCell ref="C164:E164"/>
    <mergeCell ref="C165:E165"/>
    <mergeCell ref="C166:G166"/>
    <mergeCell ref="B167:G167"/>
    <mergeCell ref="B168:G168"/>
    <mergeCell ref="B170:C170"/>
    <mergeCell ref="B158:C158"/>
    <mergeCell ref="B159:E159"/>
    <mergeCell ref="B160:G160"/>
    <mergeCell ref="B161:F161"/>
    <mergeCell ref="B162:E162"/>
    <mergeCell ref="B163:F163"/>
    <mergeCell ref="B178:E178"/>
    <mergeCell ref="B179:G179"/>
    <mergeCell ref="B180:G180"/>
    <mergeCell ref="B181:C181"/>
    <mergeCell ref="B185:C185"/>
    <mergeCell ref="B186:C186"/>
    <mergeCell ref="B172:C172"/>
    <mergeCell ref="B173:C173"/>
    <mergeCell ref="B174:C174"/>
    <mergeCell ref="B175:C175"/>
    <mergeCell ref="B176:C176"/>
    <mergeCell ref="B177:C177"/>
    <mergeCell ref="D192:E192"/>
    <mergeCell ref="D193:E193"/>
    <mergeCell ref="D194:E194"/>
    <mergeCell ref="B195:G195"/>
    <mergeCell ref="B196:G196"/>
    <mergeCell ref="B197:C197"/>
    <mergeCell ref="B187:C187"/>
    <mergeCell ref="B188:C188"/>
    <mergeCell ref="B189:C189"/>
    <mergeCell ref="B190:C190"/>
    <mergeCell ref="B191:C191"/>
    <mergeCell ref="B192:C194"/>
    <mergeCell ref="B205:E205"/>
    <mergeCell ref="B206:G206"/>
    <mergeCell ref="B207:G207"/>
    <mergeCell ref="B208:C208"/>
    <mergeCell ref="B210:C210"/>
    <mergeCell ref="B211:C211"/>
    <mergeCell ref="B198:C198"/>
    <mergeCell ref="B200:C200"/>
    <mergeCell ref="B201:C201"/>
    <mergeCell ref="B202:C202"/>
    <mergeCell ref="B203:C203"/>
    <mergeCell ref="B204:C204"/>
    <mergeCell ref="C218:E218"/>
    <mergeCell ref="C219:G219"/>
    <mergeCell ref="B220:G220"/>
    <mergeCell ref="B221:G221"/>
    <mergeCell ref="B223:C223"/>
    <mergeCell ref="B225:C225"/>
    <mergeCell ref="B212:E212"/>
    <mergeCell ref="B213:G213"/>
    <mergeCell ref="B214:F214"/>
    <mergeCell ref="B215:E215"/>
    <mergeCell ref="B216:F216"/>
    <mergeCell ref="C217:E217"/>
    <mergeCell ref="B232:G232"/>
    <mergeCell ref="B233:G233"/>
    <mergeCell ref="B234:C234"/>
    <mergeCell ref="B238:C238"/>
    <mergeCell ref="B239:C239"/>
    <mergeCell ref="B240:C240"/>
    <mergeCell ref="B226:C226"/>
    <mergeCell ref="B227:C227"/>
    <mergeCell ref="B228:C228"/>
    <mergeCell ref="B229:C229"/>
    <mergeCell ref="B230:C230"/>
    <mergeCell ref="B231:E231"/>
    <mergeCell ref="B248:G248"/>
    <mergeCell ref="B249:G249"/>
    <mergeCell ref="B250:C250"/>
    <mergeCell ref="B251:C251"/>
    <mergeCell ref="B253:C253"/>
    <mergeCell ref="B254:C254"/>
    <mergeCell ref="B241:C241"/>
    <mergeCell ref="B242:C242"/>
    <mergeCell ref="B243:C243"/>
    <mergeCell ref="B244:C244"/>
    <mergeCell ref="B245:C247"/>
    <mergeCell ref="D245:E245"/>
    <mergeCell ref="D246:E246"/>
    <mergeCell ref="D247:E247"/>
    <mergeCell ref="B261:C261"/>
    <mergeCell ref="B263:C263"/>
    <mergeCell ref="B264:C264"/>
    <mergeCell ref="B265:E265"/>
    <mergeCell ref="B266:G266"/>
    <mergeCell ref="B267:F267"/>
    <mergeCell ref="B255:C255"/>
    <mergeCell ref="B256:C256"/>
    <mergeCell ref="B257:C257"/>
    <mergeCell ref="B258:E258"/>
    <mergeCell ref="B259:G259"/>
    <mergeCell ref="B260:G260"/>
    <mergeCell ref="B274:G274"/>
    <mergeCell ref="B276:C276"/>
    <mergeCell ref="B278:C278"/>
    <mergeCell ref="B279:C279"/>
    <mergeCell ref="B280:C280"/>
    <mergeCell ref="B281:C281"/>
    <mergeCell ref="B268:E268"/>
    <mergeCell ref="B269:F269"/>
    <mergeCell ref="C270:E270"/>
    <mergeCell ref="C271:E271"/>
    <mergeCell ref="C272:G272"/>
    <mergeCell ref="B273:G273"/>
    <mergeCell ref="B291:C291"/>
    <mergeCell ref="B292:C292"/>
    <mergeCell ref="B293:C293"/>
    <mergeCell ref="B294:C294"/>
    <mergeCell ref="B295:C295"/>
    <mergeCell ref="B296:C296"/>
    <mergeCell ref="B282:C282"/>
    <mergeCell ref="B283:C283"/>
    <mergeCell ref="B284:E284"/>
    <mergeCell ref="B285:G285"/>
    <mergeCell ref="B286:G286"/>
    <mergeCell ref="B287:C287"/>
    <mergeCell ref="B302:G302"/>
    <mergeCell ref="B303:C303"/>
    <mergeCell ref="B304:C304"/>
    <mergeCell ref="B306:C306"/>
    <mergeCell ref="B307:C307"/>
    <mergeCell ref="B308:C308"/>
    <mergeCell ref="B297:C297"/>
    <mergeCell ref="B298:C300"/>
    <mergeCell ref="D298:E298"/>
    <mergeCell ref="D299:E299"/>
    <mergeCell ref="D300:E300"/>
    <mergeCell ref="B301:G301"/>
    <mergeCell ref="B316:C316"/>
    <mergeCell ref="B317:C317"/>
    <mergeCell ref="B318:E318"/>
    <mergeCell ref="B319:G319"/>
    <mergeCell ref="B320:F320"/>
    <mergeCell ref="B321:E321"/>
    <mergeCell ref="B309:C309"/>
    <mergeCell ref="B310:C310"/>
    <mergeCell ref="B311:E311"/>
    <mergeCell ref="B312:G312"/>
    <mergeCell ref="B313:G313"/>
    <mergeCell ref="B314:C314"/>
    <mergeCell ref="B329:C329"/>
    <mergeCell ref="B331:C331"/>
    <mergeCell ref="B332:C332"/>
    <mergeCell ref="B333:C333"/>
    <mergeCell ref="B334:C334"/>
    <mergeCell ref="B335:C335"/>
    <mergeCell ref="B322:F322"/>
    <mergeCell ref="C323:E323"/>
    <mergeCell ref="C324:E324"/>
    <mergeCell ref="C325:G325"/>
    <mergeCell ref="B326:G326"/>
    <mergeCell ref="B327:G327"/>
    <mergeCell ref="B345:C345"/>
    <mergeCell ref="B346:C346"/>
    <mergeCell ref="B347:C347"/>
    <mergeCell ref="B348:C348"/>
    <mergeCell ref="B349:C349"/>
    <mergeCell ref="B350:C350"/>
    <mergeCell ref="B336:C336"/>
    <mergeCell ref="B337:E337"/>
    <mergeCell ref="B338:G338"/>
    <mergeCell ref="B339:G339"/>
    <mergeCell ref="B340:C340"/>
    <mergeCell ref="B344:C344"/>
    <mergeCell ref="B356:C356"/>
    <mergeCell ref="B357:C357"/>
    <mergeCell ref="B359:C359"/>
    <mergeCell ref="B360:C360"/>
    <mergeCell ref="B361:C361"/>
    <mergeCell ref="B362:C362"/>
    <mergeCell ref="B351:C353"/>
    <mergeCell ref="D351:E351"/>
    <mergeCell ref="D352:E352"/>
    <mergeCell ref="D353:E353"/>
    <mergeCell ref="B354:G354"/>
    <mergeCell ref="B355:G355"/>
    <mergeCell ref="B370:C370"/>
    <mergeCell ref="B371:E371"/>
    <mergeCell ref="B372:G372"/>
    <mergeCell ref="B373:F373"/>
    <mergeCell ref="B374:E374"/>
    <mergeCell ref="B375:F375"/>
    <mergeCell ref="B363:C363"/>
    <mergeCell ref="B364:E364"/>
    <mergeCell ref="B365:G365"/>
    <mergeCell ref="B366:G366"/>
    <mergeCell ref="B367:C367"/>
    <mergeCell ref="B369:C369"/>
    <mergeCell ref="C382:E382"/>
    <mergeCell ref="C383:G383"/>
    <mergeCell ref="B384:G384"/>
    <mergeCell ref="B385:G385"/>
    <mergeCell ref="B387:C387"/>
    <mergeCell ref="B389:C389"/>
    <mergeCell ref="C376:G376"/>
    <mergeCell ref="C377:G377"/>
    <mergeCell ref="C378:G378"/>
    <mergeCell ref="C379:G379"/>
    <mergeCell ref="C380:G380"/>
    <mergeCell ref="C381:E381"/>
    <mergeCell ref="B396:G396"/>
    <mergeCell ref="B397:G397"/>
    <mergeCell ref="B398:C398"/>
    <mergeCell ref="B402:C402"/>
    <mergeCell ref="B403:C403"/>
    <mergeCell ref="B404:C404"/>
    <mergeCell ref="B390:C390"/>
    <mergeCell ref="B391:C391"/>
    <mergeCell ref="B392:C392"/>
    <mergeCell ref="B393:C393"/>
    <mergeCell ref="B394:C394"/>
    <mergeCell ref="B395:E395"/>
    <mergeCell ref="B412:G412"/>
    <mergeCell ref="B413:G413"/>
    <mergeCell ref="B414:C414"/>
    <mergeCell ref="B415:C415"/>
    <mergeCell ref="B417:C417"/>
    <mergeCell ref="B418:C418"/>
    <mergeCell ref="B405:C405"/>
    <mergeCell ref="B406:C406"/>
    <mergeCell ref="B407:C407"/>
    <mergeCell ref="B408:C408"/>
    <mergeCell ref="B409:C411"/>
    <mergeCell ref="D409:E409"/>
    <mergeCell ref="D410:E410"/>
    <mergeCell ref="D411:E411"/>
    <mergeCell ref="B425:C425"/>
    <mergeCell ref="B427:C427"/>
    <mergeCell ref="B428:C428"/>
    <mergeCell ref="B429:E429"/>
    <mergeCell ref="B430:G430"/>
    <mergeCell ref="B431:F431"/>
    <mergeCell ref="B419:C419"/>
    <mergeCell ref="B420:C420"/>
    <mergeCell ref="B421:C421"/>
    <mergeCell ref="B422:E422"/>
    <mergeCell ref="B423:G423"/>
    <mergeCell ref="B424:G424"/>
    <mergeCell ref="B438:G438"/>
    <mergeCell ref="B440:C440"/>
    <mergeCell ref="B442:C442"/>
    <mergeCell ref="B443:C443"/>
    <mergeCell ref="B444:C444"/>
    <mergeCell ref="B445:C445"/>
    <mergeCell ref="B432:E432"/>
    <mergeCell ref="B433:F433"/>
    <mergeCell ref="C434:E434"/>
    <mergeCell ref="C435:E435"/>
    <mergeCell ref="C436:G436"/>
    <mergeCell ref="B437:G437"/>
    <mergeCell ref="B453:C453"/>
    <mergeCell ref="B455:C455"/>
    <mergeCell ref="B456:C456"/>
    <mergeCell ref="B457:C457"/>
    <mergeCell ref="B458:C458"/>
    <mergeCell ref="B459:C459"/>
    <mergeCell ref="B446:C446"/>
    <mergeCell ref="B447:C447"/>
    <mergeCell ref="B448:E448"/>
    <mergeCell ref="B449:G449"/>
    <mergeCell ref="B450:G450"/>
    <mergeCell ref="B451:C451"/>
    <mergeCell ref="B465:G465"/>
    <mergeCell ref="B466:G466"/>
    <mergeCell ref="B467:C467"/>
    <mergeCell ref="B468:C468"/>
    <mergeCell ref="B470:C470"/>
    <mergeCell ref="B471:C471"/>
    <mergeCell ref="B460:C460"/>
    <mergeCell ref="B461:C461"/>
    <mergeCell ref="B462:C464"/>
    <mergeCell ref="D462:E462"/>
    <mergeCell ref="D463:E463"/>
    <mergeCell ref="D464:E464"/>
    <mergeCell ref="B478:C478"/>
    <mergeCell ref="B480:C480"/>
    <mergeCell ref="B481:C481"/>
    <mergeCell ref="B482:E482"/>
    <mergeCell ref="B483:G483"/>
    <mergeCell ref="B484:F484"/>
    <mergeCell ref="B472:C472"/>
    <mergeCell ref="B473:C473"/>
    <mergeCell ref="B474:C474"/>
    <mergeCell ref="B475:E475"/>
    <mergeCell ref="B476:G476"/>
    <mergeCell ref="B477:G477"/>
    <mergeCell ref="B491:G491"/>
    <mergeCell ref="B493:C493"/>
    <mergeCell ref="B495:C495"/>
    <mergeCell ref="B496:C496"/>
    <mergeCell ref="B497:C497"/>
    <mergeCell ref="B498:C498"/>
    <mergeCell ref="B485:E485"/>
    <mergeCell ref="B486:F486"/>
    <mergeCell ref="C487:E487"/>
    <mergeCell ref="C488:E488"/>
    <mergeCell ref="C489:G489"/>
    <mergeCell ref="B490:G490"/>
    <mergeCell ref="B506:C506"/>
    <mergeCell ref="B508:C508"/>
    <mergeCell ref="B509:C509"/>
    <mergeCell ref="B510:C510"/>
    <mergeCell ref="B511:C511"/>
    <mergeCell ref="B512:C512"/>
    <mergeCell ref="B499:C499"/>
    <mergeCell ref="B500:C500"/>
    <mergeCell ref="B501:E501"/>
    <mergeCell ref="B502:G502"/>
    <mergeCell ref="B503:G503"/>
    <mergeCell ref="B504:C504"/>
    <mergeCell ref="B518:G518"/>
    <mergeCell ref="B519:G519"/>
    <mergeCell ref="B520:C520"/>
    <mergeCell ref="B521:C521"/>
    <mergeCell ref="B523:C523"/>
    <mergeCell ref="B524:C524"/>
    <mergeCell ref="B513:C513"/>
    <mergeCell ref="B514:C514"/>
    <mergeCell ref="B515:C517"/>
    <mergeCell ref="D515:E515"/>
    <mergeCell ref="D516:E516"/>
    <mergeCell ref="D517:E517"/>
    <mergeCell ref="B531:C531"/>
    <mergeCell ref="B533:C533"/>
    <mergeCell ref="B534:C534"/>
    <mergeCell ref="B535:E535"/>
    <mergeCell ref="B536:G536"/>
    <mergeCell ref="B537:F537"/>
    <mergeCell ref="B525:C525"/>
    <mergeCell ref="B526:C526"/>
    <mergeCell ref="B527:C527"/>
    <mergeCell ref="B528:E528"/>
    <mergeCell ref="B529:G529"/>
    <mergeCell ref="B530:G530"/>
    <mergeCell ref="B544:G544"/>
    <mergeCell ref="B546:C546"/>
    <mergeCell ref="B548:C548"/>
    <mergeCell ref="B549:C549"/>
    <mergeCell ref="B550:C550"/>
    <mergeCell ref="B551:C551"/>
    <mergeCell ref="B538:E538"/>
    <mergeCell ref="B539:F539"/>
    <mergeCell ref="C540:E540"/>
    <mergeCell ref="C541:E541"/>
    <mergeCell ref="C542:G542"/>
    <mergeCell ref="B543:G543"/>
    <mergeCell ref="B559:C559"/>
    <mergeCell ref="B561:C561"/>
    <mergeCell ref="B562:C562"/>
    <mergeCell ref="B563:C563"/>
    <mergeCell ref="B564:C564"/>
    <mergeCell ref="B565:C565"/>
    <mergeCell ref="B552:C552"/>
    <mergeCell ref="B553:C553"/>
    <mergeCell ref="B554:E554"/>
    <mergeCell ref="B555:G555"/>
    <mergeCell ref="B556:G556"/>
    <mergeCell ref="B557:C557"/>
    <mergeCell ref="B571:G571"/>
    <mergeCell ref="B572:G572"/>
    <mergeCell ref="B573:C573"/>
    <mergeCell ref="B574:C574"/>
    <mergeCell ref="B576:C576"/>
    <mergeCell ref="B577:C577"/>
    <mergeCell ref="B566:C566"/>
    <mergeCell ref="B567:C567"/>
    <mergeCell ref="B568:C570"/>
    <mergeCell ref="D568:E568"/>
    <mergeCell ref="D569:E569"/>
    <mergeCell ref="D570:E570"/>
    <mergeCell ref="B591:E591"/>
    <mergeCell ref="B592:F592"/>
    <mergeCell ref="B584:C584"/>
    <mergeCell ref="B586:C586"/>
    <mergeCell ref="B587:C587"/>
    <mergeCell ref="B588:E588"/>
    <mergeCell ref="B589:G589"/>
    <mergeCell ref="B590:F590"/>
    <mergeCell ref="B578:C578"/>
    <mergeCell ref="B579:C579"/>
    <mergeCell ref="B580:C580"/>
    <mergeCell ref="B581:E581"/>
    <mergeCell ref="B582:G582"/>
    <mergeCell ref="B583:G583"/>
    <mergeCell ref="B777:C777"/>
    <mergeCell ref="B778:C778"/>
    <mergeCell ref="B779:C779"/>
    <mergeCell ref="B766:E766"/>
    <mergeCell ref="B767:G767"/>
    <mergeCell ref="B768:G768"/>
    <mergeCell ref="B769:C769"/>
    <mergeCell ref="B771:C771"/>
    <mergeCell ref="B773:C773"/>
    <mergeCell ref="B772:C772"/>
    <mergeCell ref="B785:C785"/>
    <mergeCell ref="B786:C786"/>
    <mergeCell ref="B788:C788"/>
    <mergeCell ref="B789:C789"/>
    <mergeCell ref="B790:C790"/>
    <mergeCell ref="B791:C791"/>
    <mergeCell ref="B780:C782"/>
    <mergeCell ref="D780:E780"/>
    <mergeCell ref="D781:E781"/>
    <mergeCell ref="D782:E782"/>
    <mergeCell ref="B783:G783"/>
    <mergeCell ref="B784:G784"/>
    <mergeCell ref="B799:C799"/>
    <mergeCell ref="B800:E800"/>
    <mergeCell ref="B801:G801"/>
    <mergeCell ref="B802:F802"/>
    <mergeCell ref="B803:E803"/>
    <mergeCell ref="B804:F804"/>
    <mergeCell ref="B792:C792"/>
    <mergeCell ref="B793:E793"/>
    <mergeCell ref="B794:G794"/>
    <mergeCell ref="B795:G795"/>
    <mergeCell ref="B796:C796"/>
    <mergeCell ref="B798:C798"/>
  </mergeCells>
  <hyperlinks>
    <hyperlink ref="H434" location="'ITEMS RESUMEN'!PAVIMENTO" display="volver"/>
    <hyperlink ref="H460" location="'ITEMS RESUMEN'!PAVIMENTO" display="volver"/>
    <hyperlink ref="H486" location="'ITEMS RESUMEN'!PAVIMENTO" display="volver"/>
    <hyperlink ref="H512" location="'ITEMS RESUMEN'!PAVIMENTO" display="volver"/>
    <hyperlink ref="H539" location="'ITEMS RESUMEN'!PAVIMENTO" display="volver"/>
    <hyperlink ref="H566" location="'ITEMS RESUMEN'!PAVIMENTO" display="volver"/>
    <hyperlink ref="H592" location="'ITEMS RESUMEN'!PAVIMENTO" display="volver"/>
    <hyperlink ref="H619" location="'ITEMS RESUMEN'!PAVIMENTO" display="volver"/>
    <hyperlink ref="H645" location="'ITEMS RESUMEN'!PAVIMENTO" display="volver"/>
    <hyperlink ref="H672" location="'ITEMS RESUMEN'!PAVIMENTO" display="volver"/>
    <hyperlink ref="H698" location="'ITEMS RESUMEN'!PAVIMENTO" display="volver"/>
    <hyperlink ref="H725" location="'ITEMS RESUMEN'!PAVIMENTO" display="volver"/>
    <hyperlink ref="H751" location="'ITEMS RESUMEN'!PAVIMENTO" display="volver"/>
    <hyperlink ref="H778" location="'ITEMS RESUMEN'!PAVIMENTO" display="volver"/>
    <hyperlink ref="H804" location="'ITEMS RESUMEN'!PAVIMENTO" display="volver"/>
    <hyperlink ref="H831" location="'ITEMS RESUMEN'!PAVIMENTO" display="volver"/>
    <hyperlink ref="H857" location="'ITEMS RESUMEN'!PAVIMENTO" display="volver"/>
    <hyperlink ref="H884" location="'ITEMS RESUMEN'!PAVIMENTO" display="volver"/>
    <hyperlink ref="H909" location="'ITEMS RESUMEN'!PAVIMENTO" display="volver"/>
  </hyperlink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4"/>
  <dimension ref="A1:H463"/>
  <sheetViews>
    <sheetView topLeftCell="A462" zoomScaleNormal="100" workbookViewId="0">
      <selection activeCell="B414" sqref="B414:G462"/>
    </sheetView>
  </sheetViews>
  <sheetFormatPr baseColWidth="10" defaultRowHeight="12.75"/>
  <cols>
    <col min="1" max="1" width="11.42578125" style="426"/>
    <col min="2" max="2" width="16.7109375" style="426" customWidth="1"/>
    <col min="3" max="3" width="32.140625" style="426" customWidth="1"/>
    <col min="4" max="4" width="17.28515625" style="426" customWidth="1"/>
    <col min="5" max="5" width="13.7109375" style="426" customWidth="1"/>
    <col min="6" max="6" width="14.7109375" style="426" customWidth="1"/>
    <col min="7" max="7" width="16.7109375" style="426" customWidth="1"/>
    <col min="8" max="16384" width="11.42578125" style="426"/>
  </cols>
  <sheetData>
    <row r="1" spans="1:8" customFormat="1" ht="19.5" thickTop="1">
      <c r="A1" s="95"/>
      <c r="B1" s="90"/>
      <c r="C1" s="848" t="s">
        <v>1618</v>
      </c>
      <c r="D1" s="848"/>
      <c r="E1" s="848"/>
      <c r="F1" s="848"/>
      <c r="G1" s="849"/>
    </row>
    <row r="2" spans="1:8" customFormat="1" ht="18.75">
      <c r="A2" s="95"/>
      <c r="B2" s="91"/>
      <c r="C2" s="780" t="s">
        <v>302</v>
      </c>
      <c r="D2" s="780"/>
      <c r="E2" s="780"/>
      <c r="F2" s="780"/>
      <c r="G2" s="850"/>
    </row>
    <row r="3" spans="1:8" customFormat="1" ht="18.75">
      <c r="A3" s="95"/>
      <c r="B3" s="91"/>
      <c r="C3" s="781" t="s">
        <v>1054</v>
      </c>
      <c r="D3" s="781"/>
      <c r="E3" s="781"/>
      <c r="F3" s="781"/>
      <c r="G3" s="851"/>
    </row>
    <row r="4" spans="1:8" customFormat="1" ht="15.75" thickBot="1">
      <c r="A4" s="95"/>
      <c r="B4" s="421"/>
      <c r="C4" s="856" t="s">
        <v>780</v>
      </c>
      <c r="D4" s="856"/>
      <c r="E4" s="856"/>
      <c r="F4" s="856"/>
      <c r="G4" s="857"/>
    </row>
    <row r="5" spans="1:8" ht="13.5" thickTop="1">
      <c r="B5" s="423" t="s">
        <v>303</v>
      </c>
      <c r="C5" s="1064"/>
      <c r="D5" s="1064"/>
      <c r="E5" s="1064"/>
      <c r="F5" s="424" t="s">
        <v>781</v>
      </c>
      <c r="G5" s="425" t="s">
        <v>868</v>
      </c>
      <c r="H5" s="514" t="s">
        <v>1670</v>
      </c>
    </row>
    <row r="6" spans="1:8">
      <c r="B6" s="427" t="s">
        <v>834</v>
      </c>
      <c r="C6" s="886" t="s">
        <v>1647</v>
      </c>
      <c r="D6" s="1065"/>
      <c r="E6" s="1065"/>
      <c r="F6" s="428" t="s">
        <v>833</v>
      </c>
      <c r="G6" s="429" t="str">
        <f>'MANO DE OBRA'!$D$61</f>
        <v>Agosto de 2010</v>
      </c>
    </row>
    <row r="7" spans="1:8" ht="13.5" thickBot="1">
      <c r="B7" s="431" t="s">
        <v>835</v>
      </c>
      <c r="C7" s="887" t="s">
        <v>1648</v>
      </c>
      <c r="D7" s="1066"/>
      <c r="E7" s="1066"/>
      <c r="F7" s="1066"/>
      <c r="G7" s="1067"/>
    </row>
    <row r="8" spans="1:8" ht="14.25" thickTop="1" thickBot="1">
      <c r="B8" s="1068"/>
      <c r="C8" s="1068"/>
      <c r="D8" s="1068"/>
      <c r="E8" s="1068"/>
      <c r="F8" s="1068"/>
      <c r="G8" s="1068"/>
    </row>
    <row r="9" spans="1:8" ht="13.5" thickTop="1">
      <c r="B9" s="811" t="s">
        <v>304</v>
      </c>
      <c r="C9" s="812"/>
      <c r="D9" s="812"/>
      <c r="E9" s="812"/>
      <c r="F9" s="812"/>
      <c r="G9" s="825"/>
    </row>
    <row r="10" spans="1:8">
      <c r="B10" s="229"/>
      <c r="C10" s="97"/>
      <c r="D10" s="98" t="s">
        <v>301</v>
      </c>
      <c r="E10" s="98" t="s">
        <v>1072</v>
      </c>
      <c r="F10" s="99" t="s">
        <v>839</v>
      </c>
      <c r="G10" s="107" t="s">
        <v>840</v>
      </c>
    </row>
    <row r="11" spans="1:8">
      <c r="B11" s="821" t="s">
        <v>838</v>
      </c>
      <c r="C11" s="822"/>
      <c r="D11" s="100" t="s">
        <v>308</v>
      </c>
      <c r="E11" s="100" t="s">
        <v>305</v>
      </c>
      <c r="F11" s="101" t="s">
        <v>306</v>
      </c>
      <c r="G11" s="108" t="s">
        <v>310</v>
      </c>
    </row>
    <row r="12" spans="1:8">
      <c r="B12" s="230"/>
      <c r="C12" s="102"/>
      <c r="D12" s="103"/>
      <c r="E12" s="103" t="s">
        <v>309</v>
      </c>
      <c r="F12" s="104" t="s">
        <v>307</v>
      </c>
      <c r="G12" s="109"/>
    </row>
    <row r="13" spans="1:8">
      <c r="B13" s="823" t="str">
        <f>'MAQUINARIA Y EQUIPOS'!C28</f>
        <v>HERRAMIENTAS MENORES</v>
      </c>
      <c r="C13" s="824"/>
      <c r="D13" s="87">
        <v>1</v>
      </c>
      <c r="E13" s="82">
        <f>ROUND(G46*0.05,0)</f>
        <v>440</v>
      </c>
      <c r="F13" s="81">
        <v>1</v>
      </c>
      <c r="G13" s="110">
        <f>ROUND(D13*E13/F13,0)</f>
        <v>440</v>
      </c>
    </row>
    <row r="14" spans="1:8">
      <c r="B14" s="835"/>
      <c r="C14" s="836"/>
      <c r="D14" s="37"/>
      <c r="E14" s="82"/>
      <c r="F14" s="83"/>
      <c r="G14" s="436"/>
    </row>
    <row r="15" spans="1:8">
      <c r="B15" s="835"/>
      <c r="C15" s="836"/>
      <c r="D15" s="89"/>
      <c r="E15" s="82"/>
      <c r="F15" s="83"/>
      <c r="G15" s="111"/>
    </row>
    <row r="16" spans="1:8">
      <c r="B16" s="835"/>
      <c r="C16" s="836"/>
      <c r="D16" s="89"/>
      <c r="E16" s="82"/>
      <c r="F16" s="83"/>
      <c r="G16" s="111"/>
    </row>
    <row r="17" spans="2:8">
      <c r="B17" s="835" t="s">
        <v>841</v>
      </c>
      <c r="C17" s="836"/>
      <c r="D17" s="37"/>
      <c r="E17" s="82"/>
      <c r="F17" s="83"/>
      <c r="G17" s="111"/>
    </row>
    <row r="18" spans="2:8" ht="13.5" thickBot="1">
      <c r="B18" s="839" t="s">
        <v>841</v>
      </c>
      <c r="C18" s="840"/>
      <c r="D18" s="77"/>
      <c r="E18" s="106"/>
      <c r="F18" s="86"/>
      <c r="G18" s="112"/>
    </row>
    <row r="19" spans="2:8" ht="14.25" thickTop="1" thickBot="1">
      <c r="B19" s="808"/>
      <c r="C19" s="808"/>
      <c r="D19" s="808"/>
      <c r="E19" s="809"/>
      <c r="F19" s="119" t="s">
        <v>856</v>
      </c>
      <c r="G19" s="118">
        <f>SUM(G13:G18)</f>
        <v>440</v>
      </c>
    </row>
    <row r="20" spans="2:8" ht="14.25" thickTop="1" thickBot="1">
      <c r="B20" s="830"/>
      <c r="C20" s="830"/>
      <c r="D20" s="830"/>
      <c r="E20" s="830"/>
      <c r="F20" s="830"/>
      <c r="G20" s="830"/>
    </row>
    <row r="21" spans="2:8" ht="13.5" thickTop="1">
      <c r="B21" s="811" t="s">
        <v>311</v>
      </c>
      <c r="C21" s="812"/>
      <c r="D21" s="812"/>
      <c r="E21" s="812"/>
      <c r="F21" s="812"/>
      <c r="G21" s="825"/>
    </row>
    <row r="22" spans="2:8">
      <c r="B22" s="817" t="s">
        <v>838</v>
      </c>
      <c r="C22" s="818"/>
      <c r="D22" s="98" t="s">
        <v>842</v>
      </c>
      <c r="E22" s="98" t="s">
        <v>853</v>
      </c>
      <c r="F22" s="99" t="s">
        <v>1047</v>
      </c>
      <c r="G22" s="107" t="s">
        <v>840</v>
      </c>
    </row>
    <row r="23" spans="2:8">
      <c r="B23" s="230"/>
      <c r="C23" s="102"/>
      <c r="D23" s="100"/>
      <c r="E23" s="100" t="s">
        <v>312</v>
      </c>
      <c r="F23" s="101" t="s">
        <v>313</v>
      </c>
      <c r="G23" s="108" t="s">
        <v>314</v>
      </c>
    </row>
    <row r="24" spans="2:8">
      <c r="B24" s="1062" t="str">
        <f>MATERIALES2!$C$935</f>
        <v>SARDINEL PREFABRICADO TIPO A-85</v>
      </c>
      <c r="C24" s="1063"/>
      <c r="D24" s="439" t="s">
        <v>831</v>
      </c>
      <c r="E24" s="10">
        <v>1.25</v>
      </c>
      <c r="F24" s="80">
        <f>MATERIALES2!$E$935</f>
        <v>27522.6</v>
      </c>
      <c r="G24" s="110">
        <f>E24*F24</f>
        <v>34403.25</v>
      </c>
    </row>
    <row r="25" spans="2:8">
      <c r="B25" s="1092" t="str">
        <f>MATERIALES2!C38</f>
        <v>CONCRETO 1:2:4-2500 psi(MATERIALES)</v>
      </c>
      <c r="C25" s="1093"/>
      <c r="D25" s="88" t="s">
        <v>669</v>
      </c>
      <c r="E25" s="494">
        <v>0.01</v>
      </c>
      <c r="F25" s="493">
        <f>MATERIALES2!E38</f>
        <v>351700</v>
      </c>
      <c r="G25" s="111">
        <f>E25*F25</f>
        <v>3517</v>
      </c>
    </row>
    <row r="26" spans="2:8">
      <c r="B26" s="835"/>
      <c r="C26" s="836"/>
      <c r="D26" s="37"/>
      <c r="E26" s="55"/>
      <c r="F26" s="82"/>
      <c r="G26" s="111"/>
    </row>
    <row r="27" spans="2:8">
      <c r="B27" s="835"/>
      <c r="C27" s="836"/>
      <c r="D27" s="37"/>
      <c r="E27" s="55"/>
      <c r="F27" s="82"/>
      <c r="G27" s="111"/>
    </row>
    <row r="28" spans="2:8">
      <c r="B28" s="837"/>
      <c r="C28" s="838"/>
      <c r="D28" s="37"/>
      <c r="E28" s="55"/>
      <c r="F28" s="82"/>
      <c r="G28" s="111"/>
    </row>
    <row r="29" spans="2:8">
      <c r="B29" s="837"/>
      <c r="C29" s="838"/>
      <c r="D29" s="53" t="s">
        <v>841</v>
      </c>
      <c r="E29" s="53"/>
      <c r="F29" s="82"/>
      <c r="G29" s="111"/>
    </row>
    <row r="30" spans="2:8">
      <c r="B30" s="837" t="s">
        <v>841</v>
      </c>
      <c r="C30" s="838"/>
      <c r="D30" s="53" t="s">
        <v>841</v>
      </c>
      <c r="E30" s="53"/>
      <c r="F30" s="82"/>
      <c r="G30" s="111"/>
    </row>
    <row r="31" spans="2:8">
      <c r="B31" s="837" t="s">
        <v>841</v>
      </c>
      <c r="C31" s="838"/>
      <c r="D31" s="53" t="s">
        <v>841</v>
      </c>
      <c r="E31" s="53"/>
      <c r="F31" s="82"/>
      <c r="G31" s="111"/>
      <c r="H31" s="514" t="s">
        <v>1670</v>
      </c>
    </row>
    <row r="32" spans="2:8" ht="13.5" thickBot="1">
      <c r="B32" s="839" t="s">
        <v>841</v>
      </c>
      <c r="C32" s="840"/>
      <c r="D32" s="84" t="s">
        <v>841</v>
      </c>
      <c r="E32" s="84"/>
      <c r="F32" s="85"/>
      <c r="G32" s="112"/>
    </row>
    <row r="33" spans="2:7" ht="13.5" thickTop="1">
      <c r="B33" s="808"/>
      <c r="C33" s="809"/>
      <c r="D33" s="801" t="s">
        <v>856</v>
      </c>
      <c r="E33" s="802"/>
      <c r="F33" s="9"/>
      <c r="G33" s="113">
        <f>SUM(G24:G32)</f>
        <v>37920.25</v>
      </c>
    </row>
    <row r="34" spans="2:7">
      <c r="B34" s="819"/>
      <c r="C34" s="820"/>
      <c r="D34" s="801" t="s">
        <v>857</v>
      </c>
      <c r="E34" s="802"/>
      <c r="F34" s="79">
        <f>'[1]MANO DE OBRA'!$D$60</f>
        <v>0.05</v>
      </c>
      <c r="G34" s="113">
        <f>ROUND(G33*F34,0)</f>
        <v>1896</v>
      </c>
    </row>
    <row r="35" spans="2:7" ht="13.5" thickBot="1">
      <c r="B35" s="819"/>
      <c r="C35" s="820"/>
      <c r="D35" s="803" t="s">
        <v>320</v>
      </c>
      <c r="E35" s="804"/>
      <c r="F35" s="114"/>
      <c r="G35" s="118">
        <f>+G33+G34</f>
        <v>39816.25</v>
      </c>
    </row>
    <row r="36" spans="2:7" ht="14.25" thickTop="1" thickBot="1">
      <c r="B36" s="830"/>
      <c r="C36" s="830"/>
      <c r="D36" s="830"/>
      <c r="E36" s="830"/>
      <c r="F36" s="830"/>
      <c r="G36" s="830"/>
    </row>
    <row r="37" spans="2:7" ht="13.5" thickTop="1">
      <c r="B37" s="811" t="s">
        <v>858</v>
      </c>
      <c r="C37" s="812"/>
      <c r="D37" s="812"/>
      <c r="E37" s="812"/>
      <c r="F37" s="812"/>
      <c r="G37" s="825"/>
    </row>
    <row r="38" spans="2:7">
      <c r="B38" s="817"/>
      <c r="C38" s="818"/>
      <c r="D38" s="98" t="s">
        <v>301</v>
      </c>
      <c r="E38" s="98" t="s">
        <v>859</v>
      </c>
      <c r="F38" s="99" t="s">
        <v>839</v>
      </c>
      <c r="G38" s="107" t="s">
        <v>840</v>
      </c>
    </row>
    <row r="39" spans="2:7">
      <c r="B39" s="821" t="s">
        <v>838</v>
      </c>
      <c r="C39" s="822"/>
      <c r="D39" s="100" t="s">
        <v>316</v>
      </c>
      <c r="E39" s="100" t="s">
        <v>315</v>
      </c>
      <c r="F39" s="101" t="s">
        <v>306</v>
      </c>
      <c r="G39" s="108" t="s">
        <v>319</v>
      </c>
    </row>
    <row r="40" spans="2:7">
      <c r="B40" s="230"/>
      <c r="C40" s="102"/>
      <c r="D40" s="103"/>
      <c r="E40" s="103" t="s">
        <v>317</v>
      </c>
      <c r="F40" s="104" t="s">
        <v>318</v>
      </c>
      <c r="G40" s="109"/>
    </row>
    <row r="41" spans="2:7">
      <c r="B41" s="823" t="str">
        <f>'MANO DE OBRA'!B15</f>
        <v xml:space="preserve">OFICIAL CUAD. TIPO AA </v>
      </c>
      <c r="C41" s="824"/>
      <c r="D41" s="87">
        <v>1</v>
      </c>
      <c r="E41" s="80">
        <f>'MANO DE OBRA'!E15</f>
        <v>71474</v>
      </c>
      <c r="F41" s="81">
        <v>16</v>
      </c>
      <c r="G41" s="110">
        <f>ROUND(D41*E41/F41,0)</f>
        <v>4467</v>
      </c>
    </row>
    <row r="42" spans="2:7">
      <c r="B42" s="835" t="str">
        <f>'MANO DE OBRA'!B10</f>
        <v>AYUDANTE CUAD. TIPO AA</v>
      </c>
      <c r="C42" s="836"/>
      <c r="D42" s="37">
        <v>2</v>
      </c>
      <c r="E42" s="82">
        <f>'MANO DE OBRA'!E10</f>
        <v>34680</v>
      </c>
      <c r="F42" s="83">
        <v>16</v>
      </c>
      <c r="G42" s="111">
        <f>ROUND(D42*E42/F42,0)</f>
        <v>4335</v>
      </c>
    </row>
    <row r="43" spans="2:7">
      <c r="B43" s="835"/>
      <c r="C43" s="836"/>
      <c r="D43" s="37"/>
      <c r="E43" s="82"/>
      <c r="F43" s="83"/>
      <c r="G43" s="111"/>
    </row>
    <row r="44" spans="2:7">
      <c r="B44" s="835" t="s">
        <v>841</v>
      </c>
      <c r="C44" s="836"/>
      <c r="D44" s="37"/>
      <c r="E44" s="82"/>
      <c r="F44" s="83"/>
      <c r="G44" s="111"/>
    </row>
    <row r="45" spans="2:7" ht="13.5" thickBot="1">
      <c r="B45" s="828" t="s">
        <v>841</v>
      </c>
      <c r="C45" s="829"/>
      <c r="D45" s="77"/>
      <c r="E45" s="82"/>
      <c r="F45" s="86"/>
      <c r="G45" s="112"/>
    </row>
    <row r="46" spans="2:7" ht="14.25" thickTop="1" thickBot="1">
      <c r="B46" s="808"/>
      <c r="C46" s="808"/>
      <c r="D46" s="808"/>
      <c r="E46" s="809"/>
      <c r="F46" s="120" t="s">
        <v>856</v>
      </c>
      <c r="G46" s="118">
        <f>SUM(G41:G45)</f>
        <v>8802</v>
      </c>
    </row>
    <row r="47" spans="2:7" ht="14.25" thickTop="1" thickBot="1">
      <c r="B47" s="810"/>
      <c r="C47" s="810"/>
      <c r="D47" s="810"/>
      <c r="E47" s="810"/>
      <c r="F47" s="810"/>
      <c r="G47" s="810"/>
    </row>
    <row r="48" spans="2:7" ht="13.5" thickTop="1">
      <c r="B48" s="811" t="s">
        <v>321</v>
      </c>
      <c r="C48" s="812"/>
      <c r="D48" s="812"/>
      <c r="E48" s="812"/>
      <c r="F48" s="812"/>
      <c r="G48" s="825"/>
    </row>
    <row r="49" spans="2:8">
      <c r="B49" s="817" t="s">
        <v>838</v>
      </c>
      <c r="C49" s="818"/>
      <c r="D49" s="98" t="s">
        <v>301</v>
      </c>
      <c r="E49" s="98" t="s">
        <v>297</v>
      </c>
      <c r="F49" s="99" t="s">
        <v>839</v>
      </c>
      <c r="G49" s="107" t="s">
        <v>840</v>
      </c>
    </row>
    <row r="50" spans="2:8">
      <c r="B50" s="230"/>
      <c r="C50" s="102"/>
      <c r="D50" s="103" t="s">
        <v>322</v>
      </c>
      <c r="E50" s="103" t="s">
        <v>323</v>
      </c>
      <c r="F50" s="104" t="s">
        <v>324</v>
      </c>
      <c r="G50" s="109" t="s">
        <v>325</v>
      </c>
    </row>
    <row r="51" spans="2:8">
      <c r="B51" s="826"/>
      <c r="C51" s="827"/>
      <c r="D51" s="96"/>
      <c r="E51" s="96"/>
      <c r="F51" s="96"/>
      <c r="G51" s="116"/>
    </row>
    <row r="52" spans="2:8" ht="13.5" thickBot="1">
      <c r="B52" s="828" t="s">
        <v>841</v>
      </c>
      <c r="C52" s="829"/>
      <c r="D52" s="77"/>
      <c r="E52" s="82"/>
      <c r="F52" s="86"/>
      <c r="G52" s="112"/>
    </row>
    <row r="53" spans="2:8" ht="14.25" thickTop="1" thickBot="1">
      <c r="B53" s="808"/>
      <c r="C53" s="808"/>
      <c r="D53" s="808"/>
      <c r="E53" s="809"/>
      <c r="F53" s="120" t="s">
        <v>856</v>
      </c>
      <c r="G53" s="118">
        <f>SUM(G48:G52)</f>
        <v>0</v>
      </c>
    </row>
    <row r="54" spans="2:8" ht="14.25" thickTop="1" thickBot="1">
      <c r="B54" s="810"/>
      <c r="C54" s="810"/>
      <c r="D54" s="810"/>
      <c r="E54" s="810"/>
      <c r="F54" s="810"/>
      <c r="G54" s="834"/>
    </row>
    <row r="55" spans="2:8" ht="13.5" thickTop="1">
      <c r="B55" s="811" t="s">
        <v>326</v>
      </c>
      <c r="C55" s="812"/>
      <c r="D55" s="812"/>
      <c r="E55" s="812"/>
      <c r="F55" s="813"/>
      <c r="G55" s="121">
        <f>+G19+G35+G46</f>
        <v>49058.25</v>
      </c>
    </row>
    <row r="56" spans="2:8">
      <c r="B56" s="814" t="s">
        <v>861</v>
      </c>
      <c r="C56" s="815"/>
      <c r="D56" s="815"/>
      <c r="E56" s="816"/>
      <c r="F56" s="128">
        <f>'[1]MANO DE OBRA'!$D$59</f>
        <v>0</v>
      </c>
      <c r="G56" s="122">
        <f>ROUND(G55*F56,0)</f>
        <v>0</v>
      </c>
    </row>
    <row r="57" spans="2:8" ht="13.5" thickBot="1">
      <c r="B57" s="805" t="s">
        <v>1049</v>
      </c>
      <c r="C57" s="806"/>
      <c r="D57" s="806"/>
      <c r="E57" s="806"/>
      <c r="F57" s="807"/>
      <c r="G57" s="118">
        <f>ROUND(G55+G56,-2)</f>
        <v>49100</v>
      </c>
      <c r="H57" s="514" t="s">
        <v>1670</v>
      </c>
    </row>
    <row r="58" spans="2:8" ht="13.5" thickTop="1">
      <c r="B58" s="423" t="s">
        <v>303</v>
      </c>
      <c r="C58" s="1064"/>
      <c r="D58" s="1064"/>
      <c r="E58" s="1064"/>
      <c r="F58" s="424" t="s">
        <v>781</v>
      </c>
      <c r="G58" s="441" t="s">
        <v>669</v>
      </c>
    </row>
    <row r="59" spans="2:8">
      <c r="B59" s="427" t="s">
        <v>834</v>
      </c>
      <c r="C59" s="886" t="s">
        <v>1647</v>
      </c>
      <c r="D59" s="1065"/>
      <c r="E59" s="1065"/>
      <c r="F59" s="428" t="s">
        <v>833</v>
      </c>
      <c r="G59" s="429" t="str">
        <f>'MANO DE OBRA'!$D$61</f>
        <v>Agosto de 2010</v>
      </c>
    </row>
    <row r="60" spans="2:8" ht="13.5" thickBot="1">
      <c r="B60" s="431" t="s">
        <v>835</v>
      </c>
      <c r="C60" s="1084" t="s">
        <v>1646</v>
      </c>
      <c r="D60" s="1085"/>
      <c r="E60" s="1085"/>
      <c r="F60" s="1085"/>
      <c r="G60" s="1086"/>
    </row>
    <row r="61" spans="2:8" ht="14.25" thickTop="1" thickBot="1">
      <c r="B61" s="1068"/>
      <c r="C61" s="1068"/>
      <c r="D61" s="1068"/>
      <c r="E61" s="1068"/>
      <c r="F61" s="1068"/>
      <c r="G61" s="1068"/>
    </row>
    <row r="62" spans="2:8" ht="13.5" thickTop="1">
      <c r="B62" s="811" t="s">
        <v>304</v>
      </c>
      <c r="C62" s="812"/>
      <c r="D62" s="812"/>
      <c r="E62" s="812"/>
      <c r="F62" s="812"/>
      <c r="G62" s="825"/>
    </row>
    <row r="63" spans="2:8">
      <c r="B63" s="229"/>
      <c r="C63" s="97"/>
      <c r="D63" s="98" t="s">
        <v>301</v>
      </c>
      <c r="E63" s="98" t="s">
        <v>1072</v>
      </c>
      <c r="F63" s="99" t="s">
        <v>839</v>
      </c>
      <c r="G63" s="107" t="s">
        <v>840</v>
      </c>
    </row>
    <row r="64" spans="2:8">
      <c r="B64" s="821" t="s">
        <v>838</v>
      </c>
      <c r="C64" s="822"/>
      <c r="D64" s="100" t="s">
        <v>308</v>
      </c>
      <c r="E64" s="100" t="s">
        <v>305</v>
      </c>
      <c r="F64" s="101" t="s">
        <v>306</v>
      </c>
      <c r="G64" s="108" t="s">
        <v>310</v>
      </c>
    </row>
    <row r="65" spans="2:8">
      <c r="B65" s="230"/>
      <c r="C65" s="102"/>
      <c r="D65" s="103"/>
      <c r="E65" s="103" t="s">
        <v>309</v>
      </c>
      <c r="F65" s="104" t="s">
        <v>307</v>
      </c>
      <c r="G65" s="109"/>
    </row>
    <row r="66" spans="2:8">
      <c r="B66" s="823" t="str">
        <f>'MAQUINARIA Y EQUIPOS'!$C$28</f>
        <v>HERRAMIENTAS MENORES</v>
      </c>
      <c r="C66" s="824"/>
      <c r="D66" s="87">
        <v>1</v>
      </c>
      <c r="E66" s="82">
        <f>ROUND(G98*0.05,0)</f>
        <v>731</v>
      </c>
      <c r="F66" s="447">
        <v>1</v>
      </c>
      <c r="G66" s="110">
        <f>ROUND(D66*E66/F66,0)</f>
        <v>731</v>
      </c>
    </row>
    <row r="67" spans="2:8">
      <c r="B67" s="835" t="str">
        <f>'MAQUINARIA Y EQUIPOS'!$C$66</f>
        <v>RANA</v>
      </c>
      <c r="C67" s="836"/>
      <c r="D67" s="37">
        <v>1</v>
      </c>
      <c r="E67" s="82">
        <f>'MAQUINARIA Y EQUIPOS'!$D$66</f>
        <v>73800</v>
      </c>
      <c r="F67" s="435">
        <v>1.5</v>
      </c>
      <c r="G67" s="111">
        <f>ROUND(D67*E67/F67,0)</f>
        <v>49200</v>
      </c>
      <c r="H67" s="451"/>
    </row>
    <row r="68" spans="2:8">
      <c r="B68" s="835"/>
      <c r="C68" s="836"/>
      <c r="D68" s="37"/>
      <c r="E68" s="82"/>
      <c r="F68" s="435"/>
      <c r="G68" s="436"/>
    </row>
    <row r="69" spans="2:8">
      <c r="B69" s="835"/>
      <c r="C69" s="836"/>
      <c r="D69" s="37"/>
      <c r="E69" s="82"/>
      <c r="F69" s="435"/>
      <c r="G69" s="436"/>
    </row>
    <row r="70" spans="2:8">
      <c r="B70" s="835" t="s">
        <v>841</v>
      </c>
      <c r="C70" s="836"/>
      <c r="D70" s="37"/>
      <c r="E70" s="82"/>
      <c r="F70" s="435"/>
      <c r="G70" s="111"/>
    </row>
    <row r="71" spans="2:8" ht="13.5" thickBot="1">
      <c r="B71" s="839" t="s">
        <v>841</v>
      </c>
      <c r="C71" s="840"/>
      <c r="D71" s="77"/>
      <c r="E71" s="106"/>
      <c r="F71" s="437"/>
      <c r="G71" s="112"/>
    </row>
    <row r="72" spans="2:8" ht="14.25" thickTop="1" thickBot="1">
      <c r="B72" s="808"/>
      <c r="C72" s="808"/>
      <c r="D72" s="808"/>
      <c r="E72" s="809"/>
      <c r="F72" s="438" t="s">
        <v>856</v>
      </c>
      <c r="G72" s="118">
        <f>SUM(G66:G71)</f>
        <v>49931</v>
      </c>
    </row>
    <row r="73" spans="2:8" ht="14.25" thickTop="1" thickBot="1">
      <c r="B73" s="830"/>
      <c r="C73" s="830"/>
      <c r="D73" s="830"/>
      <c r="E73" s="830"/>
      <c r="F73" s="830"/>
      <c r="G73" s="830"/>
    </row>
    <row r="74" spans="2:8" ht="13.5" thickTop="1">
      <c r="B74" s="811" t="s">
        <v>311</v>
      </c>
      <c r="C74" s="812"/>
      <c r="D74" s="812"/>
      <c r="E74" s="812"/>
      <c r="F74" s="812"/>
      <c r="G74" s="825"/>
    </row>
    <row r="75" spans="2:8">
      <c r="B75" s="817" t="s">
        <v>838</v>
      </c>
      <c r="C75" s="818"/>
      <c r="D75" s="98" t="s">
        <v>842</v>
      </c>
      <c r="E75" s="98" t="s">
        <v>853</v>
      </c>
      <c r="F75" s="99" t="s">
        <v>1047</v>
      </c>
      <c r="G75" s="107" t="s">
        <v>840</v>
      </c>
    </row>
    <row r="76" spans="2:8">
      <c r="B76" s="230"/>
      <c r="C76" s="102"/>
      <c r="D76" s="100"/>
      <c r="E76" s="100" t="s">
        <v>312</v>
      </c>
      <c r="F76" s="101" t="s">
        <v>313</v>
      </c>
      <c r="G76" s="108" t="s">
        <v>314</v>
      </c>
    </row>
    <row r="77" spans="2:8">
      <c r="B77" s="1060" t="str">
        <f>MATERIALES2!$C$930</f>
        <v>SUBBASE GRANULAR PUESTA EN OBRA</v>
      </c>
      <c r="C77" s="1061"/>
      <c r="D77" s="442" t="s">
        <v>669</v>
      </c>
      <c r="E77" s="442">
        <v>1</v>
      </c>
      <c r="F77" s="80">
        <f>MATERIALES2!$E$930</f>
        <v>47500</v>
      </c>
      <c r="G77" s="445">
        <f>F77*E77</f>
        <v>47500</v>
      </c>
    </row>
    <row r="78" spans="2:8">
      <c r="B78" s="246"/>
      <c r="C78" s="124"/>
      <c r="D78" s="88"/>
      <c r="E78" s="53"/>
      <c r="F78" s="82"/>
      <c r="G78" s="111"/>
    </row>
    <row r="79" spans="2:8">
      <c r="B79" s="835"/>
      <c r="C79" s="836"/>
      <c r="D79" s="37"/>
      <c r="E79" s="55"/>
      <c r="F79" s="82"/>
      <c r="G79" s="111"/>
    </row>
    <row r="80" spans="2:8">
      <c r="B80" s="835"/>
      <c r="C80" s="836"/>
      <c r="D80" s="37"/>
      <c r="E80" s="55"/>
      <c r="F80" s="82"/>
      <c r="G80" s="111"/>
    </row>
    <row r="81" spans="2:8">
      <c r="B81" s="837"/>
      <c r="C81" s="838"/>
      <c r="D81" s="37"/>
      <c r="E81" s="55"/>
      <c r="F81" s="82"/>
      <c r="G81" s="111"/>
    </row>
    <row r="82" spans="2:8">
      <c r="B82" s="837"/>
      <c r="C82" s="838"/>
      <c r="D82" s="53" t="s">
        <v>841</v>
      </c>
      <c r="E82" s="53"/>
      <c r="F82" s="82"/>
      <c r="G82" s="111"/>
    </row>
    <row r="83" spans="2:8">
      <c r="B83" s="837" t="s">
        <v>841</v>
      </c>
      <c r="C83" s="838"/>
      <c r="D83" s="53" t="s">
        <v>841</v>
      </c>
      <c r="E83" s="53"/>
      <c r="F83" s="82"/>
      <c r="G83" s="111"/>
    </row>
    <row r="84" spans="2:8">
      <c r="B84" s="837" t="s">
        <v>841</v>
      </c>
      <c r="C84" s="838"/>
      <c r="D84" s="53" t="s">
        <v>841</v>
      </c>
      <c r="E84" s="53"/>
      <c r="F84" s="82"/>
      <c r="G84" s="111"/>
      <c r="H84" s="514" t="s">
        <v>1670</v>
      </c>
    </row>
    <row r="85" spans="2:8" ht="13.5" thickBot="1">
      <c r="B85" s="839" t="s">
        <v>841</v>
      </c>
      <c r="C85" s="840"/>
      <c r="D85" s="84" t="s">
        <v>841</v>
      </c>
      <c r="E85" s="84"/>
      <c r="F85" s="85"/>
      <c r="G85" s="112"/>
    </row>
    <row r="86" spans="2:8" ht="13.5" thickTop="1">
      <c r="B86" s="808"/>
      <c r="C86" s="809"/>
      <c r="D86" s="801" t="s">
        <v>856</v>
      </c>
      <c r="E86" s="802"/>
      <c r="F86" s="9"/>
      <c r="G86" s="113">
        <f>SUM(G77:G85)</f>
        <v>47500</v>
      </c>
    </row>
    <row r="87" spans="2:8">
      <c r="B87" s="819"/>
      <c r="C87" s="820"/>
      <c r="D87" s="801" t="s">
        <v>857</v>
      </c>
      <c r="E87" s="802"/>
      <c r="F87" s="79">
        <v>0.05</v>
      </c>
      <c r="G87" s="113">
        <f>ROUND(G86*F87,0)</f>
        <v>2375</v>
      </c>
    </row>
    <row r="88" spans="2:8" ht="13.5" thickBot="1">
      <c r="B88" s="819"/>
      <c r="C88" s="820"/>
      <c r="D88" s="803" t="s">
        <v>320</v>
      </c>
      <c r="E88" s="804"/>
      <c r="F88" s="114"/>
      <c r="G88" s="118">
        <f>+G86+G87</f>
        <v>49875</v>
      </c>
    </row>
    <row r="89" spans="2:8" ht="14.25" thickTop="1" thickBot="1">
      <c r="B89" s="830"/>
      <c r="C89" s="830"/>
      <c r="D89" s="830"/>
      <c r="E89" s="830"/>
      <c r="F89" s="830"/>
      <c r="G89" s="830"/>
    </row>
    <row r="90" spans="2:8" ht="13.5" thickTop="1">
      <c r="B90" s="811" t="s">
        <v>858</v>
      </c>
      <c r="C90" s="812"/>
      <c r="D90" s="812"/>
      <c r="E90" s="812"/>
      <c r="F90" s="812"/>
      <c r="G90" s="825"/>
    </row>
    <row r="91" spans="2:8">
      <c r="B91" s="817"/>
      <c r="C91" s="818"/>
      <c r="D91" s="98" t="s">
        <v>301</v>
      </c>
      <c r="E91" s="98" t="s">
        <v>859</v>
      </c>
      <c r="F91" s="99" t="s">
        <v>839</v>
      </c>
      <c r="G91" s="107" t="s">
        <v>840</v>
      </c>
    </row>
    <row r="92" spans="2:8">
      <c r="B92" s="821" t="s">
        <v>838</v>
      </c>
      <c r="C92" s="822"/>
      <c r="D92" s="100" t="s">
        <v>316</v>
      </c>
      <c r="E92" s="100" t="s">
        <v>315</v>
      </c>
      <c r="F92" s="101" t="s">
        <v>306</v>
      </c>
      <c r="G92" s="108" t="s">
        <v>319</v>
      </c>
    </row>
    <row r="93" spans="2:8">
      <c r="B93" s="230"/>
      <c r="C93" s="102"/>
      <c r="D93" s="103"/>
      <c r="E93" s="103" t="s">
        <v>317</v>
      </c>
      <c r="F93" s="104" t="s">
        <v>318</v>
      </c>
      <c r="G93" s="109"/>
    </row>
    <row r="94" spans="2:8">
      <c r="B94" s="823" t="str">
        <f>'MANO DE OBRA'!$B$15</f>
        <v xml:space="preserve">OFICIAL CUAD. TIPO AA </v>
      </c>
      <c r="C94" s="824"/>
      <c r="D94" s="87">
        <v>1</v>
      </c>
      <c r="E94" s="80">
        <f>'MANO DE OBRA'!$E$15</f>
        <v>71474</v>
      </c>
      <c r="F94" s="444">
        <v>12</v>
      </c>
      <c r="G94" s="110">
        <f>ROUND(D94*E94/F94,0)</f>
        <v>5956</v>
      </c>
    </row>
    <row r="95" spans="2:8">
      <c r="B95" s="835" t="str">
        <f>'MANO DE OBRA'!$B$10</f>
        <v>AYUDANTE CUAD. TIPO AA</v>
      </c>
      <c r="C95" s="836"/>
      <c r="D95" s="37">
        <v>3</v>
      </c>
      <c r="E95" s="82">
        <f>'MANO DE OBRA'!$E$10</f>
        <v>34680</v>
      </c>
      <c r="F95" s="83">
        <v>12</v>
      </c>
      <c r="G95" s="111">
        <f>ROUND(D95*E95/F95,0)</f>
        <v>8670</v>
      </c>
    </row>
    <row r="96" spans="2:8">
      <c r="B96" s="835" t="s">
        <v>841</v>
      </c>
      <c r="C96" s="836"/>
      <c r="D96" s="37"/>
      <c r="E96" s="82"/>
      <c r="F96" s="83"/>
      <c r="G96" s="111"/>
    </row>
    <row r="97" spans="2:8" ht="13.5" thickBot="1">
      <c r="B97" s="828" t="s">
        <v>841</v>
      </c>
      <c r="C97" s="829"/>
      <c r="D97" s="77"/>
      <c r="E97" s="82"/>
      <c r="F97" s="86"/>
      <c r="G97" s="112"/>
    </row>
    <row r="98" spans="2:8" ht="14.25" thickTop="1" thickBot="1">
      <c r="B98" s="808"/>
      <c r="C98" s="808"/>
      <c r="D98" s="808"/>
      <c r="E98" s="809"/>
      <c r="F98" s="120" t="s">
        <v>856</v>
      </c>
      <c r="G98" s="118">
        <f>SUM(G94:G97)</f>
        <v>14626</v>
      </c>
    </row>
    <row r="99" spans="2:8" ht="14.25" thickTop="1" thickBot="1">
      <c r="B99" s="810"/>
      <c r="C99" s="810"/>
      <c r="D99" s="810"/>
      <c r="E99" s="810"/>
      <c r="F99" s="810"/>
      <c r="G99" s="810"/>
    </row>
    <row r="100" spans="2:8" ht="13.5" thickTop="1">
      <c r="B100" s="811" t="s">
        <v>321</v>
      </c>
      <c r="C100" s="812"/>
      <c r="D100" s="812"/>
      <c r="E100" s="812"/>
      <c r="F100" s="812"/>
      <c r="G100" s="825"/>
    </row>
    <row r="101" spans="2:8">
      <c r="B101" s="817" t="s">
        <v>838</v>
      </c>
      <c r="C101" s="818"/>
      <c r="D101" s="98" t="s">
        <v>301</v>
      </c>
      <c r="E101" s="98" t="s">
        <v>297</v>
      </c>
      <c r="F101" s="99" t="s">
        <v>839</v>
      </c>
      <c r="G101" s="107" t="s">
        <v>840</v>
      </c>
    </row>
    <row r="102" spans="2:8">
      <c r="B102" s="230"/>
      <c r="C102" s="102"/>
      <c r="D102" s="103" t="s">
        <v>322</v>
      </c>
      <c r="E102" s="103" t="s">
        <v>323</v>
      </c>
      <c r="F102" s="104" t="s">
        <v>324</v>
      </c>
      <c r="G102" s="109" t="s">
        <v>325</v>
      </c>
    </row>
    <row r="103" spans="2:8">
      <c r="B103" s="826"/>
      <c r="C103" s="827"/>
      <c r="D103" s="96"/>
      <c r="E103" s="449"/>
      <c r="F103" s="96"/>
      <c r="G103" s="448"/>
    </row>
    <row r="104" spans="2:8" ht="13.5" thickBot="1">
      <c r="B104" s="828" t="s">
        <v>841</v>
      </c>
      <c r="C104" s="829"/>
      <c r="D104" s="77"/>
      <c r="E104" s="82"/>
      <c r="F104" s="86"/>
      <c r="G104" s="112"/>
    </row>
    <row r="105" spans="2:8" ht="14.25" thickTop="1" thickBot="1">
      <c r="B105" s="808"/>
      <c r="C105" s="808"/>
      <c r="D105" s="808"/>
      <c r="E105" s="809"/>
      <c r="F105" s="120" t="s">
        <v>856</v>
      </c>
      <c r="G105" s="118">
        <f>SUM(G100:G104)</f>
        <v>0</v>
      </c>
    </row>
    <row r="106" spans="2:8" ht="14.25" thickTop="1" thickBot="1">
      <c r="B106" s="810"/>
      <c r="C106" s="810"/>
      <c r="D106" s="810"/>
      <c r="E106" s="810"/>
      <c r="F106" s="810"/>
      <c r="G106" s="834"/>
    </row>
    <row r="107" spans="2:8" ht="13.5" thickTop="1">
      <c r="B107" s="811" t="s">
        <v>326</v>
      </c>
      <c r="C107" s="812"/>
      <c r="D107" s="812"/>
      <c r="E107" s="812"/>
      <c r="F107" s="813"/>
      <c r="G107" s="121">
        <f>+G72+G88+G98+G105</f>
        <v>114432</v>
      </c>
    </row>
    <row r="108" spans="2:8">
      <c r="B108" s="814" t="s">
        <v>861</v>
      </c>
      <c r="C108" s="815"/>
      <c r="D108" s="815"/>
      <c r="E108" s="816"/>
      <c r="F108" s="128">
        <f>'[1]MANO DE OBRA'!$D$59</f>
        <v>0</v>
      </c>
      <c r="G108" s="122">
        <f>ROUND(G107*F108,0)</f>
        <v>0</v>
      </c>
    </row>
    <row r="109" spans="2:8" ht="12.75" customHeight="1" thickBot="1">
      <c r="B109" s="805" t="s">
        <v>1049</v>
      </c>
      <c r="C109" s="806"/>
      <c r="D109" s="806"/>
      <c r="E109" s="806"/>
      <c r="F109" s="807"/>
      <c r="G109" s="118">
        <f>ROUND(G107+G108,-2)</f>
        <v>114400</v>
      </c>
      <c r="H109" s="514" t="s">
        <v>1670</v>
      </c>
    </row>
    <row r="110" spans="2:8" ht="13.5" thickTop="1">
      <c r="B110" s="423" t="s">
        <v>303</v>
      </c>
      <c r="C110" s="1064"/>
      <c r="D110" s="1064"/>
      <c r="E110" s="1064"/>
      <c r="F110" s="424" t="s">
        <v>781</v>
      </c>
      <c r="G110" s="441" t="s">
        <v>669</v>
      </c>
    </row>
    <row r="111" spans="2:8">
      <c r="B111" s="427" t="s">
        <v>834</v>
      </c>
      <c r="C111" s="886" t="s">
        <v>1647</v>
      </c>
      <c r="D111" s="1065"/>
      <c r="E111" s="1065"/>
      <c r="F111" s="428" t="s">
        <v>833</v>
      </c>
      <c r="G111" s="429" t="str">
        <f>'MANO DE OBRA'!$D$61</f>
        <v>Agosto de 2010</v>
      </c>
    </row>
    <row r="112" spans="2:8" ht="13.5" thickBot="1">
      <c r="B112" s="431" t="s">
        <v>835</v>
      </c>
      <c r="C112" s="1084" t="s">
        <v>1653</v>
      </c>
      <c r="D112" s="1085"/>
      <c r="E112" s="1085"/>
      <c r="F112" s="1085"/>
      <c r="G112" s="1086"/>
    </row>
    <row r="113" spans="2:7" ht="14.25" thickTop="1" thickBot="1">
      <c r="B113" s="1068"/>
      <c r="C113" s="1068"/>
      <c r="D113" s="1068"/>
      <c r="E113" s="1068"/>
      <c r="F113" s="1068"/>
      <c r="G113" s="1068"/>
    </row>
    <row r="114" spans="2:7" ht="13.5" thickTop="1">
      <c r="B114" s="811" t="s">
        <v>304</v>
      </c>
      <c r="C114" s="812"/>
      <c r="D114" s="812"/>
      <c r="E114" s="812"/>
      <c r="F114" s="812"/>
      <c r="G114" s="825"/>
    </row>
    <row r="115" spans="2:7">
      <c r="B115" s="229"/>
      <c r="C115" s="97"/>
      <c r="D115" s="98" t="s">
        <v>301</v>
      </c>
      <c r="E115" s="98" t="s">
        <v>1072</v>
      </c>
      <c r="F115" s="99" t="s">
        <v>839</v>
      </c>
      <c r="G115" s="107" t="s">
        <v>840</v>
      </c>
    </row>
    <row r="116" spans="2:7">
      <c r="B116" s="821" t="s">
        <v>838</v>
      </c>
      <c r="C116" s="822"/>
      <c r="D116" s="100" t="s">
        <v>308</v>
      </c>
      <c r="E116" s="100" t="s">
        <v>305</v>
      </c>
      <c r="F116" s="101" t="s">
        <v>306</v>
      </c>
      <c r="G116" s="108" t="s">
        <v>310</v>
      </c>
    </row>
    <row r="117" spans="2:7">
      <c r="B117" s="230"/>
      <c r="C117" s="102"/>
      <c r="D117" s="103"/>
      <c r="E117" s="103" t="s">
        <v>309</v>
      </c>
      <c r="F117" s="104" t="s">
        <v>307</v>
      </c>
      <c r="G117" s="109"/>
    </row>
    <row r="118" spans="2:7">
      <c r="B118" s="823" t="str">
        <f>'MAQUINARIA Y EQUIPOS'!$C$28</f>
        <v>HERRAMIENTAS MENORES</v>
      </c>
      <c r="C118" s="824"/>
      <c r="D118" s="87">
        <v>1</v>
      </c>
      <c r="E118" s="82">
        <f>ROUND(G150*0.05,0)</f>
        <v>731</v>
      </c>
      <c r="F118" s="447">
        <v>1</v>
      </c>
      <c r="G118" s="110">
        <f>ROUND(D118*E118/F118,0)</f>
        <v>731</v>
      </c>
    </row>
    <row r="119" spans="2:7">
      <c r="B119" s="835" t="str">
        <f>'MAQUINARIA Y EQUIPOS'!$C$66</f>
        <v>RANA</v>
      </c>
      <c r="C119" s="836"/>
      <c r="D119" s="37">
        <v>1</v>
      </c>
      <c r="E119" s="82">
        <f>'MAQUINARIA Y EQUIPOS'!$D$66</f>
        <v>73800</v>
      </c>
      <c r="F119" s="435">
        <v>1.5</v>
      </c>
      <c r="G119" s="111">
        <f>ROUND(D119*E119/F119,0)</f>
        <v>49200</v>
      </c>
    </row>
    <row r="120" spans="2:7">
      <c r="B120" s="835"/>
      <c r="C120" s="836"/>
      <c r="D120" s="37"/>
      <c r="E120" s="82"/>
      <c r="F120" s="435"/>
      <c r="G120" s="436"/>
    </row>
    <row r="121" spans="2:7">
      <c r="B121" s="835"/>
      <c r="C121" s="836"/>
      <c r="D121" s="37"/>
      <c r="E121" s="82"/>
      <c r="F121" s="435"/>
      <c r="G121" s="436"/>
    </row>
    <row r="122" spans="2:7">
      <c r="B122" s="835" t="s">
        <v>841</v>
      </c>
      <c r="C122" s="836"/>
      <c r="D122" s="37"/>
      <c r="E122" s="82"/>
      <c r="F122" s="435"/>
      <c r="G122" s="111"/>
    </row>
    <row r="123" spans="2:7" ht="13.5" thickBot="1">
      <c r="B123" s="839" t="s">
        <v>841</v>
      </c>
      <c r="C123" s="840"/>
      <c r="D123" s="77"/>
      <c r="E123" s="106"/>
      <c r="F123" s="437"/>
      <c r="G123" s="112"/>
    </row>
    <row r="124" spans="2:7" ht="14.25" thickTop="1" thickBot="1">
      <c r="B124" s="808"/>
      <c r="C124" s="808"/>
      <c r="D124" s="808"/>
      <c r="E124" s="809"/>
      <c r="F124" s="438" t="s">
        <v>856</v>
      </c>
      <c r="G124" s="118">
        <f>SUM(G118:G123)</f>
        <v>49931</v>
      </c>
    </row>
    <row r="125" spans="2:7" ht="14.25" thickTop="1" thickBot="1">
      <c r="B125" s="830"/>
      <c r="C125" s="830"/>
      <c r="D125" s="830"/>
      <c r="E125" s="830"/>
      <c r="F125" s="830"/>
      <c r="G125" s="830"/>
    </row>
    <row r="126" spans="2:7" ht="13.5" thickTop="1">
      <c r="B126" s="811" t="s">
        <v>311</v>
      </c>
      <c r="C126" s="812"/>
      <c r="D126" s="812"/>
      <c r="E126" s="812"/>
      <c r="F126" s="812"/>
      <c r="G126" s="825"/>
    </row>
    <row r="127" spans="2:7">
      <c r="B127" s="817" t="s">
        <v>838</v>
      </c>
      <c r="C127" s="818"/>
      <c r="D127" s="98" t="s">
        <v>842</v>
      </c>
      <c r="E127" s="98" t="s">
        <v>853</v>
      </c>
      <c r="F127" s="99" t="s">
        <v>1047</v>
      </c>
      <c r="G127" s="107" t="s">
        <v>840</v>
      </c>
    </row>
    <row r="128" spans="2:7">
      <c r="B128" s="230"/>
      <c r="C128" s="102"/>
      <c r="D128" s="100"/>
      <c r="E128" s="100" t="s">
        <v>312</v>
      </c>
      <c r="F128" s="101" t="s">
        <v>313</v>
      </c>
      <c r="G128" s="108" t="s">
        <v>314</v>
      </c>
    </row>
    <row r="129" spans="2:8">
      <c r="B129" s="1060" t="str">
        <f>MATERIALES2!C20</f>
        <v xml:space="preserve">ARENA </v>
      </c>
      <c r="C129" s="1061"/>
      <c r="D129" s="442" t="s">
        <v>669</v>
      </c>
      <c r="E129" s="442">
        <v>1</v>
      </c>
      <c r="F129" s="80">
        <f>MATERIALES2!E20</f>
        <v>35000</v>
      </c>
      <c r="G129" s="445">
        <f>F129*E129</f>
        <v>35000</v>
      </c>
    </row>
    <row r="130" spans="2:8">
      <c r="B130" s="246"/>
      <c r="C130" s="124"/>
      <c r="D130" s="88"/>
      <c r="E130" s="53"/>
      <c r="F130" s="82"/>
      <c r="G130" s="111"/>
    </row>
    <row r="131" spans="2:8">
      <c r="B131" s="835"/>
      <c r="C131" s="836"/>
      <c r="D131" s="37"/>
      <c r="E131" s="55"/>
      <c r="F131" s="82"/>
      <c r="G131" s="111"/>
    </row>
    <row r="132" spans="2:8">
      <c r="B132" s="835"/>
      <c r="C132" s="836"/>
      <c r="D132" s="37"/>
      <c r="E132" s="55"/>
      <c r="F132" s="82"/>
      <c r="G132" s="111"/>
    </row>
    <row r="133" spans="2:8">
      <c r="B133" s="837"/>
      <c r="C133" s="838"/>
      <c r="D133" s="37"/>
      <c r="E133" s="55"/>
      <c r="F133" s="82"/>
      <c r="G133" s="111"/>
    </row>
    <row r="134" spans="2:8">
      <c r="B134" s="837"/>
      <c r="C134" s="838"/>
      <c r="D134" s="53" t="s">
        <v>841</v>
      </c>
      <c r="E134" s="53"/>
      <c r="F134" s="82"/>
      <c r="G134" s="111"/>
    </row>
    <row r="135" spans="2:8">
      <c r="B135" s="837" t="s">
        <v>841</v>
      </c>
      <c r="C135" s="838"/>
      <c r="D135" s="53" t="s">
        <v>841</v>
      </c>
      <c r="E135" s="53"/>
      <c r="F135" s="82"/>
      <c r="G135" s="111"/>
    </row>
    <row r="136" spans="2:8">
      <c r="B136" s="837" t="s">
        <v>841</v>
      </c>
      <c r="C136" s="838"/>
      <c r="D136" s="53" t="s">
        <v>841</v>
      </c>
      <c r="E136" s="53"/>
      <c r="F136" s="82"/>
      <c r="G136" s="111"/>
      <c r="H136" s="514" t="s">
        <v>1670</v>
      </c>
    </row>
    <row r="137" spans="2:8" ht="13.5" thickBot="1">
      <c r="B137" s="839" t="s">
        <v>841</v>
      </c>
      <c r="C137" s="840"/>
      <c r="D137" s="84" t="s">
        <v>841</v>
      </c>
      <c r="E137" s="84"/>
      <c r="F137" s="85"/>
      <c r="G137" s="112"/>
    </row>
    <row r="138" spans="2:8" ht="13.5" thickTop="1">
      <c r="B138" s="808"/>
      <c r="C138" s="809"/>
      <c r="D138" s="801" t="s">
        <v>856</v>
      </c>
      <c r="E138" s="802"/>
      <c r="F138" s="9"/>
      <c r="G138" s="113">
        <f>SUM(G129:G137)</f>
        <v>35000</v>
      </c>
    </row>
    <row r="139" spans="2:8">
      <c r="B139" s="819"/>
      <c r="C139" s="820"/>
      <c r="D139" s="801" t="s">
        <v>857</v>
      </c>
      <c r="E139" s="802"/>
      <c r="F139" s="79">
        <v>0.05</v>
      </c>
      <c r="G139" s="113">
        <f>ROUND(G138*F139,0)</f>
        <v>1750</v>
      </c>
    </row>
    <row r="140" spans="2:8" ht="13.5" thickBot="1">
      <c r="B140" s="819"/>
      <c r="C140" s="820"/>
      <c r="D140" s="803" t="s">
        <v>320</v>
      </c>
      <c r="E140" s="804"/>
      <c r="F140" s="114"/>
      <c r="G140" s="118">
        <f>+G138+G139</f>
        <v>36750</v>
      </c>
    </row>
    <row r="141" spans="2:8" ht="14.25" thickTop="1" thickBot="1">
      <c r="B141" s="830"/>
      <c r="C141" s="830"/>
      <c r="D141" s="830"/>
      <c r="E141" s="830"/>
      <c r="F141" s="830"/>
      <c r="G141" s="830"/>
    </row>
    <row r="142" spans="2:8" ht="13.5" thickTop="1">
      <c r="B142" s="811" t="s">
        <v>858</v>
      </c>
      <c r="C142" s="812"/>
      <c r="D142" s="812"/>
      <c r="E142" s="812"/>
      <c r="F142" s="812"/>
      <c r="G142" s="825"/>
    </row>
    <row r="143" spans="2:8">
      <c r="B143" s="817"/>
      <c r="C143" s="818"/>
      <c r="D143" s="98" t="s">
        <v>301</v>
      </c>
      <c r="E143" s="98" t="s">
        <v>859</v>
      </c>
      <c r="F143" s="99" t="s">
        <v>839</v>
      </c>
      <c r="G143" s="107" t="s">
        <v>840</v>
      </c>
    </row>
    <row r="144" spans="2:8">
      <c r="B144" s="821" t="s">
        <v>838</v>
      </c>
      <c r="C144" s="822"/>
      <c r="D144" s="100" t="s">
        <v>316</v>
      </c>
      <c r="E144" s="100" t="s">
        <v>315</v>
      </c>
      <c r="F144" s="101" t="s">
        <v>306</v>
      </c>
      <c r="G144" s="108" t="s">
        <v>319</v>
      </c>
    </row>
    <row r="145" spans="2:7">
      <c r="B145" s="230"/>
      <c r="C145" s="102"/>
      <c r="D145" s="103"/>
      <c r="E145" s="103" t="s">
        <v>317</v>
      </c>
      <c r="F145" s="104" t="s">
        <v>318</v>
      </c>
      <c r="G145" s="109"/>
    </row>
    <row r="146" spans="2:7">
      <c r="B146" s="823" t="str">
        <f>'MANO DE OBRA'!$B$15</f>
        <v xml:space="preserve">OFICIAL CUAD. TIPO AA </v>
      </c>
      <c r="C146" s="824"/>
      <c r="D146" s="87">
        <v>1</v>
      </c>
      <c r="E146" s="80">
        <f>'MANO DE OBRA'!$E$15</f>
        <v>71474</v>
      </c>
      <c r="F146" s="444">
        <v>12</v>
      </c>
      <c r="G146" s="110">
        <f>ROUND(D146*E146/F146,0)</f>
        <v>5956</v>
      </c>
    </row>
    <row r="147" spans="2:7">
      <c r="B147" s="835" t="str">
        <f>'MANO DE OBRA'!$B$10</f>
        <v>AYUDANTE CUAD. TIPO AA</v>
      </c>
      <c r="C147" s="836"/>
      <c r="D147" s="37">
        <v>3</v>
      </c>
      <c r="E147" s="82">
        <f>'MANO DE OBRA'!$E$10</f>
        <v>34680</v>
      </c>
      <c r="F147" s="83">
        <v>12</v>
      </c>
      <c r="G147" s="111">
        <f>ROUND(D147*E147/F147,0)</f>
        <v>8670</v>
      </c>
    </row>
    <row r="148" spans="2:7">
      <c r="B148" s="835" t="s">
        <v>841</v>
      </c>
      <c r="C148" s="836"/>
      <c r="D148" s="37"/>
      <c r="E148" s="82"/>
      <c r="F148" s="83"/>
      <c r="G148" s="111"/>
    </row>
    <row r="149" spans="2:7" ht="13.5" thickBot="1">
      <c r="B149" s="828" t="s">
        <v>841</v>
      </c>
      <c r="C149" s="829"/>
      <c r="D149" s="77"/>
      <c r="E149" s="82"/>
      <c r="F149" s="86"/>
      <c r="G149" s="112"/>
    </row>
    <row r="150" spans="2:7" ht="14.25" thickTop="1" thickBot="1">
      <c r="B150" s="808"/>
      <c r="C150" s="808"/>
      <c r="D150" s="808"/>
      <c r="E150" s="809"/>
      <c r="F150" s="120" t="s">
        <v>856</v>
      </c>
      <c r="G150" s="118">
        <f>SUM(G146:G149)</f>
        <v>14626</v>
      </c>
    </row>
    <row r="151" spans="2:7" ht="14.25" thickTop="1" thickBot="1">
      <c r="B151" s="810"/>
      <c r="C151" s="810"/>
      <c r="D151" s="810"/>
      <c r="E151" s="810"/>
      <c r="F151" s="810"/>
      <c r="G151" s="810"/>
    </row>
    <row r="152" spans="2:7" ht="13.5" thickTop="1">
      <c r="B152" s="811" t="s">
        <v>321</v>
      </c>
      <c r="C152" s="812"/>
      <c r="D152" s="812"/>
      <c r="E152" s="812"/>
      <c r="F152" s="812"/>
      <c r="G152" s="825"/>
    </row>
    <row r="153" spans="2:7">
      <c r="B153" s="817" t="s">
        <v>838</v>
      </c>
      <c r="C153" s="818"/>
      <c r="D153" s="98" t="s">
        <v>301</v>
      </c>
      <c r="E153" s="98" t="s">
        <v>297</v>
      </c>
      <c r="F153" s="99" t="s">
        <v>839</v>
      </c>
      <c r="G153" s="107" t="s">
        <v>840</v>
      </c>
    </row>
    <row r="154" spans="2:7">
      <c r="B154" s="230"/>
      <c r="C154" s="102"/>
      <c r="D154" s="103" t="s">
        <v>322</v>
      </c>
      <c r="E154" s="103" t="s">
        <v>323</v>
      </c>
      <c r="F154" s="104" t="s">
        <v>324</v>
      </c>
      <c r="G154" s="109" t="s">
        <v>325</v>
      </c>
    </row>
    <row r="155" spans="2:7">
      <c r="B155" s="826"/>
      <c r="C155" s="827"/>
      <c r="D155" s="96"/>
      <c r="E155" s="449"/>
      <c r="F155" s="96"/>
      <c r="G155" s="448"/>
    </row>
    <row r="156" spans="2:7" ht="13.5" thickBot="1">
      <c r="B156" s="828" t="s">
        <v>841</v>
      </c>
      <c r="C156" s="829"/>
      <c r="D156" s="77"/>
      <c r="E156" s="82"/>
      <c r="F156" s="86"/>
      <c r="G156" s="112"/>
    </row>
    <row r="157" spans="2:7" ht="14.25" thickTop="1" thickBot="1">
      <c r="B157" s="808"/>
      <c r="C157" s="808"/>
      <c r="D157" s="808"/>
      <c r="E157" s="809"/>
      <c r="F157" s="120" t="s">
        <v>856</v>
      </c>
      <c r="G157" s="118">
        <f>SUM(G152:G156)</f>
        <v>0</v>
      </c>
    </row>
    <row r="158" spans="2:7" ht="14.25" thickTop="1" thickBot="1">
      <c r="B158" s="810"/>
      <c r="C158" s="810"/>
      <c r="D158" s="810"/>
      <c r="E158" s="810"/>
      <c r="F158" s="810"/>
      <c r="G158" s="834"/>
    </row>
    <row r="159" spans="2:7" ht="13.5" thickTop="1">
      <c r="B159" s="811" t="s">
        <v>326</v>
      </c>
      <c r="C159" s="812"/>
      <c r="D159" s="812"/>
      <c r="E159" s="812"/>
      <c r="F159" s="813"/>
      <c r="G159" s="121">
        <f>+G124+G140+G150+G157</f>
        <v>101307</v>
      </c>
    </row>
    <row r="160" spans="2:7">
      <c r="B160" s="814" t="s">
        <v>861</v>
      </c>
      <c r="C160" s="815"/>
      <c r="D160" s="815"/>
      <c r="E160" s="816"/>
      <c r="F160" s="128">
        <f>'[1]MANO DE OBRA'!$D$59</f>
        <v>0</v>
      </c>
      <c r="G160" s="122">
        <f>ROUND(G159*F160,0)</f>
        <v>0</v>
      </c>
    </row>
    <row r="161" spans="2:8" ht="12.75" customHeight="1" thickBot="1">
      <c r="B161" s="805" t="s">
        <v>1049</v>
      </c>
      <c r="C161" s="806"/>
      <c r="D161" s="806"/>
      <c r="E161" s="806"/>
      <c r="F161" s="807"/>
      <c r="G161" s="118">
        <f>ROUND(G159+G160,-2)</f>
        <v>101300</v>
      </c>
      <c r="H161" s="514" t="s">
        <v>1670</v>
      </c>
    </row>
    <row r="162" spans="2:8" ht="13.5" thickTop="1">
      <c r="B162" s="423" t="s">
        <v>303</v>
      </c>
      <c r="C162" s="1064"/>
      <c r="D162" s="1064"/>
      <c r="E162" s="1064"/>
      <c r="F162" s="424" t="s">
        <v>781</v>
      </c>
      <c r="G162" s="441" t="s">
        <v>669</v>
      </c>
    </row>
    <row r="163" spans="2:8">
      <c r="B163" s="427" t="s">
        <v>834</v>
      </c>
      <c r="C163" s="886" t="s">
        <v>1647</v>
      </c>
      <c r="D163" s="1065"/>
      <c r="E163" s="1065"/>
      <c r="F163" s="428" t="s">
        <v>833</v>
      </c>
      <c r="G163" s="429" t="str">
        <f>'MANO DE OBRA'!$D$61</f>
        <v>Agosto de 2010</v>
      </c>
    </row>
    <row r="164" spans="2:8" ht="13.5" thickBot="1">
      <c r="B164" s="431" t="s">
        <v>835</v>
      </c>
      <c r="C164" s="1084" t="s">
        <v>1655</v>
      </c>
      <c r="D164" s="1085"/>
      <c r="E164" s="1085"/>
      <c r="F164" s="1085"/>
      <c r="G164" s="1086"/>
    </row>
    <row r="165" spans="2:8" ht="14.25" thickTop="1" thickBot="1">
      <c r="B165" s="1068"/>
      <c r="C165" s="1068"/>
      <c r="D165" s="1068"/>
      <c r="E165" s="1068"/>
      <c r="F165" s="1068"/>
      <c r="G165" s="1068"/>
    </row>
    <row r="166" spans="2:8" ht="13.5" thickTop="1">
      <c r="B166" s="811" t="s">
        <v>304</v>
      </c>
      <c r="C166" s="812"/>
      <c r="D166" s="812"/>
      <c r="E166" s="812"/>
      <c r="F166" s="812"/>
      <c r="G166" s="825"/>
    </row>
    <row r="167" spans="2:8">
      <c r="B167" s="229"/>
      <c r="C167" s="97"/>
      <c r="D167" s="98" t="s">
        <v>301</v>
      </c>
      <c r="E167" s="98" t="s">
        <v>1072</v>
      </c>
      <c r="F167" s="99" t="s">
        <v>839</v>
      </c>
      <c r="G167" s="107" t="s">
        <v>840</v>
      </c>
    </row>
    <row r="168" spans="2:8">
      <c r="B168" s="821" t="s">
        <v>838</v>
      </c>
      <c r="C168" s="822"/>
      <c r="D168" s="100" t="s">
        <v>308</v>
      </c>
      <c r="E168" s="100" t="s">
        <v>305</v>
      </c>
      <c r="F168" s="101" t="s">
        <v>306</v>
      </c>
      <c r="G168" s="108" t="s">
        <v>310</v>
      </c>
    </row>
    <row r="169" spans="2:8">
      <c r="B169" s="230"/>
      <c r="C169" s="102"/>
      <c r="D169" s="103"/>
      <c r="E169" s="103" t="s">
        <v>309</v>
      </c>
      <c r="F169" s="104" t="s">
        <v>307</v>
      </c>
      <c r="G169" s="109"/>
    </row>
    <row r="170" spans="2:8">
      <c r="B170" s="823" t="str">
        <f>'MAQUINARIA Y EQUIPOS'!$C$28</f>
        <v>HERRAMIENTAS MENORES</v>
      </c>
      <c r="C170" s="824"/>
      <c r="D170" s="87">
        <v>1</v>
      </c>
      <c r="E170" s="82">
        <f>ROUND(G202*0.05,0)</f>
        <v>731</v>
      </c>
      <c r="F170" s="447">
        <v>1</v>
      </c>
      <c r="G170" s="110">
        <f>ROUND(D170*E170/F170,0)</f>
        <v>731</v>
      </c>
    </row>
    <row r="171" spans="2:8">
      <c r="B171" s="835" t="str">
        <f>'MAQUINARIA Y EQUIPOS'!$C$66</f>
        <v>RANA</v>
      </c>
      <c r="C171" s="836"/>
      <c r="D171" s="37">
        <v>1</v>
      </c>
      <c r="E171" s="82">
        <f>'MAQUINARIA Y EQUIPOS'!$D$66</f>
        <v>73800</v>
      </c>
      <c r="F171" s="435">
        <v>1.5</v>
      </c>
      <c r="G171" s="111">
        <f>ROUND(D171*E171/F171,0)</f>
        <v>49200</v>
      </c>
    </row>
    <row r="172" spans="2:8">
      <c r="B172" s="835"/>
      <c r="C172" s="836"/>
      <c r="D172" s="37"/>
      <c r="E172" s="82"/>
      <c r="F172" s="435"/>
      <c r="G172" s="436"/>
    </row>
    <row r="173" spans="2:8">
      <c r="B173" s="835"/>
      <c r="C173" s="836"/>
      <c r="D173" s="37"/>
      <c r="E173" s="82"/>
      <c r="F173" s="435"/>
      <c r="G173" s="436"/>
    </row>
    <row r="174" spans="2:8">
      <c r="B174" s="835" t="s">
        <v>841</v>
      </c>
      <c r="C174" s="836"/>
      <c r="D174" s="37"/>
      <c r="E174" s="82"/>
      <c r="F174" s="435"/>
      <c r="G174" s="111"/>
    </row>
    <row r="175" spans="2:8" ht="13.5" thickBot="1">
      <c r="B175" s="839" t="s">
        <v>841</v>
      </c>
      <c r="C175" s="840"/>
      <c r="D175" s="77"/>
      <c r="E175" s="106"/>
      <c r="F175" s="437"/>
      <c r="G175" s="112"/>
    </row>
    <row r="176" spans="2:8" ht="14.25" thickTop="1" thickBot="1">
      <c r="B176" s="808"/>
      <c r="C176" s="808"/>
      <c r="D176" s="808"/>
      <c r="E176" s="809"/>
      <c r="F176" s="438" t="s">
        <v>856</v>
      </c>
      <c r="G176" s="118">
        <f>SUM(G170:G175)</f>
        <v>49931</v>
      </c>
    </row>
    <row r="177" spans="2:8" ht="14.25" thickTop="1" thickBot="1">
      <c r="B177" s="830"/>
      <c r="C177" s="830"/>
      <c r="D177" s="830"/>
      <c r="E177" s="830"/>
      <c r="F177" s="830"/>
      <c r="G177" s="830"/>
    </row>
    <row r="178" spans="2:8" ht="13.5" thickTop="1">
      <c r="B178" s="811" t="s">
        <v>311</v>
      </c>
      <c r="C178" s="812"/>
      <c r="D178" s="812"/>
      <c r="E178" s="812"/>
      <c r="F178" s="812"/>
      <c r="G178" s="825"/>
    </row>
    <row r="179" spans="2:8">
      <c r="B179" s="817" t="s">
        <v>838</v>
      </c>
      <c r="C179" s="818"/>
      <c r="D179" s="98" t="s">
        <v>842</v>
      </c>
      <c r="E179" s="98" t="s">
        <v>853</v>
      </c>
      <c r="F179" s="99" t="s">
        <v>1047</v>
      </c>
      <c r="G179" s="107" t="s">
        <v>840</v>
      </c>
    </row>
    <row r="180" spans="2:8">
      <c r="B180" s="230"/>
      <c r="C180" s="102"/>
      <c r="D180" s="100"/>
      <c r="E180" s="100" t="s">
        <v>312</v>
      </c>
      <c r="F180" s="101" t="s">
        <v>313</v>
      </c>
      <c r="G180" s="108" t="s">
        <v>314</v>
      </c>
    </row>
    <row r="181" spans="2:8">
      <c r="B181" s="1060" t="str">
        <f>MATERIALES2!C21</f>
        <v>ARENA FINA</v>
      </c>
      <c r="C181" s="1061"/>
      <c r="D181" s="442" t="s">
        <v>669</v>
      </c>
      <c r="E181" s="442">
        <v>1</v>
      </c>
      <c r="F181" s="80">
        <f>MATERIALES2!E21</f>
        <v>30000</v>
      </c>
      <c r="G181" s="445">
        <f>F181*E181</f>
        <v>30000</v>
      </c>
    </row>
    <row r="182" spans="2:8">
      <c r="B182" s="246"/>
      <c r="C182" s="124"/>
      <c r="D182" s="88"/>
      <c r="E182" s="53"/>
      <c r="F182" s="82"/>
      <c r="G182" s="111"/>
    </row>
    <row r="183" spans="2:8">
      <c r="B183" s="835"/>
      <c r="C183" s="836"/>
      <c r="D183" s="37"/>
      <c r="E183" s="55"/>
      <c r="F183" s="82"/>
      <c r="G183" s="111"/>
    </row>
    <row r="184" spans="2:8">
      <c r="B184" s="835"/>
      <c r="C184" s="836"/>
      <c r="D184" s="37"/>
      <c r="E184" s="55"/>
      <c r="F184" s="82"/>
      <c r="G184" s="111"/>
    </row>
    <row r="185" spans="2:8">
      <c r="B185" s="837"/>
      <c r="C185" s="838"/>
      <c r="D185" s="37"/>
      <c r="E185" s="55"/>
      <c r="F185" s="82"/>
      <c r="G185" s="111"/>
    </row>
    <row r="186" spans="2:8">
      <c r="B186" s="837"/>
      <c r="C186" s="838"/>
      <c r="D186" s="53" t="s">
        <v>841</v>
      </c>
      <c r="E186" s="53"/>
      <c r="F186" s="82"/>
      <c r="G186" s="111"/>
    </row>
    <row r="187" spans="2:8">
      <c r="B187" s="837" t="s">
        <v>841</v>
      </c>
      <c r="C187" s="838"/>
      <c r="D187" s="53" t="s">
        <v>841</v>
      </c>
      <c r="E187" s="53"/>
      <c r="F187" s="82"/>
      <c r="G187" s="111"/>
    </row>
    <row r="188" spans="2:8">
      <c r="B188" s="837" t="s">
        <v>841</v>
      </c>
      <c r="C188" s="838"/>
      <c r="D188" s="53" t="s">
        <v>841</v>
      </c>
      <c r="E188" s="53"/>
      <c r="F188" s="82"/>
      <c r="G188" s="111"/>
      <c r="H188" s="514" t="s">
        <v>1670</v>
      </c>
    </row>
    <row r="189" spans="2:8" ht="13.5" thickBot="1">
      <c r="B189" s="839" t="s">
        <v>841</v>
      </c>
      <c r="C189" s="840"/>
      <c r="D189" s="84" t="s">
        <v>841</v>
      </c>
      <c r="E189" s="84"/>
      <c r="F189" s="85"/>
      <c r="G189" s="112"/>
    </row>
    <row r="190" spans="2:8" ht="13.5" thickTop="1">
      <c r="B190" s="808"/>
      <c r="C190" s="809"/>
      <c r="D190" s="801" t="s">
        <v>856</v>
      </c>
      <c r="E190" s="802"/>
      <c r="F190" s="9"/>
      <c r="G190" s="113">
        <f>SUM(G181:G189)</f>
        <v>30000</v>
      </c>
    </row>
    <row r="191" spans="2:8">
      <c r="B191" s="819"/>
      <c r="C191" s="820"/>
      <c r="D191" s="801" t="s">
        <v>857</v>
      </c>
      <c r="E191" s="802"/>
      <c r="F191" s="79">
        <v>0.05</v>
      </c>
      <c r="G191" s="113">
        <f>ROUND(G190*F191,0)</f>
        <v>1500</v>
      </c>
    </row>
    <row r="192" spans="2:8" ht="13.5" thickBot="1">
      <c r="B192" s="819"/>
      <c r="C192" s="820"/>
      <c r="D192" s="803" t="s">
        <v>320</v>
      </c>
      <c r="E192" s="804"/>
      <c r="F192" s="114"/>
      <c r="G192" s="118">
        <f>+G190+G191</f>
        <v>31500</v>
      </c>
    </row>
    <row r="193" spans="2:7" ht="14.25" thickTop="1" thickBot="1">
      <c r="B193" s="830"/>
      <c r="C193" s="830"/>
      <c r="D193" s="830"/>
      <c r="E193" s="830"/>
      <c r="F193" s="830"/>
      <c r="G193" s="830"/>
    </row>
    <row r="194" spans="2:7" ht="13.5" thickTop="1">
      <c r="B194" s="811" t="s">
        <v>858</v>
      </c>
      <c r="C194" s="812"/>
      <c r="D194" s="812"/>
      <c r="E194" s="812"/>
      <c r="F194" s="812"/>
      <c r="G194" s="825"/>
    </row>
    <row r="195" spans="2:7">
      <c r="B195" s="817"/>
      <c r="C195" s="818"/>
      <c r="D195" s="98" t="s">
        <v>301</v>
      </c>
      <c r="E195" s="98" t="s">
        <v>859</v>
      </c>
      <c r="F195" s="99" t="s">
        <v>839</v>
      </c>
      <c r="G195" s="107" t="s">
        <v>840</v>
      </c>
    </row>
    <row r="196" spans="2:7">
      <c r="B196" s="821" t="s">
        <v>838</v>
      </c>
      <c r="C196" s="822"/>
      <c r="D196" s="100" t="s">
        <v>316</v>
      </c>
      <c r="E196" s="100" t="s">
        <v>315</v>
      </c>
      <c r="F196" s="101" t="s">
        <v>306</v>
      </c>
      <c r="G196" s="108" t="s">
        <v>319</v>
      </c>
    </row>
    <row r="197" spans="2:7">
      <c r="B197" s="230"/>
      <c r="C197" s="102"/>
      <c r="D197" s="103"/>
      <c r="E197" s="103" t="s">
        <v>317</v>
      </c>
      <c r="F197" s="104" t="s">
        <v>318</v>
      </c>
      <c r="G197" s="109"/>
    </row>
    <row r="198" spans="2:7">
      <c r="B198" s="823" t="str">
        <f>'MANO DE OBRA'!$B$15</f>
        <v xml:space="preserve">OFICIAL CUAD. TIPO AA </v>
      </c>
      <c r="C198" s="824"/>
      <c r="D198" s="87">
        <v>1</v>
      </c>
      <c r="E198" s="80">
        <f>'MANO DE OBRA'!$E$15</f>
        <v>71474</v>
      </c>
      <c r="F198" s="444">
        <v>12</v>
      </c>
      <c r="G198" s="110">
        <f>ROUND(D198*E198/F198,0)</f>
        <v>5956</v>
      </c>
    </row>
    <row r="199" spans="2:7">
      <c r="B199" s="835" t="str">
        <f>'MANO DE OBRA'!$B$10</f>
        <v>AYUDANTE CUAD. TIPO AA</v>
      </c>
      <c r="C199" s="836"/>
      <c r="D199" s="37">
        <v>3</v>
      </c>
      <c r="E199" s="82">
        <f>'MANO DE OBRA'!$E$10</f>
        <v>34680</v>
      </c>
      <c r="F199" s="83">
        <v>12</v>
      </c>
      <c r="G199" s="111">
        <f>ROUND(D199*E199/F199,0)</f>
        <v>8670</v>
      </c>
    </row>
    <row r="200" spans="2:7">
      <c r="B200" s="835" t="s">
        <v>841</v>
      </c>
      <c r="C200" s="836"/>
      <c r="D200" s="37"/>
      <c r="E200" s="82"/>
      <c r="F200" s="83"/>
      <c r="G200" s="111"/>
    </row>
    <row r="201" spans="2:7" ht="13.5" thickBot="1">
      <c r="B201" s="828" t="s">
        <v>841</v>
      </c>
      <c r="C201" s="829"/>
      <c r="D201" s="77"/>
      <c r="E201" s="82"/>
      <c r="F201" s="86"/>
      <c r="G201" s="112"/>
    </row>
    <row r="202" spans="2:7" ht="14.25" thickTop="1" thickBot="1">
      <c r="B202" s="808"/>
      <c r="C202" s="808"/>
      <c r="D202" s="808"/>
      <c r="E202" s="809"/>
      <c r="F202" s="120" t="s">
        <v>856</v>
      </c>
      <c r="G202" s="118">
        <f>SUM(G198:G201)</f>
        <v>14626</v>
      </c>
    </row>
    <row r="203" spans="2:7" ht="14.25" thickTop="1" thickBot="1">
      <c r="B203" s="810"/>
      <c r="C203" s="810"/>
      <c r="D203" s="810"/>
      <c r="E203" s="810"/>
      <c r="F203" s="810"/>
      <c r="G203" s="810"/>
    </row>
    <row r="204" spans="2:7" ht="13.5" thickTop="1">
      <c r="B204" s="811" t="s">
        <v>321</v>
      </c>
      <c r="C204" s="812"/>
      <c r="D204" s="812"/>
      <c r="E204" s="812"/>
      <c r="F204" s="812"/>
      <c r="G204" s="825"/>
    </row>
    <row r="205" spans="2:7">
      <c r="B205" s="817" t="s">
        <v>838</v>
      </c>
      <c r="C205" s="818"/>
      <c r="D205" s="98" t="s">
        <v>301</v>
      </c>
      <c r="E205" s="98" t="s">
        <v>297</v>
      </c>
      <c r="F205" s="99" t="s">
        <v>839</v>
      </c>
      <c r="G205" s="107" t="s">
        <v>840</v>
      </c>
    </row>
    <row r="206" spans="2:7">
      <c r="B206" s="230"/>
      <c r="C206" s="102"/>
      <c r="D206" s="103" t="s">
        <v>322</v>
      </c>
      <c r="E206" s="103" t="s">
        <v>323</v>
      </c>
      <c r="F206" s="104" t="s">
        <v>324</v>
      </c>
      <c r="G206" s="109" t="s">
        <v>325</v>
      </c>
    </row>
    <row r="207" spans="2:7">
      <c r="B207" s="826"/>
      <c r="C207" s="827"/>
      <c r="D207" s="96"/>
      <c r="E207" s="449"/>
      <c r="F207" s="96"/>
      <c r="G207" s="448"/>
    </row>
    <row r="208" spans="2:7" ht="13.5" thickBot="1">
      <c r="B208" s="828" t="s">
        <v>841</v>
      </c>
      <c r="C208" s="829"/>
      <c r="D208" s="77"/>
      <c r="E208" s="82"/>
      <c r="F208" s="86"/>
      <c r="G208" s="112"/>
    </row>
    <row r="209" spans="2:8" ht="14.25" thickTop="1" thickBot="1">
      <c r="B209" s="808"/>
      <c r="C209" s="808"/>
      <c r="D209" s="808"/>
      <c r="E209" s="809"/>
      <c r="F209" s="120" t="s">
        <v>856</v>
      </c>
      <c r="G209" s="118">
        <f>SUM(G204:G208)</f>
        <v>0</v>
      </c>
    </row>
    <row r="210" spans="2:8" ht="14.25" thickTop="1" thickBot="1">
      <c r="B210" s="810"/>
      <c r="C210" s="810"/>
      <c r="D210" s="810"/>
      <c r="E210" s="810"/>
      <c r="F210" s="810"/>
      <c r="G210" s="834"/>
    </row>
    <row r="211" spans="2:8" ht="13.5" thickTop="1">
      <c r="B211" s="811" t="s">
        <v>326</v>
      </c>
      <c r="C211" s="812"/>
      <c r="D211" s="812"/>
      <c r="E211" s="812"/>
      <c r="F211" s="813"/>
      <c r="G211" s="121">
        <f>+G176+G192+G202+G209</f>
        <v>96057</v>
      </c>
    </row>
    <row r="212" spans="2:8">
      <c r="B212" s="814" t="s">
        <v>861</v>
      </c>
      <c r="C212" s="815"/>
      <c r="D212" s="815"/>
      <c r="E212" s="816"/>
      <c r="F212" s="128">
        <f>'[1]MANO DE OBRA'!$D$59</f>
        <v>0</v>
      </c>
      <c r="G212" s="122">
        <f>ROUND(G211*F212,0)</f>
        <v>0</v>
      </c>
    </row>
    <row r="213" spans="2:8" ht="12.75" customHeight="1" thickBot="1">
      <c r="B213" s="805" t="s">
        <v>1049</v>
      </c>
      <c r="C213" s="806"/>
      <c r="D213" s="806"/>
      <c r="E213" s="806"/>
      <c r="F213" s="807"/>
      <c r="G213" s="118">
        <f>ROUND(G211+G212,-2)</f>
        <v>96100</v>
      </c>
      <c r="H213" s="514" t="s">
        <v>1670</v>
      </c>
    </row>
    <row r="214" spans="2:8" ht="13.5" thickTop="1">
      <c r="B214" s="423" t="s">
        <v>303</v>
      </c>
      <c r="C214" s="1064"/>
      <c r="D214" s="1064"/>
      <c r="E214" s="1064"/>
      <c r="F214" s="424" t="s">
        <v>781</v>
      </c>
      <c r="G214" s="425" t="s">
        <v>868</v>
      </c>
    </row>
    <row r="215" spans="2:8">
      <c r="B215" s="427" t="s">
        <v>834</v>
      </c>
      <c r="C215" s="886" t="s">
        <v>1647</v>
      </c>
      <c r="D215" s="1065"/>
      <c r="E215" s="1065"/>
      <c r="F215" s="428" t="s">
        <v>833</v>
      </c>
      <c r="G215" s="429" t="str">
        <f>'MANO DE OBRA'!$D$61</f>
        <v>Agosto de 2010</v>
      </c>
    </row>
    <row r="216" spans="2:8" ht="13.5" thickBot="1">
      <c r="B216" s="431" t="s">
        <v>835</v>
      </c>
      <c r="C216" s="887" t="s">
        <v>1654</v>
      </c>
      <c r="D216" s="1066"/>
      <c r="E216" s="1066"/>
      <c r="F216" s="1066"/>
      <c r="G216" s="1067"/>
    </row>
    <row r="217" spans="2:8" ht="14.25" thickTop="1" thickBot="1">
      <c r="B217" s="1068"/>
      <c r="C217" s="1068"/>
      <c r="D217" s="1068"/>
      <c r="E217" s="1068"/>
      <c r="F217" s="1068"/>
      <c r="G217" s="1068"/>
    </row>
    <row r="218" spans="2:8" ht="13.5" thickTop="1">
      <c r="B218" s="811" t="s">
        <v>304</v>
      </c>
      <c r="C218" s="812"/>
      <c r="D218" s="812"/>
      <c r="E218" s="812"/>
      <c r="F218" s="812"/>
      <c r="G218" s="825"/>
    </row>
    <row r="219" spans="2:8">
      <c r="B219" s="229"/>
      <c r="C219" s="97"/>
      <c r="D219" s="98" t="s">
        <v>301</v>
      </c>
      <c r="E219" s="98" t="s">
        <v>1072</v>
      </c>
      <c r="F219" s="99" t="s">
        <v>839</v>
      </c>
      <c r="G219" s="107" t="s">
        <v>840</v>
      </c>
    </row>
    <row r="220" spans="2:8">
      <c r="B220" s="821" t="s">
        <v>838</v>
      </c>
      <c r="C220" s="822"/>
      <c r="D220" s="100" t="s">
        <v>308</v>
      </c>
      <c r="E220" s="100" t="s">
        <v>305</v>
      </c>
      <c r="F220" s="101" t="s">
        <v>306</v>
      </c>
      <c r="G220" s="108" t="s">
        <v>310</v>
      </c>
    </row>
    <row r="221" spans="2:8">
      <c r="B221" s="230"/>
      <c r="C221" s="102"/>
      <c r="D221" s="103"/>
      <c r="E221" s="103" t="s">
        <v>309</v>
      </c>
      <c r="F221" s="104" t="s">
        <v>307</v>
      </c>
      <c r="G221" s="109"/>
    </row>
    <row r="222" spans="2:8">
      <c r="B222" s="823" t="str">
        <f>'MAQUINARIA Y EQUIPOS'!$C$28</f>
        <v>HERRAMIENTAS MENORES</v>
      </c>
      <c r="C222" s="824"/>
      <c r="D222" s="87">
        <v>1</v>
      </c>
      <c r="E222" s="82">
        <f>ROUND(G255*0.05,0)</f>
        <v>663</v>
      </c>
      <c r="F222" s="434">
        <v>1</v>
      </c>
      <c r="G222" s="110">
        <f>ROUND(D222*E222/F222,0)</f>
        <v>663</v>
      </c>
    </row>
    <row r="223" spans="2:8">
      <c r="B223" s="835" t="str">
        <f>'MAQUINARIA Y EQUIPOS'!$C$66</f>
        <v>RANA</v>
      </c>
      <c r="C223" s="836"/>
      <c r="D223" s="37">
        <v>1</v>
      </c>
      <c r="E223" s="82">
        <f>'MAQUINARIA Y EQUIPOS'!$D$66</f>
        <v>73800</v>
      </c>
      <c r="F223" s="435">
        <v>20</v>
      </c>
      <c r="G223" s="436">
        <f>ROUND(D223*E223/F223,0)</f>
        <v>3690</v>
      </c>
    </row>
    <row r="224" spans="2:8">
      <c r="B224" s="835"/>
      <c r="C224" s="836"/>
      <c r="D224" s="37"/>
      <c r="E224" s="82"/>
      <c r="F224" s="435"/>
      <c r="G224" s="436"/>
    </row>
    <row r="225" spans="2:8">
      <c r="B225" s="835"/>
      <c r="C225" s="836"/>
      <c r="D225" s="37"/>
      <c r="E225" s="82"/>
      <c r="F225" s="435"/>
      <c r="G225" s="436"/>
    </row>
    <row r="226" spans="2:8">
      <c r="B226" s="835" t="s">
        <v>841</v>
      </c>
      <c r="C226" s="836"/>
      <c r="D226" s="37"/>
      <c r="E226" s="82"/>
      <c r="F226" s="435"/>
      <c r="G226" s="111"/>
    </row>
    <row r="227" spans="2:8" ht="13.5" thickBot="1">
      <c r="B227" s="839" t="s">
        <v>841</v>
      </c>
      <c r="C227" s="840"/>
      <c r="D227" s="77"/>
      <c r="E227" s="106"/>
      <c r="F227" s="437"/>
      <c r="G227" s="112"/>
    </row>
    <row r="228" spans="2:8" ht="14.25" thickTop="1" thickBot="1">
      <c r="B228" s="808"/>
      <c r="C228" s="808"/>
      <c r="D228" s="808"/>
      <c r="E228" s="809"/>
      <c r="F228" s="438" t="s">
        <v>856</v>
      </c>
      <c r="G228" s="118">
        <f>SUM(G222:G227)</f>
        <v>4353</v>
      </c>
    </row>
    <row r="229" spans="2:8" ht="14.25" thickTop="1" thickBot="1">
      <c r="B229" s="830"/>
      <c r="C229" s="830"/>
      <c r="D229" s="830"/>
      <c r="E229" s="830"/>
      <c r="F229" s="830"/>
      <c r="G229" s="830"/>
    </row>
    <row r="230" spans="2:8" ht="13.5" thickTop="1">
      <c r="B230" s="811" t="s">
        <v>311</v>
      </c>
      <c r="C230" s="812"/>
      <c r="D230" s="812"/>
      <c r="E230" s="812"/>
      <c r="F230" s="812"/>
      <c r="G230" s="825"/>
    </row>
    <row r="231" spans="2:8">
      <c r="B231" s="817" t="s">
        <v>838</v>
      </c>
      <c r="C231" s="818"/>
      <c r="D231" s="98" t="s">
        <v>842</v>
      </c>
      <c r="E231" s="98" t="s">
        <v>853</v>
      </c>
      <c r="F231" s="99" t="s">
        <v>1047</v>
      </c>
      <c r="G231" s="107" t="s">
        <v>840</v>
      </c>
    </row>
    <row r="232" spans="2:8">
      <c r="B232" s="230"/>
      <c r="C232" s="102"/>
      <c r="D232" s="100"/>
      <c r="E232" s="100" t="s">
        <v>312</v>
      </c>
      <c r="F232" s="101" t="s">
        <v>313</v>
      </c>
      <c r="G232" s="108" t="s">
        <v>314</v>
      </c>
    </row>
    <row r="233" spans="2:8">
      <c r="B233" s="1087" t="str">
        <f>MATERIALES2!$C$145</f>
        <v>ADOQUIN SANTAFE TIPO CUARTO 26</v>
      </c>
      <c r="C233" s="1063"/>
      <c r="D233" s="439" t="s">
        <v>865</v>
      </c>
      <c r="E233" s="10">
        <v>64</v>
      </c>
      <c r="F233" s="80">
        <f>MATERIALES2!$E$145</f>
        <v>477</v>
      </c>
      <c r="G233" s="110">
        <f>E233*F233</f>
        <v>30528</v>
      </c>
    </row>
    <row r="234" spans="2:8" ht="24.75" customHeight="1">
      <c r="B234" s="1090" t="str">
        <f>$C$60</f>
        <v>SUM. E INSAT DE SUBBASE GRANULAR BASE ANDENES Y SARDINELES</v>
      </c>
      <c r="C234" s="1091"/>
      <c r="D234" s="450" t="s">
        <v>669</v>
      </c>
      <c r="E234" s="53">
        <v>0.08</v>
      </c>
      <c r="F234" s="82">
        <f>$G$109</f>
        <v>114400</v>
      </c>
      <c r="G234" s="111">
        <f>E234*F234</f>
        <v>9152</v>
      </c>
    </row>
    <row r="235" spans="2:8" ht="30.75" customHeight="1">
      <c r="B235" s="1088" t="str">
        <f>$C$112</f>
        <v>SUM. E INSAT DE BASE EN ARENA GRUESA</v>
      </c>
      <c r="C235" s="1089"/>
      <c r="D235" s="450" t="s">
        <v>669</v>
      </c>
      <c r="E235" s="53">
        <v>0.06</v>
      </c>
      <c r="F235" s="82">
        <f>$G$161</f>
        <v>101300</v>
      </c>
      <c r="G235" s="111">
        <f>E235*F235</f>
        <v>6078</v>
      </c>
    </row>
    <row r="236" spans="2:8" ht="18.75" customHeight="1">
      <c r="B236" s="953" t="str">
        <f>$C$164</f>
        <v>SUM. E INSAT DE BASE EN ARENA FINA</v>
      </c>
      <c r="C236" s="836"/>
      <c r="D236" s="48" t="s">
        <v>669</v>
      </c>
      <c r="E236" s="53">
        <v>0.04</v>
      </c>
      <c r="F236" s="82">
        <f>$G$213</f>
        <v>96100</v>
      </c>
      <c r="G236" s="111">
        <f>E236*F236</f>
        <v>3844</v>
      </c>
    </row>
    <row r="237" spans="2:8">
      <c r="B237" s="837"/>
      <c r="C237" s="838"/>
      <c r="D237" s="37"/>
      <c r="E237" s="55"/>
      <c r="F237" s="82"/>
      <c r="G237" s="111"/>
    </row>
    <row r="238" spans="2:8">
      <c r="B238" s="837"/>
      <c r="C238" s="838"/>
      <c r="D238" s="53" t="s">
        <v>841</v>
      </c>
      <c r="E238" s="53"/>
      <c r="F238" s="82"/>
      <c r="G238" s="111"/>
    </row>
    <row r="239" spans="2:8">
      <c r="B239" s="837" t="s">
        <v>841</v>
      </c>
      <c r="C239" s="838"/>
      <c r="D239" s="53" t="s">
        <v>841</v>
      </c>
      <c r="E239" s="53"/>
      <c r="F239" s="82"/>
      <c r="G239" s="111"/>
      <c r="H239" s="514" t="s">
        <v>1670</v>
      </c>
    </row>
    <row r="240" spans="2:8">
      <c r="B240" s="837" t="s">
        <v>841</v>
      </c>
      <c r="C240" s="838"/>
      <c r="D240" s="53" t="s">
        <v>841</v>
      </c>
      <c r="E240" s="53"/>
      <c r="F240" s="82"/>
      <c r="G240" s="111"/>
    </row>
    <row r="241" spans="2:7" ht="13.5" thickBot="1">
      <c r="B241" s="839" t="s">
        <v>841</v>
      </c>
      <c r="C241" s="840"/>
      <c r="D241" s="84" t="s">
        <v>841</v>
      </c>
      <c r="E241" s="84"/>
      <c r="F241" s="85"/>
      <c r="G241" s="112"/>
    </row>
    <row r="242" spans="2:7" ht="13.5" thickTop="1">
      <c r="B242" s="808"/>
      <c r="C242" s="809"/>
      <c r="D242" s="801" t="s">
        <v>856</v>
      </c>
      <c r="E242" s="802"/>
      <c r="F242" s="9"/>
      <c r="G242" s="113">
        <f>SUM(G233:G241)</f>
        <v>49602</v>
      </c>
    </row>
    <row r="243" spans="2:7">
      <c r="B243" s="819"/>
      <c r="C243" s="820"/>
      <c r="D243" s="801" t="s">
        <v>857</v>
      </c>
      <c r="E243" s="802"/>
      <c r="F243" s="79">
        <v>0</v>
      </c>
      <c r="G243" s="113">
        <f>ROUND(G242*F243,0)</f>
        <v>0</v>
      </c>
    </row>
    <row r="244" spans="2:7" ht="13.5" thickBot="1">
      <c r="B244" s="819"/>
      <c r="C244" s="820"/>
      <c r="D244" s="803" t="s">
        <v>320</v>
      </c>
      <c r="E244" s="804"/>
      <c r="F244" s="114"/>
      <c r="G244" s="118">
        <f>+G242+G243</f>
        <v>49602</v>
      </c>
    </row>
    <row r="245" spans="2:7" ht="14.25" thickTop="1" thickBot="1">
      <c r="B245" s="830"/>
      <c r="C245" s="830"/>
      <c r="D245" s="830"/>
      <c r="E245" s="830"/>
      <c r="F245" s="830"/>
      <c r="G245" s="830"/>
    </row>
    <row r="246" spans="2:7" ht="12.75" customHeight="1" thickTop="1">
      <c r="B246" s="811" t="s">
        <v>858</v>
      </c>
      <c r="C246" s="812"/>
      <c r="D246" s="812"/>
      <c r="E246" s="812"/>
      <c r="F246" s="812"/>
      <c r="G246" s="825"/>
    </row>
    <row r="247" spans="2:7">
      <c r="B247" s="817"/>
      <c r="C247" s="818"/>
      <c r="D247" s="98" t="s">
        <v>301</v>
      </c>
      <c r="E247" s="98" t="s">
        <v>859</v>
      </c>
      <c r="F247" s="99" t="s">
        <v>839</v>
      </c>
      <c r="G247" s="107" t="s">
        <v>840</v>
      </c>
    </row>
    <row r="248" spans="2:7">
      <c r="B248" s="821" t="s">
        <v>838</v>
      </c>
      <c r="C248" s="822"/>
      <c r="D248" s="100" t="s">
        <v>316</v>
      </c>
      <c r="E248" s="100" t="s">
        <v>315</v>
      </c>
      <c r="F248" s="101" t="s">
        <v>306</v>
      </c>
      <c r="G248" s="108" t="s">
        <v>319</v>
      </c>
    </row>
    <row r="249" spans="2:7">
      <c r="B249" s="230"/>
      <c r="C249" s="102"/>
      <c r="D249" s="103"/>
      <c r="E249" s="103" t="s">
        <v>317</v>
      </c>
      <c r="F249" s="104" t="s">
        <v>318</v>
      </c>
      <c r="G249" s="109"/>
    </row>
    <row r="250" spans="2:7">
      <c r="B250" s="823" t="str">
        <f>'MANO DE OBRA'!$B$15</f>
        <v xml:space="preserve">OFICIAL CUAD. TIPO AA </v>
      </c>
      <c r="C250" s="824"/>
      <c r="D250" s="87">
        <v>1</v>
      </c>
      <c r="E250" s="80">
        <f>'MANO DE OBRA'!$E$15</f>
        <v>71474</v>
      </c>
      <c r="F250" s="81">
        <v>8</v>
      </c>
      <c r="G250" s="110">
        <f>ROUND(D250*E250/F250,0)</f>
        <v>8934</v>
      </c>
    </row>
    <row r="251" spans="2:7">
      <c r="B251" s="835" t="str">
        <f>'MANO DE OBRA'!$B$10</f>
        <v>AYUDANTE CUAD. TIPO AA</v>
      </c>
      <c r="C251" s="836"/>
      <c r="D251" s="37">
        <v>1</v>
      </c>
      <c r="E251" s="82">
        <f>'MANO DE OBRA'!$E$10</f>
        <v>34680</v>
      </c>
      <c r="F251" s="83">
        <v>8</v>
      </c>
      <c r="G251" s="111">
        <f>ROUND(D251*E251/F251,0)</f>
        <v>4335</v>
      </c>
    </row>
    <row r="252" spans="2:7">
      <c r="B252" s="835"/>
      <c r="C252" s="836"/>
      <c r="D252" s="37"/>
      <c r="E252" s="82"/>
      <c r="F252" s="83"/>
      <c r="G252" s="111"/>
    </row>
    <row r="253" spans="2:7">
      <c r="B253" s="835" t="s">
        <v>841</v>
      </c>
      <c r="C253" s="836"/>
      <c r="D253" s="37"/>
      <c r="E253" s="82"/>
      <c r="F253" s="83"/>
      <c r="G253" s="111"/>
    </row>
    <row r="254" spans="2:7" ht="13.5" thickBot="1">
      <c r="B254" s="828" t="s">
        <v>841</v>
      </c>
      <c r="C254" s="829"/>
      <c r="D254" s="77"/>
      <c r="E254" s="82"/>
      <c r="F254" s="86"/>
      <c r="G254" s="112"/>
    </row>
    <row r="255" spans="2:7" ht="14.25" thickTop="1" thickBot="1">
      <c r="B255" s="808"/>
      <c r="C255" s="808"/>
      <c r="D255" s="808"/>
      <c r="E255" s="809"/>
      <c r="F255" s="120" t="s">
        <v>856</v>
      </c>
      <c r="G255" s="118">
        <f>SUM(G250:G254)</f>
        <v>13269</v>
      </c>
    </row>
    <row r="256" spans="2:7" ht="14.25" thickTop="1" thickBot="1">
      <c r="B256" s="810"/>
      <c r="C256" s="810"/>
      <c r="D256" s="810"/>
      <c r="E256" s="810"/>
      <c r="F256" s="810"/>
      <c r="G256" s="810"/>
    </row>
    <row r="257" spans="2:8" ht="13.5" thickTop="1">
      <c r="B257" s="811" t="s">
        <v>321</v>
      </c>
      <c r="C257" s="812"/>
      <c r="D257" s="812"/>
      <c r="E257" s="812"/>
      <c r="F257" s="812"/>
      <c r="G257" s="825"/>
    </row>
    <row r="258" spans="2:8">
      <c r="B258" s="817" t="s">
        <v>838</v>
      </c>
      <c r="C258" s="818"/>
      <c r="D258" s="98" t="s">
        <v>301</v>
      </c>
      <c r="E258" s="98" t="s">
        <v>297</v>
      </c>
      <c r="F258" s="99" t="s">
        <v>839</v>
      </c>
      <c r="G258" s="107" t="s">
        <v>840</v>
      </c>
    </row>
    <row r="259" spans="2:8">
      <c r="B259" s="230"/>
      <c r="C259" s="102"/>
      <c r="D259" s="103" t="s">
        <v>322</v>
      </c>
      <c r="E259" s="103" t="s">
        <v>323</v>
      </c>
      <c r="F259" s="104" t="s">
        <v>324</v>
      </c>
      <c r="G259" s="109" t="s">
        <v>325</v>
      </c>
    </row>
    <row r="260" spans="2:8">
      <c r="B260" s="826"/>
      <c r="C260" s="827"/>
      <c r="D260" s="96"/>
      <c r="E260" s="96"/>
      <c r="F260" s="96"/>
      <c r="G260" s="116"/>
    </row>
    <row r="261" spans="2:8" ht="13.5" thickBot="1">
      <c r="B261" s="828" t="s">
        <v>841</v>
      </c>
      <c r="C261" s="829"/>
      <c r="D261" s="77"/>
      <c r="E261" s="82"/>
      <c r="F261" s="86"/>
      <c r="G261" s="112"/>
    </row>
    <row r="262" spans="2:8" ht="14.25" thickTop="1" thickBot="1">
      <c r="B262" s="808"/>
      <c r="C262" s="808"/>
      <c r="D262" s="808"/>
      <c r="E262" s="809"/>
      <c r="F262" s="120" t="s">
        <v>856</v>
      </c>
      <c r="G262" s="118">
        <f>SUM(G257:G261)</f>
        <v>0</v>
      </c>
    </row>
    <row r="263" spans="2:8" ht="14.25" thickTop="1" thickBot="1">
      <c r="B263" s="810"/>
      <c r="C263" s="810"/>
      <c r="D263" s="810"/>
      <c r="E263" s="810"/>
      <c r="F263" s="810"/>
      <c r="G263" s="834"/>
    </row>
    <row r="264" spans="2:8" ht="13.5" thickTop="1">
      <c r="B264" s="811" t="s">
        <v>326</v>
      </c>
      <c r="C264" s="812"/>
      <c r="D264" s="812"/>
      <c r="E264" s="812"/>
      <c r="F264" s="813"/>
      <c r="G264" s="121">
        <f>+G228+G244+G255</f>
        <v>67224</v>
      </c>
    </row>
    <row r="265" spans="2:8">
      <c r="B265" s="814" t="s">
        <v>861</v>
      </c>
      <c r="C265" s="815"/>
      <c r="D265" s="815"/>
      <c r="E265" s="816"/>
      <c r="F265" s="128">
        <f>'[1]MANO DE OBRA'!$D$59</f>
        <v>0</v>
      </c>
      <c r="G265" s="122">
        <f>ROUND(G264*F265,0)</f>
        <v>0</v>
      </c>
    </row>
    <row r="266" spans="2:8" ht="13.5" thickBot="1">
      <c r="B266" s="805" t="s">
        <v>1049</v>
      </c>
      <c r="C266" s="806"/>
      <c r="D266" s="806"/>
      <c r="E266" s="806"/>
      <c r="F266" s="807"/>
      <c r="G266" s="118">
        <f>ROUND(G264+G265,-2)</f>
        <v>67200</v>
      </c>
      <c r="H266" s="514" t="s">
        <v>1670</v>
      </c>
    </row>
    <row r="267" spans="2:8" ht="13.5" thickTop="1">
      <c r="B267" s="423" t="s">
        <v>303</v>
      </c>
      <c r="C267" s="1064"/>
      <c r="D267" s="1064"/>
      <c r="E267" s="1064"/>
      <c r="F267" s="424" t="s">
        <v>781</v>
      </c>
      <c r="G267" s="425" t="s">
        <v>868</v>
      </c>
    </row>
    <row r="268" spans="2:8">
      <c r="B268" s="427" t="s">
        <v>834</v>
      </c>
      <c r="C268" s="886" t="s">
        <v>1647</v>
      </c>
      <c r="D268" s="1065"/>
      <c r="E268" s="1065"/>
      <c r="F268" s="428" t="s">
        <v>833</v>
      </c>
      <c r="G268" s="429" t="str">
        <f>'MANO DE OBRA'!$D$61</f>
        <v>Agosto de 2010</v>
      </c>
    </row>
    <row r="269" spans="2:8" ht="13.5" thickBot="1">
      <c r="B269" s="431" t="s">
        <v>835</v>
      </c>
      <c r="C269" s="887" t="s">
        <v>1657</v>
      </c>
      <c r="D269" s="1066"/>
      <c r="E269" s="1066"/>
      <c r="F269" s="1066"/>
      <c r="G269" s="1067"/>
    </row>
    <row r="270" spans="2:8" ht="14.25" thickTop="1" thickBot="1">
      <c r="B270" s="1068"/>
      <c r="C270" s="1068"/>
      <c r="D270" s="1068"/>
      <c r="E270" s="1068"/>
      <c r="F270" s="1068"/>
      <c r="G270" s="1068"/>
    </row>
    <row r="271" spans="2:8" ht="13.5" thickTop="1">
      <c r="B271" s="811" t="s">
        <v>304</v>
      </c>
      <c r="C271" s="812"/>
      <c r="D271" s="812"/>
      <c r="E271" s="812"/>
      <c r="F271" s="812"/>
      <c r="G271" s="825"/>
    </row>
    <row r="272" spans="2:8">
      <c r="B272" s="229"/>
      <c r="C272" s="97"/>
      <c r="D272" s="98" t="s">
        <v>301</v>
      </c>
      <c r="E272" s="98" t="s">
        <v>1072</v>
      </c>
      <c r="F272" s="99" t="s">
        <v>839</v>
      </c>
      <c r="G272" s="107" t="s">
        <v>840</v>
      </c>
    </row>
    <row r="273" spans="2:7">
      <c r="B273" s="821" t="s">
        <v>838</v>
      </c>
      <c r="C273" s="822"/>
      <c r="D273" s="100" t="s">
        <v>308</v>
      </c>
      <c r="E273" s="100" t="s">
        <v>305</v>
      </c>
      <c r="F273" s="101" t="s">
        <v>306</v>
      </c>
      <c r="G273" s="108" t="s">
        <v>310</v>
      </c>
    </row>
    <row r="274" spans="2:7">
      <c r="B274" s="230"/>
      <c r="C274" s="102"/>
      <c r="D274" s="103"/>
      <c r="E274" s="103" t="s">
        <v>309</v>
      </c>
      <c r="F274" s="104" t="s">
        <v>307</v>
      </c>
      <c r="G274" s="109"/>
    </row>
    <row r="275" spans="2:7">
      <c r="B275" s="823" t="str">
        <f>'MAQUINARIA Y EQUIPOS'!$C$28</f>
        <v>HERRAMIENTAS MENORES</v>
      </c>
      <c r="C275" s="824"/>
      <c r="D275" s="87">
        <v>1</v>
      </c>
      <c r="E275" s="82">
        <f>ROUND(G308*0.05,0)</f>
        <v>663</v>
      </c>
      <c r="F275" s="434">
        <v>1</v>
      </c>
      <c r="G275" s="110">
        <f>ROUND(D275*E275/F275,0)</f>
        <v>663</v>
      </c>
    </row>
    <row r="276" spans="2:7">
      <c r="B276" s="835" t="str">
        <f>'MAQUINARIA Y EQUIPOS'!$C$66</f>
        <v>RANA</v>
      </c>
      <c r="C276" s="836"/>
      <c r="D276" s="37">
        <v>1</v>
      </c>
      <c r="E276" s="82">
        <f>'MAQUINARIA Y EQUIPOS'!$D$66</f>
        <v>73800</v>
      </c>
      <c r="F276" s="435">
        <v>20</v>
      </c>
      <c r="G276" s="436">
        <f>ROUND(D276*E276/F276,0)</f>
        <v>3690</v>
      </c>
    </row>
    <row r="277" spans="2:7">
      <c r="B277" s="835"/>
      <c r="C277" s="836"/>
      <c r="D277" s="37"/>
      <c r="E277" s="82"/>
      <c r="F277" s="435"/>
      <c r="G277" s="436"/>
    </row>
    <row r="278" spans="2:7">
      <c r="B278" s="835"/>
      <c r="C278" s="836"/>
      <c r="D278" s="37"/>
      <c r="E278" s="82"/>
      <c r="F278" s="435"/>
      <c r="G278" s="436"/>
    </row>
    <row r="279" spans="2:7">
      <c r="B279" s="835" t="s">
        <v>841</v>
      </c>
      <c r="C279" s="836"/>
      <c r="D279" s="37"/>
      <c r="E279" s="82"/>
      <c r="F279" s="435"/>
      <c r="G279" s="111"/>
    </row>
    <row r="280" spans="2:7" ht="13.5" thickBot="1">
      <c r="B280" s="839" t="s">
        <v>841</v>
      </c>
      <c r="C280" s="840"/>
      <c r="D280" s="77"/>
      <c r="E280" s="106"/>
      <c r="F280" s="437"/>
      <c r="G280" s="112"/>
    </row>
    <row r="281" spans="2:7" ht="14.25" thickTop="1" thickBot="1">
      <c r="B281" s="808"/>
      <c r="C281" s="808"/>
      <c r="D281" s="808"/>
      <c r="E281" s="809"/>
      <c r="F281" s="438" t="s">
        <v>856</v>
      </c>
      <c r="G281" s="118">
        <f>SUM(G275:G280)</f>
        <v>4353</v>
      </c>
    </row>
    <row r="282" spans="2:7" ht="14.25" thickTop="1" thickBot="1">
      <c r="B282" s="830"/>
      <c r="C282" s="830"/>
      <c r="D282" s="830"/>
      <c r="E282" s="830"/>
      <c r="F282" s="830"/>
      <c r="G282" s="830"/>
    </row>
    <row r="283" spans="2:7" ht="13.5" thickTop="1">
      <c r="B283" s="811" t="s">
        <v>311</v>
      </c>
      <c r="C283" s="812"/>
      <c r="D283" s="812"/>
      <c r="E283" s="812"/>
      <c r="F283" s="812"/>
      <c r="G283" s="825"/>
    </row>
    <row r="284" spans="2:7">
      <c r="B284" s="817" t="s">
        <v>838</v>
      </c>
      <c r="C284" s="818"/>
      <c r="D284" s="98" t="s">
        <v>842</v>
      </c>
      <c r="E284" s="98" t="s">
        <v>853</v>
      </c>
      <c r="F284" s="99" t="s">
        <v>1047</v>
      </c>
      <c r="G284" s="107" t="s">
        <v>840</v>
      </c>
    </row>
    <row r="285" spans="2:7">
      <c r="B285" s="230"/>
      <c r="C285" s="102"/>
      <c r="D285" s="100"/>
      <c r="E285" s="100" t="s">
        <v>312</v>
      </c>
      <c r="F285" s="101" t="s">
        <v>313</v>
      </c>
      <c r="G285" s="108" t="s">
        <v>314</v>
      </c>
    </row>
    <row r="286" spans="2:7">
      <c r="B286" s="1087" t="str">
        <f>MATERIALES2!C146</f>
        <v>ADOQUIN SANTAFE TIPO ESPAÑOL 4cm</v>
      </c>
      <c r="C286" s="1063"/>
      <c r="D286" s="439" t="s">
        <v>865</v>
      </c>
      <c r="E286" s="10">
        <v>50</v>
      </c>
      <c r="F286" s="80">
        <f>MATERIALES2!E146</f>
        <v>600</v>
      </c>
      <c r="G286" s="110">
        <f>E286*F286</f>
        <v>30000</v>
      </c>
    </row>
    <row r="287" spans="2:7" ht="25.5" customHeight="1">
      <c r="B287" s="1090" t="str">
        <f>$C$60</f>
        <v>SUM. E INSAT DE SUBBASE GRANULAR BASE ANDENES Y SARDINELES</v>
      </c>
      <c r="C287" s="1091"/>
      <c r="D287" s="450" t="s">
        <v>669</v>
      </c>
      <c r="E287" s="53">
        <v>0.08</v>
      </c>
      <c r="F287" s="82">
        <f>$G$109</f>
        <v>114400</v>
      </c>
      <c r="G287" s="111">
        <f>E287*F287</f>
        <v>9152</v>
      </c>
    </row>
    <row r="288" spans="2:7">
      <c r="B288" s="1088" t="str">
        <f>$C$112</f>
        <v>SUM. E INSAT DE BASE EN ARENA GRUESA</v>
      </c>
      <c r="C288" s="1089"/>
      <c r="D288" s="450" t="s">
        <v>669</v>
      </c>
      <c r="E288" s="53">
        <v>0.06</v>
      </c>
      <c r="F288" s="82">
        <f>$G$161</f>
        <v>101300</v>
      </c>
      <c r="G288" s="111">
        <f>E288*F288</f>
        <v>6078</v>
      </c>
    </row>
    <row r="289" spans="2:8">
      <c r="B289" s="953" t="str">
        <f>$C$164</f>
        <v>SUM. E INSAT DE BASE EN ARENA FINA</v>
      </c>
      <c r="C289" s="836"/>
      <c r="D289" s="48" t="s">
        <v>669</v>
      </c>
      <c r="E289" s="53">
        <v>0.04</v>
      </c>
      <c r="F289" s="82">
        <f>$G$213</f>
        <v>96100</v>
      </c>
      <c r="G289" s="111">
        <f>E289*F289</f>
        <v>3844</v>
      </c>
    </row>
    <row r="290" spans="2:8">
      <c r="B290" s="837"/>
      <c r="C290" s="838"/>
      <c r="D290" s="37"/>
      <c r="E290" s="55"/>
      <c r="F290" s="82"/>
      <c r="G290" s="111"/>
    </row>
    <row r="291" spans="2:8">
      <c r="B291" s="837"/>
      <c r="C291" s="838"/>
      <c r="D291" s="53" t="s">
        <v>841</v>
      </c>
      <c r="E291" s="53"/>
      <c r="F291" s="82"/>
      <c r="G291" s="111"/>
    </row>
    <row r="292" spans="2:8">
      <c r="B292" s="837" t="s">
        <v>841</v>
      </c>
      <c r="C292" s="838"/>
      <c r="D292" s="53" t="s">
        <v>841</v>
      </c>
      <c r="E292" s="53"/>
      <c r="F292" s="82"/>
      <c r="G292" s="111"/>
      <c r="H292" s="514" t="s">
        <v>1670</v>
      </c>
    </row>
    <row r="293" spans="2:8">
      <c r="B293" s="837" t="s">
        <v>841</v>
      </c>
      <c r="C293" s="838"/>
      <c r="D293" s="53" t="s">
        <v>841</v>
      </c>
      <c r="E293" s="53"/>
      <c r="F293" s="82"/>
      <c r="G293" s="111"/>
    </row>
    <row r="294" spans="2:8" ht="13.5" thickBot="1">
      <c r="B294" s="839" t="s">
        <v>841</v>
      </c>
      <c r="C294" s="840"/>
      <c r="D294" s="84" t="s">
        <v>841</v>
      </c>
      <c r="E294" s="84"/>
      <c r="F294" s="85"/>
      <c r="G294" s="112"/>
    </row>
    <row r="295" spans="2:8" ht="13.5" thickTop="1">
      <c r="B295" s="808"/>
      <c r="C295" s="809"/>
      <c r="D295" s="801" t="s">
        <v>856</v>
      </c>
      <c r="E295" s="802"/>
      <c r="F295" s="9"/>
      <c r="G295" s="113">
        <f>SUM(G286:G294)</f>
        <v>49074</v>
      </c>
    </row>
    <row r="296" spans="2:8">
      <c r="B296" s="819"/>
      <c r="C296" s="820"/>
      <c r="D296" s="801" t="s">
        <v>857</v>
      </c>
      <c r="E296" s="802"/>
      <c r="F296" s="79">
        <v>0</v>
      </c>
      <c r="G296" s="113">
        <f>ROUND(G295*F296,0)</f>
        <v>0</v>
      </c>
    </row>
    <row r="297" spans="2:8" ht="13.5" thickBot="1">
      <c r="B297" s="819"/>
      <c r="C297" s="820"/>
      <c r="D297" s="803" t="s">
        <v>320</v>
      </c>
      <c r="E297" s="804"/>
      <c r="F297" s="114"/>
      <c r="G297" s="118">
        <f>+G295+G296</f>
        <v>49074</v>
      </c>
    </row>
    <row r="298" spans="2:8" ht="14.25" thickTop="1" thickBot="1">
      <c r="B298" s="830"/>
      <c r="C298" s="830"/>
      <c r="D298" s="830"/>
      <c r="E298" s="830"/>
      <c r="F298" s="830"/>
      <c r="G298" s="830"/>
    </row>
    <row r="299" spans="2:8" ht="13.5" thickTop="1">
      <c r="B299" s="811" t="s">
        <v>858</v>
      </c>
      <c r="C299" s="812"/>
      <c r="D299" s="812"/>
      <c r="E299" s="812"/>
      <c r="F299" s="812"/>
      <c r="G299" s="825"/>
    </row>
    <row r="300" spans="2:8">
      <c r="B300" s="817"/>
      <c r="C300" s="818"/>
      <c r="D300" s="98" t="s">
        <v>301</v>
      </c>
      <c r="E300" s="98" t="s">
        <v>859</v>
      </c>
      <c r="F300" s="99" t="s">
        <v>839</v>
      </c>
      <c r="G300" s="107" t="s">
        <v>840</v>
      </c>
    </row>
    <row r="301" spans="2:8">
      <c r="B301" s="821" t="s">
        <v>838</v>
      </c>
      <c r="C301" s="822"/>
      <c r="D301" s="100" t="s">
        <v>316</v>
      </c>
      <c r="E301" s="100" t="s">
        <v>315</v>
      </c>
      <c r="F301" s="101" t="s">
        <v>306</v>
      </c>
      <c r="G301" s="108" t="s">
        <v>319</v>
      </c>
    </row>
    <row r="302" spans="2:8">
      <c r="B302" s="230"/>
      <c r="C302" s="102"/>
      <c r="D302" s="103"/>
      <c r="E302" s="103" t="s">
        <v>317</v>
      </c>
      <c r="F302" s="104" t="s">
        <v>318</v>
      </c>
      <c r="G302" s="109"/>
    </row>
    <row r="303" spans="2:8">
      <c r="B303" s="823" t="str">
        <f>'MANO DE OBRA'!$B$15</f>
        <v xml:space="preserve">OFICIAL CUAD. TIPO AA </v>
      </c>
      <c r="C303" s="824"/>
      <c r="D303" s="87">
        <v>1</v>
      </c>
      <c r="E303" s="80">
        <f>'MANO DE OBRA'!$E$15</f>
        <v>71474</v>
      </c>
      <c r="F303" s="81">
        <v>8</v>
      </c>
      <c r="G303" s="110">
        <f>ROUND(D303*E303/F303,0)</f>
        <v>8934</v>
      </c>
    </row>
    <row r="304" spans="2:8">
      <c r="B304" s="835" t="str">
        <f>'MANO DE OBRA'!$B$10</f>
        <v>AYUDANTE CUAD. TIPO AA</v>
      </c>
      <c r="C304" s="836"/>
      <c r="D304" s="37">
        <v>1</v>
      </c>
      <c r="E304" s="82">
        <f>'MANO DE OBRA'!$E$10</f>
        <v>34680</v>
      </c>
      <c r="F304" s="83">
        <v>8</v>
      </c>
      <c r="G304" s="111">
        <f>ROUND(D304*E304/F304,0)</f>
        <v>4335</v>
      </c>
    </row>
    <row r="305" spans="2:8">
      <c r="B305" s="835"/>
      <c r="C305" s="836"/>
      <c r="D305" s="37"/>
      <c r="E305" s="82"/>
      <c r="F305" s="83"/>
      <c r="G305" s="111"/>
    </row>
    <row r="306" spans="2:8">
      <c r="B306" s="835" t="s">
        <v>841</v>
      </c>
      <c r="C306" s="836"/>
      <c r="D306" s="37"/>
      <c r="E306" s="82"/>
      <c r="F306" s="83"/>
      <c r="G306" s="111"/>
    </row>
    <row r="307" spans="2:8" ht="13.5" thickBot="1">
      <c r="B307" s="828" t="s">
        <v>841</v>
      </c>
      <c r="C307" s="829"/>
      <c r="D307" s="77"/>
      <c r="E307" s="82"/>
      <c r="F307" s="86"/>
      <c r="G307" s="112"/>
    </row>
    <row r="308" spans="2:8" ht="14.25" thickTop="1" thickBot="1">
      <c r="B308" s="808"/>
      <c r="C308" s="808"/>
      <c r="D308" s="808"/>
      <c r="E308" s="809"/>
      <c r="F308" s="120" t="s">
        <v>856</v>
      </c>
      <c r="G308" s="118">
        <f>SUM(G303:G307)</f>
        <v>13269</v>
      </c>
    </row>
    <row r="309" spans="2:8" ht="14.25" thickTop="1" thickBot="1">
      <c r="B309" s="810"/>
      <c r="C309" s="810"/>
      <c r="D309" s="810"/>
      <c r="E309" s="810"/>
      <c r="F309" s="810"/>
      <c r="G309" s="810"/>
    </row>
    <row r="310" spans="2:8" ht="13.5" thickTop="1">
      <c r="B310" s="811" t="s">
        <v>321</v>
      </c>
      <c r="C310" s="812"/>
      <c r="D310" s="812"/>
      <c r="E310" s="812"/>
      <c r="F310" s="812"/>
      <c r="G310" s="825"/>
    </row>
    <row r="311" spans="2:8">
      <c r="B311" s="817" t="s">
        <v>838</v>
      </c>
      <c r="C311" s="818"/>
      <c r="D311" s="98" t="s">
        <v>301</v>
      </c>
      <c r="E311" s="98" t="s">
        <v>297</v>
      </c>
      <c r="F311" s="99" t="s">
        <v>839</v>
      </c>
      <c r="G311" s="107" t="s">
        <v>840</v>
      </c>
    </row>
    <row r="312" spans="2:8">
      <c r="B312" s="230"/>
      <c r="C312" s="102"/>
      <c r="D312" s="103" t="s">
        <v>322</v>
      </c>
      <c r="E312" s="103" t="s">
        <v>323</v>
      </c>
      <c r="F312" s="104" t="s">
        <v>324</v>
      </c>
      <c r="G312" s="109" t="s">
        <v>325</v>
      </c>
    </row>
    <row r="313" spans="2:8">
      <c r="B313" s="826"/>
      <c r="C313" s="827"/>
      <c r="D313" s="96"/>
      <c r="E313" s="96"/>
      <c r="F313" s="96"/>
      <c r="G313" s="116"/>
    </row>
    <row r="314" spans="2:8" ht="13.5" thickBot="1">
      <c r="B314" s="828" t="s">
        <v>841</v>
      </c>
      <c r="C314" s="829"/>
      <c r="D314" s="77"/>
      <c r="E314" s="82"/>
      <c r="F314" s="86"/>
      <c r="G314" s="112"/>
    </row>
    <row r="315" spans="2:8" ht="14.25" thickTop="1" thickBot="1">
      <c r="B315" s="808"/>
      <c r="C315" s="808"/>
      <c r="D315" s="808"/>
      <c r="E315" s="809"/>
      <c r="F315" s="120" t="s">
        <v>856</v>
      </c>
      <c r="G315" s="118">
        <f>SUM(G310:G314)</f>
        <v>0</v>
      </c>
    </row>
    <row r="316" spans="2:8" ht="14.25" thickTop="1" thickBot="1">
      <c r="B316" s="810"/>
      <c r="C316" s="810"/>
      <c r="D316" s="810"/>
      <c r="E316" s="810"/>
      <c r="F316" s="810"/>
      <c r="G316" s="834"/>
    </row>
    <row r="317" spans="2:8" ht="13.5" thickTop="1">
      <c r="B317" s="811" t="s">
        <v>326</v>
      </c>
      <c r="C317" s="812"/>
      <c r="D317" s="812"/>
      <c r="E317" s="812"/>
      <c r="F317" s="813"/>
      <c r="G317" s="121">
        <f>+G281+G297+G308</f>
        <v>66696</v>
      </c>
    </row>
    <row r="318" spans="2:8">
      <c r="B318" s="814" t="s">
        <v>861</v>
      </c>
      <c r="C318" s="815"/>
      <c r="D318" s="815"/>
      <c r="E318" s="816"/>
      <c r="F318" s="128">
        <f>'[1]MANO DE OBRA'!$D$59</f>
        <v>0</v>
      </c>
      <c r="G318" s="122">
        <f>ROUND(G317*F318,0)</f>
        <v>0</v>
      </c>
    </row>
    <row r="319" spans="2:8" ht="13.5" thickBot="1">
      <c r="B319" s="805" t="s">
        <v>1049</v>
      </c>
      <c r="C319" s="806"/>
      <c r="D319" s="806"/>
      <c r="E319" s="806"/>
      <c r="F319" s="807"/>
      <c r="G319" s="118">
        <f>ROUND(G317+G318,-2)</f>
        <v>66700</v>
      </c>
      <c r="H319" s="514" t="s">
        <v>1670</v>
      </c>
    </row>
    <row r="320" spans="2:8" s="455" customFormat="1" ht="13.5" thickTop="1">
      <c r="B320" s="495" t="s">
        <v>303</v>
      </c>
      <c r="C320" s="497"/>
      <c r="D320" s="497"/>
      <c r="E320" s="497"/>
      <c r="F320" s="456" t="s">
        <v>781</v>
      </c>
      <c r="G320" s="457" t="s">
        <v>865</v>
      </c>
    </row>
    <row r="321" spans="2:7" s="455" customFormat="1">
      <c r="B321" s="496" t="s">
        <v>834</v>
      </c>
      <c r="C321" s="498" t="s">
        <v>1663</v>
      </c>
      <c r="D321" s="498"/>
      <c r="E321" s="498"/>
      <c r="F321" s="327" t="s">
        <v>833</v>
      </c>
      <c r="G321" s="458" t="str">
        <f>'MANO DE OBRA'!$D$61</f>
        <v>Agosto de 2010</v>
      </c>
    </row>
    <row r="322" spans="2:7" s="455" customFormat="1" ht="13.5" thickBot="1">
      <c r="B322" s="459" t="s">
        <v>835</v>
      </c>
      <c r="C322" s="1094" t="s">
        <v>1662</v>
      </c>
      <c r="D322" s="1094"/>
      <c r="E322" s="1094"/>
      <c r="F322" s="1094"/>
      <c r="G322" s="1095"/>
    </row>
    <row r="323" spans="2:7" s="455" customFormat="1" ht="13.5" thickTop="1">
      <c r="B323" s="811" t="s">
        <v>304</v>
      </c>
      <c r="C323" s="812"/>
      <c r="D323" s="812"/>
      <c r="E323" s="812"/>
      <c r="F323" s="812"/>
      <c r="G323" s="825"/>
    </row>
    <row r="324" spans="2:7" s="455" customFormat="1">
      <c r="B324" s="229"/>
      <c r="C324" s="97"/>
      <c r="D324" s="98" t="s">
        <v>301</v>
      </c>
      <c r="E324" s="98" t="s">
        <v>1072</v>
      </c>
      <c r="F324" s="99" t="s">
        <v>839</v>
      </c>
      <c r="G324" s="107" t="s">
        <v>840</v>
      </c>
    </row>
    <row r="325" spans="2:7" s="455" customFormat="1">
      <c r="B325" s="821" t="s">
        <v>838</v>
      </c>
      <c r="C325" s="822"/>
      <c r="D325" s="100"/>
      <c r="E325" s="100"/>
      <c r="F325" s="101"/>
      <c r="G325" s="108"/>
    </row>
    <row r="326" spans="2:7" s="455" customFormat="1">
      <c r="B326" s="230"/>
      <c r="C326" s="102"/>
      <c r="D326" s="103"/>
      <c r="E326" s="103"/>
      <c r="F326" s="104"/>
      <c r="G326" s="109"/>
    </row>
    <row r="327" spans="2:7" s="455" customFormat="1">
      <c r="B327" s="905" t="str">
        <f>'MAQUINARIA Y EQUIPOS'!$C$28</f>
        <v>HERRAMIENTAS MENORES</v>
      </c>
      <c r="C327" s="906"/>
      <c r="D327" s="439">
        <v>1</v>
      </c>
      <c r="E327" s="460">
        <f>G355*5%</f>
        <v>1326.95</v>
      </c>
      <c r="F327" s="461">
        <v>1</v>
      </c>
      <c r="G327" s="462">
        <f>E327*F327</f>
        <v>1326.95</v>
      </c>
    </row>
    <row r="328" spans="2:7" s="455" customFormat="1">
      <c r="B328" s="1096"/>
      <c r="C328" s="1097"/>
      <c r="D328" s="48"/>
      <c r="E328" s="463"/>
      <c r="F328" s="464"/>
      <c r="G328" s="465"/>
    </row>
    <row r="329" spans="2:7" s="455" customFormat="1">
      <c r="B329" s="925"/>
      <c r="C329" s="926"/>
      <c r="D329" s="48"/>
      <c r="E329" s="463"/>
      <c r="F329" s="464"/>
      <c r="G329" s="465"/>
    </row>
    <row r="330" spans="2:7" s="455" customFormat="1">
      <c r="B330" s="925"/>
      <c r="C330" s="926"/>
      <c r="D330" s="48"/>
      <c r="E330" s="463"/>
      <c r="F330" s="464"/>
      <c r="G330" s="465"/>
    </row>
    <row r="331" spans="2:7" s="455" customFormat="1">
      <c r="B331" s="925"/>
      <c r="C331" s="926"/>
      <c r="D331" s="466"/>
      <c r="E331" s="463"/>
      <c r="F331" s="464"/>
      <c r="G331" s="465"/>
    </row>
    <row r="332" spans="2:7" s="455" customFormat="1" ht="13.5" thickBot="1">
      <c r="B332" s="1098" t="s">
        <v>841</v>
      </c>
      <c r="C332" s="1099"/>
      <c r="D332" s="467"/>
      <c r="E332" s="468"/>
      <c r="F332" s="469"/>
      <c r="G332" s="470"/>
    </row>
    <row r="333" spans="2:7" s="455" customFormat="1" ht="14.25" thickTop="1" thickBot="1">
      <c r="B333" s="927"/>
      <c r="C333" s="927"/>
      <c r="D333" s="927"/>
      <c r="E333" s="928"/>
      <c r="F333" s="119" t="s">
        <v>856</v>
      </c>
      <c r="G333" s="471">
        <f>SUM(G327:G332)</f>
        <v>1326.95</v>
      </c>
    </row>
    <row r="334" spans="2:7" s="455" customFormat="1" ht="14.25" thickTop="1" thickBot="1">
      <c r="B334" s="168"/>
      <c r="C334" s="168"/>
      <c r="D334" s="168"/>
      <c r="E334" s="168"/>
      <c r="F334" s="472"/>
      <c r="G334" s="473"/>
    </row>
    <row r="335" spans="2:7" s="455" customFormat="1" ht="13.5" thickTop="1">
      <c r="B335" s="811" t="s">
        <v>311</v>
      </c>
      <c r="C335" s="812"/>
      <c r="D335" s="812"/>
      <c r="E335" s="812"/>
      <c r="F335" s="812"/>
      <c r="G335" s="825"/>
    </row>
    <row r="336" spans="2:7" s="455" customFormat="1">
      <c r="B336" s="817" t="s">
        <v>838</v>
      </c>
      <c r="C336" s="818"/>
      <c r="D336" s="98" t="s">
        <v>842</v>
      </c>
      <c r="E336" s="98" t="s">
        <v>853</v>
      </c>
      <c r="F336" s="99" t="s">
        <v>1047</v>
      </c>
      <c r="G336" s="107" t="s">
        <v>840</v>
      </c>
    </row>
    <row r="337" spans="2:8" s="455" customFormat="1">
      <c r="B337" s="230"/>
      <c r="C337" s="102"/>
      <c r="D337" s="103"/>
      <c r="E337" s="103"/>
      <c r="F337" s="104"/>
      <c r="G337" s="109"/>
    </row>
    <row r="338" spans="2:8" s="455" customFormat="1">
      <c r="B338" s="1100" t="str">
        <f>MATERIALES2!$C$190</f>
        <v>BANCA EN MADERA</v>
      </c>
      <c r="C338" s="1101"/>
      <c r="D338" s="48" t="s">
        <v>865</v>
      </c>
      <c r="E338" s="474">
        <v>1</v>
      </c>
      <c r="F338" s="463">
        <f>MATERIALES2!$E$190</f>
        <v>250000</v>
      </c>
      <c r="G338" s="465">
        <f>ROUND(E338*F338,0)</f>
        <v>250000</v>
      </c>
    </row>
    <row r="339" spans="2:8" s="455" customFormat="1">
      <c r="B339" s="894" t="str">
        <f>MATERIALES2!$C$35</f>
        <v>CONCRETO 1:2:3-3000 psi(MATERIALES)</v>
      </c>
      <c r="C339" s="895"/>
      <c r="D339" s="48" t="s">
        <v>669</v>
      </c>
      <c r="E339" s="499">
        <v>0.05</v>
      </c>
      <c r="F339" s="500">
        <f>MATERIALES2!$E$35</f>
        <v>367600</v>
      </c>
      <c r="G339" s="465">
        <f>ROUND(E339*F339,0)</f>
        <v>18380</v>
      </c>
    </row>
    <row r="340" spans="2:8" s="455" customFormat="1">
      <c r="B340" s="925"/>
      <c r="C340" s="926"/>
      <c r="D340" s="48"/>
      <c r="E340" s="475"/>
      <c r="F340" s="463"/>
      <c r="G340" s="465"/>
    </row>
    <row r="341" spans="2:8" s="455" customFormat="1">
      <c r="B341" s="1096"/>
      <c r="C341" s="1097"/>
      <c r="D341" s="48"/>
      <c r="E341" s="475"/>
      <c r="F341" s="463"/>
      <c r="G341" s="465"/>
      <c r="H341" s="514" t="s">
        <v>1670</v>
      </c>
    </row>
    <row r="342" spans="2:8" s="455" customFormat="1" ht="13.5" thickBot="1">
      <c r="B342" s="925"/>
      <c r="C342" s="926"/>
      <c r="D342" s="48"/>
      <c r="E342" s="474"/>
      <c r="F342" s="463"/>
      <c r="G342" s="465"/>
    </row>
    <row r="343" spans="2:8" s="455" customFormat="1" ht="13.5" thickTop="1">
      <c r="B343" s="927"/>
      <c r="C343" s="928"/>
      <c r="D343" s="1104" t="s">
        <v>856</v>
      </c>
      <c r="E343" s="1105"/>
      <c r="F343" s="476"/>
      <c r="G343" s="477">
        <f>SUM(G338:G342)</f>
        <v>268380</v>
      </c>
    </row>
    <row r="344" spans="2:8" s="455" customFormat="1">
      <c r="B344" s="1102"/>
      <c r="C344" s="1103"/>
      <c r="D344" s="1104" t="s">
        <v>857</v>
      </c>
      <c r="E344" s="1105"/>
      <c r="F344" s="478">
        <v>0.05</v>
      </c>
      <c r="G344" s="477">
        <f>ROUND(G343*F344,0)</f>
        <v>13419</v>
      </c>
    </row>
    <row r="345" spans="2:8" s="455" customFormat="1" ht="13.5" thickBot="1">
      <c r="B345" s="1102"/>
      <c r="C345" s="1103"/>
      <c r="D345" s="803" t="s">
        <v>320</v>
      </c>
      <c r="E345" s="804"/>
      <c r="F345" s="479"/>
      <c r="G345" s="471">
        <f>+G343+G344</f>
        <v>281799</v>
      </c>
    </row>
    <row r="346" spans="2:8" s="455" customFormat="1" ht="14.25" thickTop="1" thickBot="1">
      <c r="B346" s="168"/>
      <c r="C346" s="168"/>
      <c r="D346" s="480"/>
      <c r="E346" s="480"/>
      <c r="F346" s="481"/>
      <c r="G346" s="473"/>
    </row>
    <row r="347" spans="2:8" s="455" customFormat="1" ht="13.5" thickTop="1">
      <c r="B347" s="811" t="s">
        <v>858</v>
      </c>
      <c r="C347" s="812"/>
      <c r="D347" s="812"/>
      <c r="E347" s="812"/>
      <c r="F347" s="812"/>
      <c r="G347" s="825"/>
    </row>
    <row r="348" spans="2:8" s="455" customFormat="1">
      <c r="B348" s="817"/>
      <c r="C348" s="818"/>
      <c r="D348" s="98" t="s">
        <v>301</v>
      </c>
      <c r="E348" s="98" t="s">
        <v>1661</v>
      </c>
      <c r="F348" s="99" t="s">
        <v>839</v>
      </c>
      <c r="G348" s="107" t="s">
        <v>840</v>
      </c>
    </row>
    <row r="349" spans="2:8" s="455" customFormat="1">
      <c r="B349" s="821" t="s">
        <v>838</v>
      </c>
      <c r="C349" s="822"/>
      <c r="D349" s="100"/>
      <c r="E349" s="100"/>
      <c r="F349" s="101"/>
      <c r="G349" s="108"/>
    </row>
    <row r="350" spans="2:8" s="455" customFormat="1">
      <c r="B350" s="230"/>
      <c r="C350" s="102"/>
      <c r="D350" s="103"/>
      <c r="E350" s="103"/>
      <c r="F350" s="104"/>
      <c r="G350" s="109"/>
    </row>
    <row r="351" spans="2:8" s="455" customFormat="1">
      <c r="B351" s="905" t="str">
        <f>'MANO DE OBRA'!$B$15</f>
        <v xml:space="preserve">OFICIAL CUAD. TIPO AA </v>
      </c>
      <c r="C351" s="906"/>
      <c r="D351" s="482">
        <v>1</v>
      </c>
      <c r="E351" s="80">
        <f>'MANO DE OBRA'!E15</f>
        <v>71474</v>
      </c>
      <c r="F351" s="483">
        <v>4</v>
      </c>
      <c r="G351" s="465">
        <f>ROUND($D$351*$E$351/$F$351,0)</f>
        <v>17869</v>
      </c>
    </row>
    <row r="352" spans="2:8" s="455" customFormat="1">
      <c r="B352" s="925" t="str">
        <f>'MANO DE OBRA'!$B$10</f>
        <v>AYUDANTE CUAD. TIPO AA</v>
      </c>
      <c r="C352" s="926"/>
      <c r="D352" s="484">
        <v>1</v>
      </c>
      <c r="E352" s="82">
        <f>'MANO DE OBRA'!E10</f>
        <v>34680</v>
      </c>
      <c r="F352" s="464">
        <v>4</v>
      </c>
      <c r="G352" s="465">
        <f>ROUND($D$352*$E$352/$F$352,0)</f>
        <v>8670</v>
      </c>
    </row>
    <row r="353" spans="2:8" s="455" customFormat="1">
      <c r="B353" s="925"/>
      <c r="C353" s="926"/>
      <c r="D353" s="484"/>
      <c r="E353" s="484"/>
      <c r="F353" s="464"/>
      <c r="G353" s="465"/>
    </row>
    <row r="354" spans="2:8" s="455" customFormat="1" ht="13.5" thickBot="1">
      <c r="B354" s="925"/>
      <c r="C354" s="926"/>
      <c r="D354" s="484"/>
      <c r="E354" s="485"/>
      <c r="F354" s="469"/>
      <c r="G354" s="465"/>
    </row>
    <row r="355" spans="2:8" s="455" customFormat="1" ht="14.25" thickTop="1" thickBot="1">
      <c r="B355" s="927"/>
      <c r="C355" s="927"/>
      <c r="D355" s="927"/>
      <c r="E355" s="1103"/>
      <c r="F355" s="120" t="s">
        <v>856</v>
      </c>
      <c r="G355" s="471">
        <f>+G351+G352+G353</f>
        <v>26539</v>
      </c>
    </row>
    <row r="356" spans="2:8" s="455" customFormat="1" ht="14.25" thickTop="1" thickBot="1">
      <c r="B356" s="168"/>
      <c r="C356" s="168"/>
      <c r="D356" s="168"/>
      <c r="E356" s="168"/>
      <c r="F356" s="486"/>
      <c r="G356" s="473"/>
    </row>
    <row r="357" spans="2:8" s="455" customFormat="1" ht="13.5" thickTop="1">
      <c r="B357" s="811" t="s">
        <v>321</v>
      </c>
      <c r="C357" s="812"/>
      <c r="D357" s="812"/>
      <c r="E357" s="812"/>
      <c r="F357" s="812"/>
      <c r="G357" s="825"/>
    </row>
    <row r="358" spans="2:8" s="455" customFormat="1">
      <c r="B358" s="817" t="s">
        <v>838</v>
      </c>
      <c r="C358" s="818"/>
      <c r="D358" s="98" t="s">
        <v>301</v>
      </c>
      <c r="E358" s="98" t="s">
        <v>297</v>
      </c>
      <c r="F358" s="99" t="s">
        <v>839</v>
      </c>
      <c r="G358" s="107" t="s">
        <v>840</v>
      </c>
    </row>
    <row r="359" spans="2:8" s="455" customFormat="1">
      <c r="B359" s="230"/>
      <c r="C359" s="102"/>
      <c r="D359" s="103"/>
      <c r="E359" s="103"/>
      <c r="F359" s="104"/>
      <c r="G359" s="109"/>
    </row>
    <row r="360" spans="2:8" s="455" customFormat="1">
      <c r="B360" s="1106"/>
      <c r="C360" s="1107"/>
      <c r="D360" s="487"/>
      <c r="E360" s="487"/>
      <c r="F360" s="487"/>
      <c r="G360" s="488"/>
    </row>
    <row r="361" spans="2:8" s="455" customFormat="1" ht="13.5" thickBot="1">
      <c r="B361" s="1108" t="s">
        <v>841</v>
      </c>
      <c r="C361" s="1109"/>
      <c r="D361" s="467"/>
      <c r="E361" s="463"/>
      <c r="F361" s="469"/>
      <c r="G361" s="470"/>
    </row>
    <row r="362" spans="2:8" s="455" customFormat="1" ht="14.25" thickTop="1" thickBot="1">
      <c r="B362" s="927"/>
      <c r="C362" s="927"/>
      <c r="D362" s="927"/>
      <c r="E362" s="928"/>
      <c r="F362" s="120" t="s">
        <v>856</v>
      </c>
      <c r="G362" s="471"/>
    </row>
    <row r="363" spans="2:8" s="455" customFormat="1" ht="14.25" thickTop="1" thickBot="1">
      <c r="B363" s="168"/>
      <c r="C363" s="168"/>
      <c r="D363" s="168"/>
      <c r="E363" s="168"/>
      <c r="F363" s="486"/>
      <c r="G363" s="489"/>
    </row>
    <row r="364" spans="2:8" s="455" customFormat="1" ht="13.5" thickTop="1">
      <c r="B364" s="811" t="s">
        <v>326</v>
      </c>
      <c r="C364" s="812"/>
      <c r="D364" s="812"/>
      <c r="E364" s="812"/>
      <c r="F364" s="813"/>
      <c r="G364" s="490">
        <f>+G333+G345+G355</f>
        <v>309664.95</v>
      </c>
    </row>
    <row r="365" spans="2:8" s="455" customFormat="1">
      <c r="B365" s="814" t="s">
        <v>861</v>
      </c>
      <c r="C365" s="815"/>
      <c r="D365" s="815"/>
      <c r="E365" s="816"/>
      <c r="F365" s="491"/>
      <c r="G365" s="492"/>
    </row>
    <row r="366" spans="2:8" s="455" customFormat="1" ht="13.5" thickBot="1">
      <c r="B366" s="805" t="s">
        <v>1049</v>
      </c>
      <c r="C366" s="806"/>
      <c r="D366" s="806"/>
      <c r="E366" s="806"/>
      <c r="F366" s="807"/>
      <c r="G366" s="471">
        <f>G364</f>
        <v>309664.95</v>
      </c>
      <c r="H366" s="514" t="s">
        <v>1670</v>
      </c>
    </row>
    <row r="367" spans="2:8" ht="13.5" thickTop="1">
      <c r="B367" s="495" t="s">
        <v>303</v>
      </c>
      <c r="C367" s="497"/>
      <c r="D367" s="497"/>
      <c r="E367" s="497"/>
      <c r="F367" s="456" t="s">
        <v>781</v>
      </c>
      <c r="G367" s="457" t="s">
        <v>865</v>
      </c>
    </row>
    <row r="368" spans="2:8">
      <c r="B368" s="496" t="s">
        <v>834</v>
      </c>
      <c r="C368" s="498" t="s">
        <v>1663</v>
      </c>
      <c r="D368" s="498"/>
      <c r="E368" s="498"/>
      <c r="F368" s="327" t="s">
        <v>833</v>
      </c>
      <c r="G368" s="458" t="str">
        <f>'MANO DE OBRA'!$D$61</f>
        <v>Agosto de 2010</v>
      </c>
    </row>
    <row r="369" spans="2:7" ht="43.5" customHeight="1" thickBot="1">
      <c r="B369" s="459" t="s">
        <v>835</v>
      </c>
      <c r="C369" s="1094" t="s">
        <v>1665</v>
      </c>
      <c r="D369" s="1094"/>
      <c r="E369" s="1094"/>
      <c r="F369" s="1094"/>
      <c r="G369" s="1095"/>
    </row>
    <row r="370" spans="2:7" ht="13.5" thickTop="1">
      <c r="B370" s="811" t="s">
        <v>304</v>
      </c>
      <c r="C370" s="812"/>
      <c r="D370" s="812"/>
      <c r="E370" s="812"/>
      <c r="F370" s="812"/>
      <c r="G370" s="825"/>
    </row>
    <row r="371" spans="2:7">
      <c r="B371" s="229"/>
      <c r="C371" s="97"/>
      <c r="D371" s="98" t="s">
        <v>301</v>
      </c>
      <c r="E371" s="98" t="s">
        <v>1072</v>
      </c>
      <c r="F371" s="99" t="s">
        <v>839</v>
      </c>
      <c r="G371" s="107" t="s">
        <v>840</v>
      </c>
    </row>
    <row r="372" spans="2:7">
      <c r="B372" s="821" t="s">
        <v>838</v>
      </c>
      <c r="C372" s="822"/>
      <c r="D372" s="100"/>
      <c r="E372" s="100"/>
      <c r="F372" s="101"/>
      <c r="G372" s="108"/>
    </row>
    <row r="373" spans="2:7">
      <c r="B373" s="230"/>
      <c r="C373" s="102"/>
      <c r="D373" s="103"/>
      <c r="E373" s="103"/>
      <c r="F373" s="104"/>
      <c r="G373" s="109"/>
    </row>
    <row r="374" spans="2:7">
      <c r="B374" s="905" t="str">
        <f>'MAQUINARIA Y EQUIPOS'!$C$28</f>
        <v>HERRAMIENTAS MENORES</v>
      </c>
      <c r="C374" s="906"/>
      <c r="D374" s="439">
        <v>1</v>
      </c>
      <c r="E374" s="460">
        <f>G402*5%</f>
        <v>3520.8500000000004</v>
      </c>
      <c r="F374" s="461">
        <v>1</v>
      </c>
      <c r="G374" s="462">
        <f>E374*F374</f>
        <v>3520.8500000000004</v>
      </c>
    </row>
    <row r="375" spans="2:7">
      <c r="B375" s="1096"/>
      <c r="C375" s="1097"/>
      <c r="D375" s="48"/>
      <c r="E375" s="463"/>
      <c r="F375" s="464"/>
      <c r="G375" s="465"/>
    </row>
    <row r="376" spans="2:7">
      <c r="B376" s="925"/>
      <c r="C376" s="926"/>
      <c r="D376" s="48"/>
      <c r="E376" s="463"/>
      <c r="F376" s="464"/>
      <c r="G376" s="465"/>
    </row>
    <row r="377" spans="2:7">
      <c r="B377" s="925"/>
      <c r="C377" s="926"/>
      <c r="D377" s="48"/>
      <c r="E377" s="463"/>
      <c r="F377" s="464"/>
      <c r="G377" s="465"/>
    </row>
    <row r="378" spans="2:7">
      <c r="B378" s="925"/>
      <c r="C378" s="926"/>
      <c r="D378" s="466"/>
      <c r="E378" s="463"/>
      <c r="F378" s="464"/>
      <c r="G378" s="465"/>
    </row>
    <row r="379" spans="2:7" ht="13.5" thickBot="1">
      <c r="B379" s="1098" t="s">
        <v>841</v>
      </c>
      <c r="C379" s="1099"/>
      <c r="D379" s="467"/>
      <c r="E379" s="468"/>
      <c r="F379" s="469"/>
      <c r="G379" s="470"/>
    </row>
    <row r="380" spans="2:7" ht="14.25" thickTop="1" thickBot="1">
      <c r="B380" s="927"/>
      <c r="C380" s="927"/>
      <c r="D380" s="927"/>
      <c r="E380" s="928"/>
      <c r="F380" s="119" t="s">
        <v>856</v>
      </c>
      <c r="G380" s="471">
        <f>SUM(G374:G379)</f>
        <v>3520.8500000000004</v>
      </c>
    </row>
    <row r="381" spans="2:7" ht="14.25" thickTop="1" thickBot="1">
      <c r="B381" s="168"/>
      <c r="C381" s="168"/>
      <c r="D381" s="168"/>
      <c r="E381" s="168"/>
      <c r="F381" s="472"/>
      <c r="G381" s="473"/>
    </row>
    <row r="382" spans="2:7" ht="13.5" thickTop="1">
      <c r="B382" s="811" t="s">
        <v>311</v>
      </c>
      <c r="C382" s="812"/>
      <c r="D382" s="812"/>
      <c r="E382" s="812"/>
      <c r="F382" s="812"/>
      <c r="G382" s="825"/>
    </row>
    <row r="383" spans="2:7">
      <c r="B383" s="817" t="s">
        <v>838</v>
      </c>
      <c r="C383" s="818"/>
      <c r="D383" s="98" t="s">
        <v>842</v>
      </c>
      <c r="E383" s="98" t="s">
        <v>853</v>
      </c>
      <c r="F383" s="99" t="s">
        <v>1047</v>
      </c>
      <c r="G383" s="107" t="s">
        <v>840</v>
      </c>
    </row>
    <row r="384" spans="2:7">
      <c r="B384" s="230"/>
      <c r="C384" s="102"/>
      <c r="D384" s="103"/>
      <c r="E384" s="103"/>
      <c r="F384" s="104"/>
      <c r="G384" s="109"/>
    </row>
    <row r="385" spans="2:8" ht="24" customHeight="1">
      <c r="B385" s="1100" t="str">
        <f>MATERIALES2!$C$938</f>
        <v xml:space="preserve"> RUEDA CARRUSEL DE 2,10MTS DE DIAM. DOBLE BALINERA </v>
      </c>
      <c r="C385" s="1101"/>
      <c r="D385" s="48" t="s">
        <v>865</v>
      </c>
      <c r="E385" s="474">
        <v>1</v>
      </c>
      <c r="F385" s="463">
        <f>MATERIALES2!$E$938</f>
        <v>1700000</v>
      </c>
      <c r="G385" s="465">
        <f>ROUND(E385*F385,0)</f>
        <v>1700000</v>
      </c>
    </row>
    <row r="386" spans="2:8">
      <c r="B386" s="894" t="str">
        <f>MATERIALES2!$C$35</f>
        <v>CONCRETO 1:2:3-3000 psi(MATERIALES)</v>
      </c>
      <c r="C386" s="895"/>
      <c r="D386" s="48" t="s">
        <v>669</v>
      </c>
      <c r="E386" s="499">
        <v>0.45</v>
      </c>
      <c r="F386" s="500">
        <f>MATERIALES2!$E$35</f>
        <v>367600</v>
      </c>
      <c r="G386" s="465">
        <f>ROUND(E386*F386,0)</f>
        <v>165420</v>
      </c>
    </row>
    <row r="387" spans="2:8">
      <c r="B387" s="925"/>
      <c r="C387" s="926"/>
      <c r="D387" s="48"/>
      <c r="E387" s="475"/>
      <c r="F387" s="463"/>
      <c r="G387" s="465"/>
    </row>
    <row r="388" spans="2:8">
      <c r="B388" s="1096"/>
      <c r="C388" s="1097"/>
      <c r="D388" s="48"/>
      <c r="E388" s="475"/>
      <c r="F388" s="463"/>
      <c r="G388" s="465"/>
      <c r="H388" s="514" t="s">
        <v>1670</v>
      </c>
    </row>
    <row r="389" spans="2:8" ht="13.5" thickBot="1">
      <c r="B389" s="925"/>
      <c r="C389" s="926"/>
      <c r="D389" s="48"/>
      <c r="E389" s="474"/>
      <c r="F389" s="463"/>
      <c r="G389" s="465"/>
    </row>
    <row r="390" spans="2:8" ht="13.5" thickTop="1">
      <c r="B390" s="927"/>
      <c r="C390" s="928"/>
      <c r="D390" s="1104" t="s">
        <v>856</v>
      </c>
      <c r="E390" s="1105"/>
      <c r="F390" s="476"/>
      <c r="G390" s="477">
        <f>SUM(G385:G389)</f>
        <v>1865420</v>
      </c>
    </row>
    <row r="391" spans="2:8">
      <c r="B391" s="1102"/>
      <c r="C391" s="1103"/>
      <c r="D391" s="1104" t="s">
        <v>857</v>
      </c>
      <c r="E391" s="1105"/>
      <c r="F391" s="478">
        <v>0.05</v>
      </c>
      <c r="G391" s="477">
        <f>ROUND(G390*F391,0)</f>
        <v>93271</v>
      </c>
    </row>
    <row r="392" spans="2:8" ht="13.5" thickBot="1">
      <c r="B392" s="1102"/>
      <c r="C392" s="1103"/>
      <c r="D392" s="803" t="s">
        <v>320</v>
      </c>
      <c r="E392" s="804"/>
      <c r="F392" s="479"/>
      <c r="G392" s="471">
        <f>+G390+G391</f>
        <v>1958691</v>
      </c>
    </row>
    <row r="393" spans="2:8" ht="14.25" thickTop="1" thickBot="1">
      <c r="B393" s="168"/>
      <c r="C393" s="168"/>
      <c r="D393" s="480"/>
      <c r="E393" s="480"/>
      <c r="F393" s="481"/>
      <c r="G393" s="473"/>
    </row>
    <row r="394" spans="2:8" ht="13.5" thickTop="1">
      <c r="B394" s="811" t="s">
        <v>858</v>
      </c>
      <c r="C394" s="812"/>
      <c r="D394" s="812"/>
      <c r="E394" s="812"/>
      <c r="F394" s="812"/>
      <c r="G394" s="825"/>
    </row>
    <row r="395" spans="2:8">
      <c r="B395" s="817"/>
      <c r="C395" s="818"/>
      <c r="D395" s="98" t="s">
        <v>301</v>
      </c>
      <c r="E395" s="98" t="s">
        <v>1661</v>
      </c>
      <c r="F395" s="99" t="s">
        <v>839</v>
      </c>
      <c r="G395" s="107" t="s">
        <v>840</v>
      </c>
    </row>
    <row r="396" spans="2:8">
      <c r="B396" s="821" t="s">
        <v>838</v>
      </c>
      <c r="C396" s="822"/>
      <c r="D396" s="100"/>
      <c r="E396" s="100"/>
      <c r="F396" s="101"/>
      <c r="G396" s="108"/>
    </row>
    <row r="397" spans="2:8">
      <c r="B397" s="230"/>
      <c r="C397" s="102"/>
      <c r="D397" s="103"/>
      <c r="E397" s="103"/>
      <c r="F397" s="104"/>
      <c r="G397" s="109"/>
    </row>
    <row r="398" spans="2:8">
      <c r="B398" s="905" t="str">
        <f>'MANO DE OBRA'!$B$15</f>
        <v xml:space="preserve">OFICIAL CUAD. TIPO AA </v>
      </c>
      <c r="C398" s="906"/>
      <c r="D398" s="482">
        <v>1</v>
      </c>
      <c r="E398" s="80">
        <f>'MANO DE OBRA'!$E$15</f>
        <v>71474</v>
      </c>
      <c r="F398" s="483">
        <v>2</v>
      </c>
      <c r="G398" s="465">
        <f>ROUND(D398*E398/F398,0)</f>
        <v>35737</v>
      </c>
    </row>
    <row r="399" spans="2:8">
      <c r="B399" s="925" t="str">
        <f>'MANO DE OBRA'!$B$10</f>
        <v>AYUDANTE CUAD. TIPO AA</v>
      </c>
      <c r="C399" s="926"/>
      <c r="D399" s="484">
        <v>2</v>
      </c>
      <c r="E399" s="82">
        <f>'MANO DE OBRA'!$E$10</f>
        <v>34680</v>
      </c>
      <c r="F399" s="464">
        <v>2</v>
      </c>
      <c r="G399" s="465">
        <f>ROUND(D399*E399/F399,0)</f>
        <v>34680</v>
      </c>
    </row>
    <row r="400" spans="2:8">
      <c r="B400" s="925"/>
      <c r="C400" s="926"/>
      <c r="D400" s="484"/>
      <c r="E400" s="484"/>
      <c r="F400" s="464"/>
      <c r="G400" s="465"/>
    </row>
    <row r="401" spans="2:8" ht="13.5" thickBot="1">
      <c r="B401" s="925"/>
      <c r="C401" s="926"/>
      <c r="D401" s="484"/>
      <c r="E401" s="485"/>
      <c r="F401" s="469"/>
      <c r="G401" s="465"/>
    </row>
    <row r="402" spans="2:8" ht="14.25" thickTop="1" thickBot="1">
      <c r="B402" s="927"/>
      <c r="C402" s="927"/>
      <c r="D402" s="927"/>
      <c r="E402" s="1103"/>
      <c r="F402" s="120" t="s">
        <v>856</v>
      </c>
      <c r="G402" s="471">
        <f>+G398+G399+G400</f>
        <v>70417</v>
      </c>
    </row>
    <row r="403" spans="2:8" ht="14.25" thickTop="1" thickBot="1">
      <c r="B403" s="168"/>
      <c r="C403" s="168"/>
      <c r="D403" s="168"/>
      <c r="E403" s="168"/>
      <c r="F403" s="486"/>
      <c r="G403" s="473"/>
    </row>
    <row r="404" spans="2:8" ht="13.5" thickTop="1">
      <c r="B404" s="811" t="s">
        <v>321</v>
      </c>
      <c r="C404" s="812"/>
      <c r="D404" s="812"/>
      <c r="E404" s="812"/>
      <c r="F404" s="812"/>
      <c r="G404" s="825"/>
    </row>
    <row r="405" spans="2:8">
      <c r="B405" s="817" t="s">
        <v>838</v>
      </c>
      <c r="C405" s="818"/>
      <c r="D405" s="98" t="s">
        <v>301</v>
      </c>
      <c r="E405" s="98" t="s">
        <v>297</v>
      </c>
      <c r="F405" s="99" t="s">
        <v>839</v>
      </c>
      <c r="G405" s="107" t="s">
        <v>840</v>
      </c>
    </row>
    <row r="406" spans="2:8">
      <c r="B406" s="230"/>
      <c r="C406" s="102"/>
      <c r="D406" s="103"/>
      <c r="E406" s="103"/>
      <c r="F406" s="104"/>
      <c r="G406" s="109"/>
    </row>
    <row r="407" spans="2:8">
      <c r="B407" s="1106"/>
      <c r="C407" s="1107"/>
      <c r="D407" s="487"/>
      <c r="E407" s="487"/>
      <c r="F407" s="487"/>
      <c r="G407" s="488"/>
    </row>
    <row r="408" spans="2:8" ht="13.5" thickBot="1">
      <c r="B408" s="1108" t="s">
        <v>841</v>
      </c>
      <c r="C408" s="1109"/>
      <c r="D408" s="467"/>
      <c r="E408" s="463"/>
      <c r="F408" s="469"/>
      <c r="G408" s="470"/>
    </row>
    <row r="409" spans="2:8" ht="14.25" thickTop="1" thickBot="1">
      <c r="B409" s="927"/>
      <c r="C409" s="927"/>
      <c r="D409" s="927"/>
      <c r="E409" s="928"/>
      <c r="F409" s="120" t="s">
        <v>856</v>
      </c>
      <c r="G409" s="471"/>
    </row>
    <row r="410" spans="2:8" ht="14.25" thickTop="1" thickBot="1">
      <c r="B410" s="168"/>
      <c r="C410" s="168"/>
      <c r="D410" s="168"/>
      <c r="E410" s="168"/>
      <c r="F410" s="486"/>
      <c r="G410" s="489"/>
    </row>
    <row r="411" spans="2:8" ht="13.5" thickTop="1">
      <c r="B411" s="811" t="s">
        <v>326</v>
      </c>
      <c r="C411" s="812"/>
      <c r="D411" s="812"/>
      <c r="E411" s="812"/>
      <c r="F411" s="813"/>
      <c r="G411" s="490">
        <f>+G380+G392+G402</f>
        <v>2032628.85</v>
      </c>
    </row>
    <row r="412" spans="2:8">
      <c r="B412" s="814" t="s">
        <v>861</v>
      </c>
      <c r="C412" s="815"/>
      <c r="D412" s="815"/>
      <c r="E412" s="816"/>
      <c r="F412" s="491"/>
      <c r="G412" s="492"/>
    </row>
    <row r="413" spans="2:8" ht="13.5" thickBot="1">
      <c r="B413" s="805" t="s">
        <v>1049</v>
      </c>
      <c r="C413" s="806"/>
      <c r="D413" s="806"/>
      <c r="E413" s="806"/>
      <c r="F413" s="807"/>
      <c r="G413" s="471">
        <f>G411</f>
        <v>2032628.85</v>
      </c>
      <c r="H413" s="514" t="s">
        <v>1670</v>
      </c>
    </row>
    <row r="414" spans="2:8" ht="13.5" thickTop="1">
      <c r="B414" s="515" t="s">
        <v>303</v>
      </c>
      <c r="C414" s="885"/>
      <c r="D414" s="885"/>
      <c r="E414" s="885"/>
      <c r="F414" s="516" t="s">
        <v>781</v>
      </c>
      <c r="G414" s="441" t="s">
        <v>831</v>
      </c>
    </row>
    <row r="415" spans="2:8">
      <c r="B415" s="517" t="s">
        <v>834</v>
      </c>
      <c r="C415" s="886"/>
      <c r="D415" s="886"/>
      <c r="E415" s="886"/>
      <c r="F415" s="518" t="s">
        <v>833</v>
      </c>
      <c r="G415" s="458" t="str">
        <f>'MANO DE OBRA'!$D$61</f>
        <v>Agosto de 2010</v>
      </c>
    </row>
    <row r="416" spans="2:8" ht="13.5" thickBot="1">
      <c r="B416" s="519" t="s">
        <v>835</v>
      </c>
      <c r="C416" s="887" t="s">
        <v>1682</v>
      </c>
      <c r="D416" s="887"/>
      <c r="E416" s="887"/>
      <c r="F416" s="887"/>
      <c r="G416" s="888"/>
    </row>
    <row r="417" spans="2:7" ht="14.25" thickTop="1" thickBot="1">
      <c r="B417" s="889"/>
      <c r="C417" s="889"/>
      <c r="D417" s="889"/>
      <c r="E417" s="889"/>
      <c r="F417" s="889"/>
      <c r="G417" s="889"/>
    </row>
    <row r="418" spans="2:7" ht="13.5" thickTop="1">
      <c r="B418" s="890" t="s">
        <v>304</v>
      </c>
      <c r="C418" s="891"/>
      <c r="D418" s="891"/>
      <c r="E418" s="891"/>
      <c r="F418" s="891"/>
      <c r="G418" s="892"/>
    </row>
    <row r="419" spans="2:7">
      <c r="B419" s="893" t="s">
        <v>838</v>
      </c>
      <c r="C419" s="893"/>
      <c r="D419" s="520" t="s">
        <v>301</v>
      </c>
      <c r="E419" s="520" t="s">
        <v>1683</v>
      </c>
      <c r="F419" s="521" t="s">
        <v>839</v>
      </c>
      <c r="G419" s="522" t="s">
        <v>840</v>
      </c>
    </row>
    <row r="420" spans="2:7">
      <c r="B420" s="894" t="s">
        <v>1060</v>
      </c>
      <c r="C420" s="895"/>
      <c r="D420" s="523">
        <v>1</v>
      </c>
      <c r="E420" s="524">
        <f>ROUND(G451*0.05,0)</f>
        <v>440</v>
      </c>
      <c r="F420" s="525">
        <v>1</v>
      </c>
      <c r="G420" s="526">
        <f>ROUND(D420*E420/F420,0)</f>
        <v>440</v>
      </c>
    </row>
    <row r="421" spans="2:7">
      <c r="B421" s="835"/>
      <c r="C421" s="836"/>
      <c r="D421" s="37"/>
      <c r="E421" s="527"/>
      <c r="F421" s="528"/>
      <c r="G421" s="529"/>
    </row>
    <row r="422" spans="2:7">
      <c r="B422" s="835"/>
      <c r="C422" s="836"/>
      <c r="D422" s="89"/>
      <c r="E422" s="527"/>
      <c r="F422" s="528"/>
      <c r="G422" s="530"/>
    </row>
    <row r="423" spans="2:7">
      <c r="B423" s="835"/>
      <c r="C423" s="836"/>
      <c r="D423" s="89"/>
      <c r="E423" s="527"/>
      <c r="F423" s="528"/>
      <c r="G423" s="530"/>
    </row>
    <row r="424" spans="2:7">
      <c r="B424" s="835" t="s">
        <v>841</v>
      </c>
      <c r="C424" s="836"/>
      <c r="D424" s="37"/>
      <c r="E424" s="527"/>
      <c r="F424" s="528"/>
      <c r="G424" s="530"/>
    </row>
    <row r="425" spans="2:7" ht="13.5" thickBot="1">
      <c r="B425" s="839" t="s">
        <v>841</v>
      </c>
      <c r="C425" s="840"/>
      <c r="D425" s="77"/>
      <c r="E425" s="531"/>
      <c r="F425" s="532"/>
      <c r="G425" s="533"/>
    </row>
    <row r="426" spans="2:7" ht="14.25" thickTop="1" thickBot="1">
      <c r="B426" s="808"/>
      <c r="C426" s="808"/>
      <c r="D426" s="808"/>
      <c r="E426" s="809"/>
      <c r="F426" s="534" t="s">
        <v>856</v>
      </c>
      <c r="G426" s="535">
        <f>SUM(G420:G425)</f>
        <v>440</v>
      </c>
    </row>
    <row r="427" spans="2:7" ht="14.25" thickTop="1" thickBot="1">
      <c r="B427" s="830"/>
      <c r="C427" s="830"/>
      <c r="D427" s="830"/>
      <c r="E427" s="830"/>
      <c r="F427" s="830"/>
      <c r="G427" s="830"/>
    </row>
    <row r="428" spans="2:7" ht="13.5" thickTop="1">
      <c r="B428" s="890" t="s">
        <v>311</v>
      </c>
      <c r="C428" s="891"/>
      <c r="D428" s="891"/>
      <c r="E428" s="891"/>
      <c r="F428" s="891"/>
      <c r="G428" s="892"/>
    </row>
    <row r="429" spans="2:7">
      <c r="B429" s="929" t="s">
        <v>838</v>
      </c>
      <c r="C429" s="930"/>
      <c r="D429" s="536" t="s">
        <v>842</v>
      </c>
      <c r="E429" s="536" t="s">
        <v>853</v>
      </c>
      <c r="F429" s="521" t="s">
        <v>1047</v>
      </c>
      <c r="G429" s="522" t="s">
        <v>840</v>
      </c>
    </row>
    <row r="430" spans="2:7">
      <c r="B430" s="931" t="str">
        <f>MATERIALES2!C939</f>
        <v>SARDINEL PREFABRICADO TIPO (0,8 X 0,5 X 0,2)</v>
      </c>
      <c r="C430" s="932"/>
      <c r="D430" s="439" t="s">
        <v>831</v>
      </c>
      <c r="E430" s="537">
        <v>1.25</v>
      </c>
      <c r="F430" s="538">
        <f>MATERIALES2!E939</f>
        <v>51220.03</v>
      </c>
      <c r="G430" s="526">
        <f>E430*F430</f>
        <v>64025.037499999999</v>
      </c>
    </row>
    <row r="431" spans="2:7">
      <c r="B431" s="894" t="str">
        <f>MATERIALES2!C49</f>
        <v>MORTERO 1:3 (MATERIALES)</v>
      </c>
      <c r="C431" s="895"/>
      <c r="D431" s="539" t="s">
        <v>669</v>
      </c>
      <c r="E431" s="540">
        <v>1.1000000000000001E-3</v>
      </c>
      <c r="F431" s="541">
        <f>MATERIALES2!E49</f>
        <v>365000</v>
      </c>
      <c r="G431" s="542">
        <f>E431*F431</f>
        <v>401.5</v>
      </c>
    </row>
    <row r="432" spans="2:7">
      <c r="B432" s="835"/>
      <c r="C432" s="836"/>
      <c r="D432" s="37"/>
      <c r="E432" s="55"/>
      <c r="F432" s="527"/>
      <c r="G432" s="530"/>
    </row>
    <row r="433" spans="2:8">
      <c r="B433" s="835"/>
      <c r="C433" s="836"/>
      <c r="D433" s="37"/>
      <c r="E433" s="55"/>
      <c r="F433" s="527"/>
      <c r="G433" s="530"/>
    </row>
    <row r="434" spans="2:8">
      <c r="B434" s="837"/>
      <c r="C434" s="838"/>
      <c r="D434" s="37"/>
      <c r="E434" s="55"/>
      <c r="F434" s="527"/>
      <c r="G434" s="530"/>
    </row>
    <row r="435" spans="2:8">
      <c r="B435" s="837"/>
      <c r="C435" s="838"/>
      <c r="D435" s="543" t="s">
        <v>841</v>
      </c>
      <c r="E435" s="543"/>
      <c r="F435" s="527"/>
      <c r="G435" s="530"/>
    </row>
    <row r="436" spans="2:8">
      <c r="B436" s="837" t="s">
        <v>841</v>
      </c>
      <c r="C436" s="838"/>
      <c r="D436" s="543" t="s">
        <v>841</v>
      </c>
      <c r="E436" s="543"/>
      <c r="F436" s="527"/>
      <c r="G436" s="530"/>
      <c r="H436" s="514" t="s">
        <v>1670</v>
      </c>
    </row>
    <row r="437" spans="2:8">
      <c r="B437" s="837" t="s">
        <v>841</v>
      </c>
      <c r="C437" s="838"/>
      <c r="D437" s="543" t="s">
        <v>841</v>
      </c>
      <c r="E437" s="543"/>
      <c r="F437" s="527"/>
      <c r="G437" s="530"/>
    </row>
    <row r="438" spans="2:8" ht="13.5" thickBot="1">
      <c r="B438" s="839" t="s">
        <v>841</v>
      </c>
      <c r="C438" s="840"/>
      <c r="D438" s="544" t="s">
        <v>841</v>
      </c>
      <c r="E438" s="544"/>
      <c r="F438" s="545"/>
      <c r="G438" s="533"/>
    </row>
    <row r="439" spans="2:8" ht="13.5" thickTop="1">
      <c r="B439" s="808"/>
      <c r="C439" s="809"/>
      <c r="D439" s="801" t="s">
        <v>856</v>
      </c>
      <c r="E439" s="802"/>
      <c r="F439" s="546"/>
      <c r="G439" s="547">
        <f>SUM(G430:G438)</f>
        <v>64426.537499999999</v>
      </c>
    </row>
    <row r="440" spans="2:8">
      <c r="B440" s="819"/>
      <c r="C440" s="820"/>
      <c r="D440" s="801" t="s">
        <v>857</v>
      </c>
      <c r="E440" s="802"/>
      <c r="F440" s="548"/>
      <c r="G440" s="547">
        <f>ROUND(G439*F440,0)</f>
        <v>0</v>
      </c>
    </row>
    <row r="441" spans="2:8" ht="13.5" thickBot="1">
      <c r="B441" s="819"/>
      <c r="C441" s="820"/>
      <c r="D441" s="917" t="s">
        <v>320</v>
      </c>
      <c r="E441" s="918"/>
      <c r="F441" s="549"/>
      <c r="G441" s="535">
        <f>+G439+G440</f>
        <v>64426.537499999999</v>
      </c>
    </row>
    <row r="442" spans="2:8" ht="14.25" thickTop="1" thickBot="1">
      <c r="B442" s="830"/>
      <c r="C442" s="830"/>
      <c r="D442" s="830"/>
      <c r="E442" s="830"/>
      <c r="F442" s="830"/>
      <c r="G442" s="830"/>
    </row>
    <row r="443" spans="2:8" ht="13.5" thickTop="1">
      <c r="B443" s="811" t="s">
        <v>858</v>
      </c>
      <c r="C443" s="812"/>
      <c r="D443" s="812"/>
      <c r="E443" s="812"/>
      <c r="F443" s="812"/>
      <c r="G443" s="825"/>
    </row>
    <row r="444" spans="2:8">
      <c r="B444" s="817"/>
      <c r="C444" s="818"/>
      <c r="D444" s="98" t="s">
        <v>301</v>
      </c>
      <c r="E444" s="98" t="s">
        <v>1661</v>
      </c>
      <c r="F444" s="99" t="s">
        <v>839</v>
      </c>
      <c r="G444" s="107" t="s">
        <v>840</v>
      </c>
    </row>
    <row r="445" spans="2:8">
      <c r="B445" s="821" t="s">
        <v>838</v>
      </c>
      <c r="C445" s="822"/>
      <c r="D445" s="100"/>
      <c r="E445" s="100"/>
      <c r="F445" s="101"/>
      <c r="G445" s="108"/>
    </row>
    <row r="446" spans="2:8">
      <c r="B446" s="230"/>
      <c r="C446" s="102"/>
      <c r="D446" s="103"/>
      <c r="E446" s="103"/>
      <c r="F446" s="104"/>
      <c r="G446" s="109"/>
    </row>
    <row r="447" spans="2:8">
      <c r="B447" s="905" t="str">
        <f>'MANO DE OBRA'!$B$15</f>
        <v xml:space="preserve">OFICIAL CUAD. TIPO AA </v>
      </c>
      <c r="C447" s="906"/>
      <c r="D447" s="482">
        <v>1</v>
      </c>
      <c r="E447" s="80">
        <f>'MANO DE OBRA'!$E$15</f>
        <v>71474</v>
      </c>
      <c r="F447" s="483">
        <v>16</v>
      </c>
      <c r="G447" s="465">
        <f>ROUND(D447*E447/F447,0)</f>
        <v>4467</v>
      </c>
    </row>
    <row r="448" spans="2:8">
      <c r="B448" s="925" t="str">
        <f>'MANO DE OBRA'!$B$10</f>
        <v>AYUDANTE CUAD. TIPO AA</v>
      </c>
      <c r="C448" s="926"/>
      <c r="D448" s="484">
        <v>2</v>
      </c>
      <c r="E448" s="82">
        <f>'MANO DE OBRA'!$E$10</f>
        <v>34680</v>
      </c>
      <c r="F448" s="464">
        <v>16</v>
      </c>
      <c r="G448" s="465">
        <f>ROUND(D448*E448/F448,0)</f>
        <v>4335</v>
      </c>
    </row>
    <row r="449" spans="2:8">
      <c r="B449" s="925"/>
      <c r="C449" s="926"/>
      <c r="D449" s="484"/>
      <c r="E449" s="484"/>
      <c r="F449" s="464"/>
      <c r="G449" s="465"/>
    </row>
    <row r="450" spans="2:8" ht="13.5" thickBot="1">
      <c r="B450" s="925"/>
      <c r="C450" s="926"/>
      <c r="D450" s="484"/>
      <c r="E450" s="485"/>
      <c r="F450" s="469"/>
      <c r="G450" s="465"/>
    </row>
    <row r="451" spans="2:8" ht="14.25" thickTop="1" thickBot="1">
      <c r="B451" s="927"/>
      <c r="C451" s="927"/>
      <c r="D451" s="927"/>
      <c r="E451" s="928"/>
      <c r="F451" s="120" t="s">
        <v>856</v>
      </c>
      <c r="G451" s="471">
        <f>+G447+G448+G449</f>
        <v>8802</v>
      </c>
    </row>
    <row r="452" spans="2:8" ht="14.25" thickTop="1" thickBot="1">
      <c r="B452" s="168"/>
      <c r="C452" s="168"/>
      <c r="D452" s="168"/>
      <c r="E452" s="168"/>
      <c r="F452" s="486"/>
      <c r="G452" s="562"/>
    </row>
    <row r="453" spans="2:8" ht="13.5" thickTop="1">
      <c r="B453" s="890" t="s">
        <v>321</v>
      </c>
      <c r="C453" s="891"/>
      <c r="D453" s="891"/>
      <c r="E453" s="891"/>
      <c r="F453" s="891"/>
      <c r="G453" s="892"/>
    </row>
    <row r="454" spans="2:8">
      <c r="B454" s="929" t="s">
        <v>838</v>
      </c>
      <c r="C454" s="930"/>
      <c r="D454" s="536" t="s">
        <v>301</v>
      </c>
      <c r="E454" s="536" t="s">
        <v>297</v>
      </c>
      <c r="F454" s="521" t="s">
        <v>839</v>
      </c>
      <c r="G454" s="522" t="s">
        <v>840</v>
      </c>
    </row>
    <row r="455" spans="2:8">
      <c r="B455" s="554"/>
      <c r="C455" s="555"/>
      <c r="D455" s="556" t="s">
        <v>322</v>
      </c>
      <c r="E455" s="556" t="s">
        <v>323</v>
      </c>
      <c r="F455" s="557" t="s">
        <v>324</v>
      </c>
      <c r="G455" s="558" t="s">
        <v>325</v>
      </c>
    </row>
    <row r="456" spans="2:8">
      <c r="B456" s="826"/>
      <c r="C456" s="827"/>
      <c r="D456" s="96"/>
      <c r="E456" s="96"/>
      <c r="F456" s="96"/>
      <c r="G456" s="116"/>
    </row>
    <row r="457" spans="2:8" ht="13.5" thickBot="1">
      <c r="B457" s="828" t="s">
        <v>841</v>
      </c>
      <c r="C457" s="829"/>
      <c r="D457" s="77"/>
      <c r="E457" s="527"/>
      <c r="F457" s="532"/>
      <c r="G457" s="533"/>
    </row>
    <row r="458" spans="2:8" ht="14.25" thickTop="1" thickBot="1">
      <c r="B458" s="808"/>
      <c r="C458" s="808"/>
      <c r="D458" s="808"/>
      <c r="E458" s="809"/>
      <c r="F458" s="553" t="s">
        <v>856</v>
      </c>
      <c r="G458" s="535">
        <f>SUM(G453:G457)</f>
        <v>0</v>
      </c>
    </row>
    <row r="459" spans="2:8" ht="14.25" thickTop="1" thickBot="1">
      <c r="B459" s="810"/>
      <c r="C459" s="810"/>
      <c r="D459" s="810"/>
      <c r="E459" s="810"/>
      <c r="F459" s="810"/>
      <c r="G459" s="834"/>
    </row>
    <row r="460" spans="2:8" ht="13.5" thickTop="1">
      <c r="B460" s="890" t="s">
        <v>326</v>
      </c>
      <c r="C460" s="891"/>
      <c r="D460" s="891"/>
      <c r="E460" s="891"/>
      <c r="F460" s="912"/>
      <c r="G460" s="559">
        <f>+G426+G441+G451</f>
        <v>73668.537500000006</v>
      </c>
    </row>
    <row r="461" spans="2:8">
      <c r="B461" s="919" t="s">
        <v>861</v>
      </c>
      <c r="C461" s="920"/>
      <c r="D461" s="920"/>
      <c r="E461" s="921"/>
      <c r="F461" s="560">
        <f>'[1]MANO DE OBRA'!$D$59</f>
        <v>0</v>
      </c>
      <c r="G461" s="561">
        <f>ROUND(G460*F461,0)</f>
        <v>0</v>
      </c>
    </row>
    <row r="462" spans="2:8" ht="13.5" thickBot="1">
      <c r="B462" s="922" t="s">
        <v>1049</v>
      </c>
      <c r="C462" s="923"/>
      <c r="D462" s="923"/>
      <c r="E462" s="923"/>
      <c r="F462" s="924"/>
      <c r="G462" s="535">
        <f>ROUND(G460+G461,-2)</f>
        <v>73700</v>
      </c>
      <c r="H462" s="514" t="s">
        <v>1670</v>
      </c>
    </row>
    <row r="463" spans="2:8" ht="13.5" thickTop="1"/>
  </sheetData>
  <mergeCells count="413">
    <mergeCell ref="B396:C396"/>
    <mergeCell ref="B398:C398"/>
    <mergeCell ref="B399:C399"/>
    <mergeCell ref="B400:C400"/>
    <mergeCell ref="B401:C401"/>
    <mergeCell ref="B402:E402"/>
    <mergeCell ref="B412:E412"/>
    <mergeCell ref="B413:F413"/>
    <mergeCell ref="B404:G404"/>
    <mergeCell ref="B405:C405"/>
    <mergeCell ref="B407:C407"/>
    <mergeCell ref="B408:C408"/>
    <mergeCell ref="B409:E409"/>
    <mergeCell ref="B411:F411"/>
    <mergeCell ref="B387:C387"/>
    <mergeCell ref="B388:C388"/>
    <mergeCell ref="B389:C389"/>
    <mergeCell ref="B390:C392"/>
    <mergeCell ref="D390:E390"/>
    <mergeCell ref="D391:E391"/>
    <mergeCell ref="D392:E392"/>
    <mergeCell ref="B394:G394"/>
    <mergeCell ref="B395:C395"/>
    <mergeCell ref="B376:C376"/>
    <mergeCell ref="B377:C377"/>
    <mergeCell ref="B378:C378"/>
    <mergeCell ref="B379:C379"/>
    <mergeCell ref="B380:E380"/>
    <mergeCell ref="B382:G382"/>
    <mergeCell ref="B383:C383"/>
    <mergeCell ref="B385:C385"/>
    <mergeCell ref="B386:C386"/>
    <mergeCell ref="B365:E365"/>
    <mergeCell ref="B366:F366"/>
    <mergeCell ref="B339:C339"/>
    <mergeCell ref="C369:G369"/>
    <mergeCell ref="B370:G370"/>
    <mergeCell ref="B355:E355"/>
    <mergeCell ref="B357:G357"/>
    <mergeCell ref="B358:C358"/>
    <mergeCell ref="B360:C360"/>
    <mergeCell ref="B361:C361"/>
    <mergeCell ref="B362:E362"/>
    <mergeCell ref="B348:C348"/>
    <mergeCell ref="B349:C349"/>
    <mergeCell ref="B351:C351"/>
    <mergeCell ref="B352:C352"/>
    <mergeCell ref="B353:C353"/>
    <mergeCell ref="B354:C354"/>
    <mergeCell ref="B364:F364"/>
    <mergeCell ref="C322:G322"/>
    <mergeCell ref="B323:G323"/>
    <mergeCell ref="B325:C325"/>
    <mergeCell ref="B327:C327"/>
    <mergeCell ref="B374:C374"/>
    <mergeCell ref="B375:C375"/>
    <mergeCell ref="B328:C328"/>
    <mergeCell ref="B329:C329"/>
    <mergeCell ref="B330:C330"/>
    <mergeCell ref="B331:C331"/>
    <mergeCell ref="B332:C332"/>
    <mergeCell ref="B333:E333"/>
    <mergeCell ref="B335:G335"/>
    <mergeCell ref="B336:C336"/>
    <mergeCell ref="B338:C338"/>
    <mergeCell ref="B340:C340"/>
    <mergeCell ref="B341:C341"/>
    <mergeCell ref="B372:C372"/>
    <mergeCell ref="B342:C342"/>
    <mergeCell ref="B343:C345"/>
    <mergeCell ref="D343:E343"/>
    <mergeCell ref="D344:E344"/>
    <mergeCell ref="D345:E345"/>
    <mergeCell ref="B347:G347"/>
    <mergeCell ref="B273:C273"/>
    <mergeCell ref="B275:C275"/>
    <mergeCell ref="B276:C276"/>
    <mergeCell ref="B277:C277"/>
    <mergeCell ref="B278:C278"/>
    <mergeCell ref="B279:C279"/>
    <mergeCell ref="B25:C25"/>
    <mergeCell ref="C267:E267"/>
    <mergeCell ref="C268:E268"/>
    <mergeCell ref="C269:G269"/>
    <mergeCell ref="B270:G270"/>
    <mergeCell ref="B271:G271"/>
    <mergeCell ref="B84:C84"/>
    <mergeCell ref="B85:C85"/>
    <mergeCell ref="D87:E87"/>
    <mergeCell ref="B77:C77"/>
    <mergeCell ref="B250:C250"/>
    <mergeCell ref="B251:C251"/>
    <mergeCell ref="B266:F266"/>
    <mergeCell ref="B114:G114"/>
    <mergeCell ref="B116:C116"/>
    <mergeCell ref="B118:C118"/>
    <mergeCell ref="B119:C119"/>
    <mergeCell ref="B258:C258"/>
    <mergeCell ref="B287:C287"/>
    <mergeCell ref="B288:C288"/>
    <mergeCell ref="B289:C289"/>
    <mergeCell ref="B290:C290"/>
    <mergeCell ref="B291:C291"/>
    <mergeCell ref="B292:C292"/>
    <mergeCell ref="B280:C280"/>
    <mergeCell ref="B281:E281"/>
    <mergeCell ref="B282:G282"/>
    <mergeCell ref="B283:G283"/>
    <mergeCell ref="B284:C284"/>
    <mergeCell ref="B286:C286"/>
    <mergeCell ref="B300:C300"/>
    <mergeCell ref="B301:C301"/>
    <mergeCell ref="B303:C303"/>
    <mergeCell ref="B304:C304"/>
    <mergeCell ref="B293:C293"/>
    <mergeCell ref="B294:C294"/>
    <mergeCell ref="B295:C297"/>
    <mergeCell ref="D295:E295"/>
    <mergeCell ref="D296:E296"/>
    <mergeCell ref="D297:E297"/>
    <mergeCell ref="B318:E318"/>
    <mergeCell ref="B319:F319"/>
    <mergeCell ref="D88:E88"/>
    <mergeCell ref="B89:G89"/>
    <mergeCell ref="B90:G90"/>
    <mergeCell ref="B91:C91"/>
    <mergeCell ref="B92:C92"/>
    <mergeCell ref="B94:C94"/>
    <mergeCell ref="B86:C88"/>
    <mergeCell ref="D86:E86"/>
    <mergeCell ref="B311:C311"/>
    <mergeCell ref="B313:C313"/>
    <mergeCell ref="B314:C314"/>
    <mergeCell ref="B315:E315"/>
    <mergeCell ref="B316:G316"/>
    <mergeCell ref="B317:F317"/>
    <mergeCell ref="B305:C305"/>
    <mergeCell ref="B306:C306"/>
    <mergeCell ref="B307:C307"/>
    <mergeCell ref="B308:E308"/>
    <mergeCell ref="B309:G309"/>
    <mergeCell ref="B310:G310"/>
    <mergeCell ref="B298:G298"/>
    <mergeCell ref="B299:G299"/>
    <mergeCell ref="B260:C260"/>
    <mergeCell ref="B261:C261"/>
    <mergeCell ref="B262:E262"/>
    <mergeCell ref="B263:G263"/>
    <mergeCell ref="B265:E265"/>
    <mergeCell ref="B264:F264"/>
    <mergeCell ref="B252:C252"/>
    <mergeCell ref="B253:C253"/>
    <mergeCell ref="B254:C254"/>
    <mergeCell ref="B255:E255"/>
    <mergeCell ref="B256:G256"/>
    <mergeCell ref="B257:G257"/>
    <mergeCell ref="B241:C241"/>
    <mergeCell ref="B242:C244"/>
    <mergeCell ref="D242:E242"/>
    <mergeCell ref="D243:E243"/>
    <mergeCell ref="D244:E244"/>
    <mergeCell ref="B245:G245"/>
    <mergeCell ref="B246:G246"/>
    <mergeCell ref="B247:C247"/>
    <mergeCell ref="B248:C248"/>
    <mergeCell ref="B231:C231"/>
    <mergeCell ref="B233:C233"/>
    <mergeCell ref="B235:C235"/>
    <mergeCell ref="B236:C236"/>
    <mergeCell ref="B237:C237"/>
    <mergeCell ref="B238:C238"/>
    <mergeCell ref="B239:C239"/>
    <mergeCell ref="B234:C234"/>
    <mergeCell ref="B240:C240"/>
    <mergeCell ref="B222:C222"/>
    <mergeCell ref="B223:C223"/>
    <mergeCell ref="B224:C224"/>
    <mergeCell ref="B225:C225"/>
    <mergeCell ref="B226:C226"/>
    <mergeCell ref="B227:C227"/>
    <mergeCell ref="B228:E228"/>
    <mergeCell ref="B229:G229"/>
    <mergeCell ref="B230:G230"/>
    <mergeCell ref="C216:G216"/>
    <mergeCell ref="B217:G217"/>
    <mergeCell ref="B72:E72"/>
    <mergeCell ref="B73:G73"/>
    <mergeCell ref="B74:G74"/>
    <mergeCell ref="B75:C75"/>
    <mergeCell ref="B79:C79"/>
    <mergeCell ref="B218:G218"/>
    <mergeCell ref="B220:C220"/>
    <mergeCell ref="B82:C82"/>
    <mergeCell ref="B83:C83"/>
    <mergeCell ref="C112:G112"/>
    <mergeCell ref="B113:G113"/>
    <mergeCell ref="B120:C120"/>
    <mergeCell ref="B121:C121"/>
    <mergeCell ref="B129:C129"/>
    <mergeCell ref="B131:C131"/>
    <mergeCell ref="B132:C132"/>
    <mergeCell ref="B133:C133"/>
    <mergeCell ref="B134:C134"/>
    <mergeCell ref="B135:C135"/>
    <mergeCell ref="B122:C122"/>
    <mergeCell ref="B123:C123"/>
    <mergeCell ref="B124:E124"/>
    <mergeCell ref="B51:C51"/>
    <mergeCell ref="B52:C52"/>
    <mergeCell ref="B53:E53"/>
    <mergeCell ref="B54:G54"/>
    <mergeCell ref="B55:F55"/>
    <mergeCell ref="B56:E56"/>
    <mergeCell ref="B57:F57"/>
    <mergeCell ref="C214:E214"/>
    <mergeCell ref="C215:E215"/>
    <mergeCell ref="C58:E58"/>
    <mergeCell ref="C59:E59"/>
    <mergeCell ref="C60:G60"/>
    <mergeCell ref="B61:G61"/>
    <mergeCell ref="B62:G62"/>
    <mergeCell ref="B64:C64"/>
    <mergeCell ref="B97:C97"/>
    <mergeCell ref="B98:E98"/>
    <mergeCell ref="B99:G99"/>
    <mergeCell ref="B100:G100"/>
    <mergeCell ref="B101:C101"/>
    <mergeCell ref="B103:C103"/>
    <mergeCell ref="B95:C95"/>
    <mergeCell ref="B96:C96"/>
    <mergeCell ref="B66:C66"/>
    <mergeCell ref="B41:C41"/>
    <mergeCell ref="B42:C42"/>
    <mergeCell ref="B43:C43"/>
    <mergeCell ref="B44:C44"/>
    <mergeCell ref="B45:C45"/>
    <mergeCell ref="B46:E46"/>
    <mergeCell ref="B47:G47"/>
    <mergeCell ref="B48:G48"/>
    <mergeCell ref="B49:C49"/>
    <mergeCell ref="B32:C32"/>
    <mergeCell ref="B33:C35"/>
    <mergeCell ref="D33:E33"/>
    <mergeCell ref="D34:E34"/>
    <mergeCell ref="D35:E35"/>
    <mergeCell ref="B36:G36"/>
    <mergeCell ref="B37:G37"/>
    <mergeCell ref="B38:C38"/>
    <mergeCell ref="B39:C39"/>
    <mergeCell ref="B21:G21"/>
    <mergeCell ref="B22:C22"/>
    <mergeCell ref="B24:C24"/>
    <mergeCell ref="B26:C26"/>
    <mergeCell ref="B27:C27"/>
    <mergeCell ref="B28:C28"/>
    <mergeCell ref="B29:C29"/>
    <mergeCell ref="B30:C30"/>
    <mergeCell ref="B31:C31"/>
    <mergeCell ref="C7:G7"/>
    <mergeCell ref="B8:G8"/>
    <mergeCell ref="C1:G1"/>
    <mergeCell ref="C2:G2"/>
    <mergeCell ref="C3:G3"/>
    <mergeCell ref="B9:G9"/>
    <mergeCell ref="C4:G4"/>
    <mergeCell ref="C5:E5"/>
    <mergeCell ref="C6:E6"/>
    <mergeCell ref="B11:C11"/>
    <mergeCell ref="B13:C13"/>
    <mergeCell ref="B14:C14"/>
    <mergeCell ref="B15:C15"/>
    <mergeCell ref="B16:C16"/>
    <mergeCell ref="B17:C17"/>
    <mergeCell ref="B18:C18"/>
    <mergeCell ref="B19:E19"/>
    <mergeCell ref="B20:G20"/>
    <mergeCell ref="B67:C67"/>
    <mergeCell ref="B80:C80"/>
    <mergeCell ref="B81:C81"/>
    <mergeCell ref="B68:C68"/>
    <mergeCell ref="B69:C69"/>
    <mergeCell ref="B70:C70"/>
    <mergeCell ref="B71:C71"/>
    <mergeCell ref="C110:E110"/>
    <mergeCell ref="C111:E111"/>
    <mergeCell ref="B104:C104"/>
    <mergeCell ref="B105:E105"/>
    <mergeCell ref="B106:G106"/>
    <mergeCell ref="B107:F107"/>
    <mergeCell ref="B108:E108"/>
    <mergeCell ref="B109:F109"/>
    <mergeCell ref="B125:G125"/>
    <mergeCell ref="B126:G126"/>
    <mergeCell ref="B127:C127"/>
    <mergeCell ref="B141:G141"/>
    <mergeCell ref="B142:G142"/>
    <mergeCell ref="B143:C143"/>
    <mergeCell ref="B144:C144"/>
    <mergeCell ref="B146:C146"/>
    <mergeCell ref="B147:C147"/>
    <mergeCell ref="B136:C136"/>
    <mergeCell ref="B137:C137"/>
    <mergeCell ref="B138:C140"/>
    <mergeCell ref="D138:E138"/>
    <mergeCell ref="D139:E139"/>
    <mergeCell ref="D140:E140"/>
    <mergeCell ref="B155:C155"/>
    <mergeCell ref="B156:C156"/>
    <mergeCell ref="B157:E157"/>
    <mergeCell ref="B158:G158"/>
    <mergeCell ref="B159:F159"/>
    <mergeCell ref="B160:E160"/>
    <mergeCell ref="B148:C148"/>
    <mergeCell ref="B149:C149"/>
    <mergeCell ref="B150:E150"/>
    <mergeCell ref="B151:G151"/>
    <mergeCell ref="B152:G152"/>
    <mergeCell ref="B153:C153"/>
    <mergeCell ref="B168:C168"/>
    <mergeCell ref="B170:C170"/>
    <mergeCell ref="B171:C171"/>
    <mergeCell ref="B172:C172"/>
    <mergeCell ref="B173:C173"/>
    <mergeCell ref="B174:C174"/>
    <mergeCell ref="B161:F161"/>
    <mergeCell ref="C162:E162"/>
    <mergeCell ref="C163:E163"/>
    <mergeCell ref="C164:G164"/>
    <mergeCell ref="B165:G165"/>
    <mergeCell ref="B166:G166"/>
    <mergeCell ref="B183:C183"/>
    <mergeCell ref="B184:C184"/>
    <mergeCell ref="B185:C185"/>
    <mergeCell ref="B186:C186"/>
    <mergeCell ref="B187:C187"/>
    <mergeCell ref="B188:C188"/>
    <mergeCell ref="B175:C175"/>
    <mergeCell ref="B176:E176"/>
    <mergeCell ref="B177:G177"/>
    <mergeCell ref="B178:G178"/>
    <mergeCell ref="B179:C179"/>
    <mergeCell ref="B181:C181"/>
    <mergeCell ref="B194:G194"/>
    <mergeCell ref="B195:C195"/>
    <mergeCell ref="B196:C196"/>
    <mergeCell ref="B198:C198"/>
    <mergeCell ref="B199:C199"/>
    <mergeCell ref="B200:C200"/>
    <mergeCell ref="B189:C189"/>
    <mergeCell ref="B190:C192"/>
    <mergeCell ref="D190:E190"/>
    <mergeCell ref="D191:E191"/>
    <mergeCell ref="D192:E192"/>
    <mergeCell ref="B193:G193"/>
    <mergeCell ref="B208:C208"/>
    <mergeCell ref="B209:E209"/>
    <mergeCell ref="B210:G210"/>
    <mergeCell ref="B211:F211"/>
    <mergeCell ref="B212:E212"/>
    <mergeCell ref="B213:F213"/>
    <mergeCell ref="B201:C201"/>
    <mergeCell ref="B202:E202"/>
    <mergeCell ref="B203:G203"/>
    <mergeCell ref="B204:G204"/>
    <mergeCell ref="B205:C205"/>
    <mergeCell ref="B207:C207"/>
    <mergeCell ref="B420:C420"/>
    <mergeCell ref="B421:C421"/>
    <mergeCell ref="B422:C422"/>
    <mergeCell ref="B423:C423"/>
    <mergeCell ref="B424:C424"/>
    <mergeCell ref="B425:C425"/>
    <mergeCell ref="C414:E414"/>
    <mergeCell ref="C415:E415"/>
    <mergeCell ref="C416:G416"/>
    <mergeCell ref="B417:G417"/>
    <mergeCell ref="B418:G418"/>
    <mergeCell ref="B419:C419"/>
    <mergeCell ref="B432:C432"/>
    <mergeCell ref="B433:C433"/>
    <mergeCell ref="B434:C434"/>
    <mergeCell ref="B435:C435"/>
    <mergeCell ref="B436:C436"/>
    <mergeCell ref="B437:C437"/>
    <mergeCell ref="B426:E426"/>
    <mergeCell ref="B427:G427"/>
    <mergeCell ref="B428:G428"/>
    <mergeCell ref="B429:C429"/>
    <mergeCell ref="B430:C430"/>
    <mergeCell ref="B431:C431"/>
    <mergeCell ref="B438:C438"/>
    <mergeCell ref="B439:C441"/>
    <mergeCell ref="D439:E439"/>
    <mergeCell ref="D440:E440"/>
    <mergeCell ref="D441:E441"/>
    <mergeCell ref="B442:G442"/>
    <mergeCell ref="B449:C449"/>
    <mergeCell ref="B450:C450"/>
    <mergeCell ref="B451:E451"/>
    <mergeCell ref="B457:C457"/>
    <mergeCell ref="B458:E458"/>
    <mergeCell ref="B459:G459"/>
    <mergeCell ref="B460:F460"/>
    <mergeCell ref="B461:E461"/>
    <mergeCell ref="B462:F462"/>
    <mergeCell ref="B443:G443"/>
    <mergeCell ref="B453:G453"/>
    <mergeCell ref="B454:C454"/>
    <mergeCell ref="B456:C456"/>
    <mergeCell ref="B444:C444"/>
    <mergeCell ref="B445:C445"/>
    <mergeCell ref="B447:C447"/>
    <mergeCell ref="B448:C448"/>
  </mergeCells>
  <hyperlinks>
    <hyperlink ref="H5" location="'ITEMS RESUMEN'!MOBILIARIO_URBANO" display="volver"/>
    <hyperlink ref="H31" location="'ITEMS RESUMEN'!MOBILIARIO_URBANO" display="volver"/>
    <hyperlink ref="H57" location="'ITEMS RESUMEN'!MOBILIARIO_URBANO" display="volver"/>
    <hyperlink ref="H84" location="'ITEMS RESUMEN'!MOBILIARIO_URBANO" display="volver"/>
    <hyperlink ref="H109" location="'ITEMS RESUMEN'!MOBILIARIO_URBANO" display="volver"/>
    <hyperlink ref="H136" location="'ITEMS RESUMEN'!MOBILIARIO_URBANO" display="volver"/>
    <hyperlink ref="H161" location="'ITEMS RESUMEN'!MOBILIARIO_URBANO" display="volver"/>
    <hyperlink ref="H188" location="'ITEMS RESUMEN'!MOBILIARIO_URBANO" display="volver"/>
    <hyperlink ref="H213" location="'ITEMS RESUMEN'!MOBILIARIO_URBANO" display="volver"/>
    <hyperlink ref="H239" location="'ITEMS RESUMEN'!MOBILIARIO_URBANO" display="volver"/>
    <hyperlink ref="H266" location="'ITEMS RESUMEN'!MOBILIARIO_URBANO" display="volver"/>
    <hyperlink ref="H292" location="'ITEMS RESUMEN'!MOBILIARIO_URBANO" display="volver"/>
    <hyperlink ref="H319" location="'ITEMS RESUMEN'!MOBILIARIO_URBANO" display="volver"/>
    <hyperlink ref="H341" location="'ITEMS RESUMEN'!MOBILIARIO_URBANO" display="volver"/>
    <hyperlink ref="H366" location="'ITEMS RESUMEN'!MOBILIARIO_URBANO" display="volver"/>
    <hyperlink ref="H388" location="'ITEMS RESUMEN'!MOBILIARIO_URBANO" display="volver"/>
    <hyperlink ref="H413" location="'ITEMS RESUMEN'!MOBILIARIO_URBANO" display="volver"/>
    <hyperlink ref="H436" location="'ITEMS RESUMEN'!MOBILIARIO_URBANO" display="volver"/>
    <hyperlink ref="H462" location="'ITEMS RESUMEN'!MOBILIARIO_URBANO" display="volver"/>
  </hyperlink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H374"/>
  <sheetViews>
    <sheetView topLeftCell="A98" zoomScale="85" zoomScaleNormal="85" workbookViewId="0">
      <selection activeCell="H120" sqref="H120"/>
    </sheetView>
  </sheetViews>
  <sheetFormatPr baseColWidth="10" defaultRowHeight="12.75"/>
  <cols>
    <col min="1" max="1" width="11.42578125" style="426"/>
    <col min="2" max="2" width="32.5703125" style="426" customWidth="1"/>
    <col min="3" max="3" width="21.7109375" style="426" customWidth="1"/>
    <col min="4" max="4" width="17.28515625" style="426" customWidth="1"/>
    <col min="5" max="5" width="20" style="426" customWidth="1"/>
    <col min="6" max="6" width="14.7109375" style="426" customWidth="1"/>
    <col min="7" max="7" width="16.7109375" style="426" customWidth="1"/>
    <col min="8" max="16384" width="11.42578125" style="426"/>
  </cols>
  <sheetData>
    <row r="1" spans="1:8" customFormat="1" ht="19.5" thickTop="1">
      <c r="A1" s="95"/>
      <c r="B1" s="90"/>
      <c r="C1" s="848" t="s">
        <v>1618</v>
      </c>
      <c r="D1" s="848"/>
      <c r="E1" s="848"/>
      <c r="F1" s="848"/>
      <c r="G1" s="849"/>
    </row>
    <row r="2" spans="1:8" customFormat="1" ht="18.75">
      <c r="A2" s="95"/>
      <c r="B2" s="91"/>
      <c r="C2" s="780" t="s">
        <v>302</v>
      </c>
      <c r="D2" s="780"/>
      <c r="E2" s="780"/>
      <c r="F2" s="780"/>
      <c r="G2" s="850"/>
    </row>
    <row r="3" spans="1:8" customFormat="1" ht="18.75">
      <c r="A3" s="95"/>
      <c r="B3" s="91"/>
      <c r="C3" s="781" t="s">
        <v>1054</v>
      </c>
      <c r="D3" s="781"/>
      <c r="E3" s="781"/>
      <c r="F3" s="781"/>
      <c r="G3" s="851"/>
    </row>
    <row r="4" spans="1:8" customFormat="1" ht="15.75" thickBot="1">
      <c r="A4" s="95"/>
      <c r="B4" s="421"/>
      <c r="C4" s="856" t="s">
        <v>780</v>
      </c>
      <c r="D4" s="856"/>
      <c r="E4" s="856"/>
      <c r="F4" s="856"/>
      <c r="G4" s="857"/>
    </row>
    <row r="5" spans="1:8" ht="13.5" thickTop="1">
      <c r="B5" s="515" t="s">
        <v>303</v>
      </c>
      <c r="C5" s="885"/>
      <c r="D5" s="885"/>
      <c r="E5" s="885"/>
      <c r="F5" s="516" t="s">
        <v>781</v>
      </c>
      <c r="G5" s="441" t="s">
        <v>868</v>
      </c>
      <c r="H5" s="514" t="s">
        <v>1670</v>
      </c>
    </row>
    <row r="6" spans="1:8">
      <c r="B6" s="517" t="s">
        <v>834</v>
      </c>
      <c r="C6" s="886"/>
      <c r="D6" s="886"/>
      <c r="E6" s="886"/>
      <c r="F6" s="518" t="s">
        <v>833</v>
      </c>
      <c r="G6" s="429" t="str">
        <f>'MANO DE OBRA'!$D$61</f>
        <v>Agosto de 2010</v>
      </c>
    </row>
    <row r="7" spans="1:8" ht="13.5" thickBot="1">
      <c r="B7" s="519" t="s">
        <v>835</v>
      </c>
      <c r="C7" s="887" t="s">
        <v>1693</v>
      </c>
      <c r="D7" s="887"/>
      <c r="E7" s="887"/>
      <c r="F7" s="887"/>
      <c r="G7" s="888"/>
    </row>
    <row r="8" spans="1:8" ht="14.25" thickTop="1" thickBot="1">
      <c r="B8" s="889"/>
      <c r="C8" s="889"/>
      <c r="D8" s="889"/>
      <c r="E8" s="889"/>
      <c r="F8" s="889"/>
      <c r="G8" s="889"/>
    </row>
    <row r="9" spans="1:8" ht="13.5" thickTop="1">
      <c r="B9" s="890" t="s">
        <v>304</v>
      </c>
      <c r="C9" s="891"/>
      <c r="D9" s="891"/>
      <c r="E9" s="891"/>
      <c r="F9" s="891"/>
      <c r="G9" s="892"/>
    </row>
    <row r="10" spans="1:8">
      <c r="B10" s="893" t="s">
        <v>838</v>
      </c>
      <c r="C10" s="893"/>
      <c r="D10" s="520" t="s">
        <v>301</v>
      </c>
      <c r="E10" s="520" t="s">
        <v>1683</v>
      </c>
      <c r="F10" s="521" t="s">
        <v>839</v>
      </c>
      <c r="G10" s="522" t="s">
        <v>840</v>
      </c>
    </row>
    <row r="11" spans="1:8">
      <c r="B11" s="894" t="str">
        <f>'MAQUINARIA Y EQUIPOS'!$C$28</f>
        <v>HERRAMIENTAS MENORES</v>
      </c>
      <c r="C11" s="895"/>
      <c r="D11" s="523">
        <v>1</v>
      </c>
      <c r="E11" s="524">
        <f>ROUND(G42*0.05,0)</f>
        <v>78</v>
      </c>
      <c r="F11" s="525">
        <v>1</v>
      </c>
      <c r="G11" s="526">
        <f>ROUND(D11*E11/F11,0)</f>
        <v>78</v>
      </c>
    </row>
    <row r="12" spans="1:8">
      <c r="B12" s="894"/>
      <c r="C12" s="895"/>
      <c r="D12" s="37"/>
      <c r="E12" s="527"/>
      <c r="F12" s="528"/>
      <c r="G12" s="530"/>
    </row>
    <row r="13" spans="1:8">
      <c r="B13" s="835"/>
      <c r="C13" s="836"/>
      <c r="D13" s="89"/>
      <c r="E13" s="527"/>
      <c r="F13" s="528"/>
      <c r="G13" s="530"/>
    </row>
    <row r="14" spans="1:8">
      <c r="B14" s="835"/>
      <c r="C14" s="836"/>
      <c r="D14" s="89"/>
      <c r="E14" s="527"/>
      <c r="F14" s="528"/>
      <c r="G14" s="530"/>
    </row>
    <row r="15" spans="1:8">
      <c r="B15" s="835" t="s">
        <v>841</v>
      </c>
      <c r="C15" s="836"/>
      <c r="D15" s="37"/>
      <c r="E15" s="527"/>
      <c r="F15" s="528"/>
      <c r="G15" s="530"/>
    </row>
    <row r="16" spans="1:8" ht="13.5" thickBot="1">
      <c r="B16" s="839" t="s">
        <v>841</v>
      </c>
      <c r="C16" s="840"/>
      <c r="D16" s="77"/>
      <c r="E16" s="531"/>
      <c r="F16" s="532"/>
      <c r="G16" s="533"/>
    </row>
    <row r="17" spans="2:8" ht="14.25" thickTop="1" thickBot="1">
      <c r="B17" s="808"/>
      <c r="C17" s="808"/>
      <c r="D17" s="808"/>
      <c r="E17" s="809"/>
      <c r="F17" s="534" t="s">
        <v>856</v>
      </c>
      <c r="G17" s="535">
        <f>SUM(G11:G16)</f>
        <v>78</v>
      </c>
    </row>
    <row r="18" spans="2:8" ht="14.25" thickTop="1" thickBot="1">
      <c r="B18" s="830"/>
      <c r="C18" s="830"/>
      <c r="D18" s="830"/>
      <c r="E18" s="830"/>
      <c r="F18" s="830"/>
      <c r="G18" s="830"/>
    </row>
    <row r="19" spans="2:8" ht="13.5" thickTop="1">
      <c r="B19" s="890" t="s">
        <v>311</v>
      </c>
      <c r="C19" s="891"/>
      <c r="D19" s="891"/>
      <c r="E19" s="891"/>
      <c r="F19" s="891"/>
      <c r="G19" s="892"/>
    </row>
    <row r="20" spans="2:8">
      <c r="B20" s="929" t="s">
        <v>838</v>
      </c>
      <c r="C20" s="930"/>
      <c r="D20" s="536" t="s">
        <v>842</v>
      </c>
      <c r="E20" s="536" t="s">
        <v>853</v>
      </c>
      <c r="F20" s="521" t="s">
        <v>1047</v>
      </c>
      <c r="G20" s="522" t="s">
        <v>840</v>
      </c>
    </row>
    <row r="21" spans="2:8">
      <c r="B21" s="931" t="str">
        <f>MATERIALES2!C940</f>
        <v>GEOTEXTIL NT 1600</v>
      </c>
      <c r="C21" s="932"/>
      <c r="D21" s="439" t="s">
        <v>868</v>
      </c>
      <c r="E21" s="565">
        <v>1.2</v>
      </c>
      <c r="F21" s="538">
        <f>MATERIALES2!E940</f>
        <v>3500</v>
      </c>
      <c r="G21" s="526">
        <f>E21*F21</f>
        <v>4200</v>
      </c>
    </row>
    <row r="22" spans="2:8">
      <c r="B22" s="894"/>
      <c r="C22" s="895"/>
      <c r="D22" s="539"/>
      <c r="E22" s="540"/>
      <c r="F22" s="541"/>
      <c r="G22" s="542"/>
    </row>
    <row r="23" spans="2:8">
      <c r="B23" s="835"/>
      <c r="C23" s="836"/>
      <c r="D23" s="37"/>
      <c r="E23" s="55"/>
      <c r="F23" s="527"/>
      <c r="G23" s="530"/>
    </row>
    <row r="24" spans="2:8">
      <c r="B24" s="835"/>
      <c r="C24" s="836"/>
      <c r="D24" s="37"/>
      <c r="E24" s="55"/>
      <c r="F24" s="527"/>
      <c r="G24" s="530"/>
    </row>
    <row r="25" spans="2:8">
      <c r="B25" s="837"/>
      <c r="C25" s="838"/>
      <c r="D25" s="37"/>
      <c r="E25" s="55"/>
      <c r="F25" s="527"/>
      <c r="G25" s="530"/>
    </row>
    <row r="26" spans="2:8">
      <c r="B26" s="837"/>
      <c r="C26" s="838"/>
      <c r="D26" s="543" t="s">
        <v>841</v>
      </c>
      <c r="E26" s="543"/>
      <c r="F26" s="527"/>
      <c r="G26" s="530"/>
    </row>
    <row r="27" spans="2:8">
      <c r="B27" s="837" t="s">
        <v>841</v>
      </c>
      <c r="C27" s="838"/>
      <c r="D27" s="543" t="s">
        <v>841</v>
      </c>
      <c r="E27" s="543"/>
      <c r="F27" s="527"/>
      <c r="G27" s="530"/>
    </row>
    <row r="28" spans="2:8">
      <c r="B28" s="837" t="s">
        <v>841</v>
      </c>
      <c r="C28" s="838"/>
      <c r="D28" s="543" t="s">
        <v>841</v>
      </c>
      <c r="E28" s="543"/>
      <c r="F28" s="527"/>
      <c r="G28" s="530"/>
    </row>
    <row r="29" spans="2:8" ht="13.5" thickBot="1">
      <c r="B29" s="839" t="s">
        <v>841</v>
      </c>
      <c r="C29" s="840"/>
      <c r="D29" s="544" t="s">
        <v>841</v>
      </c>
      <c r="E29" s="544"/>
      <c r="F29" s="545"/>
      <c r="G29" s="533"/>
    </row>
    <row r="30" spans="2:8" ht="13.5" thickTop="1">
      <c r="B30" s="808"/>
      <c r="C30" s="809"/>
      <c r="D30" s="801" t="s">
        <v>856</v>
      </c>
      <c r="E30" s="802"/>
      <c r="F30" s="546"/>
      <c r="G30" s="547">
        <f>SUM(G21:G29)</f>
        <v>4200</v>
      </c>
    </row>
    <row r="31" spans="2:8">
      <c r="B31" s="819"/>
      <c r="C31" s="820"/>
      <c r="D31" s="801" t="s">
        <v>857</v>
      </c>
      <c r="E31" s="802"/>
      <c r="F31" s="548">
        <v>0.05</v>
      </c>
      <c r="G31" s="547">
        <f>ROUND(G30*F31,0)</f>
        <v>210</v>
      </c>
      <c r="H31" s="514" t="s">
        <v>1670</v>
      </c>
    </row>
    <row r="32" spans="2:8" ht="13.5" thickBot="1">
      <c r="B32" s="819"/>
      <c r="C32" s="820"/>
      <c r="D32" s="917" t="s">
        <v>320</v>
      </c>
      <c r="E32" s="918"/>
      <c r="F32" s="549"/>
      <c r="G32" s="535">
        <f>+G30+G31</f>
        <v>4410</v>
      </c>
    </row>
    <row r="33" spans="2:7" ht="14.25" thickTop="1" thickBot="1">
      <c r="B33" s="830"/>
      <c r="C33" s="830"/>
      <c r="D33" s="830"/>
      <c r="E33" s="830"/>
      <c r="F33" s="830"/>
      <c r="G33" s="830"/>
    </row>
    <row r="34" spans="2:7" ht="13.5" thickTop="1">
      <c r="B34" s="811" t="s">
        <v>858</v>
      </c>
      <c r="C34" s="812"/>
      <c r="D34" s="812"/>
      <c r="E34" s="812"/>
      <c r="F34" s="812"/>
      <c r="G34" s="825"/>
    </row>
    <row r="35" spans="2:7">
      <c r="B35" s="817"/>
      <c r="C35" s="818"/>
      <c r="D35" s="98" t="s">
        <v>301</v>
      </c>
      <c r="E35" s="98" t="s">
        <v>859</v>
      </c>
      <c r="F35" s="99" t="s">
        <v>839</v>
      </c>
      <c r="G35" s="107" t="s">
        <v>840</v>
      </c>
    </row>
    <row r="36" spans="2:7">
      <c r="B36" s="821" t="s">
        <v>838</v>
      </c>
      <c r="C36" s="822"/>
      <c r="D36" s="100" t="s">
        <v>316</v>
      </c>
      <c r="E36" s="100" t="s">
        <v>315</v>
      </c>
      <c r="F36" s="101" t="s">
        <v>306</v>
      </c>
      <c r="G36" s="108" t="s">
        <v>319</v>
      </c>
    </row>
    <row r="37" spans="2:7">
      <c r="B37" s="230"/>
      <c r="C37" s="102"/>
      <c r="D37" s="103"/>
      <c r="E37" s="103" t="s">
        <v>317</v>
      </c>
      <c r="F37" s="104" t="s">
        <v>318</v>
      </c>
      <c r="G37" s="109"/>
    </row>
    <row r="38" spans="2:7">
      <c r="B38" s="823" t="str">
        <f>'MANO DE OBRA'!$B$15</f>
        <v xml:space="preserve">OFICIAL CUAD. TIPO AA </v>
      </c>
      <c r="C38" s="824"/>
      <c r="D38" s="87">
        <v>1</v>
      </c>
      <c r="E38" s="80">
        <f>'MANO DE OBRA'!$E$15</f>
        <v>71474</v>
      </c>
      <c r="F38" s="444">
        <v>90</v>
      </c>
      <c r="G38" s="110">
        <f>ROUND(D38*E38/F38,0)</f>
        <v>794</v>
      </c>
    </row>
    <row r="39" spans="2:7">
      <c r="B39" s="835" t="str">
        <f>'MANO DE OBRA'!$B$10</f>
        <v>AYUDANTE CUAD. TIPO AA</v>
      </c>
      <c r="C39" s="836"/>
      <c r="D39" s="37">
        <v>2</v>
      </c>
      <c r="E39" s="82">
        <f>'MANO DE OBRA'!$E$10</f>
        <v>34680</v>
      </c>
      <c r="F39" s="83">
        <v>90</v>
      </c>
      <c r="G39" s="111">
        <f>ROUND(D39*E39/F39,0)</f>
        <v>771</v>
      </c>
    </row>
    <row r="40" spans="2:7">
      <c r="B40" s="835" t="s">
        <v>841</v>
      </c>
      <c r="C40" s="836"/>
      <c r="D40" s="37"/>
      <c r="E40" s="82"/>
      <c r="F40" s="83"/>
      <c r="G40" s="111"/>
    </row>
    <row r="41" spans="2:7" ht="13.5" thickBot="1">
      <c r="B41" s="828" t="s">
        <v>841</v>
      </c>
      <c r="C41" s="829"/>
      <c r="D41" s="77"/>
      <c r="E41" s="82"/>
      <c r="F41" s="86"/>
      <c r="G41" s="112"/>
    </row>
    <row r="42" spans="2:7" ht="14.25" thickTop="1" thickBot="1">
      <c r="B42" s="808"/>
      <c r="C42" s="808"/>
      <c r="D42" s="808"/>
      <c r="E42" s="809"/>
      <c r="F42" s="120" t="s">
        <v>856</v>
      </c>
      <c r="G42" s="118">
        <f>SUM(G38:G41)</f>
        <v>1565</v>
      </c>
    </row>
    <row r="43" spans="2:7" ht="14.25" thickTop="1" thickBot="1">
      <c r="B43" s="810"/>
      <c r="C43" s="810"/>
      <c r="D43" s="810"/>
      <c r="E43" s="810"/>
      <c r="F43" s="810"/>
      <c r="G43" s="810"/>
    </row>
    <row r="44" spans="2:7" ht="13.5" thickTop="1">
      <c r="B44" s="890" t="s">
        <v>321</v>
      </c>
      <c r="C44" s="891"/>
      <c r="D44" s="891"/>
      <c r="E44" s="891"/>
      <c r="F44" s="891"/>
      <c r="G44" s="892"/>
    </row>
    <row r="45" spans="2:7">
      <c r="B45" s="550" t="s">
        <v>838</v>
      </c>
      <c r="C45" s="520" t="s">
        <v>1687</v>
      </c>
      <c r="D45" s="520" t="s">
        <v>1688</v>
      </c>
      <c r="E45" s="520" t="s">
        <v>1689</v>
      </c>
      <c r="F45" s="563" t="s">
        <v>297</v>
      </c>
      <c r="G45" s="520" t="s">
        <v>1690</v>
      </c>
    </row>
    <row r="46" spans="2:7">
      <c r="B46" s="564"/>
      <c r="C46" s="96"/>
      <c r="D46" s="238"/>
      <c r="E46" s="96"/>
      <c r="F46" s="542"/>
      <c r="G46" s="542"/>
    </row>
    <row r="47" spans="2:7" ht="13.5" thickBot="1">
      <c r="B47" s="551" t="s">
        <v>841</v>
      </c>
      <c r="C47" s="552"/>
      <c r="D47" s="77"/>
      <c r="E47" s="527"/>
      <c r="F47" s="532"/>
      <c r="G47" s="533"/>
    </row>
    <row r="48" spans="2:7" ht="14.25" thickTop="1" thickBot="1">
      <c r="B48" s="808"/>
      <c r="C48" s="808"/>
      <c r="D48" s="808"/>
      <c r="E48" s="809"/>
      <c r="F48" s="553" t="s">
        <v>856</v>
      </c>
      <c r="G48" s="535">
        <f>SUM(G44:G47)</f>
        <v>0</v>
      </c>
    </row>
    <row r="49" spans="2:8" ht="14.25" thickTop="1" thickBot="1">
      <c r="B49" s="810"/>
      <c r="C49" s="810"/>
      <c r="D49" s="810"/>
      <c r="E49" s="810"/>
      <c r="F49" s="810"/>
      <c r="G49" s="834"/>
    </row>
    <row r="50" spans="2:8" ht="13.5" thickTop="1">
      <c r="B50" s="890" t="s">
        <v>326</v>
      </c>
      <c r="C50" s="891"/>
      <c r="D50" s="891"/>
      <c r="E50" s="891"/>
      <c r="F50" s="912"/>
      <c r="G50" s="559">
        <f>+G17+G32+G42+G48</f>
        <v>6053</v>
      </c>
    </row>
    <row r="51" spans="2:8">
      <c r="B51" s="919" t="s">
        <v>861</v>
      </c>
      <c r="C51" s="920"/>
      <c r="D51" s="920"/>
      <c r="E51" s="921"/>
      <c r="F51" s="560">
        <f>'[1]MANO DE OBRA'!$D$59</f>
        <v>0</v>
      </c>
      <c r="G51" s="561">
        <f>ROUND(G50*F51,0)</f>
        <v>0</v>
      </c>
    </row>
    <row r="52" spans="2:8" ht="13.5" thickBot="1">
      <c r="B52" s="922" t="s">
        <v>1049</v>
      </c>
      <c r="C52" s="923"/>
      <c r="D52" s="923"/>
      <c r="E52" s="923"/>
      <c r="F52" s="924"/>
      <c r="G52" s="535">
        <f>ROUND(G50+G51,-2)</f>
        <v>6100</v>
      </c>
      <c r="H52" s="514" t="s">
        <v>1670</v>
      </c>
    </row>
    <row r="53" spans="2:8" ht="13.5" thickTop="1">
      <c r="B53" s="515" t="s">
        <v>303</v>
      </c>
      <c r="C53" s="885"/>
      <c r="D53" s="885"/>
      <c r="E53" s="885"/>
      <c r="F53" s="516" t="s">
        <v>781</v>
      </c>
      <c r="G53" s="441" t="s">
        <v>669</v>
      </c>
    </row>
    <row r="54" spans="2:8">
      <c r="B54" s="517" t="s">
        <v>834</v>
      </c>
      <c r="C54" s="886"/>
      <c r="D54" s="886"/>
      <c r="E54" s="886"/>
      <c r="F54" s="518" t="s">
        <v>833</v>
      </c>
      <c r="G54" s="429" t="str">
        <f>'MANO DE OBRA'!$D$61</f>
        <v>Agosto de 2010</v>
      </c>
    </row>
    <row r="55" spans="2:8" ht="13.5" customHeight="1" thickBot="1">
      <c r="B55" s="519" t="s">
        <v>835</v>
      </c>
      <c r="C55" s="887" t="s">
        <v>1696</v>
      </c>
      <c r="D55" s="887"/>
      <c r="E55" s="887"/>
      <c r="F55" s="887"/>
      <c r="G55" s="888"/>
    </row>
    <row r="56" spans="2:8" ht="14.25" thickTop="1" thickBot="1">
      <c r="B56" s="889"/>
      <c r="C56" s="889"/>
      <c r="D56" s="889"/>
      <c r="E56" s="889"/>
      <c r="F56" s="889"/>
      <c r="G56" s="889"/>
    </row>
    <row r="57" spans="2:8" ht="13.5" thickTop="1">
      <c r="B57" s="890" t="s">
        <v>304</v>
      </c>
      <c r="C57" s="891"/>
      <c r="D57" s="891"/>
      <c r="E57" s="891"/>
      <c r="F57" s="891"/>
      <c r="G57" s="892"/>
    </row>
    <row r="58" spans="2:8">
      <c r="B58" s="893" t="s">
        <v>838</v>
      </c>
      <c r="C58" s="893"/>
      <c r="D58" s="520" t="s">
        <v>301</v>
      </c>
      <c r="E58" s="520" t="s">
        <v>1683</v>
      </c>
      <c r="F58" s="521" t="s">
        <v>839</v>
      </c>
      <c r="G58" s="522" t="s">
        <v>840</v>
      </c>
    </row>
    <row r="59" spans="2:8">
      <c r="B59" s="894" t="str">
        <f>'MAQUINARIA Y EQUIPOS'!$C$28</f>
        <v>HERRAMIENTAS MENORES</v>
      </c>
      <c r="C59" s="895"/>
      <c r="D59" s="523">
        <v>1</v>
      </c>
      <c r="E59" s="524">
        <f>ROUND(G88*0.05,0)</f>
        <v>0</v>
      </c>
      <c r="F59" s="525">
        <v>1</v>
      </c>
      <c r="G59" s="526">
        <f>ROUND(D59*E59/F59,0)</f>
        <v>0</v>
      </c>
    </row>
    <row r="60" spans="2:8">
      <c r="B60" s="894" t="str">
        <f>'MAQUINARIA Y EQUIPOS'!C69</f>
        <v>MINI CARGADOR BOBCAT</v>
      </c>
      <c r="C60" s="895"/>
      <c r="D60" s="37">
        <v>1</v>
      </c>
      <c r="E60" s="527">
        <f>'MAQUINARIA Y EQUIPOS'!D69</f>
        <v>100000</v>
      </c>
      <c r="F60" s="528">
        <v>30</v>
      </c>
      <c r="G60" s="542">
        <f>ROUND(D60*E60/F60,0)</f>
        <v>3333</v>
      </c>
    </row>
    <row r="61" spans="2:8">
      <c r="B61" s="835"/>
      <c r="C61" s="836"/>
      <c r="D61" s="89"/>
      <c r="E61" s="527"/>
      <c r="F61" s="528"/>
      <c r="G61" s="530"/>
    </row>
    <row r="62" spans="2:8">
      <c r="B62" s="835"/>
      <c r="C62" s="836"/>
      <c r="D62" s="89"/>
      <c r="E62" s="527"/>
      <c r="F62" s="528"/>
      <c r="G62" s="530"/>
      <c r="H62" s="451"/>
    </row>
    <row r="63" spans="2:8">
      <c r="B63" s="835" t="s">
        <v>841</v>
      </c>
      <c r="C63" s="836"/>
      <c r="D63" s="37"/>
      <c r="E63" s="527"/>
      <c r="F63" s="528"/>
      <c r="G63" s="530"/>
    </row>
    <row r="64" spans="2:8" ht="13.5" thickBot="1">
      <c r="B64" s="839" t="s">
        <v>841</v>
      </c>
      <c r="C64" s="840"/>
      <c r="D64" s="77"/>
      <c r="E64" s="531"/>
      <c r="F64" s="532"/>
      <c r="G64" s="533"/>
    </row>
    <row r="65" spans="2:8" ht="14.25" thickTop="1" thickBot="1">
      <c r="B65" s="808"/>
      <c r="C65" s="808"/>
      <c r="D65" s="808"/>
      <c r="E65" s="809"/>
      <c r="F65" s="534" t="s">
        <v>856</v>
      </c>
      <c r="G65" s="535">
        <f>SUM(G59:G64)</f>
        <v>3333</v>
      </c>
    </row>
    <row r="66" spans="2:8" ht="14.25" thickTop="1" thickBot="1">
      <c r="B66" s="830"/>
      <c r="C66" s="830"/>
      <c r="D66" s="830"/>
      <c r="E66" s="830"/>
      <c r="F66" s="830"/>
      <c r="G66" s="830"/>
    </row>
    <row r="67" spans="2:8" ht="13.5" thickTop="1">
      <c r="B67" s="890" t="s">
        <v>311</v>
      </c>
      <c r="C67" s="891"/>
      <c r="D67" s="891"/>
      <c r="E67" s="891"/>
      <c r="F67" s="891"/>
      <c r="G67" s="892"/>
    </row>
    <row r="68" spans="2:8">
      <c r="B68" s="929" t="s">
        <v>838</v>
      </c>
      <c r="C68" s="930"/>
      <c r="D68" s="536" t="s">
        <v>842</v>
      </c>
      <c r="E68" s="536" t="s">
        <v>853</v>
      </c>
      <c r="F68" s="521" t="s">
        <v>1047</v>
      </c>
      <c r="G68" s="522" t="s">
        <v>840</v>
      </c>
    </row>
    <row r="69" spans="2:8">
      <c r="B69" s="936" t="str">
        <f>MATERIALES2!C941</f>
        <v>MALLA PARA GAVION 2 X 1 X 1 TRIPLE TORCION CALIBRE 12</v>
      </c>
      <c r="C69" s="937"/>
      <c r="D69" s="439" t="s">
        <v>865</v>
      </c>
      <c r="E69" s="565">
        <v>1</v>
      </c>
      <c r="F69" s="538">
        <f>MATERIALES2!E941</f>
        <v>49000</v>
      </c>
      <c r="G69" s="526">
        <f>E69*F69</f>
        <v>49000</v>
      </c>
    </row>
    <row r="70" spans="2:8">
      <c r="B70" s="907" t="str">
        <f>MATERIALES2!C22</f>
        <v>BOLO DE RIO</v>
      </c>
      <c r="C70" s="908"/>
      <c r="D70" s="539" t="s">
        <v>669</v>
      </c>
      <c r="E70" s="499">
        <v>1</v>
      </c>
      <c r="F70" s="541">
        <f>MATERIALES2!E22</f>
        <v>77720</v>
      </c>
      <c r="G70" s="542">
        <f>E70*F70</f>
        <v>77720</v>
      </c>
    </row>
    <row r="71" spans="2:8">
      <c r="B71" s="907" t="str">
        <f>MATERIALES2!C64</f>
        <v>ALAMBRE GALVANIZADO CALIBRE 12</v>
      </c>
      <c r="C71" s="908"/>
      <c r="D71" s="37" t="s">
        <v>925</v>
      </c>
      <c r="E71" s="7">
        <v>0.25</v>
      </c>
      <c r="F71" s="570">
        <f>MATERIALES2!E64</f>
        <v>3500</v>
      </c>
      <c r="G71" s="571">
        <f>E71*F71</f>
        <v>875</v>
      </c>
    </row>
    <row r="72" spans="2:8" ht="12.75" customHeight="1">
      <c r="B72" s="1112" t="str">
        <f>'MAQUINARIA Y EQUIPOS'!C70</f>
        <v>FOMALETA</v>
      </c>
      <c r="C72" s="1113"/>
      <c r="D72" s="37" t="s">
        <v>865</v>
      </c>
      <c r="E72" s="7">
        <v>0.5</v>
      </c>
      <c r="F72" s="570">
        <f>'MAQUINARIA Y EQUIPOS'!D70</f>
        <v>10000</v>
      </c>
      <c r="G72" s="571">
        <f>E72*F72</f>
        <v>5000</v>
      </c>
    </row>
    <row r="73" spans="2:8">
      <c r="B73" s="837"/>
      <c r="C73" s="838"/>
      <c r="D73" s="37"/>
      <c r="E73" s="55"/>
      <c r="F73" s="527"/>
      <c r="G73" s="530"/>
    </row>
    <row r="74" spans="2:8">
      <c r="B74" s="837"/>
      <c r="C74" s="838"/>
      <c r="D74" s="543" t="s">
        <v>841</v>
      </c>
      <c r="E74" s="543"/>
      <c r="F74" s="527"/>
      <c r="G74" s="530"/>
    </row>
    <row r="75" spans="2:8">
      <c r="B75" s="837" t="s">
        <v>841</v>
      </c>
      <c r="C75" s="838"/>
      <c r="D75" s="543" t="s">
        <v>841</v>
      </c>
      <c r="E75" s="543"/>
      <c r="F75" s="527"/>
      <c r="G75" s="530"/>
    </row>
    <row r="76" spans="2:8">
      <c r="B76" s="837" t="s">
        <v>841</v>
      </c>
      <c r="C76" s="838"/>
      <c r="D76" s="543" t="s">
        <v>841</v>
      </c>
      <c r="E76" s="543"/>
      <c r="F76" s="527"/>
      <c r="G76" s="530"/>
    </row>
    <row r="77" spans="2:8" ht="13.5" thickBot="1">
      <c r="B77" s="839" t="s">
        <v>841</v>
      </c>
      <c r="C77" s="840"/>
      <c r="D77" s="544" t="s">
        <v>841</v>
      </c>
      <c r="E77" s="544"/>
      <c r="F77" s="545"/>
      <c r="G77" s="533"/>
    </row>
    <row r="78" spans="2:8" ht="13.5" thickTop="1">
      <c r="B78" s="808"/>
      <c r="C78" s="809"/>
      <c r="D78" s="801" t="s">
        <v>856</v>
      </c>
      <c r="E78" s="802"/>
      <c r="F78" s="546"/>
      <c r="G78" s="547">
        <f>SUM(G69:G77)</f>
        <v>132595</v>
      </c>
    </row>
    <row r="79" spans="2:8">
      <c r="B79" s="819"/>
      <c r="C79" s="820"/>
      <c r="D79" s="801" t="s">
        <v>857</v>
      </c>
      <c r="E79" s="802"/>
      <c r="F79" s="548">
        <v>0.05</v>
      </c>
      <c r="G79" s="547">
        <f>ROUND(G78*F79,0)</f>
        <v>6630</v>
      </c>
      <c r="H79" s="514" t="s">
        <v>1670</v>
      </c>
    </row>
    <row r="80" spans="2:8" ht="13.5" thickBot="1">
      <c r="B80" s="819"/>
      <c r="C80" s="820"/>
      <c r="D80" s="917" t="s">
        <v>320</v>
      </c>
      <c r="E80" s="918"/>
      <c r="F80" s="549"/>
      <c r="G80" s="535">
        <f>+G78+G79</f>
        <v>139225</v>
      </c>
    </row>
    <row r="81" spans="2:7" ht="14.25" thickTop="1" thickBot="1">
      <c r="B81" s="830"/>
      <c r="C81" s="830"/>
      <c r="D81" s="830"/>
      <c r="E81" s="830"/>
      <c r="F81" s="830"/>
      <c r="G81" s="830"/>
    </row>
    <row r="82" spans="2:7" ht="13.5" thickTop="1">
      <c r="B82" s="811" t="s">
        <v>858</v>
      </c>
      <c r="C82" s="812"/>
      <c r="D82" s="812"/>
      <c r="E82" s="812"/>
      <c r="F82" s="812"/>
      <c r="G82" s="825"/>
    </row>
    <row r="83" spans="2:7">
      <c r="B83" s="817"/>
      <c r="C83" s="818"/>
      <c r="D83" s="98" t="s">
        <v>301</v>
      </c>
      <c r="E83" s="98" t="s">
        <v>859</v>
      </c>
      <c r="F83" s="99" t="s">
        <v>839</v>
      </c>
      <c r="G83" s="107" t="s">
        <v>840</v>
      </c>
    </row>
    <row r="84" spans="2:7">
      <c r="B84" s="821" t="s">
        <v>838</v>
      </c>
      <c r="C84" s="822"/>
      <c r="D84" s="100" t="s">
        <v>316</v>
      </c>
      <c r="E84" s="100" t="s">
        <v>315</v>
      </c>
      <c r="F84" s="101" t="s">
        <v>306</v>
      </c>
      <c r="G84" s="108" t="s">
        <v>319</v>
      </c>
    </row>
    <row r="85" spans="2:7">
      <c r="B85" s="230"/>
      <c r="C85" s="102"/>
      <c r="D85" s="103"/>
      <c r="E85" s="103" t="s">
        <v>317</v>
      </c>
      <c r="F85" s="104" t="s">
        <v>318</v>
      </c>
      <c r="G85" s="109"/>
    </row>
    <row r="86" spans="2:7">
      <c r="B86" s="823" t="str">
        <f>'MANO DE OBRA'!$B$15</f>
        <v xml:space="preserve">OFICIAL CUAD. TIPO AA </v>
      </c>
      <c r="C86" s="824"/>
      <c r="D86" s="439">
        <v>1</v>
      </c>
      <c r="E86" s="80">
        <f>'MANO DE OBRA'!$E$15</f>
        <v>71474</v>
      </c>
      <c r="F86" s="444">
        <v>5</v>
      </c>
      <c r="G86" s="110">
        <f>ROUND(D86*E86/F86,0)</f>
        <v>14295</v>
      </c>
    </row>
    <row r="87" spans="2:7">
      <c r="B87" s="835" t="str">
        <f>'MANO DE OBRA'!$B$10</f>
        <v>AYUDANTE CUAD. TIPO AA</v>
      </c>
      <c r="C87" s="836"/>
      <c r="D87" s="37">
        <v>4</v>
      </c>
      <c r="E87" s="82">
        <f>'MANO DE OBRA'!$E$10</f>
        <v>34680</v>
      </c>
      <c r="F87" s="83">
        <v>5</v>
      </c>
      <c r="G87" s="111">
        <f>ROUND(D87*E87/F87,0)</f>
        <v>27744</v>
      </c>
    </row>
    <row r="88" spans="2:7">
      <c r="B88" s="835" t="s">
        <v>841</v>
      </c>
      <c r="C88" s="836"/>
      <c r="D88" s="37"/>
      <c r="E88" s="82"/>
      <c r="F88" s="83"/>
      <c r="G88" s="111"/>
    </row>
    <row r="89" spans="2:7" ht="13.5" thickBot="1">
      <c r="B89" s="828" t="s">
        <v>841</v>
      </c>
      <c r="C89" s="829"/>
      <c r="D89" s="77"/>
      <c r="E89" s="82"/>
      <c r="F89" s="86"/>
      <c r="G89" s="112"/>
    </row>
    <row r="90" spans="2:7" ht="14.25" thickTop="1" thickBot="1">
      <c r="B90" s="808"/>
      <c r="C90" s="808"/>
      <c r="D90" s="808"/>
      <c r="E90" s="809"/>
      <c r="F90" s="120" t="s">
        <v>856</v>
      </c>
      <c r="G90" s="118">
        <f>SUM(G86:G89)</f>
        <v>42039</v>
      </c>
    </row>
    <row r="91" spans="2:7" ht="14.25" thickTop="1" thickBot="1">
      <c r="B91" s="566"/>
      <c r="C91" s="566"/>
      <c r="D91" s="566"/>
      <c r="E91" s="566"/>
      <c r="F91" s="575"/>
      <c r="G91" s="576"/>
    </row>
    <row r="92" spans="2:7" ht="13.5" thickTop="1">
      <c r="B92" s="890" t="s">
        <v>321</v>
      </c>
      <c r="C92" s="891"/>
      <c r="D92" s="891"/>
      <c r="E92" s="891"/>
      <c r="F92" s="891"/>
      <c r="G92" s="892"/>
    </row>
    <row r="93" spans="2:7">
      <c r="B93" s="572" t="s">
        <v>838</v>
      </c>
      <c r="C93" s="520" t="s">
        <v>1687</v>
      </c>
      <c r="D93" s="520" t="s">
        <v>1688</v>
      </c>
      <c r="E93" s="520" t="s">
        <v>1689</v>
      </c>
      <c r="F93" s="563" t="s">
        <v>297</v>
      </c>
      <c r="G93" s="568" t="s">
        <v>1690</v>
      </c>
    </row>
    <row r="94" spans="2:7" ht="31.5" customHeight="1" thickBot="1">
      <c r="B94" s="668" t="s">
        <v>1700</v>
      </c>
      <c r="C94" s="77">
        <v>0.05</v>
      </c>
      <c r="D94" s="77">
        <v>3</v>
      </c>
      <c r="E94" s="96">
        <v>0.15</v>
      </c>
      <c r="F94" s="567">
        <v>80000</v>
      </c>
      <c r="G94" s="574">
        <f>F94*E94</f>
        <v>12000</v>
      </c>
    </row>
    <row r="95" spans="2:7" ht="14.25" thickTop="1" thickBot="1">
      <c r="B95" s="808"/>
      <c r="C95" s="808"/>
      <c r="D95" s="808"/>
      <c r="E95" s="809"/>
      <c r="F95" s="553" t="s">
        <v>856</v>
      </c>
      <c r="G95" s="535">
        <f>SUM(G92:G94)</f>
        <v>12000</v>
      </c>
    </row>
    <row r="96" spans="2:7" ht="14.25" thickTop="1" thickBot="1">
      <c r="B96" s="810"/>
      <c r="C96" s="810"/>
      <c r="D96" s="810"/>
      <c r="E96" s="810"/>
      <c r="F96" s="810"/>
      <c r="G96" s="834"/>
    </row>
    <row r="97" spans="2:8" ht="13.5" thickTop="1">
      <c r="B97" s="890" t="s">
        <v>326</v>
      </c>
      <c r="C97" s="891"/>
      <c r="D97" s="891"/>
      <c r="E97" s="891"/>
      <c r="F97" s="912"/>
      <c r="G97" s="559">
        <f>+G65+G80+G90+G95</f>
        <v>196597</v>
      </c>
    </row>
    <row r="98" spans="2:8">
      <c r="B98" s="919" t="s">
        <v>861</v>
      </c>
      <c r="C98" s="920"/>
      <c r="D98" s="920"/>
      <c r="E98" s="921"/>
      <c r="F98" s="560">
        <f>'[1]MANO DE OBRA'!$D$59</f>
        <v>0</v>
      </c>
      <c r="G98" s="561">
        <f>ROUND(G97*F98,0)</f>
        <v>0</v>
      </c>
    </row>
    <row r="99" spans="2:8" ht="13.5" thickBot="1">
      <c r="B99" s="922" t="s">
        <v>1049</v>
      </c>
      <c r="C99" s="923"/>
      <c r="D99" s="923"/>
      <c r="E99" s="923"/>
      <c r="F99" s="924"/>
      <c r="G99" s="535">
        <f>ROUND(G97+G98,-2)</f>
        <v>196600</v>
      </c>
      <c r="H99" s="514" t="s">
        <v>1670</v>
      </c>
    </row>
    <row r="100" spans="2:8" ht="13.5" thickTop="1">
      <c r="B100" s="630" t="s">
        <v>303</v>
      </c>
      <c r="C100" s="1110"/>
      <c r="D100" s="1110"/>
      <c r="E100" s="1110"/>
      <c r="F100" s="1110"/>
      <c r="G100" s="1111"/>
    </row>
    <row r="101" spans="2:8">
      <c r="B101" s="631" t="s">
        <v>834</v>
      </c>
      <c r="C101" s="125" t="s">
        <v>1715</v>
      </c>
      <c r="D101" s="125"/>
      <c r="E101" s="125"/>
      <c r="F101" s="15" t="s">
        <v>781</v>
      </c>
      <c r="G101" s="632" t="s">
        <v>865</v>
      </c>
    </row>
    <row r="102" spans="2:8" ht="13.5" thickBot="1">
      <c r="B102" s="228" t="s">
        <v>835</v>
      </c>
      <c r="C102" s="1118" t="s">
        <v>1716</v>
      </c>
      <c r="D102" s="1118"/>
      <c r="E102" s="1118"/>
      <c r="F102" s="633" t="s">
        <v>833</v>
      </c>
      <c r="G102" s="634"/>
    </row>
    <row r="103" spans="2:8" ht="14.25" thickTop="1" thickBot="1">
      <c r="B103" s="847"/>
      <c r="C103" s="847"/>
      <c r="D103" s="847"/>
      <c r="E103" s="847"/>
      <c r="F103" s="847"/>
      <c r="G103" s="847"/>
    </row>
    <row r="104" spans="2:8" ht="13.5" thickTop="1">
      <c r="B104" s="890" t="s">
        <v>304</v>
      </c>
      <c r="C104" s="891"/>
      <c r="D104" s="891"/>
      <c r="E104" s="891"/>
      <c r="F104" s="891"/>
      <c r="G104" s="892"/>
    </row>
    <row r="105" spans="2:8">
      <c r="B105" s="966" t="s">
        <v>838</v>
      </c>
      <c r="C105" s="893"/>
      <c r="D105" s="520" t="s">
        <v>301</v>
      </c>
      <c r="E105" s="520" t="s">
        <v>1683</v>
      </c>
      <c r="F105" s="563" t="s">
        <v>839</v>
      </c>
      <c r="G105" s="568" t="s">
        <v>840</v>
      </c>
    </row>
    <row r="106" spans="2:8">
      <c r="B106" s="894"/>
      <c r="C106" s="895"/>
      <c r="D106" s="523"/>
      <c r="E106" s="524"/>
      <c r="F106" s="525"/>
      <c r="G106" s="526"/>
    </row>
    <row r="107" spans="2:8">
      <c r="B107" s="894"/>
      <c r="C107" s="895"/>
      <c r="D107" s="37"/>
      <c r="E107" s="527"/>
      <c r="F107" s="528"/>
      <c r="G107" s="542"/>
    </row>
    <row r="108" spans="2:8">
      <c r="B108" s="835"/>
      <c r="C108" s="836"/>
      <c r="D108" s="89"/>
      <c r="E108" s="527"/>
      <c r="F108" s="528"/>
      <c r="G108" s="530"/>
    </row>
    <row r="109" spans="2:8">
      <c r="B109" s="835"/>
      <c r="C109" s="836"/>
      <c r="D109" s="89"/>
      <c r="E109" s="527"/>
      <c r="F109" s="528"/>
      <c r="G109" s="530"/>
    </row>
    <row r="110" spans="2:8">
      <c r="B110" s="835" t="s">
        <v>841</v>
      </c>
      <c r="C110" s="836"/>
      <c r="D110" s="37"/>
      <c r="E110" s="527"/>
      <c r="F110" s="528"/>
      <c r="G110" s="530"/>
    </row>
    <row r="111" spans="2:8" ht="13.5" thickBot="1">
      <c r="B111" s="839" t="s">
        <v>841</v>
      </c>
      <c r="C111" s="840"/>
      <c r="D111" s="77"/>
      <c r="E111" s="531"/>
      <c r="F111" s="532"/>
      <c r="G111" s="533"/>
    </row>
    <row r="112" spans="2:8" ht="14.25" thickTop="1" thickBot="1">
      <c r="B112" s="808"/>
      <c r="C112" s="808"/>
      <c r="D112" s="808"/>
      <c r="E112" s="809"/>
      <c r="F112" s="534" t="s">
        <v>856</v>
      </c>
      <c r="G112" s="535">
        <f>SUM(G106:G111)</f>
        <v>0</v>
      </c>
    </row>
    <row r="113" spans="2:8" ht="14.25" thickTop="1" thickBot="1">
      <c r="B113" s="830"/>
      <c r="C113" s="830"/>
      <c r="D113" s="830"/>
      <c r="E113" s="830"/>
      <c r="F113" s="830"/>
      <c r="G113" s="830"/>
    </row>
    <row r="114" spans="2:8" ht="13.5" thickTop="1">
      <c r="B114" s="890" t="s">
        <v>311</v>
      </c>
      <c r="C114" s="891"/>
      <c r="D114" s="891"/>
      <c r="E114" s="891"/>
      <c r="F114" s="891"/>
      <c r="G114" s="892"/>
    </row>
    <row r="115" spans="2:8">
      <c r="B115" s="929" t="s">
        <v>838</v>
      </c>
      <c r="C115" s="930"/>
      <c r="D115" s="536" t="s">
        <v>1717</v>
      </c>
      <c r="E115" s="536" t="s">
        <v>301</v>
      </c>
      <c r="F115" s="669" t="s">
        <v>1047</v>
      </c>
      <c r="G115" s="568" t="s">
        <v>840</v>
      </c>
    </row>
    <row r="116" spans="2:8">
      <c r="B116" s="1114" t="str">
        <f>MATERIALES2!C600</f>
        <v>TUBO PVC SANITARIO 2"x 6.0 M Pesada</v>
      </c>
      <c r="C116" s="1115" t="e">
        <f>LOOKUP(B116,[3]INSUMO!$A$7:$A$170,[3]INSUMO!$B$7:$B$170)</f>
        <v>#N/A</v>
      </c>
      <c r="D116" s="644" t="s">
        <v>865</v>
      </c>
      <c r="E116" s="645">
        <v>3.3000000000000002E-2</v>
      </c>
      <c r="F116" s="665">
        <f>MATERIALES2!E600</f>
        <v>24000</v>
      </c>
      <c r="G116" s="642">
        <f>ROUND(E116*F116,0)</f>
        <v>792</v>
      </c>
    </row>
    <row r="117" spans="2:8">
      <c r="B117" s="1116" t="str">
        <f>'MAQUINARIA Y EQUIPOS'!C73</f>
        <v>SEGUETA</v>
      </c>
      <c r="C117" s="1117"/>
      <c r="D117" s="88" t="s">
        <v>865</v>
      </c>
      <c r="E117" s="146">
        <v>0.03</v>
      </c>
      <c r="F117" s="666">
        <f>'MAQUINARIA Y EQUIPOS'!D73</f>
        <v>5000</v>
      </c>
      <c r="G117" s="642">
        <f>ROUND(E117*F117,0)</f>
        <v>150</v>
      </c>
    </row>
    <row r="118" spans="2:8">
      <c r="B118" s="984"/>
      <c r="C118" s="985"/>
      <c r="D118" s="88"/>
      <c r="E118" s="146"/>
      <c r="F118" s="666"/>
      <c r="G118" s="642"/>
    </row>
    <row r="119" spans="2:8" ht="13.5" thickBot="1">
      <c r="B119" s="1126"/>
      <c r="C119" s="1127"/>
      <c r="D119" s="251"/>
      <c r="E119" s="133"/>
      <c r="F119" s="667"/>
      <c r="G119" s="658"/>
    </row>
    <row r="120" spans="2:8" ht="13.5" thickTop="1">
      <c r="B120" s="808"/>
      <c r="C120" s="809"/>
      <c r="D120" s="801" t="s">
        <v>856</v>
      </c>
      <c r="E120" s="802"/>
      <c r="F120" s="647"/>
      <c r="G120" s="658">
        <f>SUM(G116:G119)</f>
        <v>942</v>
      </c>
      <c r="H120" s="514" t="s">
        <v>1670</v>
      </c>
    </row>
    <row r="121" spans="2:8">
      <c r="B121" s="819"/>
      <c r="C121" s="820"/>
      <c r="D121" s="801" t="s">
        <v>857</v>
      </c>
      <c r="E121" s="802"/>
      <c r="F121" s="649"/>
      <c r="G121" s="648">
        <f>ROUND(G120*F121,0)</f>
        <v>0</v>
      </c>
    </row>
    <row r="122" spans="2:8" ht="13.5" thickBot="1">
      <c r="B122" s="819"/>
      <c r="C122" s="820"/>
      <c r="D122" s="917" t="s">
        <v>320</v>
      </c>
      <c r="E122" s="918"/>
      <c r="F122" s="650"/>
      <c r="G122" s="643">
        <f>+G120+G121</f>
        <v>942</v>
      </c>
    </row>
    <row r="123" spans="2:8" ht="14.25" thickTop="1" thickBot="1">
      <c r="B123" s="830"/>
      <c r="C123" s="830"/>
      <c r="D123" s="830"/>
      <c r="E123" s="830"/>
      <c r="F123" s="830"/>
      <c r="G123" s="830"/>
    </row>
    <row r="124" spans="2:8" ht="13.5" thickTop="1">
      <c r="B124" s="890" t="s">
        <v>858</v>
      </c>
      <c r="C124" s="891"/>
      <c r="D124" s="891"/>
      <c r="E124" s="891"/>
      <c r="F124" s="891"/>
      <c r="G124" s="892"/>
    </row>
    <row r="125" spans="2:8">
      <c r="B125" s="817" t="s">
        <v>838</v>
      </c>
      <c r="C125" s="818"/>
      <c r="D125" s="98" t="s">
        <v>301</v>
      </c>
      <c r="E125" s="98" t="s">
        <v>859</v>
      </c>
      <c r="F125" s="99" t="s">
        <v>839</v>
      </c>
      <c r="G125" s="107" t="s">
        <v>840</v>
      </c>
    </row>
    <row r="126" spans="2:8">
      <c r="B126" s="821"/>
      <c r="C126" s="822"/>
      <c r="D126" s="100" t="s">
        <v>316</v>
      </c>
      <c r="E126" s="100" t="s">
        <v>315</v>
      </c>
      <c r="F126" s="101" t="s">
        <v>306</v>
      </c>
      <c r="G126" s="108" t="s">
        <v>319</v>
      </c>
    </row>
    <row r="127" spans="2:8">
      <c r="B127" s="230"/>
      <c r="C127" s="102"/>
      <c r="D127" s="103"/>
      <c r="E127" s="103" t="s">
        <v>317</v>
      </c>
      <c r="F127" s="104" t="s">
        <v>318</v>
      </c>
      <c r="G127" s="109"/>
    </row>
    <row r="128" spans="2:8">
      <c r="B128" s="1128" t="str">
        <f>'MANO DE OBRA'!B10</f>
        <v>AYUDANTE CUAD. TIPO AA</v>
      </c>
      <c r="C128" s="1129" t="e">
        <f>LOOKUP(B128,[3]MANO!$A$3:$A$98,[3]MANO!$B$3:$B$98)</f>
        <v>#N/A</v>
      </c>
      <c r="D128" s="651">
        <v>1</v>
      </c>
      <c r="E128" s="652">
        <f>'MANO DE OBRA'!E10</f>
        <v>34680</v>
      </c>
      <c r="F128" s="130">
        <v>100</v>
      </c>
      <c r="G128" s="641">
        <f>ROUND(D128*E128/F128,0)</f>
        <v>347</v>
      </c>
    </row>
    <row r="129" spans="2:8">
      <c r="B129" s="1130"/>
      <c r="C129" s="1131"/>
      <c r="D129" s="238"/>
      <c r="E129" s="653"/>
      <c r="F129" s="131"/>
      <c r="G129" s="642"/>
    </row>
    <row r="130" spans="2:8" ht="13.5" thickBot="1">
      <c r="B130" s="1126"/>
      <c r="C130" s="1132"/>
      <c r="D130" s="654"/>
      <c r="E130" s="655"/>
      <c r="F130" s="133"/>
      <c r="G130" s="642"/>
    </row>
    <row r="131" spans="2:8" ht="14.25" thickTop="1" thickBot="1">
      <c r="B131" s="808"/>
      <c r="C131" s="808"/>
      <c r="D131" s="808"/>
      <c r="E131" s="809"/>
      <c r="F131" s="553" t="s">
        <v>856</v>
      </c>
      <c r="G131" s="643">
        <f>SUM(G128:G130)</f>
        <v>347</v>
      </c>
    </row>
    <row r="132" spans="2:8" ht="14.25" thickTop="1" thickBot="1">
      <c r="B132" s="810"/>
      <c r="C132" s="810"/>
      <c r="D132" s="810"/>
      <c r="E132" s="810"/>
      <c r="F132" s="810"/>
      <c r="G132" s="810"/>
    </row>
    <row r="133" spans="2:8" ht="13.5" thickTop="1">
      <c r="B133" s="890" t="s">
        <v>321</v>
      </c>
      <c r="C133" s="891"/>
      <c r="D133" s="891"/>
      <c r="E133" s="891"/>
      <c r="F133" s="891"/>
      <c r="G133" s="892"/>
    </row>
    <row r="134" spans="2:8">
      <c r="B134" s="1120" t="s">
        <v>838</v>
      </c>
      <c r="C134" s="1121"/>
      <c r="D134" s="635" t="s">
        <v>301</v>
      </c>
      <c r="E134" s="635" t="s">
        <v>297</v>
      </c>
      <c r="F134" s="636" t="s">
        <v>839</v>
      </c>
      <c r="G134" s="637" t="s">
        <v>840</v>
      </c>
    </row>
    <row r="135" spans="2:8">
      <c r="B135" s="1122"/>
      <c r="C135" s="1123"/>
      <c r="D135" s="638" t="s">
        <v>322</v>
      </c>
      <c r="E135" s="638" t="s">
        <v>323</v>
      </c>
      <c r="F135" s="639" t="s">
        <v>324</v>
      </c>
      <c r="G135" s="640" t="s">
        <v>325</v>
      </c>
    </row>
    <row r="136" spans="2:8">
      <c r="B136" s="1124"/>
      <c r="C136" s="1125"/>
      <c r="D136" s="96"/>
      <c r="E136" s="653"/>
      <c r="F136" s="96"/>
      <c r="G136" s="656"/>
    </row>
    <row r="137" spans="2:8" ht="13.5" thickBot="1">
      <c r="B137" s="1126" t="s">
        <v>841</v>
      </c>
      <c r="C137" s="1127"/>
      <c r="D137" s="657"/>
      <c r="E137" s="646"/>
      <c r="F137" s="133"/>
      <c r="G137" s="658"/>
    </row>
    <row r="138" spans="2:8" ht="14.25" thickTop="1" thickBot="1">
      <c r="B138" s="808"/>
      <c r="C138" s="808"/>
      <c r="D138" s="808"/>
      <c r="E138" s="809"/>
      <c r="F138" s="553" t="s">
        <v>856</v>
      </c>
      <c r="G138" s="643">
        <f>SUM(G133:G137)</f>
        <v>0</v>
      </c>
    </row>
    <row r="139" spans="2:8" ht="14.25" thickTop="1" thickBot="1">
      <c r="B139" s="860"/>
      <c r="C139" s="860"/>
      <c r="D139" s="810"/>
      <c r="E139" s="810"/>
      <c r="F139" s="810"/>
      <c r="G139" s="834"/>
    </row>
    <row r="140" spans="2:8" ht="13.5" thickTop="1">
      <c r="B140" s="659"/>
      <c r="C140" s="659"/>
      <c r="D140" s="627" t="s">
        <v>326</v>
      </c>
      <c r="E140" s="628"/>
      <c r="F140" s="629"/>
      <c r="G140" s="660">
        <f>+G112+G122+G131</f>
        <v>1289</v>
      </c>
    </row>
    <row r="141" spans="2:8">
      <c r="B141" s="661"/>
      <c r="C141" s="661"/>
      <c r="D141" s="622" t="s">
        <v>861</v>
      </c>
      <c r="E141" s="623"/>
      <c r="F141" s="662">
        <v>0</v>
      </c>
      <c r="G141" s="663">
        <f>ROUND(G140*F141,0)</f>
        <v>0</v>
      </c>
    </row>
    <row r="142" spans="2:8" ht="13.5" thickBot="1">
      <c r="B142" s="1119"/>
      <c r="C142" s="1119"/>
      <c r="D142" s="624" t="s">
        <v>1049</v>
      </c>
      <c r="E142" s="625"/>
      <c r="F142" s="626"/>
      <c r="G142" s="643">
        <f>ROUND(G140+G141,0)</f>
        <v>1289</v>
      </c>
      <c r="H142" s="514" t="s">
        <v>1670</v>
      </c>
    </row>
    <row r="143" spans="2:8" ht="13.5" thickTop="1">
      <c r="B143" s="664"/>
      <c r="C143" s="664"/>
    </row>
    <row r="150" ht="12.75" customHeight="1"/>
    <row r="202" ht="12.75" customHeight="1"/>
    <row r="223" ht="24.75" customHeight="1"/>
    <row r="224" ht="30.75" customHeight="1"/>
    <row r="225" ht="18.75" customHeight="1"/>
    <row r="235" ht="12.75" customHeight="1"/>
    <row r="276" ht="25.5" customHeight="1"/>
    <row r="309" s="455" customFormat="1"/>
    <row r="310" s="455" customFormat="1"/>
    <row r="311" s="455" customFormat="1"/>
    <row r="312" s="455" customFormat="1"/>
    <row r="313" s="455" customFormat="1"/>
    <row r="314" s="455" customFormat="1"/>
    <row r="315" s="455" customFormat="1"/>
    <row r="316" s="455" customFormat="1"/>
    <row r="317" s="455" customFormat="1"/>
    <row r="318" s="455" customFormat="1"/>
    <row r="319" s="455" customFormat="1"/>
    <row r="320" s="455" customFormat="1"/>
    <row r="321" s="455" customFormat="1"/>
    <row r="322" s="455" customFormat="1"/>
    <row r="323" s="455" customFormat="1"/>
    <row r="324" s="455" customFormat="1"/>
    <row r="325" s="455" customFormat="1"/>
    <row r="326" s="455" customFormat="1"/>
    <row r="327" s="455" customFormat="1"/>
    <row r="328" s="455" customFormat="1"/>
    <row r="329" s="455" customFormat="1"/>
    <row r="330" s="455" customFormat="1"/>
    <row r="331" s="455" customFormat="1"/>
    <row r="332" s="455" customFormat="1"/>
    <row r="333" s="455" customFormat="1"/>
    <row r="334" s="455" customFormat="1"/>
    <row r="335" s="455" customFormat="1"/>
    <row r="336" s="455" customFormat="1"/>
    <row r="337" s="455" customFormat="1"/>
    <row r="338" s="455" customFormat="1"/>
    <row r="339" s="455" customFormat="1"/>
    <row r="340" s="455" customFormat="1"/>
    <row r="341" s="455" customFormat="1"/>
    <row r="342" s="455" customFormat="1"/>
    <row r="343" s="455" customFormat="1"/>
    <row r="344" s="455" customFormat="1"/>
    <row r="345" s="455" customFormat="1"/>
    <row r="346" s="455" customFormat="1"/>
    <row r="347" s="455" customFormat="1"/>
    <row r="348" s="455" customFormat="1"/>
    <row r="349" s="455" customFormat="1"/>
    <row r="350" s="455" customFormat="1"/>
    <row r="351" s="455" customFormat="1"/>
    <row r="352" s="455" customFormat="1"/>
    <row r="353" s="455" customFormat="1"/>
    <row r="354" s="455" customFormat="1"/>
    <row r="355" s="455" customFormat="1"/>
    <row r="358" ht="43.5" customHeight="1"/>
    <row r="374" ht="24" customHeight="1"/>
  </sheetData>
  <mergeCells count="132">
    <mergeCell ref="B142:C142"/>
    <mergeCell ref="B105:C105"/>
    <mergeCell ref="B106:C106"/>
    <mergeCell ref="B107:C107"/>
    <mergeCell ref="B115:C115"/>
    <mergeCell ref="B125:C125"/>
    <mergeCell ref="B126:C126"/>
    <mergeCell ref="B133:G133"/>
    <mergeCell ref="B134:C135"/>
    <mergeCell ref="B136:C136"/>
    <mergeCell ref="B123:G123"/>
    <mergeCell ref="B124:G124"/>
    <mergeCell ref="B137:C137"/>
    <mergeCell ref="B138:E138"/>
    <mergeCell ref="B139:G139"/>
    <mergeCell ref="B128:C128"/>
    <mergeCell ref="B129:C129"/>
    <mergeCell ref="B130:C130"/>
    <mergeCell ref="B131:E131"/>
    <mergeCell ref="B132:G132"/>
    <mergeCell ref="B119:C119"/>
    <mergeCell ref="B109:C109"/>
    <mergeCell ref="B110:C110"/>
    <mergeCell ref="B111:C111"/>
    <mergeCell ref="B112:E112"/>
    <mergeCell ref="B113:G113"/>
    <mergeCell ref="B114:G114"/>
    <mergeCell ref="B120:C122"/>
    <mergeCell ref="D120:E120"/>
    <mergeCell ref="D121:E121"/>
    <mergeCell ref="D122:E122"/>
    <mergeCell ref="B108:C108"/>
    <mergeCell ref="B81:G81"/>
    <mergeCell ref="B82:G82"/>
    <mergeCell ref="B86:C86"/>
    <mergeCell ref="B83:C83"/>
    <mergeCell ref="B84:C84"/>
    <mergeCell ref="B116:C116"/>
    <mergeCell ref="B117:C117"/>
    <mergeCell ref="B118:C118"/>
    <mergeCell ref="B97:F97"/>
    <mergeCell ref="B98:E98"/>
    <mergeCell ref="B99:F99"/>
    <mergeCell ref="B92:G92"/>
    <mergeCell ref="B96:G96"/>
    <mergeCell ref="B95:E95"/>
    <mergeCell ref="C102:E102"/>
    <mergeCell ref="B103:G103"/>
    <mergeCell ref="B104:G104"/>
    <mergeCell ref="C6:E6"/>
    <mergeCell ref="C7:G7"/>
    <mergeCell ref="B8:G8"/>
    <mergeCell ref="B9:G9"/>
    <mergeCell ref="B11:C11"/>
    <mergeCell ref="B13:C13"/>
    <mergeCell ref="B20:C20"/>
    <mergeCell ref="B43:G43"/>
    <mergeCell ref="B44:G44"/>
    <mergeCell ref="B28:C28"/>
    <mergeCell ref="B29:C29"/>
    <mergeCell ref="B14:C14"/>
    <mergeCell ref="B10:C10"/>
    <mergeCell ref="B12:C12"/>
    <mergeCell ref="B30:C32"/>
    <mergeCell ref="B35:C35"/>
    <mergeCell ref="B38:C38"/>
    <mergeCell ref="B36:C36"/>
    <mergeCell ref="B75:C75"/>
    <mergeCell ref="B71:C71"/>
    <mergeCell ref="B73:C73"/>
    <mergeCell ref="B88:C88"/>
    <mergeCell ref="B89:C89"/>
    <mergeCell ref="C100:G100"/>
    <mergeCell ref="C53:E53"/>
    <mergeCell ref="B39:C39"/>
    <mergeCell ref="B40:C40"/>
    <mergeCell ref="B41:C41"/>
    <mergeCell ref="B42:E42"/>
    <mergeCell ref="B48:E48"/>
    <mergeCell ref="B49:G49"/>
    <mergeCell ref="B50:F50"/>
    <mergeCell ref="B51:E51"/>
    <mergeCell ref="B52:F52"/>
    <mergeCell ref="B76:C76"/>
    <mergeCell ref="B77:C77"/>
    <mergeCell ref="B78:C80"/>
    <mergeCell ref="B90:E90"/>
    <mergeCell ref="B87:C87"/>
    <mergeCell ref="B70:C70"/>
    <mergeCell ref="B72:C72"/>
    <mergeCell ref="B74:C74"/>
    <mergeCell ref="C54:E54"/>
    <mergeCell ref="C55:G55"/>
    <mergeCell ref="B56:G56"/>
    <mergeCell ref="B57:G57"/>
    <mergeCell ref="B59:C59"/>
    <mergeCell ref="C1:G1"/>
    <mergeCell ref="C2:G2"/>
    <mergeCell ref="C3:G3"/>
    <mergeCell ref="C4:G4"/>
    <mergeCell ref="C5:E5"/>
    <mergeCell ref="D78:E78"/>
    <mergeCell ref="B15:C15"/>
    <mergeCell ref="B16:C16"/>
    <mergeCell ref="D31:E31"/>
    <mergeCell ref="D32:E32"/>
    <mergeCell ref="B33:G33"/>
    <mergeCell ref="B34:G34"/>
    <mergeCell ref="B17:E17"/>
    <mergeCell ref="B19:G19"/>
    <mergeCell ref="D30:E30"/>
    <mergeCell ref="B21:C21"/>
    <mergeCell ref="B23:C23"/>
    <mergeCell ref="B22:C22"/>
    <mergeCell ref="B24:C24"/>
    <mergeCell ref="B25:C25"/>
    <mergeCell ref="B26:C26"/>
    <mergeCell ref="B27:C27"/>
    <mergeCell ref="B18:G18"/>
    <mergeCell ref="B61:C61"/>
    <mergeCell ref="B58:C58"/>
    <mergeCell ref="B60:C60"/>
    <mergeCell ref="D79:E79"/>
    <mergeCell ref="D80:E80"/>
    <mergeCell ref="B68:C68"/>
    <mergeCell ref="B69:C69"/>
    <mergeCell ref="B62:C62"/>
    <mergeCell ref="B63:C63"/>
    <mergeCell ref="B64:C64"/>
    <mergeCell ref="B65:E65"/>
    <mergeCell ref="B66:G66"/>
    <mergeCell ref="B67:G67"/>
  </mergeCells>
  <hyperlinks>
    <hyperlink ref="H5" location="'ITEMS RESUMEN'!MOBILIARIO_URBANO" display="volver"/>
    <hyperlink ref="H31" location="'ITEMS RESUMEN'!MOBILIARIO_URBANO" display="volver"/>
    <hyperlink ref="H79" location="'ITEMS RESUMEN'!MOBILIARIO_URBANO" display="volver"/>
    <hyperlink ref="H52" location="'ITEMS RESUMEN'!MOBILIARIO_URBANO" display="volver"/>
    <hyperlink ref="H99" location="'ITEMS RESUMEN'!MOBILIARIO_URBANO" display="volver"/>
    <hyperlink ref="H120" location="'ITEMS RESUMEN'!MOBILIARIO_URBANO" display="volver"/>
    <hyperlink ref="H142" location="'ITEMS RESUMEN'!MOBILIARIO_URBANO" display="volver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2" enableFormatConditionsCalculation="0">
    <tabColor indexed="18"/>
  </sheetPr>
  <dimension ref="B1:K949"/>
  <sheetViews>
    <sheetView topLeftCell="A921" zoomScale="85" zoomScaleNormal="85" workbookViewId="0">
      <selection activeCell="C303" sqref="C303"/>
    </sheetView>
  </sheetViews>
  <sheetFormatPr baseColWidth="10" defaultRowHeight="14.25"/>
  <cols>
    <col min="1" max="1" width="11.42578125" style="680"/>
    <col min="2" max="2" width="8.28515625" style="173" customWidth="1"/>
    <col min="3" max="3" width="69.140625" style="173" bestFit="1" customWidth="1"/>
    <col min="4" max="4" width="14.7109375" style="188" customWidth="1"/>
    <col min="5" max="5" width="19.85546875" style="189" customWidth="1"/>
    <col min="6" max="6" width="13.28515625" style="682" hidden="1" customWidth="1"/>
    <col min="7" max="7" width="8.5703125" style="680" hidden="1" customWidth="1"/>
    <col min="8" max="8" width="20.42578125" style="680" hidden="1" customWidth="1"/>
    <col min="9" max="9" width="13" style="680" hidden="1" customWidth="1"/>
    <col min="10" max="10" width="8.5703125" style="680" hidden="1" customWidth="1"/>
    <col min="11" max="11" width="0" style="680" hidden="1" customWidth="1"/>
    <col min="12" max="16384" width="11.42578125" style="680"/>
  </cols>
  <sheetData>
    <row r="1" spans="2:10" ht="18.75">
      <c r="B1" s="174"/>
      <c r="C1" s="746" t="s">
        <v>1054</v>
      </c>
      <c r="D1" s="746"/>
      <c r="E1" s="746"/>
      <c r="F1" s="150"/>
      <c r="G1" s="150"/>
      <c r="H1" s="150"/>
    </row>
    <row r="2" spans="2:10" ht="18.75">
      <c r="B2" s="174"/>
      <c r="C2" s="746" t="s">
        <v>1381</v>
      </c>
      <c r="D2" s="746"/>
      <c r="E2" s="746"/>
      <c r="F2" s="150"/>
      <c r="G2" s="150"/>
      <c r="H2" s="150"/>
    </row>
    <row r="3" spans="2:10" ht="18.75">
      <c r="B3" s="174"/>
      <c r="C3" s="749"/>
      <c r="D3" s="749"/>
      <c r="E3" s="749"/>
      <c r="F3" s="151"/>
      <c r="G3" s="151"/>
      <c r="H3" s="151"/>
    </row>
    <row r="4" spans="2:10" ht="15.75">
      <c r="B4" s="174"/>
      <c r="C4" s="752"/>
      <c r="D4" s="752"/>
      <c r="E4" s="752"/>
      <c r="F4" s="152"/>
      <c r="G4" s="152"/>
      <c r="H4" s="152"/>
      <c r="I4" s="681"/>
    </row>
    <row r="5" spans="2:10" ht="18.75">
      <c r="B5" s="174"/>
      <c r="C5" s="749" t="s">
        <v>1726</v>
      </c>
      <c r="D5" s="749"/>
      <c r="E5" s="749"/>
      <c r="F5" s="153"/>
      <c r="G5" s="153"/>
      <c r="H5" s="153"/>
      <c r="I5" s="681"/>
    </row>
    <row r="6" spans="2:10" ht="15" thickBot="1">
      <c r="I6" s="681"/>
    </row>
    <row r="7" spans="2:10" ht="16.5" thickTop="1" thickBot="1">
      <c r="B7" s="683" t="s">
        <v>837</v>
      </c>
      <c r="C7" s="670" t="s">
        <v>838</v>
      </c>
      <c r="D7" s="670" t="s">
        <v>842</v>
      </c>
      <c r="E7" s="671" t="s">
        <v>854</v>
      </c>
      <c r="F7" s="684"/>
      <c r="I7" s="681"/>
    </row>
    <row r="8" spans="2:10" ht="15.75" thickTop="1" thickBot="1">
      <c r="C8" s="173" t="s">
        <v>841</v>
      </c>
      <c r="D8" s="188" t="s">
        <v>841</v>
      </c>
      <c r="I8" s="681"/>
    </row>
    <row r="9" spans="2:10" ht="13.5" thickTop="1">
      <c r="B9" s="762" t="s">
        <v>901</v>
      </c>
      <c r="C9" s="763"/>
      <c r="D9" s="763"/>
      <c r="E9" s="764"/>
      <c r="F9" s="684"/>
    </row>
    <row r="10" spans="2:10">
      <c r="B10" s="685">
        <v>20101</v>
      </c>
      <c r="C10" s="171" t="s">
        <v>1123</v>
      </c>
      <c r="D10" s="184" t="s">
        <v>903</v>
      </c>
      <c r="E10" s="185">
        <v>3946</v>
      </c>
      <c r="F10" s="686"/>
      <c r="H10" s="11"/>
      <c r="I10" s="12"/>
      <c r="J10" s="11"/>
    </row>
    <row r="11" spans="2:10">
      <c r="B11" s="685">
        <v>20102</v>
      </c>
      <c r="C11" s="171" t="s">
        <v>1125</v>
      </c>
      <c r="D11" s="184" t="s">
        <v>903</v>
      </c>
      <c r="E11" s="185">
        <v>4414</v>
      </c>
      <c r="F11" s="686"/>
      <c r="G11" s="687" t="s">
        <v>1597</v>
      </c>
      <c r="H11" s="11"/>
      <c r="I11" s="12"/>
      <c r="J11" s="11"/>
    </row>
    <row r="12" spans="2:10" ht="15">
      <c r="B12" s="685">
        <v>20103</v>
      </c>
      <c r="C12" s="171" t="s">
        <v>870</v>
      </c>
      <c r="D12" s="184" t="s">
        <v>902</v>
      </c>
      <c r="E12" s="185">
        <f>H12/G12</f>
        <v>750</v>
      </c>
      <c r="F12" s="686"/>
      <c r="G12" s="680">
        <v>20</v>
      </c>
      <c r="H12" s="672">
        <v>15000</v>
      </c>
      <c r="I12" s="688">
        <v>40087</v>
      </c>
      <c r="J12" s="11"/>
    </row>
    <row r="13" spans="2:10" ht="15">
      <c r="B13" s="685">
        <v>20104</v>
      </c>
      <c r="C13" s="171" t="s">
        <v>1068</v>
      </c>
      <c r="D13" s="184" t="s">
        <v>902</v>
      </c>
      <c r="E13" s="185">
        <f>H13/G13</f>
        <v>420</v>
      </c>
      <c r="F13" s="686"/>
      <c r="G13" s="680">
        <v>50</v>
      </c>
      <c r="H13" s="672">
        <v>21000</v>
      </c>
      <c r="I13" s="688">
        <v>40179</v>
      </c>
      <c r="J13" s="11"/>
    </row>
    <row r="14" spans="2:10">
      <c r="B14" s="685">
        <v>20105</v>
      </c>
      <c r="C14" s="171" t="s">
        <v>1048</v>
      </c>
      <c r="D14" s="184" t="s">
        <v>903</v>
      </c>
      <c r="E14" s="185">
        <v>8895</v>
      </c>
      <c r="F14" s="686"/>
      <c r="H14" s="11"/>
      <c r="I14" s="12"/>
      <c r="J14" s="11"/>
    </row>
    <row r="15" spans="2:10">
      <c r="B15" s="685">
        <v>20106</v>
      </c>
      <c r="C15" s="171" t="s">
        <v>1069</v>
      </c>
      <c r="D15" s="184" t="s">
        <v>902</v>
      </c>
      <c r="E15" s="185">
        <v>1000</v>
      </c>
      <c r="F15" s="686"/>
      <c r="H15" s="11"/>
      <c r="I15" s="12"/>
      <c r="J15" s="11"/>
    </row>
    <row r="16" spans="2:10">
      <c r="B16" s="685">
        <v>20107</v>
      </c>
      <c r="C16" s="171" t="s">
        <v>1124</v>
      </c>
      <c r="D16" s="184" t="s">
        <v>903</v>
      </c>
      <c r="E16" s="185">
        <v>14500</v>
      </c>
      <c r="F16" s="686"/>
      <c r="H16" s="11"/>
      <c r="I16" s="12"/>
      <c r="J16" s="11"/>
    </row>
    <row r="17" spans="2:10" ht="15" thickBot="1">
      <c r="B17" s="689">
        <v>20199</v>
      </c>
      <c r="C17" s="172" t="s">
        <v>841</v>
      </c>
      <c r="D17" s="186" t="s">
        <v>841</v>
      </c>
      <c r="E17" s="187"/>
      <c r="F17" s="686"/>
      <c r="H17" s="11"/>
      <c r="I17" s="12"/>
      <c r="J17" s="11"/>
    </row>
    <row r="18" spans="2:10" ht="15.75" thickTop="1" thickBot="1"/>
    <row r="19" spans="2:10" ht="13.5" thickTop="1">
      <c r="B19" s="762" t="s">
        <v>904</v>
      </c>
      <c r="C19" s="763"/>
      <c r="D19" s="763"/>
      <c r="E19" s="764"/>
      <c r="F19" s="684"/>
      <c r="H19" s="11"/>
      <c r="I19" s="12"/>
      <c r="J19" s="11"/>
    </row>
    <row r="20" spans="2:10" ht="16.5">
      <c r="B20" s="685">
        <v>20201</v>
      </c>
      <c r="C20" s="171" t="s">
        <v>1065</v>
      </c>
      <c r="D20" s="184" t="s">
        <v>456</v>
      </c>
      <c r="E20" s="690">
        <v>35000</v>
      </c>
      <c r="F20" s="149"/>
      <c r="G20" s="690"/>
      <c r="H20" s="673">
        <v>40179</v>
      </c>
      <c r="I20" s="12" t="s">
        <v>1695</v>
      </c>
      <c r="J20" s="11"/>
    </row>
    <row r="21" spans="2:10" ht="16.5">
      <c r="B21" s="685"/>
      <c r="C21" s="171" t="s">
        <v>1652</v>
      </c>
      <c r="D21" s="184" t="s">
        <v>456</v>
      </c>
      <c r="E21" s="690">
        <v>30000</v>
      </c>
      <c r="F21" s="149"/>
      <c r="G21" s="690"/>
      <c r="H21" s="11"/>
      <c r="I21" s="12"/>
      <c r="J21" s="11"/>
    </row>
    <row r="22" spans="2:10" ht="16.5">
      <c r="B22" s="685">
        <v>20202</v>
      </c>
      <c r="C22" s="171" t="s">
        <v>1686</v>
      </c>
      <c r="D22" s="184" t="s">
        <v>456</v>
      </c>
      <c r="E22" s="690">
        <v>77720</v>
      </c>
      <c r="F22" s="149"/>
      <c r="G22" s="690"/>
      <c r="H22" s="673">
        <v>40179</v>
      </c>
      <c r="I22" s="12" t="s">
        <v>1695</v>
      </c>
      <c r="J22" s="11"/>
    </row>
    <row r="23" spans="2:10" ht="18" customHeight="1">
      <c r="B23" s="685">
        <v>20203</v>
      </c>
      <c r="C23" s="171" t="s">
        <v>1061</v>
      </c>
      <c r="D23" s="184" t="s">
        <v>456</v>
      </c>
      <c r="E23" s="690">
        <v>35000</v>
      </c>
      <c r="F23" s="149"/>
      <c r="G23" s="690"/>
      <c r="H23" s="673">
        <v>40179</v>
      </c>
      <c r="I23" s="12" t="s">
        <v>1695</v>
      </c>
      <c r="J23" s="11"/>
    </row>
    <row r="24" spans="2:10" ht="16.5">
      <c r="B24" s="685">
        <v>20204</v>
      </c>
      <c r="C24" s="171" t="s">
        <v>1063</v>
      </c>
      <c r="D24" s="184" t="s">
        <v>456</v>
      </c>
      <c r="E24" s="690">
        <f>G24*1.16</f>
        <v>42920</v>
      </c>
      <c r="F24" s="149"/>
      <c r="G24" s="690">
        <v>37000</v>
      </c>
      <c r="H24" s="11"/>
      <c r="I24" s="12"/>
      <c r="J24" s="11"/>
    </row>
    <row r="25" spans="2:10" ht="16.5">
      <c r="B25" s="685">
        <v>20205</v>
      </c>
      <c r="C25" s="171" t="s">
        <v>1062</v>
      </c>
      <c r="D25" s="184" t="s">
        <v>456</v>
      </c>
      <c r="E25" s="690">
        <f>G25*1.16</f>
        <v>42920</v>
      </c>
      <c r="F25" s="149"/>
      <c r="G25" s="690">
        <v>37000</v>
      </c>
      <c r="H25" s="11"/>
      <c r="I25" s="12"/>
      <c r="J25" s="11"/>
    </row>
    <row r="26" spans="2:10" ht="16.5">
      <c r="B26" s="685">
        <v>20206</v>
      </c>
      <c r="C26" s="171" t="s">
        <v>1064</v>
      </c>
      <c r="D26" s="184" t="s">
        <v>456</v>
      </c>
      <c r="E26" s="690">
        <f>G26*1.16</f>
        <v>10440</v>
      </c>
      <c r="F26" s="149"/>
      <c r="G26" s="690">
        <v>9000</v>
      </c>
      <c r="H26" s="11"/>
      <c r="I26" s="12"/>
      <c r="J26" s="11"/>
    </row>
    <row r="27" spans="2:10" ht="16.5">
      <c r="B27" s="685">
        <v>20207</v>
      </c>
      <c r="C27" s="171" t="s">
        <v>1692</v>
      </c>
      <c r="D27" s="184" t="s">
        <v>456</v>
      </c>
      <c r="E27" s="690">
        <v>78000</v>
      </c>
      <c r="F27" s="149"/>
      <c r="G27" s="690"/>
      <c r="H27" s="673">
        <v>40179</v>
      </c>
      <c r="I27" s="12" t="s">
        <v>1695</v>
      </c>
      <c r="J27" s="11"/>
    </row>
    <row r="28" spans="2:10">
      <c r="B28" s="685">
        <v>20208</v>
      </c>
      <c r="C28" s="171" t="s">
        <v>874</v>
      </c>
      <c r="D28" s="184" t="s">
        <v>905</v>
      </c>
      <c r="E28" s="690">
        <v>50</v>
      </c>
      <c r="F28" s="149"/>
      <c r="G28" s="690"/>
      <c r="H28" s="11"/>
      <c r="I28" s="12"/>
      <c r="J28" s="11"/>
    </row>
    <row r="29" spans="2:10" ht="15" thickBot="1">
      <c r="B29" s="689">
        <v>20299</v>
      </c>
      <c r="C29" s="172"/>
      <c r="D29" s="186"/>
      <c r="E29" s="691"/>
      <c r="F29" s="149"/>
      <c r="G29" s="691"/>
      <c r="H29" s="11"/>
      <c r="I29" s="12"/>
      <c r="J29" s="11"/>
    </row>
    <row r="30" spans="2:10" ht="15.75" thickTop="1" thickBot="1"/>
    <row r="31" spans="2:10" ht="13.5" thickTop="1">
      <c r="B31" s="762" t="s">
        <v>906</v>
      </c>
      <c r="C31" s="763"/>
      <c r="D31" s="763"/>
      <c r="E31" s="764"/>
      <c r="F31" s="684"/>
    </row>
    <row r="32" spans="2:10" ht="16.5">
      <c r="B32" s="685">
        <v>20301</v>
      </c>
      <c r="C32" s="171" t="s">
        <v>1041</v>
      </c>
      <c r="D32" s="184" t="s">
        <v>456</v>
      </c>
      <c r="E32" s="185">
        <f>'CONCRETOS - HIERROS'!G58</f>
        <v>390000</v>
      </c>
      <c r="F32" s="686"/>
    </row>
    <row r="33" spans="2:6" ht="16.5">
      <c r="B33" s="685">
        <v>20302</v>
      </c>
      <c r="C33" s="171" t="s">
        <v>908</v>
      </c>
      <c r="D33" s="184" t="s">
        <v>456</v>
      </c>
      <c r="E33" s="185"/>
      <c r="F33" s="686"/>
    </row>
    <row r="34" spans="2:6" ht="16.5">
      <c r="B34" s="685">
        <v>20303</v>
      </c>
      <c r="C34" s="171" t="s">
        <v>909</v>
      </c>
      <c r="D34" s="184" t="s">
        <v>456</v>
      </c>
      <c r="E34" s="185"/>
      <c r="F34" s="686"/>
    </row>
    <row r="35" spans="2:6" ht="16.5">
      <c r="B35" s="685">
        <v>20304</v>
      </c>
      <c r="C35" s="171" t="s">
        <v>1042</v>
      </c>
      <c r="D35" s="184" t="s">
        <v>456</v>
      </c>
      <c r="E35" s="185">
        <f>'CONCRETOS - HIERROS'!G111</f>
        <v>367600</v>
      </c>
      <c r="F35" s="686"/>
    </row>
    <row r="36" spans="2:6" ht="16.5">
      <c r="B36" s="685">
        <v>20305</v>
      </c>
      <c r="C36" s="171" t="s">
        <v>910</v>
      </c>
      <c r="D36" s="184" t="s">
        <v>456</v>
      </c>
      <c r="E36" s="185"/>
      <c r="F36" s="686"/>
    </row>
    <row r="37" spans="2:6" ht="16.5">
      <c r="B37" s="685">
        <v>20306</v>
      </c>
      <c r="C37" s="171" t="s">
        <v>911</v>
      </c>
      <c r="D37" s="184" t="s">
        <v>456</v>
      </c>
      <c r="E37" s="185"/>
      <c r="F37" s="686"/>
    </row>
    <row r="38" spans="2:6" ht="16.5">
      <c r="B38" s="685">
        <v>20307</v>
      </c>
      <c r="C38" s="171" t="s">
        <v>1043</v>
      </c>
      <c r="D38" s="184" t="s">
        <v>456</v>
      </c>
      <c r="E38" s="185">
        <f>'CONCRETOS - HIERROS'!G164</f>
        <v>351700</v>
      </c>
      <c r="F38" s="686"/>
    </row>
    <row r="39" spans="2:6" ht="16.5">
      <c r="B39" s="685">
        <v>20308</v>
      </c>
      <c r="C39" s="171" t="s">
        <v>912</v>
      </c>
      <c r="D39" s="184" t="s">
        <v>456</v>
      </c>
      <c r="E39" s="185"/>
      <c r="F39" s="686"/>
    </row>
    <row r="40" spans="2:6" ht="16.5">
      <c r="B40" s="685">
        <v>20309</v>
      </c>
      <c r="C40" s="171" t="s">
        <v>913</v>
      </c>
      <c r="D40" s="184" t="s">
        <v>456</v>
      </c>
      <c r="E40" s="185"/>
      <c r="F40" s="686"/>
    </row>
    <row r="41" spans="2:6" ht="16.5">
      <c r="B41" s="685">
        <v>20310</v>
      </c>
      <c r="C41" s="171" t="s">
        <v>1105</v>
      </c>
      <c r="D41" s="184" t="s">
        <v>456</v>
      </c>
      <c r="E41" s="185">
        <f>'CONCRETOS - HIERROS'!G217</f>
        <v>319200</v>
      </c>
      <c r="F41" s="686"/>
    </row>
    <row r="42" spans="2:6" ht="16.5">
      <c r="B42" s="685">
        <v>20311</v>
      </c>
      <c r="C42" s="171" t="s">
        <v>914</v>
      </c>
      <c r="D42" s="184" t="s">
        <v>456</v>
      </c>
      <c r="E42" s="185"/>
      <c r="F42" s="686"/>
    </row>
    <row r="43" spans="2:6" ht="17.25" thickBot="1">
      <c r="B43" s="689">
        <v>20312</v>
      </c>
      <c r="C43" s="172" t="s">
        <v>915</v>
      </c>
      <c r="D43" s="186" t="s">
        <v>456</v>
      </c>
      <c r="E43" s="187"/>
      <c r="F43" s="686"/>
    </row>
    <row r="44" spans="2:6" ht="15.75" thickTop="1" thickBot="1">
      <c r="B44" s="174"/>
      <c r="C44" s="174"/>
      <c r="D44" s="190"/>
      <c r="E44" s="191"/>
      <c r="F44" s="686"/>
    </row>
    <row r="45" spans="2:6" ht="13.5" thickTop="1">
      <c r="B45" s="762" t="s">
        <v>916</v>
      </c>
      <c r="C45" s="763"/>
      <c r="D45" s="763"/>
      <c r="E45" s="764"/>
      <c r="F45" s="684"/>
    </row>
    <row r="46" spans="2:6" ht="16.5">
      <c r="B46" s="685">
        <v>20401</v>
      </c>
      <c r="C46" s="171" t="s">
        <v>884</v>
      </c>
      <c r="D46" s="184" t="s">
        <v>456</v>
      </c>
      <c r="E46" s="185">
        <f>'CONCRETOS - HIERROS'!G270</f>
        <v>431000</v>
      </c>
      <c r="F46" s="686"/>
    </row>
    <row r="47" spans="2:6" ht="16.5">
      <c r="B47" s="685">
        <v>20402</v>
      </c>
      <c r="C47" s="171" t="s">
        <v>885</v>
      </c>
      <c r="D47" s="184" t="s">
        <v>456</v>
      </c>
      <c r="E47" s="185"/>
      <c r="F47" s="686"/>
    </row>
    <row r="48" spans="2:6" ht="16.5">
      <c r="B48" s="685">
        <v>20403</v>
      </c>
      <c r="C48" s="171" t="s">
        <v>461</v>
      </c>
      <c r="D48" s="184" t="s">
        <v>456</v>
      </c>
      <c r="E48" s="185">
        <f>'CONCRETOS - HIERROS'!G323</f>
        <v>450400</v>
      </c>
      <c r="F48" s="686"/>
    </row>
    <row r="49" spans="2:10" ht="16.5">
      <c r="B49" s="685">
        <v>20404</v>
      </c>
      <c r="C49" s="171" t="s">
        <v>917</v>
      </c>
      <c r="D49" s="184" t="s">
        <v>456</v>
      </c>
      <c r="E49" s="185">
        <f>'CONCRETOS - HIERROS'!G376</f>
        <v>365000</v>
      </c>
      <c r="F49" s="686"/>
    </row>
    <row r="50" spans="2:10" ht="16.5">
      <c r="B50" s="685">
        <v>20405</v>
      </c>
      <c r="C50" s="171" t="s">
        <v>918</v>
      </c>
      <c r="D50" s="184" t="s">
        <v>456</v>
      </c>
      <c r="E50" s="185"/>
      <c r="F50" s="686"/>
    </row>
    <row r="51" spans="2:10" ht="16.5">
      <c r="B51" s="685">
        <v>20406</v>
      </c>
      <c r="C51" s="171" t="s">
        <v>462</v>
      </c>
      <c r="D51" s="184" t="s">
        <v>456</v>
      </c>
      <c r="E51" s="185">
        <f>'CONCRETOS - HIERROS'!G429</f>
        <v>379800</v>
      </c>
      <c r="F51" s="686"/>
    </row>
    <row r="52" spans="2:10" ht="16.5">
      <c r="B52" s="685">
        <v>20407</v>
      </c>
      <c r="C52" s="171" t="s">
        <v>866</v>
      </c>
      <c r="D52" s="184" t="s">
        <v>456</v>
      </c>
      <c r="E52" s="185">
        <f>'CONCRETOS - HIERROS'!G482</f>
        <v>326500</v>
      </c>
      <c r="F52" s="686"/>
    </row>
    <row r="53" spans="2:10" ht="16.5">
      <c r="B53" s="685">
        <v>20408</v>
      </c>
      <c r="C53" s="171" t="s">
        <v>919</v>
      </c>
      <c r="D53" s="184" t="s">
        <v>456</v>
      </c>
      <c r="E53" s="185"/>
      <c r="F53" s="686"/>
    </row>
    <row r="54" spans="2:10" ht="16.5">
      <c r="B54" s="685">
        <v>20409</v>
      </c>
      <c r="C54" s="171" t="s">
        <v>1113</v>
      </c>
      <c r="D54" s="184" t="s">
        <v>457</v>
      </c>
      <c r="E54" s="185">
        <f>'CONCRETOS - HIERROS'!G535</f>
        <v>299400</v>
      </c>
      <c r="F54" s="686"/>
    </row>
    <row r="55" spans="2:10" ht="16.5">
      <c r="B55" s="685">
        <v>20410</v>
      </c>
      <c r="C55" s="171" t="s">
        <v>1114</v>
      </c>
      <c r="D55" s="184" t="s">
        <v>457</v>
      </c>
      <c r="E55" s="185"/>
      <c r="F55" s="686"/>
    </row>
    <row r="56" spans="2:10" ht="16.5">
      <c r="B56" s="685">
        <v>20411</v>
      </c>
      <c r="C56" s="171" t="s">
        <v>920</v>
      </c>
      <c r="D56" s="184" t="s">
        <v>456</v>
      </c>
      <c r="E56" s="185">
        <f>'CONCRETOS - HIERROS'!G588</f>
        <v>283100</v>
      </c>
      <c r="F56" s="686"/>
    </row>
    <row r="57" spans="2:10" ht="16.5">
      <c r="B57" s="685">
        <v>20412</v>
      </c>
      <c r="C57" s="171" t="s">
        <v>921</v>
      </c>
      <c r="D57" s="184" t="s">
        <v>456</v>
      </c>
      <c r="E57" s="185"/>
      <c r="F57" s="686"/>
    </row>
    <row r="58" spans="2:10" ht="15" thickBot="1">
      <c r="B58" s="689">
        <v>20499</v>
      </c>
      <c r="C58" s="172" t="s">
        <v>841</v>
      </c>
      <c r="D58" s="186" t="s">
        <v>841</v>
      </c>
      <c r="E58" s="187"/>
      <c r="F58" s="686"/>
    </row>
    <row r="59" spans="2:10" ht="15.75" thickTop="1" thickBot="1"/>
    <row r="60" spans="2:10" ht="13.5" thickTop="1">
      <c r="B60" s="762" t="s">
        <v>1046</v>
      </c>
      <c r="C60" s="763"/>
      <c r="D60" s="763"/>
      <c r="E60" s="764"/>
      <c r="F60" s="684"/>
    </row>
    <row r="61" spans="2:10">
      <c r="B61" s="685">
        <v>20501</v>
      </c>
      <c r="C61" s="692" t="s">
        <v>1116</v>
      </c>
      <c r="D61" s="184" t="s">
        <v>902</v>
      </c>
      <c r="E61" s="185">
        <v>2100</v>
      </c>
      <c r="F61" s="758" t="s">
        <v>1677</v>
      </c>
      <c r="G61" s="759"/>
      <c r="H61" s="693">
        <v>40179</v>
      </c>
      <c r="I61" s="12"/>
      <c r="J61" s="11"/>
    </row>
    <row r="62" spans="2:10">
      <c r="B62" s="685">
        <v>20502</v>
      </c>
      <c r="C62" s="692" t="s">
        <v>1115</v>
      </c>
      <c r="D62" s="184" t="s">
        <v>902</v>
      </c>
      <c r="E62" s="185">
        <v>2100</v>
      </c>
      <c r="F62" s="758" t="s">
        <v>1677</v>
      </c>
      <c r="G62" s="759"/>
      <c r="H62" s="693">
        <v>40179</v>
      </c>
      <c r="I62" s="12"/>
      <c r="J62" s="11"/>
    </row>
    <row r="63" spans="2:10">
      <c r="B63" s="685">
        <v>20503</v>
      </c>
      <c r="C63" s="692" t="s">
        <v>1380</v>
      </c>
      <c r="D63" s="184" t="s">
        <v>902</v>
      </c>
      <c r="E63" s="185">
        <v>2700</v>
      </c>
      <c r="F63" s="686"/>
      <c r="H63" s="11"/>
      <c r="I63" s="12"/>
      <c r="J63" s="11"/>
    </row>
    <row r="64" spans="2:10">
      <c r="C64" s="692" t="s">
        <v>1699</v>
      </c>
      <c r="D64" s="184" t="s">
        <v>902</v>
      </c>
      <c r="E64" s="185">
        <v>3500</v>
      </c>
      <c r="F64" s="686"/>
      <c r="H64" s="674">
        <v>40148</v>
      </c>
      <c r="I64" s="12"/>
      <c r="J64" s="11"/>
    </row>
    <row r="65" spans="2:11">
      <c r="B65" s="685">
        <v>20504</v>
      </c>
      <c r="C65" s="692" t="s">
        <v>366</v>
      </c>
      <c r="D65" s="184" t="s">
        <v>902</v>
      </c>
      <c r="E65" s="185">
        <v>2100</v>
      </c>
      <c r="F65" s="758" t="s">
        <v>1677</v>
      </c>
      <c r="G65" s="759"/>
      <c r="H65" s="693">
        <v>40179</v>
      </c>
      <c r="I65" s="12"/>
      <c r="J65" s="11"/>
    </row>
    <row r="66" spans="2:11">
      <c r="B66" s="685">
        <v>20505</v>
      </c>
      <c r="C66" s="692" t="s">
        <v>470</v>
      </c>
      <c r="D66" s="184" t="s">
        <v>865</v>
      </c>
      <c r="E66" s="185">
        <v>850</v>
      </c>
      <c r="F66" s="686"/>
    </row>
    <row r="67" spans="2:11">
      <c r="B67" s="685">
        <v>20506</v>
      </c>
      <c r="C67" s="694" t="s">
        <v>471</v>
      </c>
      <c r="D67" s="184" t="s">
        <v>865</v>
      </c>
      <c r="E67" s="185">
        <v>2800</v>
      </c>
      <c r="F67" s="686"/>
      <c r="G67" s="760"/>
      <c r="H67" s="761"/>
    </row>
    <row r="68" spans="2:11">
      <c r="B68" s="685">
        <v>20507</v>
      </c>
      <c r="C68" s="694" t="s">
        <v>472</v>
      </c>
      <c r="D68" s="184" t="s">
        <v>865</v>
      </c>
      <c r="E68" s="185">
        <v>3000</v>
      </c>
      <c r="F68" s="686"/>
      <c r="G68" s="695"/>
      <c r="H68" s="696"/>
    </row>
    <row r="69" spans="2:11">
      <c r="B69" s="685">
        <v>20508</v>
      </c>
      <c r="C69" s="694" t="s">
        <v>473</v>
      </c>
      <c r="D69" s="184" t="s">
        <v>865</v>
      </c>
      <c r="E69" s="185">
        <v>4800</v>
      </c>
      <c r="F69" s="686"/>
    </row>
    <row r="70" spans="2:11">
      <c r="B70" s="685">
        <v>20509</v>
      </c>
      <c r="C70" s="692" t="s">
        <v>474</v>
      </c>
      <c r="D70" s="184" t="s">
        <v>865</v>
      </c>
      <c r="E70" s="185">
        <v>9300</v>
      </c>
      <c r="F70" s="758" t="s">
        <v>1677</v>
      </c>
      <c r="G70" s="759"/>
      <c r="H70" s="688">
        <v>40179</v>
      </c>
      <c r="I70" s="697"/>
    </row>
    <row r="71" spans="2:11">
      <c r="B71" s="685">
        <v>20510</v>
      </c>
      <c r="C71" s="692" t="s">
        <v>475</v>
      </c>
      <c r="D71" s="184" t="s">
        <v>865</v>
      </c>
      <c r="E71" s="185">
        <v>17700</v>
      </c>
      <c r="F71" s="758" t="s">
        <v>1677</v>
      </c>
      <c r="G71" s="759"/>
      <c r="H71" s="688">
        <v>40087</v>
      </c>
    </row>
    <row r="72" spans="2:11">
      <c r="B72" s="685">
        <v>20511</v>
      </c>
      <c r="C72" s="692" t="s">
        <v>476</v>
      </c>
      <c r="D72" s="184" t="s">
        <v>865</v>
      </c>
      <c r="E72" s="185">
        <v>26300</v>
      </c>
      <c r="F72" s="758" t="s">
        <v>1677</v>
      </c>
      <c r="G72" s="759"/>
      <c r="H72" s="688">
        <v>40087</v>
      </c>
    </row>
    <row r="73" spans="2:11" ht="15">
      <c r="B73" s="685">
        <v>20512</v>
      </c>
      <c r="C73" s="692" t="s">
        <v>477</v>
      </c>
      <c r="D73" s="184" t="s">
        <v>865</v>
      </c>
      <c r="E73" s="185">
        <v>36000</v>
      </c>
      <c r="F73" s="758" t="s">
        <v>1677</v>
      </c>
      <c r="G73" s="759"/>
      <c r="H73" s="688">
        <v>40087</v>
      </c>
    </row>
    <row r="74" spans="2:11">
      <c r="B74" s="685">
        <v>20513</v>
      </c>
      <c r="C74" s="692" t="s">
        <v>478</v>
      </c>
      <c r="D74" s="184" t="s">
        <v>865</v>
      </c>
      <c r="E74" s="185">
        <v>47800</v>
      </c>
      <c r="F74" s="758" t="s">
        <v>1677</v>
      </c>
      <c r="G74" s="759"/>
      <c r="H74" s="688">
        <v>40087</v>
      </c>
    </row>
    <row r="75" spans="2:11">
      <c r="B75" s="685">
        <v>20514</v>
      </c>
      <c r="C75" s="692" t="s">
        <v>479</v>
      </c>
      <c r="D75" s="184" t="s">
        <v>865</v>
      </c>
      <c r="E75" s="185">
        <v>13650</v>
      </c>
      <c r="F75" s="758" t="s">
        <v>1677</v>
      </c>
      <c r="G75" s="759"/>
      <c r="H75" s="693">
        <v>40057</v>
      </c>
      <c r="K75" s="681"/>
    </row>
    <row r="76" spans="2:11">
      <c r="B76" s="685">
        <v>20515</v>
      </c>
      <c r="C76" s="692" t="s">
        <v>481</v>
      </c>
      <c r="D76" s="184" t="s">
        <v>865</v>
      </c>
      <c r="E76" s="185">
        <v>24773</v>
      </c>
      <c r="F76" s="686"/>
    </row>
    <row r="77" spans="2:11">
      <c r="B77" s="685">
        <v>20516</v>
      </c>
      <c r="C77" s="692" t="s">
        <v>480</v>
      </c>
      <c r="D77" s="184" t="s">
        <v>865</v>
      </c>
      <c r="E77" s="185">
        <v>37233</v>
      </c>
      <c r="F77" s="686"/>
    </row>
    <row r="78" spans="2:11">
      <c r="B78" s="685">
        <v>20517</v>
      </c>
      <c r="C78" s="692" t="s">
        <v>482</v>
      </c>
      <c r="D78" s="184" t="s">
        <v>865</v>
      </c>
      <c r="E78" s="185">
        <v>50093</v>
      </c>
      <c r="F78" s="686"/>
    </row>
    <row r="79" spans="2:11">
      <c r="B79" s="685">
        <v>20518</v>
      </c>
      <c r="C79" s="692" t="s">
        <v>483</v>
      </c>
      <c r="D79" s="184" t="s">
        <v>865</v>
      </c>
      <c r="E79" s="185">
        <v>65599</v>
      </c>
      <c r="F79" s="686"/>
    </row>
    <row r="80" spans="2:11">
      <c r="B80" s="685">
        <v>20519</v>
      </c>
      <c r="C80" s="175" t="s">
        <v>923</v>
      </c>
      <c r="D80" s="184" t="s">
        <v>902</v>
      </c>
      <c r="E80" s="185">
        <v>2300</v>
      </c>
      <c r="F80" s="686"/>
    </row>
    <row r="81" spans="2:8">
      <c r="B81" s="685">
        <v>20520</v>
      </c>
      <c r="C81" s="692" t="s">
        <v>484</v>
      </c>
      <c r="D81" s="184" t="s">
        <v>865</v>
      </c>
      <c r="E81" s="185">
        <v>10886</v>
      </c>
      <c r="F81" s="686"/>
    </row>
    <row r="82" spans="2:8">
      <c r="B82" s="685">
        <v>20521</v>
      </c>
      <c r="C82" s="175" t="s">
        <v>875</v>
      </c>
      <c r="D82" s="184" t="s">
        <v>902</v>
      </c>
      <c r="E82" s="185">
        <f>'CONCRETOS - HIERROS'!G641</f>
        <v>2800</v>
      </c>
      <c r="F82" s="686"/>
    </row>
    <row r="83" spans="2:8">
      <c r="B83" s="685">
        <v>20522</v>
      </c>
      <c r="C83" s="175" t="s">
        <v>867</v>
      </c>
      <c r="D83" s="184" t="s">
        <v>925</v>
      </c>
      <c r="E83" s="185">
        <f>'CONCRETOS - HIERROS'!G694</f>
        <v>2800</v>
      </c>
      <c r="F83" s="686"/>
    </row>
    <row r="84" spans="2:8" ht="15" thickBot="1">
      <c r="B84" s="689">
        <v>20599</v>
      </c>
      <c r="C84" s="171" t="s">
        <v>1307</v>
      </c>
      <c r="D84" s="184" t="s">
        <v>831</v>
      </c>
      <c r="E84" s="675">
        <v>10246</v>
      </c>
      <c r="F84" s="686"/>
    </row>
    <row r="85" spans="2:8" ht="15" thickTop="1">
      <c r="B85" s="174"/>
      <c r="C85" s="171" t="s">
        <v>1708</v>
      </c>
      <c r="D85" s="184" t="s">
        <v>1709</v>
      </c>
      <c r="E85" s="675">
        <v>3439</v>
      </c>
      <c r="F85" s="698"/>
      <c r="G85" s="699"/>
    </row>
    <row r="86" spans="2:8">
      <c r="B86" s="174"/>
      <c r="C86" s="174" t="s">
        <v>1714</v>
      </c>
      <c r="D86" s="190" t="s">
        <v>865</v>
      </c>
      <c r="E86" s="191">
        <v>47000</v>
      </c>
      <c r="F86" s="758" t="s">
        <v>1677</v>
      </c>
      <c r="G86" s="759"/>
      <c r="H86" s="688">
        <v>40179</v>
      </c>
    </row>
    <row r="87" spans="2:8">
      <c r="B87" s="174"/>
      <c r="C87" s="174" t="s">
        <v>1724</v>
      </c>
      <c r="D87" s="190" t="s">
        <v>865</v>
      </c>
      <c r="E87" s="191">
        <v>83000</v>
      </c>
      <c r="F87" s="758" t="s">
        <v>1677</v>
      </c>
      <c r="G87" s="759"/>
      <c r="H87" s="688">
        <v>40179</v>
      </c>
    </row>
    <row r="88" spans="2:8">
      <c r="B88" s="174"/>
      <c r="C88" s="174" t="s">
        <v>1725</v>
      </c>
      <c r="D88" s="190" t="s">
        <v>865</v>
      </c>
      <c r="E88" s="191">
        <v>98600</v>
      </c>
      <c r="F88" s="758" t="s">
        <v>1677</v>
      </c>
      <c r="G88" s="759"/>
      <c r="H88" s="688">
        <v>40179</v>
      </c>
    </row>
    <row r="89" spans="2:8">
      <c r="B89" s="174"/>
      <c r="C89" s="174"/>
      <c r="D89" s="190"/>
      <c r="E89" s="191"/>
      <c r="F89" s="758"/>
      <c r="G89" s="759"/>
      <c r="H89" s="693"/>
    </row>
    <row r="90" spans="2:8" ht="15" thickBot="1"/>
    <row r="91" spans="2:8" ht="13.5" thickTop="1">
      <c r="B91" s="762" t="s">
        <v>924</v>
      </c>
      <c r="C91" s="763"/>
      <c r="D91" s="763"/>
      <c r="E91" s="764"/>
      <c r="F91" s="684"/>
    </row>
    <row r="92" spans="2:8">
      <c r="B92" s="685">
        <v>20601</v>
      </c>
      <c r="C92" s="692" t="s">
        <v>1126</v>
      </c>
      <c r="D92" s="184" t="s">
        <v>865</v>
      </c>
      <c r="E92" s="185">
        <v>380</v>
      </c>
      <c r="F92" s="686"/>
    </row>
    <row r="93" spans="2:8">
      <c r="B93" s="685">
        <v>20602</v>
      </c>
      <c r="C93" s="692" t="s">
        <v>1117</v>
      </c>
      <c r="D93" s="184" t="s">
        <v>865</v>
      </c>
      <c r="E93" s="185">
        <v>400</v>
      </c>
      <c r="F93" s="686"/>
    </row>
    <row r="94" spans="2:8">
      <c r="B94" s="685">
        <v>20603</v>
      </c>
      <c r="C94" s="692" t="s">
        <v>1118</v>
      </c>
      <c r="D94" s="184" t="s">
        <v>865</v>
      </c>
      <c r="E94" s="185">
        <v>520</v>
      </c>
      <c r="F94" s="686"/>
    </row>
    <row r="95" spans="2:8">
      <c r="B95" s="685">
        <v>20604</v>
      </c>
      <c r="C95" s="692" t="s">
        <v>463</v>
      </c>
      <c r="D95" s="184" t="s">
        <v>865</v>
      </c>
      <c r="E95" s="690">
        <v>580</v>
      </c>
      <c r="F95" s="700"/>
    </row>
    <row r="96" spans="2:8">
      <c r="B96" s="685">
        <v>20605</v>
      </c>
      <c r="C96" s="692" t="s">
        <v>1119</v>
      </c>
      <c r="D96" s="184" t="s">
        <v>865</v>
      </c>
      <c r="E96" s="690">
        <v>980</v>
      </c>
      <c r="F96" s="700"/>
    </row>
    <row r="97" spans="2:10">
      <c r="B97" s="685">
        <v>20606</v>
      </c>
      <c r="C97" s="692" t="s">
        <v>1120</v>
      </c>
      <c r="D97" s="184" t="s">
        <v>865</v>
      </c>
      <c r="E97" s="690">
        <v>580</v>
      </c>
      <c r="F97" s="700"/>
    </row>
    <row r="98" spans="2:10">
      <c r="B98" s="685">
        <v>20607</v>
      </c>
      <c r="C98" s="692" t="s">
        <v>1121</v>
      </c>
      <c r="D98" s="184" t="s">
        <v>865</v>
      </c>
      <c r="E98" s="690">
        <v>700</v>
      </c>
      <c r="F98" s="700"/>
    </row>
    <row r="99" spans="2:10">
      <c r="B99" s="685">
        <v>20608</v>
      </c>
      <c r="C99" s="692" t="s">
        <v>190</v>
      </c>
      <c r="D99" s="184" t="s">
        <v>865</v>
      </c>
      <c r="E99" s="690">
        <v>625</v>
      </c>
      <c r="F99" s="700"/>
    </row>
    <row r="100" spans="2:10">
      <c r="B100" s="685">
        <v>20609</v>
      </c>
      <c r="C100" s="692" t="s">
        <v>191</v>
      </c>
      <c r="D100" s="184" t="s">
        <v>865</v>
      </c>
      <c r="E100" s="690">
        <v>540</v>
      </c>
      <c r="F100" s="700"/>
    </row>
    <row r="101" spans="2:10">
      <c r="B101" s="685">
        <v>20610</v>
      </c>
      <c r="C101" s="692" t="s">
        <v>1122</v>
      </c>
      <c r="D101" s="184" t="s">
        <v>865</v>
      </c>
      <c r="E101" s="690">
        <v>585</v>
      </c>
      <c r="F101" s="700"/>
    </row>
    <row r="102" spans="2:10">
      <c r="B102" s="685">
        <v>20611</v>
      </c>
      <c r="C102" s="175" t="s">
        <v>1127</v>
      </c>
      <c r="D102" s="184" t="s">
        <v>865</v>
      </c>
      <c r="E102" s="185">
        <v>465</v>
      </c>
      <c r="F102" s="686"/>
    </row>
    <row r="103" spans="2:10">
      <c r="B103" s="685">
        <v>20612</v>
      </c>
      <c r="C103" s="175" t="s">
        <v>1128</v>
      </c>
      <c r="D103" s="184" t="s">
        <v>865</v>
      </c>
      <c r="E103" s="185">
        <v>530</v>
      </c>
      <c r="F103" s="686"/>
    </row>
    <row r="104" spans="2:10" ht="15" thickBot="1">
      <c r="B104" s="689">
        <v>20699</v>
      </c>
      <c r="C104" s="172" t="s">
        <v>841</v>
      </c>
      <c r="D104" s="186" t="s">
        <v>841</v>
      </c>
      <c r="E104" s="187"/>
      <c r="F104" s="686"/>
      <c r="H104" s="11"/>
      <c r="I104" s="699"/>
      <c r="J104" s="699"/>
    </row>
    <row r="105" spans="2:10" ht="15.75" thickTop="1" thickBot="1">
      <c r="H105" s="11"/>
      <c r="I105" s="699"/>
      <c r="J105" s="699"/>
    </row>
    <row r="106" spans="2:10" ht="13.5" thickTop="1">
      <c r="B106" s="762" t="s">
        <v>552</v>
      </c>
      <c r="C106" s="763"/>
      <c r="D106" s="763"/>
      <c r="E106" s="764"/>
      <c r="F106" s="684"/>
      <c r="H106" s="11"/>
      <c r="I106" s="699"/>
      <c r="J106" s="699"/>
    </row>
    <row r="107" spans="2:10" ht="16.5">
      <c r="B107" s="685">
        <v>20701</v>
      </c>
      <c r="C107" s="175" t="s">
        <v>1129</v>
      </c>
      <c r="D107" s="184" t="s">
        <v>458</v>
      </c>
      <c r="E107" s="185">
        <v>10000</v>
      </c>
      <c r="F107" s="686"/>
      <c r="H107" s="11"/>
      <c r="I107" s="699"/>
      <c r="J107" s="699"/>
    </row>
    <row r="108" spans="2:10" ht="16.5">
      <c r="B108" s="685">
        <v>20702</v>
      </c>
      <c r="C108" s="175" t="s">
        <v>1130</v>
      </c>
      <c r="D108" s="184" t="s">
        <v>458</v>
      </c>
      <c r="E108" s="185">
        <v>9000</v>
      </c>
      <c r="F108" s="686"/>
      <c r="H108" s="11"/>
      <c r="I108" s="699"/>
      <c r="J108" s="699"/>
    </row>
    <row r="109" spans="2:10" ht="15" customHeight="1">
      <c r="B109" s="685">
        <v>20703</v>
      </c>
      <c r="C109" s="175" t="s">
        <v>1131</v>
      </c>
      <c r="D109" s="184" t="s">
        <v>458</v>
      </c>
      <c r="E109" s="185">
        <v>9500</v>
      </c>
      <c r="F109" s="686"/>
      <c r="H109" s="11"/>
      <c r="I109" s="699"/>
      <c r="J109" s="699"/>
    </row>
    <row r="110" spans="2:10" ht="16.5">
      <c r="B110" s="685">
        <v>20704</v>
      </c>
      <c r="C110" s="692" t="s">
        <v>572</v>
      </c>
      <c r="D110" s="184" t="s">
        <v>458</v>
      </c>
      <c r="E110" s="185">
        <v>29000</v>
      </c>
      <c r="F110" s="686"/>
      <c r="H110" s="11"/>
      <c r="I110" s="699"/>
      <c r="J110" s="699"/>
    </row>
    <row r="111" spans="2:10" ht="16.5">
      <c r="B111" s="685">
        <v>20705</v>
      </c>
      <c r="C111" s="692" t="s">
        <v>549</v>
      </c>
      <c r="D111" s="184" t="s">
        <v>458</v>
      </c>
      <c r="E111" s="185">
        <v>9000</v>
      </c>
      <c r="F111" s="686"/>
      <c r="H111" s="11"/>
      <c r="I111" s="699"/>
      <c r="J111" s="699"/>
    </row>
    <row r="112" spans="2:10" ht="16.5">
      <c r="B112" s="685">
        <v>20706</v>
      </c>
      <c r="C112" s="175" t="s">
        <v>1132</v>
      </c>
      <c r="D112" s="184" t="s">
        <v>458</v>
      </c>
      <c r="E112" s="185">
        <v>7500</v>
      </c>
      <c r="F112" s="686"/>
      <c r="H112" s="699"/>
      <c r="I112" s="699"/>
      <c r="J112" s="699"/>
    </row>
    <row r="113" spans="2:10">
      <c r="B113" s="685">
        <v>20707</v>
      </c>
      <c r="C113" s="175" t="s">
        <v>1132</v>
      </c>
      <c r="D113" s="184" t="s">
        <v>831</v>
      </c>
      <c r="E113" s="185">
        <v>800</v>
      </c>
      <c r="F113" s="686"/>
      <c r="H113" s="11"/>
      <c r="I113" s="699"/>
      <c r="J113" s="699"/>
    </row>
    <row r="114" spans="2:10" ht="16.5">
      <c r="B114" s="685">
        <v>20708</v>
      </c>
      <c r="C114" s="175" t="s">
        <v>1133</v>
      </c>
      <c r="D114" s="184" t="s">
        <v>458</v>
      </c>
      <c r="E114" s="185">
        <v>7500</v>
      </c>
      <c r="F114" s="686"/>
      <c r="H114" s="11"/>
      <c r="I114" s="699"/>
      <c r="J114" s="699"/>
    </row>
    <row r="115" spans="2:10" ht="16.5">
      <c r="B115" s="685">
        <v>20709</v>
      </c>
      <c r="C115" s="175" t="s">
        <v>1134</v>
      </c>
      <c r="D115" s="184" t="s">
        <v>458</v>
      </c>
      <c r="E115" s="185">
        <v>7500</v>
      </c>
      <c r="F115" s="686"/>
      <c r="H115" s="11"/>
      <c r="I115" s="699"/>
      <c r="J115" s="699"/>
    </row>
    <row r="116" spans="2:10" ht="16.5">
      <c r="B116" s="685">
        <v>20710</v>
      </c>
      <c r="C116" s="175" t="s">
        <v>1135</v>
      </c>
      <c r="D116" s="184" t="s">
        <v>458</v>
      </c>
      <c r="E116" s="185">
        <v>6000</v>
      </c>
      <c r="F116" s="686"/>
      <c r="H116" s="11"/>
      <c r="I116" s="699"/>
      <c r="J116" s="699"/>
    </row>
    <row r="117" spans="2:10" ht="16.5">
      <c r="B117" s="685">
        <v>20711</v>
      </c>
      <c r="C117" s="175" t="s">
        <v>799</v>
      </c>
      <c r="D117" s="184" t="s">
        <v>458</v>
      </c>
      <c r="E117" s="185">
        <v>19500</v>
      </c>
      <c r="F117" s="686"/>
      <c r="H117" s="11"/>
      <c r="I117" s="699"/>
      <c r="J117" s="699"/>
    </row>
    <row r="118" spans="2:10" ht="16.5">
      <c r="B118" s="685">
        <v>20712</v>
      </c>
      <c r="C118" s="175" t="s">
        <v>664</v>
      </c>
      <c r="D118" s="184" t="s">
        <v>458</v>
      </c>
      <c r="E118" s="185">
        <v>22500</v>
      </c>
      <c r="F118" s="686"/>
      <c r="H118" s="11"/>
      <c r="I118" s="699"/>
      <c r="J118" s="699"/>
    </row>
    <row r="119" spans="2:10" ht="16.5">
      <c r="B119" s="685">
        <v>20713</v>
      </c>
      <c r="C119" s="175" t="s">
        <v>1136</v>
      </c>
      <c r="D119" s="184" t="s">
        <v>458</v>
      </c>
      <c r="E119" s="185">
        <v>27000</v>
      </c>
      <c r="F119" s="686"/>
      <c r="H119" s="11"/>
      <c r="I119" s="699"/>
      <c r="J119" s="699"/>
    </row>
    <row r="120" spans="2:10" ht="16.5">
      <c r="B120" s="685">
        <v>20714</v>
      </c>
      <c r="C120" s="175" t="s">
        <v>665</v>
      </c>
      <c r="D120" s="184" t="s">
        <v>458</v>
      </c>
      <c r="E120" s="185">
        <v>15000</v>
      </c>
      <c r="F120" s="686"/>
      <c r="H120" s="11"/>
      <c r="I120" s="699"/>
      <c r="J120" s="699"/>
    </row>
    <row r="121" spans="2:10" ht="16.5">
      <c r="B121" s="685">
        <v>20715</v>
      </c>
      <c r="C121" s="175" t="s">
        <v>1137</v>
      </c>
      <c r="D121" s="184" t="s">
        <v>458</v>
      </c>
      <c r="E121" s="185">
        <v>28000</v>
      </c>
      <c r="F121" s="686"/>
      <c r="H121" s="11"/>
      <c r="I121" s="699"/>
      <c r="J121" s="699"/>
    </row>
    <row r="122" spans="2:10" ht="16.5">
      <c r="B122" s="685">
        <v>20716</v>
      </c>
      <c r="C122" s="175" t="s">
        <v>567</v>
      </c>
      <c r="D122" s="184" t="s">
        <v>458</v>
      </c>
      <c r="E122" s="185">
        <v>19000</v>
      </c>
      <c r="F122" s="686"/>
      <c r="H122" s="11"/>
      <c r="I122" s="699"/>
      <c r="J122" s="699"/>
    </row>
    <row r="123" spans="2:10" ht="16.5">
      <c r="B123" s="685">
        <v>20717</v>
      </c>
      <c r="C123" s="175" t="s">
        <v>553</v>
      </c>
      <c r="D123" s="184" t="s">
        <v>458</v>
      </c>
      <c r="E123" s="185">
        <v>19000</v>
      </c>
      <c r="F123" s="686"/>
      <c r="H123" s="11"/>
      <c r="I123" s="699"/>
      <c r="J123" s="699"/>
    </row>
    <row r="124" spans="2:10" ht="16.5">
      <c r="B124" s="685">
        <v>20718</v>
      </c>
      <c r="C124" s="175" t="s">
        <v>565</v>
      </c>
      <c r="D124" s="184" t="s">
        <v>458</v>
      </c>
      <c r="E124" s="185">
        <v>19000</v>
      </c>
      <c r="F124" s="686"/>
      <c r="H124" s="11"/>
      <c r="I124" s="699"/>
      <c r="J124" s="699"/>
    </row>
    <row r="125" spans="2:10" ht="16.5">
      <c r="B125" s="685">
        <v>20719</v>
      </c>
      <c r="C125" s="175" t="s">
        <v>566</v>
      </c>
      <c r="D125" s="184" t="s">
        <v>458</v>
      </c>
      <c r="E125" s="185">
        <v>19000</v>
      </c>
      <c r="F125" s="686"/>
      <c r="H125" s="11"/>
      <c r="I125" s="699"/>
      <c r="J125" s="699"/>
    </row>
    <row r="126" spans="2:10" ht="16.5">
      <c r="B126" s="685">
        <v>20720</v>
      </c>
      <c r="C126" s="175" t="s">
        <v>1301</v>
      </c>
      <c r="D126" s="184" t="s">
        <v>458</v>
      </c>
      <c r="E126" s="185">
        <v>21000</v>
      </c>
      <c r="F126" s="686"/>
      <c r="H126" s="11"/>
      <c r="I126" s="699"/>
      <c r="J126" s="699"/>
    </row>
    <row r="127" spans="2:10" ht="16.5">
      <c r="B127" s="685">
        <v>20721</v>
      </c>
      <c r="C127" s="175" t="s">
        <v>554</v>
      </c>
      <c r="D127" s="184" t="s">
        <v>458</v>
      </c>
      <c r="E127" s="185">
        <v>11000</v>
      </c>
      <c r="F127" s="686"/>
      <c r="H127" s="11"/>
      <c r="I127" s="699"/>
      <c r="J127" s="699"/>
    </row>
    <row r="128" spans="2:10" ht="16.5">
      <c r="B128" s="685">
        <v>20722</v>
      </c>
      <c r="C128" s="175" t="s">
        <v>555</v>
      </c>
      <c r="D128" s="184" t="s">
        <v>458</v>
      </c>
      <c r="E128" s="185">
        <v>9000</v>
      </c>
      <c r="F128" s="686"/>
      <c r="H128" s="11"/>
      <c r="I128" s="699"/>
      <c r="J128" s="699"/>
    </row>
    <row r="129" spans="2:10" ht="16.5">
      <c r="B129" s="685">
        <v>20723</v>
      </c>
      <c r="C129" s="175" t="s">
        <v>564</v>
      </c>
      <c r="D129" s="184" t="s">
        <v>458</v>
      </c>
      <c r="E129" s="185">
        <v>9000</v>
      </c>
      <c r="F129" s="686"/>
      <c r="H129" s="11"/>
      <c r="I129" s="699"/>
      <c r="J129" s="699"/>
    </row>
    <row r="130" spans="2:10" ht="16.5">
      <c r="B130" s="685">
        <v>20724</v>
      </c>
      <c r="C130" s="692" t="s">
        <v>797</v>
      </c>
      <c r="D130" s="184" t="s">
        <v>458</v>
      </c>
      <c r="E130" s="185">
        <v>16200</v>
      </c>
      <c r="F130" s="758" t="s">
        <v>1677</v>
      </c>
      <c r="G130" s="759"/>
      <c r="H130" s="693">
        <v>40057</v>
      </c>
      <c r="I130" s="699"/>
      <c r="J130" s="699"/>
    </row>
    <row r="131" spans="2:10">
      <c r="B131" s="685">
        <v>20725</v>
      </c>
      <c r="C131" s="692" t="s">
        <v>1138</v>
      </c>
      <c r="D131" s="184" t="s">
        <v>903</v>
      </c>
      <c r="E131" s="185">
        <v>12000</v>
      </c>
      <c r="F131" s="686"/>
      <c r="H131" s="11"/>
      <c r="I131" s="699"/>
      <c r="J131" s="699"/>
    </row>
    <row r="132" spans="2:10">
      <c r="B132" s="685">
        <v>20726</v>
      </c>
      <c r="C132" s="692" t="s">
        <v>1139</v>
      </c>
      <c r="D132" s="184" t="s">
        <v>903</v>
      </c>
      <c r="E132" s="185">
        <v>15000</v>
      </c>
      <c r="F132" s="686"/>
      <c r="H132" s="11"/>
      <c r="I132" s="699"/>
      <c r="J132" s="699"/>
    </row>
    <row r="133" spans="2:10">
      <c r="B133" s="685">
        <v>20727</v>
      </c>
      <c r="C133" s="692" t="s">
        <v>568</v>
      </c>
      <c r="D133" s="184" t="s">
        <v>903</v>
      </c>
      <c r="E133" s="185">
        <v>16500</v>
      </c>
      <c r="F133" s="686"/>
      <c r="H133" s="11"/>
      <c r="I133" s="699"/>
      <c r="J133" s="699"/>
    </row>
    <row r="134" spans="2:10">
      <c r="B134" s="685">
        <v>20728</v>
      </c>
      <c r="C134" s="701" t="s">
        <v>570</v>
      </c>
      <c r="D134" s="234" t="s">
        <v>865</v>
      </c>
      <c r="E134" s="194">
        <v>6500</v>
      </c>
      <c r="F134" s="686"/>
      <c r="H134" s="11"/>
      <c r="I134" s="699"/>
      <c r="J134" s="699"/>
    </row>
    <row r="135" spans="2:10">
      <c r="B135" s="685">
        <v>20729</v>
      </c>
      <c r="C135" s="701" t="s">
        <v>569</v>
      </c>
      <c r="D135" s="234" t="s">
        <v>865</v>
      </c>
      <c r="E135" s="194">
        <v>13500</v>
      </c>
      <c r="F135" s="686"/>
    </row>
    <row r="136" spans="2:10">
      <c r="B136" s="685">
        <v>20730</v>
      </c>
      <c r="C136" s="701" t="s">
        <v>551</v>
      </c>
      <c r="D136" s="234" t="s">
        <v>831</v>
      </c>
      <c r="E136" s="194">
        <v>850</v>
      </c>
      <c r="F136" s="686"/>
    </row>
    <row r="137" spans="2:10">
      <c r="B137" s="685">
        <v>20731</v>
      </c>
      <c r="C137" s="702" t="s">
        <v>571</v>
      </c>
      <c r="D137" s="234" t="s">
        <v>865</v>
      </c>
      <c r="E137" s="194">
        <v>5500</v>
      </c>
      <c r="F137" s="686"/>
    </row>
    <row r="138" spans="2:10">
      <c r="B138" s="685">
        <v>20732</v>
      </c>
      <c r="C138" s="702" t="s">
        <v>627</v>
      </c>
      <c r="D138" s="234" t="s">
        <v>865</v>
      </c>
      <c r="E138" s="194">
        <v>9800</v>
      </c>
      <c r="F138" s="686"/>
    </row>
    <row r="139" spans="2:10" ht="16.5">
      <c r="B139" s="685">
        <v>20733</v>
      </c>
      <c r="C139" s="175" t="s">
        <v>926</v>
      </c>
      <c r="D139" s="184" t="s">
        <v>458</v>
      </c>
      <c r="E139" s="185">
        <v>20000</v>
      </c>
      <c r="F139" s="686"/>
    </row>
    <row r="140" spans="2:10" ht="16.5">
      <c r="B140" s="685">
        <v>20734</v>
      </c>
      <c r="C140" s="175" t="s">
        <v>745</v>
      </c>
      <c r="D140" s="184" t="s">
        <v>458</v>
      </c>
      <c r="E140" s="185">
        <v>18000</v>
      </c>
      <c r="F140" s="686"/>
    </row>
    <row r="141" spans="2:10" ht="16.5">
      <c r="B141" s="685">
        <v>20735</v>
      </c>
      <c r="C141" s="175" t="s">
        <v>927</v>
      </c>
      <c r="D141" s="184" t="s">
        <v>458</v>
      </c>
      <c r="E141" s="185">
        <v>24000</v>
      </c>
      <c r="F141" s="686"/>
    </row>
    <row r="142" spans="2:10" ht="16.5">
      <c r="B142" s="685">
        <v>20736</v>
      </c>
      <c r="C142" s="175" t="s">
        <v>744</v>
      </c>
      <c r="D142" s="184" t="s">
        <v>457</v>
      </c>
      <c r="E142" s="185">
        <v>30000</v>
      </c>
      <c r="F142" s="686"/>
    </row>
    <row r="143" spans="2:10">
      <c r="B143" s="685">
        <v>20737</v>
      </c>
      <c r="C143" s="175" t="s">
        <v>928</v>
      </c>
      <c r="D143" s="184" t="s">
        <v>922</v>
      </c>
      <c r="E143" s="185">
        <v>935</v>
      </c>
      <c r="F143" s="686"/>
    </row>
    <row r="144" spans="2:10">
      <c r="B144" s="685">
        <v>20738</v>
      </c>
      <c r="C144" s="175" t="s">
        <v>1140</v>
      </c>
      <c r="D144" s="184" t="s">
        <v>865</v>
      </c>
      <c r="E144" s="185">
        <v>9165</v>
      </c>
      <c r="F144" s="686"/>
    </row>
    <row r="145" spans="2:8">
      <c r="B145" s="703"/>
      <c r="C145" s="175" t="s">
        <v>1650</v>
      </c>
      <c r="D145" s="184" t="s">
        <v>865</v>
      </c>
      <c r="E145" s="185">
        <v>477</v>
      </c>
      <c r="F145" s="686"/>
    </row>
    <row r="146" spans="2:8">
      <c r="B146" s="703"/>
      <c r="C146" s="175" t="s">
        <v>1651</v>
      </c>
      <c r="D146" s="184" t="s">
        <v>865</v>
      </c>
      <c r="E146" s="194">
        <v>600</v>
      </c>
      <c r="F146" s="686"/>
    </row>
    <row r="147" spans="2:8" ht="15" thickBot="1">
      <c r="B147" s="689">
        <v>20799</v>
      </c>
      <c r="C147" s="172"/>
      <c r="D147" s="186"/>
      <c r="E147" s="187"/>
      <c r="F147" s="686"/>
    </row>
    <row r="148" spans="2:8" ht="15.75" thickTop="1" thickBot="1"/>
    <row r="149" spans="2:8" ht="13.5" thickTop="1">
      <c r="B149" s="762" t="s">
        <v>929</v>
      </c>
      <c r="C149" s="763"/>
      <c r="D149" s="763"/>
      <c r="E149" s="764"/>
      <c r="F149" s="684"/>
    </row>
    <row r="150" spans="2:8">
      <c r="B150" s="685">
        <v>20801</v>
      </c>
      <c r="C150" s="692" t="s">
        <v>279</v>
      </c>
      <c r="D150" s="184" t="s">
        <v>865</v>
      </c>
      <c r="E150" s="185">
        <v>2500</v>
      </c>
      <c r="F150" s="686"/>
      <c r="G150" s="12"/>
      <c r="H150" s="11"/>
    </row>
    <row r="151" spans="2:8">
      <c r="B151" s="685">
        <v>20802</v>
      </c>
      <c r="C151" s="692" t="s">
        <v>280</v>
      </c>
      <c r="D151" s="184" t="s">
        <v>865</v>
      </c>
      <c r="E151" s="185">
        <v>5000</v>
      </c>
      <c r="F151" s="686"/>
      <c r="G151" s="12">
        <v>0.15</v>
      </c>
      <c r="H151" s="11">
        <v>4500</v>
      </c>
    </row>
    <row r="152" spans="2:8">
      <c r="B152" s="685">
        <v>20803</v>
      </c>
      <c r="C152" s="692" t="s">
        <v>516</v>
      </c>
      <c r="D152" s="184" t="s">
        <v>865</v>
      </c>
      <c r="E152" s="185">
        <v>7500</v>
      </c>
      <c r="F152" s="686"/>
      <c r="G152" s="12"/>
      <c r="H152" s="11"/>
    </row>
    <row r="153" spans="2:8">
      <c r="B153" s="685">
        <v>20804</v>
      </c>
      <c r="C153" s="692" t="s">
        <v>281</v>
      </c>
      <c r="D153" s="184" t="s">
        <v>865</v>
      </c>
      <c r="E153" s="185">
        <v>9300</v>
      </c>
      <c r="F153" s="686"/>
      <c r="G153" s="12">
        <v>0.15</v>
      </c>
      <c r="H153" s="11">
        <v>9000</v>
      </c>
    </row>
    <row r="154" spans="2:8">
      <c r="B154" s="685">
        <v>20805</v>
      </c>
      <c r="C154" s="692" t="s">
        <v>282</v>
      </c>
      <c r="D154" s="184" t="s">
        <v>865</v>
      </c>
      <c r="E154" s="185">
        <v>15000</v>
      </c>
      <c r="F154" s="686"/>
      <c r="G154" s="12">
        <v>0.15</v>
      </c>
      <c r="H154" s="11">
        <v>13500</v>
      </c>
    </row>
    <row r="155" spans="2:8" ht="16.5">
      <c r="B155" s="685">
        <v>20806</v>
      </c>
      <c r="C155" s="692" t="s">
        <v>1005</v>
      </c>
      <c r="D155" s="184" t="s">
        <v>1006</v>
      </c>
      <c r="E155" s="185">
        <v>1400</v>
      </c>
      <c r="F155" s="686"/>
      <c r="G155" s="12"/>
      <c r="H155" s="11"/>
    </row>
    <row r="156" spans="2:8">
      <c r="B156" s="685">
        <v>20807</v>
      </c>
      <c r="C156" s="692" t="s">
        <v>548</v>
      </c>
      <c r="D156" s="184" t="s">
        <v>865</v>
      </c>
      <c r="E156" s="185">
        <v>3400</v>
      </c>
      <c r="F156" s="686"/>
      <c r="G156" s="12"/>
      <c r="H156" s="11"/>
    </row>
    <row r="157" spans="2:8">
      <c r="B157" s="685">
        <v>20808</v>
      </c>
      <c r="C157" s="692" t="s">
        <v>547</v>
      </c>
      <c r="D157" s="184" t="s">
        <v>865</v>
      </c>
      <c r="E157" s="185">
        <v>5000</v>
      </c>
      <c r="F157" s="686"/>
      <c r="G157" s="12"/>
      <c r="H157" s="11"/>
    </row>
    <row r="158" spans="2:8">
      <c r="B158" s="685">
        <v>20809</v>
      </c>
      <c r="C158" s="692" t="s">
        <v>528</v>
      </c>
      <c r="D158" s="184" t="s">
        <v>865</v>
      </c>
      <c r="E158" s="185">
        <v>6700</v>
      </c>
      <c r="F158" s="686"/>
      <c r="G158" s="12"/>
      <c r="H158" s="11"/>
    </row>
    <row r="159" spans="2:8">
      <c r="B159" s="685">
        <v>20810</v>
      </c>
      <c r="C159" s="692" t="s">
        <v>527</v>
      </c>
      <c r="D159" s="184" t="s">
        <v>865</v>
      </c>
      <c r="E159" s="185">
        <v>8400</v>
      </c>
      <c r="F159" s="686"/>
      <c r="G159" s="12">
        <v>0.15</v>
      </c>
      <c r="H159" s="11">
        <v>5825</v>
      </c>
    </row>
    <row r="160" spans="2:8">
      <c r="B160" s="685">
        <v>20811</v>
      </c>
      <c r="C160" s="692" t="s">
        <v>538</v>
      </c>
      <c r="D160" s="184" t="s">
        <v>865</v>
      </c>
      <c r="E160" s="185">
        <v>10000</v>
      </c>
      <c r="F160" s="686"/>
      <c r="G160" s="12"/>
      <c r="H160" s="11"/>
    </row>
    <row r="161" spans="2:8">
      <c r="B161" s="685">
        <v>20812</v>
      </c>
      <c r="C161" s="692" t="s">
        <v>532</v>
      </c>
      <c r="D161" s="184" t="s">
        <v>865</v>
      </c>
      <c r="E161" s="185">
        <v>13400</v>
      </c>
      <c r="F161" s="686"/>
      <c r="G161" s="12"/>
      <c r="H161" s="11"/>
    </row>
    <row r="162" spans="2:8">
      <c r="B162" s="685">
        <v>20813</v>
      </c>
      <c r="C162" s="692" t="s">
        <v>533</v>
      </c>
      <c r="D162" s="184" t="s">
        <v>865</v>
      </c>
      <c r="E162" s="185">
        <v>16700</v>
      </c>
      <c r="F162" s="686"/>
      <c r="G162" s="12"/>
      <c r="H162" s="11"/>
    </row>
    <row r="163" spans="2:8">
      <c r="B163" s="685">
        <v>20814</v>
      </c>
      <c r="C163" s="692" t="s">
        <v>537</v>
      </c>
      <c r="D163" s="184" t="s">
        <v>865</v>
      </c>
      <c r="E163" s="185">
        <v>20000</v>
      </c>
      <c r="F163" s="686"/>
      <c r="G163" s="12"/>
      <c r="H163" s="11"/>
    </row>
    <row r="164" spans="2:8">
      <c r="B164" s="685">
        <v>20815</v>
      </c>
      <c r="C164" s="692" t="s">
        <v>529</v>
      </c>
      <c r="D164" s="184" t="s">
        <v>865</v>
      </c>
      <c r="E164" s="185">
        <v>6700</v>
      </c>
      <c r="F164" s="686"/>
      <c r="G164" s="12"/>
      <c r="H164" s="11"/>
    </row>
    <row r="165" spans="2:8">
      <c r="B165" s="685">
        <v>20816</v>
      </c>
      <c r="C165" s="692" t="s">
        <v>530</v>
      </c>
      <c r="D165" s="184" t="s">
        <v>865</v>
      </c>
      <c r="E165" s="185">
        <v>8400</v>
      </c>
      <c r="F165" s="686"/>
      <c r="G165" s="12"/>
      <c r="H165" s="11"/>
    </row>
    <row r="166" spans="2:8">
      <c r="B166" s="685">
        <v>20817</v>
      </c>
      <c r="C166" s="692" t="s">
        <v>531</v>
      </c>
      <c r="D166" s="184" t="s">
        <v>865</v>
      </c>
      <c r="E166" s="185">
        <v>10000</v>
      </c>
      <c r="F166" s="686"/>
      <c r="G166" s="12"/>
      <c r="H166" s="11"/>
    </row>
    <row r="167" spans="2:8">
      <c r="B167" s="685">
        <v>20818</v>
      </c>
      <c r="C167" s="692" t="s">
        <v>534</v>
      </c>
      <c r="D167" s="184" t="s">
        <v>865</v>
      </c>
      <c r="E167" s="185">
        <v>13400</v>
      </c>
      <c r="F167" s="686"/>
      <c r="G167" s="12"/>
      <c r="H167" s="11"/>
    </row>
    <row r="168" spans="2:8">
      <c r="B168" s="685">
        <v>20819</v>
      </c>
      <c r="C168" s="692" t="s">
        <v>535</v>
      </c>
      <c r="D168" s="184" t="s">
        <v>865</v>
      </c>
      <c r="E168" s="185">
        <v>16700</v>
      </c>
      <c r="F168" s="686"/>
      <c r="G168" s="12"/>
      <c r="H168" s="11"/>
    </row>
    <row r="169" spans="2:8">
      <c r="B169" s="685">
        <v>20820</v>
      </c>
      <c r="C169" s="692" t="s">
        <v>536</v>
      </c>
      <c r="D169" s="184" t="s">
        <v>865</v>
      </c>
      <c r="E169" s="185">
        <v>20000</v>
      </c>
      <c r="F169" s="686"/>
      <c r="G169" s="12"/>
      <c r="H169" s="11"/>
    </row>
    <row r="170" spans="2:8" ht="16.5">
      <c r="B170" s="685">
        <v>20821</v>
      </c>
      <c r="C170" s="692" t="s">
        <v>283</v>
      </c>
      <c r="D170" s="184" t="s">
        <v>458</v>
      </c>
      <c r="E170" s="185">
        <v>8500</v>
      </c>
      <c r="F170" s="686"/>
      <c r="G170" s="12">
        <v>0.15</v>
      </c>
      <c r="H170" s="11">
        <v>5500</v>
      </c>
    </row>
    <row r="171" spans="2:8">
      <c r="B171" s="685">
        <v>20822</v>
      </c>
      <c r="C171" s="692" t="s">
        <v>284</v>
      </c>
      <c r="D171" s="184" t="s">
        <v>865</v>
      </c>
      <c r="E171" s="185">
        <v>1000</v>
      </c>
      <c r="F171" s="686"/>
      <c r="G171" s="12">
        <v>0.15</v>
      </c>
      <c r="H171" s="11">
        <v>600</v>
      </c>
    </row>
    <row r="172" spans="2:8">
      <c r="B172" s="685">
        <v>20823</v>
      </c>
      <c r="C172" s="692" t="s">
        <v>285</v>
      </c>
      <c r="D172" s="184" t="s">
        <v>865</v>
      </c>
      <c r="E172" s="185">
        <v>1200</v>
      </c>
      <c r="F172" s="686"/>
      <c r="G172" s="12">
        <v>0.15</v>
      </c>
      <c r="H172" s="11">
        <v>750</v>
      </c>
    </row>
    <row r="173" spans="2:8">
      <c r="B173" s="685">
        <v>20824</v>
      </c>
      <c r="C173" s="692" t="s">
        <v>702</v>
      </c>
      <c r="D173" s="184" t="s">
        <v>865</v>
      </c>
      <c r="E173" s="185">
        <v>1750</v>
      </c>
      <c r="F173" s="686"/>
      <c r="G173" s="12"/>
      <c r="H173" s="11"/>
    </row>
    <row r="174" spans="2:8">
      <c r="B174" s="685">
        <v>20825</v>
      </c>
      <c r="C174" s="692" t="s">
        <v>286</v>
      </c>
      <c r="D174" s="184" t="s">
        <v>865</v>
      </c>
      <c r="E174" s="185">
        <v>1400</v>
      </c>
      <c r="F174" s="686"/>
      <c r="G174" s="12">
        <v>0.15</v>
      </c>
      <c r="H174" s="11">
        <v>1100</v>
      </c>
    </row>
    <row r="175" spans="2:8">
      <c r="B175" s="685">
        <v>20826</v>
      </c>
      <c r="C175" s="692" t="s">
        <v>609</v>
      </c>
      <c r="D175" s="184" t="s">
        <v>865</v>
      </c>
      <c r="E175" s="185">
        <v>9800</v>
      </c>
      <c r="F175" s="686"/>
      <c r="G175" s="12"/>
      <c r="H175" s="11"/>
    </row>
    <row r="176" spans="2:8">
      <c r="B176" s="685">
        <v>20827</v>
      </c>
      <c r="C176" s="692" t="s">
        <v>667</v>
      </c>
      <c r="D176" s="184" t="s">
        <v>865</v>
      </c>
      <c r="E176" s="185">
        <v>3300</v>
      </c>
      <c r="F176" s="686"/>
      <c r="G176" s="12"/>
      <c r="H176" s="11"/>
    </row>
    <row r="177" spans="2:8" ht="15" customHeight="1">
      <c r="B177" s="685">
        <v>20828</v>
      </c>
      <c r="C177" s="692" t="s">
        <v>668</v>
      </c>
      <c r="D177" s="184" t="s">
        <v>458</v>
      </c>
      <c r="E177" s="185">
        <v>9300</v>
      </c>
      <c r="F177" s="686"/>
      <c r="G177" s="12"/>
      <c r="H177" s="11"/>
    </row>
    <row r="178" spans="2:8" ht="16.5">
      <c r="B178" s="685">
        <v>20829</v>
      </c>
      <c r="C178" s="175" t="s">
        <v>873</v>
      </c>
      <c r="D178" s="184" t="s">
        <v>458</v>
      </c>
      <c r="E178" s="185"/>
      <c r="F178" s="686"/>
    </row>
    <row r="179" spans="2:8">
      <c r="B179" s="685">
        <v>20830</v>
      </c>
      <c r="C179" s="175" t="s">
        <v>761</v>
      </c>
      <c r="D179" s="184" t="s">
        <v>865</v>
      </c>
      <c r="E179" s="185">
        <v>50000</v>
      </c>
      <c r="F179" s="686"/>
    </row>
    <row r="180" spans="2:8">
      <c r="B180" s="685">
        <v>20831</v>
      </c>
      <c r="C180" s="175" t="s">
        <v>762</v>
      </c>
      <c r="D180" s="184" t="s">
        <v>865</v>
      </c>
      <c r="E180" s="185">
        <v>74000</v>
      </c>
      <c r="F180" s="686"/>
    </row>
    <row r="181" spans="2:8">
      <c r="B181" s="685">
        <v>20832</v>
      </c>
      <c r="C181" s="175" t="s">
        <v>763</v>
      </c>
      <c r="D181" s="184" t="s">
        <v>865</v>
      </c>
      <c r="E181" s="185">
        <v>91000</v>
      </c>
      <c r="F181" s="686"/>
    </row>
    <row r="182" spans="2:8">
      <c r="B182" s="685">
        <v>20833</v>
      </c>
      <c r="C182" s="175" t="s">
        <v>764</v>
      </c>
      <c r="D182" s="184" t="s">
        <v>865</v>
      </c>
      <c r="E182" s="185">
        <v>110000</v>
      </c>
      <c r="F182" s="686"/>
    </row>
    <row r="183" spans="2:8">
      <c r="B183" s="685">
        <v>20834</v>
      </c>
      <c r="C183" s="175" t="s">
        <v>765</v>
      </c>
      <c r="D183" s="184" t="s">
        <v>865</v>
      </c>
      <c r="E183" s="185">
        <v>120000</v>
      </c>
      <c r="F183" s="686"/>
    </row>
    <row r="184" spans="2:8">
      <c r="B184" s="685">
        <v>20835</v>
      </c>
      <c r="C184" s="175" t="s">
        <v>701</v>
      </c>
      <c r="D184" s="184" t="s">
        <v>865</v>
      </c>
      <c r="E184" s="185">
        <v>110000</v>
      </c>
      <c r="F184" s="686"/>
    </row>
    <row r="185" spans="2:8">
      <c r="B185" s="685">
        <v>20836</v>
      </c>
      <c r="C185" s="175" t="s">
        <v>747</v>
      </c>
      <c r="D185" s="184" t="s">
        <v>865</v>
      </c>
      <c r="E185" s="185">
        <v>130000</v>
      </c>
      <c r="F185" s="686"/>
    </row>
    <row r="186" spans="2:8">
      <c r="B186" s="685">
        <v>20837</v>
      </c>
      <c r="C186" s="175" t="s">
        <v>1004</v>
      </c>
      <c r="D186" s="184" t="s">
        <v>865</v>
      </c>
      <c r="E186" s="185">
        <v>56760</v>
      </c>
      <c r="F186" s="686"/>
    </row>
    <row r="187" spans="2:8">
      <c r="B187" s="685">
        <v>20838</v>
      </c>
      <c r="C187" s="175" t="s">
        <v>746</v>
      </c>
      <c r="D187" s="184" t="s">
        <v>865</v>
      </c>
      <c r="E187" s="185">
        <v>30000</v>
      </c>
      <c r="F187" s="686"/>
    </row>
    <row r="188" spans="2:8">
      <c r="B188" s="685">
        <v>20839</v>
      </c>
      <c r="C188" s="175" t="s">
        <v>1002</v>
      </c>
      <c r="D188" s="184" t="s">
        <v>865</v>
      </c>
      <c r="E188" s="185">
        <v>42000</v>
      </c>
      <c r="F188" s="686"/>
    </row>
    <row r="189" spans="2:8">
      <c r="B189" s="685">
        <v>20840</v>
      </c>
      <c r="C189" s="175" t="s">
        <v>1003</v>
      </c>
      <c r="D189" s="184" t="s">
        <v>865</v>
      </c>
      <c r="E189" s="185">
        <v>75000</v>
      </c>
      <c r="F189" s="686"/>
    </row>
    <row r="190" spans="2:8">
      <c r="B190" s="703"/>
      <c r="C190" s="702" t="s">
        <v>1660</v>
      </c>
      <c r="D190" s="184" t="s">
        <v>865</v>
      </c>
      <c r="E190" s="194">
        <v>250000</v>
      </c>
      <c r="F190" s="686"/>
    </row>
    <row r="191" spans="2:8" ht="15" thickBot="1">
      <c r="B191" s="689">
        <v>20899</v>
      </c>
      <c r="C191" s="172"/>
      <c r="D191" s="186"/>
      <c r="E191" s="187"/>
      <c r="F191" s="686"/>
    </row>
    <row r="192" spans="2:8" ht="15.75" thickTop="1" thickBot="1"/>
    <row r="193" spans="2:8" ht="13.5" thickTop="1">
      <c r="B193" s="762" t="s">
        <v>930</v>
      </c>
      <c r="C193" s="763"/>
      <c r="D193" s="763"/>
      <c r="E193" s="764"/>
      <c r="F193" s="684"/>
    </row>
    <row r="194" spans="2:8">
      <c r="B194" s="685">
        <v>20901</v>
      </c>
      <c r="C194" s="171" t="s">
        <v>628</v>
      </c>
      <c r="D194" s="184" t="s">
        <v>630</v>
      </c>
      <c r="E194" s="185">
        <v>2460</v>
      </c>
      <c r="F194" s="686"/>
    </row>
    <row r="195" spans="2:8">
      <c r="B195" s="685">
        <v>20902</v>
      </c>
      <c r="C195" s="171" t="s">
        <v>629</v>
      </c>
      <c r="D195" s="184" t="s">
        <v>630</v>
      </c>
      <c r="E195" s="185">
        <v>1975</v>
      </c>
      <c r="F195" s="686"/>
    </row>
    <row r="196" spans="2:8">
      <c r="B196" s="685"/>
      <c r="C196" s="171" t="s">
        <v>1315</v>
      </c>
      <c r="D196" s="184"/>
      <c r="E196" s="185"/>
      <c r="F196" s="686"/>
    </row>
    <row r="197" spans="2:8">
      <c r="B197" s="685">
        <v>20903</v>
      </c>
      <c r="C197" s="171" t="s">
        <v>730</v>
      </c>
      <c r="D197" s="184" t="s">
        <v>865</v>
      </c>
      <c r="E197" s="185">
        <v>36210</v>
      </c>
      <c r="F197" s="686"/>
    </row>
    <row r="198" spans="2:8">
      <c r="B198" s="685">
        <v>20904</v>
      </c>
      <c r="C198" s="171" t="s">
        <v>632</v>
      </c>
      <c r="D198" s="184" t="s">
        <v>865</v>
      </c>
      <c r="E198" s="185">
        <v>20150</v>
      </c>
      <c r="F198" s="686"/>
    </row>
    <row r="199" spans="2:8" ht="14.25" customHeight="1">
      <c r="B199" s="685">
        <v>20905</v>
      </c>
      <c r="C199" s="171" t="s">
        <v>846</v>
      </c>
      <c r="D199" s="184" t="s">
        <v>865</v>
      </c>
      <c r="E199" s="185">
        <v>18500</v>
      </c>
      <c r="F199" s="686"/>
    </row>
    <row r="200" spans="2:8" ht="13.5" customHeight="1">
      <c r="B200" s="685">
        <v>20906</v>
      </c>
      <c r="C200" s="171" t="s">
        <v>631</v>
      </c>
      <c r="D200" s="184" t="s">
        <v>865</v>
      </c>
      <c r="E200" s="185">
        <v>65000</v>
      </c>
      <c r="F200" s="758" t="s">
        <v>1677</v>
      </c>
      <c r="G200" s="759"/>
      <c r="H200" s="693">
        <v>40057</v>
      </c>
    </row>
    <row r="201" spans="2:8">
      <c r="B201" s="685"/>
      <c r="C201" s="171" t="s">
        <v>1598</v>
      </c>
      <c r="D201" s="184" t="s">
        <v>865</v>
      </c>
      <c r="E201" s="185">
        <v>52600</v>
      </c>
      <c r="F201" s="758" t="s">
        <v>1677</v>
      </c>
      <c r="G201" s="759"/>
      <c r="H201" s="693">
        <v>40057</v>
      </c>
    </row>
    <row r="202" spans="2:8">
      <c r="B202" s="685">
        <v>20907</v>
      </c>
      <c r="C202" s="171" t="s">
        <v>633</v>
      </c>
      <c r="D202" s="184" t="s">
        <v>865</v>
      </c>
      <c r="E202" s="185">
        <v>20000</v>
      </c>
      <c r="F202" s="686"/>
    </row>
    <row r="203" spans="2:8">
      <c r="B203" s="685">
        <v>20908</v>
      </c>
      <c r="C203" s="171" t="s">
        <v>634</v>
      </c>
      <c r="D203" s="184" t="s">
        <v>865</v>
      </c>
      <c r="E203" s="185">
        <v>22000</v>
      </c>
      <c r="F203" s="686"/>
    </row>
    <row r="204" spans="2:8">
      <c r="B204" s="685">
        <v>20909</v>
      </c>
      <c r="C204" s="171" t="s">
        <v>931</v>
      </c>
      <c r="D204" s="184" t="s">
        <v>865</v>
      </c>
      <c r="E204" s="185">
        <v>55000</v>
      </c>
      <c r="F204" s="686"/>
    </row>
    <row r="205" spans="2:8" ht="14.25" customHeight="1">
      <c r="B205" s="685">
        <v>20910</v>
      </c>
      <c r="C205" s="173" t="s">
        <v>934</v>
      </c>
      <c r="D205" s="184" t="s">
        <v>630</v>
      </c>
      <c r="E205" s="185">
        <v>15000</v>
      </c>
      <c r="F205" s="686"/>
    </row>
    <row r="206" spans="2:8" ht="29.1" customHeight="1">
      <c r="B206" s="685">
        <v>20911</v>
      </c>
      <c r="C206" s="171" t="s">
        <v>935</v>
      </c>
      <c r="D206" s="184" t="s">
        <v>458</v>
      </c>
      <c r="E206" s="185"/>
      <c r="F206" s="686"/>
    </row>
    <row r="207" spans="2:8" ht="29.1" customHeight="1">
      <c r="B207" s="685">
        <v>20912</v>
      </c>
      <c r="C207" s="235" t="s">
        <v>735</v>
      </c>
      <c r="D207" s="184" t="s">
        <v>458</v>
      </c>
      <c r="E207" s="193">
        <v>35000</v>
      </c>
      <c r="F207" s="686"/>
    </row>
    <row r="208" spans="2:8" ht="28.5">
      <c r="B208" s="685">
        <v>20913</v>
      </c>
      <c r="C208" s="235" t="s">
        <v>734</v>
      </c>
      <c r="D208" s="184" t="s">
        <v>865</v>
      </c>
      <c r="E208" s="193">
        <v>40000</v>
      </c>
      <c r="F208" s="686"/>
    </row>
    <row r="209" spans="2:6" ht="28.5">
      <c r="B209" s="685">
        <v>20914</v>
      </c>
      <c r="C209" s="235" t="s">
        <v>737</v>
      </c>
      <c r="D209" s="184" t="s">
        <v>458</v>
      </c>
      <c r="E209" s="193">
        <v>75000</v>
      </c>
      <c r="F209" s="686"/>
    </row>
    <row r="210" spans="2:6" ht="28.5">
      <c r="B210" s="685">
        <v>20915</v>
      </c>
      <c r="C210" s="235" t="s">
        <v>736</v>
      </c>
      <c r="D210" s="184" t="s">
        <v>458</v>
      </c>
      <c r="E210" s="193">
        <v>65000</v>
      </c>
      <c r="F210" s="686"/>
    </row>
    <row r="211" spans="2:6" ht="28.5">
      <c r="B211" s="685">
        <v>20916</v>
      </c>
      <c r="C211" s="235" t="s">
        <v>739</v>
      </c>
      <c r="D211" s="184" t="s">
        <v>458</v>
      </c>
      <c r="E211" s="193">
        <v>80000</v>
      </c>
      <c r="F211" s="686"/>
    </row>
    <row r="212" spans="2:6" ht="28.5">
      <c r="B212" s="685">
        <v>20917</v>
      </c>
      <c r="C212" s="235" t="s">
        <v>738</v>
      </c>
      <c r="D212" s="184" t="s">
        <v>458</v>
      </c>
      <c r="E212" s="193">
        <v>120000</v>
      </c>
      <c r="F212" s="686"/>
    </row>
    <row r="213" spans="2:6" ht="16.5">
      <c r="B213" s="685">
        <v>20918</v>
      </c>
      <c r="C213" s="235" t="s">
        <v>740</v>
      </c>
      <c r="D213" s="184" t="s">
        <v>458</v>
      </c>
      <c r="E213" s="185">
        <v>35000</v>
      </c>
      <c r="F213" s="686"/>
    </row>
    <row r="214" spans="2:6" ht="16.5">
      <c r="B214" s="685">
        <v>20919</v>
      </c>
      <c r="C214" s="235" t="s">
        <v>748</v>
      </c>
      <c r="D214" s="184" t="s">
        <v>458</v>
      </c>
      <c r="E214" s="193">
        <v>30000</v>
      </c>
      <c r="F214" s="686"/>
    </row>
    <row r="215" spans="2:6">
      <c r="B215" s="685">
        <v>20920</v>
      </c>
      <c r="C215" s="171" t="s">
        <v>703</v>
      </c>
      <c r="D215" s="184" t="s">
        <v>865</v>
      </c>
      <c r="E215" s="185">
        <v>88000</v>
      </c>
      <c r="F215" s="686"/>
    </row>
    <row r="216" spans="2:6">
      <c r="B216" s="685">
        <v>20921</v>
      </c>
      <c r="C216" s="171" t="s">
        <v>704</v>
      </c>
      <c r="D216" s="184" t="s">
        <v>865</v>
      </c>
      <c r="E216" s="185">
        <v>129000</v>
      </c>
      <c r="F216" s="686"/>
    </row>
    <row r="217" spans="2:6">
      <c r="B217" s="685">
        <v>20922</v>
      </c>
      <c r="C217" s="171" t="s">
        <v>705</v>
      </c>
      <c r="D217" s="184" t="s">
        <v>865</v>
      </c>
      <c r="E217" s="185">
        <v>160000</v>
      </c>
      <c r="F217" s="686"/>
    </row>
    <row r="218" spans="2:6">
      <c r="B218" s="685">
        <v>20923</v>
      </c>
      <c r="C218" s="171" t="s">
        <v>706</v>
      </c>
      <c r="D218" s="184" t="s">
        <v>865</v>
      </c>
      <c r="E218" s="185">
        <v>200000</v>
      </c>
      <c r="F218" s="686"/>
    </row>
    <row r="219" spans="2:6">
      <c r="B219" s="685">
        <v>20924</v>
      </c>
      <c r="C219" s="171" t="s">
        <v>707</v>
      </c>
      <c r="D219" s="184" t="s">
        <v>865</v>
      </c>
      <c r="E219" s="185">
        <v>28000</v>
      </c>
      <c r="F219" s="686"/>
    </row>
    <row r="220" spans="2:6">
      <c r="B220" s="685">
        <v>20925</v>
      </c>
      <c r="C220" s="171" t="s">
        <v>725</v>
      </c>
      <c r="D220" s="184" t="s">
        <v>865</v>
      </c>
      <c r="E220" s="185">
        <v>230000</v>
      </c>
      <c r="F220" s="686"/>
    </row>
    <row r="221" spans="2:6">
      <c r="B221" s="685">
        <v>20926</v>
      </c>
      <c r="C221" s="171" t="s">
        <v>726</v>
      </c>
      <c r="D221" s="184" t="s">
        <v>865</v>
      </c>
      <c r="E221" s="185">
        <v>240000</v>
      </c>
      <c r="F221" s="686"/>
    </row>
    <row r="222" spans="2:6">
      <c r="B222" s="685">
        <v>20927</v>
      </c>
      <c r="C222" s="171" t="s">
        <v>727</v>
      </c>
      <c r="D222" s="184" t="s">
        <v>865</v>
      </c>
      <c r="E222" s="185">
        <v>250000</v>
      </c>
      <c r="F222" s="686"/>
    </row>
    <row r="223" spans="2:6">
      <c r="B223" s="685">
        <v>20928</v>
      </c>
      <c r="C223" s="171" t="s">
        <v>728</v>
      </c>
      <c r="D223" s="184" t="s">
        <v>865</v>
      </c>
      <c r="E223" s="185">
        <v>350000</v>
      </c>
      <c r="F223" s="686"/>
    </row>
    <row r="224" spans="2:6" ht="14.25" customHeight="1">
      <c r="B224" s="685">
        <v>20929</v>
      </c>
      <c r="C224" s="171" t="s">
        <v>729</v>
      </c>
      <c r="D224" s="184" t="s">
        <v>865</v>
      </c>
      <c r="E224" s="185">
        <v>420000</v>
      </c>
      <c r="F224" s="686"/>
    </row>
    <row r="225" spans="2:8" ht="14.25" customHeight="1">
      <c r="B225" s="685">
        <v>20930</v>
      </c>
      <c r="C225" s="171" t="s">
        <v>733</v>
      </c>
      <c r="D225" s="184" t="s">
        <v>865</v>
      </c>
      <c r="E225" s="185">
        <v>840000</v>
      </c>
      <c r="F225" s="686"/>
    </row>
    <row r="226" spans="2:8" ht="16.5">
      <c r="B226" s="685">
        <v>20931</v>
      </c>
      <c r="C226" s="171" t="s">
        <v>936</v>
      </c>
      <c r="D226" s="184" t="s">
        <v>458</v>
      </c>
      <c r="E226" s="237"/>
      <c r="F226" s="686"/>
    </row>
    <row r="227" spans="2:8">
      <c r="B227" s="685">
        <v>20932</v>
      </c>
      <c r="C227" s="171" t="s">
        <v>937</v>
      </c>
      <c r="D227" s="184" t="s">
        <v>865</v>
      </c>
      <c r="E227" s="185">
        <v>48500</v>
      </c>
      <c r="F227" s="686"/>
    </row>
    <row r="228" spans="2:8">
      <c r="B228" s="685">
        <v>20933</v>
      </c>
      <c r="C228" s="178" t="s">
        <v>599</v>
      </c>
      <c r="D228" s="234" t="s">
        <v>865</v>
      </c>
      <c r="E228" s="194">
        <v>28000</v>
      </c>
      <c r="F228" s="758" t="s">
        <v>1677</v>
      </c>
      <c r="G228" s="759"/>
      <c r="H228" s="693">
        <v>40057</v>
      </c>
    </row>
    <row r="229" spans="2:8">
      <c r="B229" s="685">
        <v>20934</v>
      </c>
      <c r="C229" s="178" t="s">
        <v>600</v>
      </c>
      <c r="D229" s="234" t="s">
        <v>865</v>
      </c>
      <c r="E229" s="194">
        <v>36500</v>
      </c>
      <c r="F229" s="758" t="s">
        <v>1677</v>
      </c>
      <c r="G229" s="759"/>
      <c r="H229" s="693">
        <v>40057</v>
      </c>
    </row>
    <row r="230" spans="2:8">
      <c r="B230" s="685">
        <v>20935</v>
      </c>
      <c r="C230" s="178" t="s">
        <v>597</v>
      </c>
      <c r="D230" s="234" t="s">
        <v>865</v>
      </c>
      <c r="E230" s="194">
        <v>36100</v>
      </c>
      <c r="F230" s="686"/>
    </row>
    <row r="231" spans="2:8">
      <c r="B231" s="685">
        <v>20936</v>
      </c>
      <c r="C231" s="178" t="s">
        <v>1007</v>
      </c>
      <c r="D231" s="234" t="s">
        <v>865</v>
      </c>
      <c r="E231" s="194">
        <v>27400</v>
      </c>
      <c r="F231" s="686"/>
    </row>
    <row r="232" spans="2:8">
      <c r="B232" s="685">
        <v>20937</v>
      </c>
      <c r="C232" s="178" t="s">
        <v>1008</v>
      </c>
      <c r="D232" s="234" t="s">
        <v>865</v>
      </c>
      <c r="E232" s="194">
        <v>40000</v>
      </c>
      <c r="F232" s="686"/>
    </row>
    <row r="233" spans="2:8">
      <c r="B233" s="685">
        <v>20938</v>
      </c>
      <c r="C233" s="178" t="s">
        <v>598</v>
      </c>
      <c r="D233" s="234" t="s">
        <v>865</v>
      </c>
      <c r="E233" s="194">
        <v>53700</v>
      </c>
      <c r="F233" s="686"/>
    </row>
    <row r="234" spans="2:8">
      <c r="B234" s="685">
        <v>20939</v>
      </c>
      <c r="C234" s="178" t="s">
        <v>1000</v>
      </c>
      <c r="D234" s="234" t="s">
        <v>865</v>
      </c>
      <c r="E234" s="194">
        <v>7500</v>
      </c>
      <c r="F234" s="758" t="s">
        <v>1677</v>
      </c>
      <c r="G234" s="759"/>
      <c r="H234" s="693">
        <v>40057</v>
      </c>
    </row>
    <row r="235" spans="2:8">
      <c r="B235" s="685">
        <v>20940</v>
      </c>
      <c r="C235" s="178" t="s">
        <v>999</v>
      </c>
      <c r="D235" s="234" t="s">
        <v>865</v>
      </c>
      <c r="E235" s="194">
        <v>3000</v>
      </c>
      <c r="F235" s="686"/>
    </row>
    <row r="236" spans="2:8">
      <c r="B236" s="685">
        <v>20941</v>
      </c>
      <c r="C236" s="178" t="s">
        <v>1020</v>
      </c>
      <c r="D236" s="234" t="s">
        <v>865</v>
      </c>
      <c r="E236" s="194">
        <v>5300</v>
      </c>
      <c r="F236" s="686"/>
    </row>
    <row r="237" spans="2:8">
      <c r="B237" s="685">
        <v>20942</v>
      </c>
      <c r="C237" s="178" t="s">
        <v>1021</v>
      </c>
      <c r="D237" s="234" t="s">
        <v>865</v>
      </c>
      <c r="E237" s="194">
        <v>8900</v>
      </c>
      <c r="F237" s="686"/>
    </row>
    <row r="238" spans="2:8">
      <c r="B238" s="685">
        <v>20943</v>
      </c>
      <c r="C238" s="178" t="s">
        <v>1022</v>
      </c>
      <c r="D238" s="234" t="s">
        <v>865</v>
      </c>
      <c r="E238" s="194">
        <v>17500</v>
      </c>
      <c r="F238" s="686"/>
    </row>
    <row r="239" spans="2:8">
      <c r="B239" s="685">
        <v>20944</v>
      </c>
      <c r="C239" s="178" t="s">
        <v>1028</v>
      </c>
      <c r="D239" s="234" t="s">
        <v>865</v>
      </c>
      <c r="E239" s="194">
        <v>1200</v>
      </c>
      <c r="F239" s="686"/>
    </row>
    <row r="240" spans="2:8">
      <c r="B240" s="685">
        <v>20945</v>
      </c>
      <c r="C240" s="178" t="s">
        <v>938</v>
      </c>
      <c r="D240" s="234" t="s">
        <v>865</v>
      </c>
      <c r="E240" s="194">
        <v>120</v>
      </c>
      <c r="F240" s="686"/>
    </row>
    <row r="241" spans="2:8">
      <c r="B241" s="685">
        <v>20946</v>
      </c>
      <c r="C241" s="178" t="s">
        <v>666</v>
      </c>
      <c r="D241" s="234" t="s">
        <v>865</v>
      </c>
      <c r="E241" s="194">
        <v>8000</v>
      </c>
      <c r="F241" s="686"/>
    </row>
    <row r="242" spans="2:8">
      <c r="B242" s="685">
        <v>20947</v>
      </c>
      <c r="C242" s="178" t="s">
        <v>1001</v>
      </c>
      <c r="D242" s="234" t="s">
        <v>865</v>
      </c>
      <c r="E242" s="194">
        <v>11000</v>
      </c>
      <c r="F242" s="758" t="s">
        <v>1677</v>
      </c>
      <c r="G242" s="759"/>
      <c r="H242" s="693">
        <v>40057</v>
      </c>
    </row>
    <row r="243" spans="2:8">
      <c r="B243" s="685">
        <v>20948</v>
      </c>
      <c r="C243" s="178" t="s">
        <v>595</v>
      </c>
      <c r="D243" s="234" t="s">
        <v>865</v>
      </c>
      <c r="E243" s="194">
        <v>13500</v>
      </c>
      <c r="F243" s="758" t="s">
        <v>1677</v>
      </c>
      <c r="G243" s="759"/>
      <c r="H243" s="693">
        <v>40057</v>
      </c>
    </row>
    <row r="244" spans="2:8">
      <c r="B244" s="685">
        <v>20949</v>
      </c>
      <c r="C244" s="178" t="s">
        <v>596</v>
      </c>
      <c r="D244" s="234" t="s">
        <v>865</v>
      </c>
      <c r="E244" s="194">
        <v>8900</v>
      </c>
      <c r="F244" s="686"/>
    </row>
    <row r="245" spans="2:8">
      <c r="B245" s="685">
        <v>20950</v>
      </c>
      <c r="C245" s="178" t="s">
        <v>594</v>
      </c>
      <c r="D245" s="234" t="s">
        <v>865</v>
      </c>
      <c r="E245" s="194">
        <v>3750</v>
      </c>
      <c r="F245" s="686"/>
    </row>
    <row r="246" spans="2:8">
      <c r="B246" s="685">
        <v>20951</v>
      </c>
      <c r="C246" s="178" t="s">
        <v>1023</v>
      </c>
      <c r="D246" s="234" t="s">
        <v>865</v>
      </c>
      <c r="E246" s="194">
        <v>5600</v>
      </c>
      <c r="F246" s="758" t="s">
        <v>1677</v>
      </c>
      <c r="G246" s="759"/>
      <c r="H246" s="693">
        <v>40057</v>
      </c>
    </row>
    <row r="247" spans="2:8">
      <c r="B247" s="685">
        <v>20952</v>
      </c>
      <c r="C247" s="178" t="s">
        <v>1024</v>
      </c>
      <c r="D247" s="234" t="s">
        <v>865</v>
      </c>
      <c r="E247" s="194">
        <v>1500</v>
      </c>
      <c r="F247" s="686"/>
    </row>
    <row r="248" spans="2:8">
      <c r="B248" s="685">
        <v>20953</v>
      </c>
      <c r="C248" s="178" t="s">
        <v>1026</v>
      </c>
      <c r="D248" s="234" t="s">
        <v>865</v>
      </c>
      <c r="E248" s="194">
        <v>400</v>
      </c>
      <c r="F248" s="686"/>
    </row>
    <row r="249" spans="2:8">
      <c r="B249" s="685">
        <v>20954</v>
      </c>
      <c r="C249" s="178" t="s">
        <v>1027</v>
      </c>
      <c r="D249" s="234" t="s">
        <v>865</v>
      </c>
      <c r="E249" s="194">
        <v>600</v>
      </c>
      <c r="F249" s="686"/>
    </row>
    <row r="250" spans="2:8">
      <c r="B250" s="685">
        <v>20955</v>
      </c>
      <c r="C250" s="178" t="s">
        <v>13</v>
      </c>
      <c r="D250" s="234" t="s">
        <v>925</v>
      </c>
      <c r="E250" s="194">
        <v>8300</v>
      </c>
      <c r="F250" s="758" t="s">
        <v>1677</v>
      </c>
      <c r="G250" s="759"/>
      <c r="H250" s="693">
        <v>40057</v>
      </c>
    </row>
    <row r="251" spans="2:8">
      <c r="B251" s="685">
        <v>20956</v>
      </c>
      <c r="C251" s="178" t="s">
        <v>1025</v>
      </c>
      <c r="D251" s="234" t="s">
        <v>925</v>
      </c>
      <c r="E251" s="194">
        <v>8000</v>
      </c>
      <c r="F251" s="758" t="s">
        <v>1677</v>
      </c>
      <c r="G251" s="759"/>
      <c r="H251" s="693">
        <v>40057</v>
      </c>
    </row>
    <row r="252" spans="2:8">
      <c r="B252" s="685">
        <v>20957</v>
      </c>
      <c r="C252" s="178" t="s">
        <v>756</v>
      </c>
      <c r="D252" s="234" t="s">
        <v>865</v>
      </c>
      <c r="E252" s="194">
        <v>8000</v>
      </c>
      <c r="F252" s="686"/>
    </row>
    <row r="253" spans="2:8">
      <c r="B253" s="685">
        <v>20958</v>
      </c>
      <c r="C253" s="178" t="s">
        <v>603</v>
      </c>
      <c r="D253" s="234" t="s">
        <v>925</v>
      </c>
      <c r="E253" s="194">
        <v>4015</v>
      </c>
      <c r="F253" s="686"/>
    </row>
    <row r="254" spans="2:8">
      <c r="B254" s="685">
        <v>20959</v>
      </c>
      <c r="C254" s="178" t="s">
        <v>766</v>
      </c>
      <c r="D254" s="234" t="s">
        <v>865</v>
      </c>
      <c r="E254" s="194">
        <v>385</v>
      </c>
      <c r="F254" s="686"/>
    </row>
    <row r="255" spans="2:8">
      <c r="B255" s="685">
        <v>20960</v>
      </c>
      <c r="C255" s="178" t="s">
        <v>604</v>
      </c>
      <c r="D255" s="234" t="s">
        <v>865</v>
      </c>
      <c r="E255" s="194">
        <v>100</v>
      </c>
      <c r="F255" s="686"/>
    </row>
    <row r="256" spans="2:8">
      <c r="B256" s="685">
        <v>20961</v>
      </c>
      <c r="C256" s="178" t="s">
        <v>767</v>
      </c>
      <c r="D256" s="234" t="s">
        <v>865</v>
      </c>
      <c r="E256" s="194">
        <v>1275</v>
      </c>
      <c r="F256" s="686"/>
    </row>
    <row r="257" spans="2:8">
      <c r="B257" s="685">
        <v>20962</v>
      </c>
      <c r="C257" s="178" t="s">
        <v>605</v>
      </c>
      <c r="D257" s="234" t="s">
        <v>865</v>
      </c>
      <c r="E257" s="194">
        <v>1275</v>
      </c>
      <c r="F257" s="686"/>
    </row>
    <row r="258" spans="2:8">
      <c r="B258" s="685">
        <v>20963</v>
      </c>
      <c r="C258" s="178" t="s">
        <v>606</v>
      </c>
      <c r="D258" s="234" t="s">
        <v>865</v>
      </c>
      <c r="E258" s="194">
        <v>50</v>
      </c>
      <c r="F258" s="686"/>
    </row>
    <row r="259" spans="2:8">
      <c r="B259" s="703"/>
      <c r="C259" s="178" t="s">
        <v>1316</v>
      </c>
      <c r="D259" s="234"/>
      <c r="E259" s="194"/>
      <c r="F259" s="686"/>
    </row>
    <row r="260" spans="2:8">
      <c r="B260" s="703"/>
      <c r="C260" s="178" t="s">
        <v>1599</v>
      </c>
      <c r="D260" s="234" t="s">
        <v>865</v>
      </c>
      <c r="E260" s="194">
        <v>21000</v>
      </c>
      <c r="F260" s="686"/>
    </row>
    <row r="261" spans="2:8">
      <c r="B261" s="703"/>
      <c r="C261" s="178" t="s">
        <v>1600</v>
      </c>
      <c r="D261" s="234" t="s">
        <v>865</v>
      </c>
      <c r="E261" s="194">
        <v>10000</v>
      </c>
      <c r="F261" s="686"/>
    </row>
    <row r="262" spans="2:8" ht="15" thickBot="1">
      <c r="B262" s="703"/>
      <c r="C262" s="172" t="s">
        <v>755</v>
      </c>
      <c r="D262" s="186" t="s">
        <v>865</v>
      </c>
      <c r="E262" s="194">
        <v>120000</v>
      </c>
      <c r="F262" s="686"/>
    </row>
    <row r="263" spans="2:8" ht="30" thickTop="1" thickBot="1">
      <c r="B263" s="703"/>
      <c r="C263" s="676" t="s">
        <v>1667</v>
      </c>
      <c r="D263" s="186" t="s">
        <v>865</v>
      </c>
      <c r="E263" s="194">
        <v>1400000</v>
      </c>
      <c r="F263" s="686"/>
    </row>
    <row r="264" spans="2:8" ht="15.75" thickTop="1" thickBot="1">
      <c r="B264" s="703"/>
      <c r="C264" s="676" t="s">
        <v>1669</v>
      </c>
      <c r="D264" s="186" t="s">
        <v>865</v>
      </c>
      <c r="E264" s="194">
        <v>230000</v>
      </c>
      <c r="F264" s="686"/>
    </row>
    <row r="265" spans="2:8" ht="15.75" thickTop="1" thickBot="1">
      <c r="B265" s="689">
        <v>20999</v>
      </c>
      <c r="C265" s="172" t="s">
        <v>1314</v>
      </c>
      <c r="D265" s="186"/>
      <c r="E265" s="187"/>
      <c r="F265" s="686"/>
    </row>
    <row r="266" spans="2:8" ht="15" thickTop="1"/>
    <row r="267" spans="2:8" ht="15" thickBot="1">
      <c r="C267" s="174"/>
    </row>
    <row r="268" spans="2:8" ht="13.5" thickTop="1">
      <c r="B268" s="762" t="s">
        <v>939</v>
      </c>
      <c r="C268" s="763"/>
      <c r="D268" s="763"/>
      <c r="E268" s="764"/>
      <c r="F268" s="684"/>
    </row>
    <row r="269" spans="2:8">
      <c r="B269" s="685">
        <v>21001</v>
      </c>
      <c r="C269" s="171" t="s">
        <v>1601</v>
      </c>
      <c r="D269" s="184" t="s">
        <v>556</v>
      </c>
      <c r="E269" s="185">
        <v>31800</v>
      </c>
      <c r="F269" s="758" t="s">
        <v>1677</v>
      </c>
      <c r="G269" s="759"/>
      <c r="H269" s="693">
        <v>40057</v>
      </c>
    </row>
    <row r="270" spans="2:8">
      <c r="B270" s="685"/>
      <c r="C270" s="171" t="s">
        <v>1602</v>
      </c>
      <c r="D270" s="184" t="s">
        <v>556</v>
      </c>
      <c r="E270" s="185">
        <v>24800</v>
      </c>
      <c r="F270" s="758" t="s">
        <v>1677</v>
      </c>
      <c r="G270" s="759"/>
      <c r="H270" s="693">
        <v>40057</v>
      </c>
    </row>
    <row r="271" spans="2:8">
      <c r="B271" s="685">
        <v>21002</v>
      </c>
      <c r="C271" s="171" t="s">
        <v>520</v>
      </c>
      <c r="D271" s="184" t="s">
        <v>556</v>
      </c>
      <c r="E271" s="185">
        <v>31210</v>
      </c>
      <c r="F271" s="758" t="s">
        <v>1677</v>
      </c>
      <c r="G271" s="759"/>
      <c r="H271" s="693">
        <v>40057</v>
      </c>
    </row>
    <row r="272" spans="2:8">
      <c r="B272" s="685">
        <v>21003</v>
      </c>
      <c r="C272" s="171" t="s">
        <v>523</v>
      </c>
      <c r="D272" s="184" t="s">
        <v>556</v>
      </c>
      <c r="E272" s="185">
        <v>26200</v>
      </c>
      <c r="F272" s="686"/>
    </row>
    <row r="273" spans="2:8">
      <c r="B273" s="685">
        <v>21004</v>
      </c>
      <c r="C273" s="171" t="s">
        <v>455</v>
      </c>
      <c r="D273" s="184" t="s">
        <v>556</v>
      </c>
      <c r="E273" s="185">
        <v>160909</v>
      </c>
      <c r="F273" s="686"/>
    </row>
    <row r="274" spans="2:8">
      <c r="B274" s="685">
        <v>21005</v>
      </c>
      <c r="C274" s="171" t="s">
        <v>526</v>
      </c>
      <c r="D274" s="184" t="s">
        <v>556</v>
      </c>
      <c r="E274" s="185">
        <v>26470</v>
      </c>
      <c r="F274" s="686"/>
    </row>
    <row r="275" spans="2:8">
      <c r="B275" s="685">
        <v>21006</v>
      </c>
      <c r="C275" s="171" t="s">
        <v>883</v>
      </c>
      <c r="D275" s="184" t="s">
        <v>865</v>
      </c>
      <c r="E275" s="185">
        <v>950</v>
      </c>
      <c r="F275" s="686"/>
    </row>
    <row r="276" spans="2:8">
      <c r="B276" s="685">
        <v>21007</v>
      </c>
      <c r="C276" s="171" t="s">
        <v>557</v>
      </c>
      <c r="D276" s="184" t="s">
        <v>865</v>
      </c>
      <c r="E276" s="185">
        <v>1300</v>
      </c>
      <c r="F276" s="686"/>
    </row>
    <row r="277" spans="2:8">
      <c r="B277" s="685">
        <v>21008</v>
      </c>
      <c r="C277" s="171" t="s">
        <v>558</v>
      </c>
      <c r="D277" s="184" t="s">
        <v>865</v>
      </c>
      <c r="E277" s="185">
        <v>2100</v>
      </c>
      <c r="F277" s="686"/>
    </row>
    <row r="278" spans="2:8">
      <c r="B278" s="685">
        <v>21009</v>
      </c>
      <c r="C278" s="171" t="s">
        <v>559</v>
      </c>
      <c r="D278" s="184" t="s">
        <v>865</v>
      </c>
      <c r="E278" s="185">
        <v>5950</v>
      </c>
      <c r="F278" s="686"/>
    </row>
    <row r="279" spans="2:8">
      <c r="B279" s="685">
        <v>21010</v>
      </c>
      <c r="C279" s="171" t="s">
        <v>560</v>
      </c>
      <c r="D279" s="184" t="s">
        <v>865</v>
      </c>
      <c r="E279" s="185">
        <v>11600</v>
      </c>
      <c r="F279" s="686"/>
    </row>
    <row r="280" spans="2:8">
      <c r="B280" s="685">
        <v>21011</v>
      </c>
      <c r="C280" s="171" t="s">
        <v>1603</v>
      </c>
      <c r="D280" s="184" t="s">
        <v>865</v>
      </c>
      <c r="E280" s="185">
        <v>7500</v>
      </c>
      <c r="F280" s="758" t="s">
        <v>1677</v>
      </c>
      <c r="G280" s="759"/>
      <c r="H280" s="693">
        <v>40057</v>
      </c>
    </row>
    <row r="281" spans="2:8">
      <c r="B281" s="685">
        <v>21012</v>
      </c>
      <c r="C281" s="171" t="s">
        <v>561</v>
      </c>
      <c r="D281" s="184" t="s">
        <v>865</v>
      </c>
      <c r="E281" s="185">
        <v>29100</v>
      </c>
      <c r="F281" s="686"/>
    </row>
    <row r="282" spans="2:8">
      <c r="B282" s="685">
        <v>21013</v>
      </c>
      <c r="C282" s="171" t="s">
        <v>1310</v>
      </c>
      <c r="D282" s="184" t="s">
        <v>556</v>
      </c>
      <c r="E282" s="185">
        <v>25000</v>
      </c>
      <c r="F282" s="686"/>
    </row>
    <row r="283" spans="2:8">
      <c r="B283" s="685">
        <v>21014</v>
      </c>
      <c r="C283" s="171" t="s">
        <v>517</v>
      </c>
      <c r="D283" s="184" t="s">
        <v>556</v>
      </c>
      <c r="E283" s="185">
        <v>21550</v>
      </c>
      <c r="F283" s="686"/>
    </row>
    <row r="284" spans="2:8">
      <c r="B284" s="685">
        <v>21015</v>
      </c>
      <c r="C284" s="171" t="s">
        <v>453</v>
      </c>
      <c r="D284" s="184" t="s">
        <v>556</v>
      </c>
      <c r="E284" s="185">
        <v>54800</v>
      </c>
      <c r="F284" s="758" t="s">
        <v>1677</v>
      </c>
      <c r="G284" s="759"/>
      <c r="H284" s="693">
        <v>40057</v>
      </c>
    </row>
    <row r="285" spans="2:8">
      <c r="B285" s="685">
        <v>21016</v>
      </c>
      <c r="C285" s="171" t="s">
        <v>454</v>
      </c>
      <c r="D285" s="184" t="s">
        <v>556</v>
      </c>
      <c r="E285" s="185">
        <v>56000</v>
      </c>
      <c r="F285" s="686"/>
    </row>
    <row r="286" spans="2:8">
      <c r="B286" s="685">
        <v>21017</v>
      </c>
      <c r="C286" s="171" t="s">
        <v>563</v>
      </c>
      <c r="D286" s="184" t="s">
        <v>865</v>
      </c>
      <c r="E286" s="185">
        <v>1000</v>
      </c>
      <c r="F286" s="758" t="s">
        <v>1677</v>
      </c>
      <c r="G286" s="759"/>
      <c r="H286" s="693">
        <v>40057</v>
      </c>
    </row>
    <row r="287" spans="2:8">
      <c r="B287" s="685">
        <v>21018</v>
      </c>
      <c r="C287" s="171" t="s">
        <v>562</v>
      </c>
      <c r="D287" s="184" t="s">
        <v>865</v>
      </c>
      <c r="E287" s="185">
        <v>1500</v>
      </c>
      <c r="F287" s="686"/>
    </row>
    <row r="288" spans="2:8">
      <c r="B288" s="685">
        <v>21019</v>
      </c>
      <c r="C288" s="171" t="s">
        <v>525</v>
      </c>
      <c r="D288" s="184" t="s">
        <v>556</v>
      </c>
      <c r="E288" s="185">
        <v>68200</v>
      </c>
      <c r="F288" s="686"/>
    </row>
    <row r="289" spans="2:11">
      <c r="B289" s="685">
        <v>21020</v>
      </c>
      <c r="C289" s="171" t="s">
        <v>1604</v>
      </c>
      <c r="D289" s="184" t="s">
        <v>925</v>
      </c>
      <c r="E289" s="185">
        <v>1500</v>
      </c>
      <c r="F289" s="686"/>
    </row>
    <row r="290" spans="2:11">
      <c r="B290" s="685">
        <v>21021</v>
      </c>
      <c r="C290" s="171" t="s">
        <v>940</v>
      </c>
      <c r="D290" s="184" t="s">
        <v>556</v>
      </c>
      <c r="E290" s="185">
        <v>108508</v>
      </c>
      <c r="F290" s="686"/>
    </row>
    <row r="291" spans="2:11">
      <c r="B291" s="685">
        <v>21022</v>
      </c>
      <c r="C291" s="171" t="s">
        <v>524</v>
      </c>
      <c r="D291" s="184" t="s">
        <v>556</v>
      </c>
      <c r="E291" s="185">
        <v>24820</v>
      </c>
      <c r="F291" s="686"/>
    </row>
    <row r="292" spans="2:11">
      <c r="B292" s="685">
        <v>21023</v>
      </c>
      <c r="C292" s="171" t="s">
        <v>518</v>
      </c>
      <c r="D292" s="184" t="s">
        <v>556</v>
      </c>
      <c r="E292" s="185">
        <v>22900</v>
      </c>
      <c r="F292" s="686"/>
    </row>
    <row r="293" spans="2:11">
      <c r="B293" s="685">
        <v>21024</v>
      </c>
      <c r="C293" s="171" t="s">
        <v>519</v>
      </c>
      <c r="D293" s="184" t="s">
        <v>556</v>
      </c>
      <c r="E293" s="185">
        <v>15000</v>
      </c>
      <c r="F293" s="758" t="s">
        <v>1677</v>
      </c>
      <c r="G293" s="759"/>
      <c r="H293" s="693">
        <v>40057</v>
      </c>
    </row>
    <row r="294" spans="2:11">
      <c r="B294" s="685">
        <v>21025</v>
      </c>
      <c r="C294" s="171" t="s">
        <v>452</v>
      </c>
      <c r="D294" s="184" t="s">
        <v>556</v>
      </c>
      <c r="E294" s="185">
        <v>33900</v>
      </c>
      <c r="F294" s="686"/>
    </row>
    <row r="295" spans="2:11">
      <c r="B295" s="685">
        <v>21026</v>
      </c>
      <c r="C295" s="171" t="s">
        <v>435</v>
      </c>
      <c r="D295" s="184" t="s">
        <v>556</v>
      </c>
      <c r="E295" s="185">
        <v>55000</v>
      </c>
      <c r="F295" s="758" t="s">
        <v>1677</v>
      </c>
      <c r="G295" s="759"/>
      <c r="H295" s="693">
        <v>40238</v>
      </c>
    </row>
    <row r="296" spans="2:11">
      <c r="B296" s="703">
        <v>21027</v>
      </c>
      <c r="C296" s="178" t="s">
        <v>436</v>
      </c>
      <c r="D296" s="234" t="s">
        <v>556</v>
      </c>
      <c r="E296" s="194">
        <v>82000</v>
      </c>
      <c r="F296" s="686"/>
    </row>
    <row r="297" spans="2:11">
      <c r="B297" s="685">
        <v>21028</v>
      </c>
      <c r="C297" s="171" t="s">
        <v>437</v>
      </c>
      <c r="D297" s="184" t="s">
        <v>556</v>
      </c>
      <c r="E297" s="185">
        <v>16000</v>
      </c>
      <c r="F297" s="686"/>
    </row>
    <row r="298" spans="2:11">
      <c r="B298" s="685">
        <v>21029</v>
      </c>
      <c r="C298" s="171" t="s">
        <v>438</v>
      </c>
      <c r="D298" s="184" t="s">
        <v>556</v>
      </c>
      <c r="E298" s="185">
        <v>25000</v>
      </c>
      <c r="F298" s="686"/>
    </row>
    <row r="299" spans="2:11">
      <c r="B299" s="685">
        <v>21030</v>
      </c>
      <c r="C299" s="171" t="s">
        <v>439</v>
      </c>
      <c r="D299" s="184" t="s">
        <v>556</v>
      </c>
      <c r="E299" s="185">
        <v>48000</v>
      </c>
      <c r="F299" s="686"/>
    </row>
    <row r="300" spans="2:11" ht="15" thickBot="1">
      <c r="B300" s="677"/>
      <c r="C300" s="677" t="s">
        <v>753</v>
      </c>
      <c r="D300" s="678"/>
      <c r="E300" s="185"/>
      <c r="F300" s="686"/>
    </row>
    <row r="301" spans="2:11" ht="15.75" thickTop="1" thickBot="1"/>
    <row r="302" spans="2:11" ht="13.5" thickTop="1">
      <c r="B302" s="765" t="s">
        <v>1044</v>
      </c>
      <c r="C302" s="766"/>
      <c r="D302" s="766"/>
      <c r="E302" s="767"/>
      <c r="F302" s="684"/>
    </row>
    <row r="303" spans="2:11">
      <c r="B303" s="685">
        <v>21101</v>
      </c>
      <c r="C303" s="175" t="s">
        <v>1605</v>
      </c>
      <c r="D303" s="184" t="s">
        <v>925</v>
      </c>
      <c r="E303" s="185">
        <f>H303/G303</f>
        <v>4142.5</v>
      </c>
      <c r="F303" s="686"/>
      <c r="G303" s="680">
        <v>20</v>
      </c>
      <c r="H303" s="680">
        <v>82850</v>
      </c>
      <c r="I303" s="758" t="s">
        <v>1677</v>
      </c>
      <c r="J303" s="759"/>
      <c r="K303" s="693">
        <v>40057</v>
      </c>
    </row>
    <row r="304" spans="2:11">
      <c r="B304" s="685">
        <v>21102</v>
      </c>
      <c r="C304" s="692" t="s">
        <v>573</v>
      </c>
      <c r="D304" s="184" t="s">
        <v>865</v>
      </c>
      <c r="E304" s="185">
        <v>10925</v>
      </c>
      <c r="F304" s="686"/>
    </row>
    <row r="305" spans="2:8">
      <c r="B305" s="685">
        <v>21103</v>
      </c>
      <c r="C305" s="175" t="s">
        <v>574</v>
      </c>
      <c r="D305" s="184" t="s">
        <v>865</v>
      </c>
      <c r="E305" s="185">
        <v>13455</v>
      </c>
      <c r="F305" s="686"/>
    </row>
    <row r="306" spans="2:8">
      <c r="B306" s="685">
        <v>21104</v>
      </c>
      <c r="C306" s="175" t="s">
        <v>575</v>
      </c>
      <c r="D306" s="184" t="s">
        <v>925</v>
      </c>
      <c r="E306" s="185">
        <v>7800</v>
      </c>
      <c r="F306" s="686"/>
    </row>
    <row r="307" spans="2:8">
      <c r="B307" s="685">
        <v>21105</v>
      </c>
      <c r="C307" s="175" t="s">
        <v>576</v>
      </c>
      <c r="D307" s="184" t="s">
        <v>925</v>
      </c>
      <c r="E307" s="185">
        <v>5175</v>
      </c>
      <c r="F307" s="686"/>
    </row>
    <row r="308" spans="2:8">
      <c r="B308" s="685">
        <v>21106</v>
      </c>
      <c r="C308" s="175" t="s">
        <v>637</v>
      </c>
      <c r="D308" s="184" t="s">
        <v>925</v>
      </c>
      <c r="E308" s="185">
        <v>3220</v>
      </c>
      <c r="F308" s="686"/>
    </row>
    <row r="309" spans="2:8">
      <c r="B309" s="685">
        <v>21107</v>
      </c>
      <c r="C309" s="692" t="s">
        <v>577</v>
      </c>
      <c r="D309" s="184" t="s">
        <v>865</v>
      </c>
      <c r="E309" s="185">
        <v>18975</v>
      </c>
      <c r="F309" s="686"/>
    </row>
    <row r="310" spans="2:8">
      <c r="B310" s="685">
        <v>21108</v>
      </c>
      <c r="C310" s="692" t="s">
        <v>578</v>
      </c>
      <c r="D310" s="184" t="s">
        <v>865</v>
      </c>
      <c r="E310" s="185">
        <v>15640</v>
      </c>
      <c r="F310" s="686"/>
    </row>
    <row r="311" spans="2:8">
      <c r="B311" s="685">
        <v>21109</v>
      </c>
      <c r="C311" s="692" t="s">
        <v>589</v>
      </c>
      <c r="D311" s="184" t="s">
        <v>865</v>
      </c>
      <c r="E311" s="185">
        <v>64400</v>
      </c>
      <c r="F311" s="686"/>
    </row>
    <row r="312" spans="2:8">
      <c r="B312" s="685">
        <v>21110</v>
      </c>
      <c r="C312" s="692" t="s">
        <v>590</v>
      </c>
      <c r="D312" s="184" t="s">
        <v>865</v>
      </c>
      <c r="E312" s="185">
        <v>77280</v>
      </c>
      <c r="F312" s="686"/>
    </row>
    <row r="313" spans="2:8">
      <c r="B313" s="685">
        <v>21111</v>
      </c>
      <c r="C313" s="692" t="s">
        <v>591</v>
      </c>
      <c r="D313" s="184" t="s">
        <v>865</v>
      </c>
      <c r="E313" s="185">
        <v>43700</v>
      </c>
      <c r="F313" s="686"/>
    </row>
    <row r="314" spans="2:8">
      <c r="B314" s="685">
        <v>21112</v>
      </c>
      <c r="C314" s="175" t="s">
        <v>451</v>
      </c>
      <c r="D314" s="184" t="s">
        <v>865</v>
      </c>
      <c r="E314" s="185">
        <v>253575</v>
      </c>
      <c r="F314" s="686"/>
    </row>
    <row r="315" spans="2:8">
      <c r="B315" s="685">
        <v>21113</v>
      </c>
      <c r="C315" s="175" t="s">
        <v>459</v>
      </c>
      <c r="D315" s="184" t="s">
        <v>865</v>
      </c>
      <c r="E315" s="185">
        <v>279450</v>
      </c>
      <c r="F315" s="686"/>
    </row>
    <row r="316" spans="2:8">
      <c r="B316" s="685">
        <v>21114</v>
      </c>
      <c r="C316" s="175" t="s">
        <v>601</v>
      </c>
      <c r="D316" s="184" t="s">
        <v>865</v>
      </c>
      <c r="E316" s="185">
        <v>25500</v>
      </c>
      <c r="F316" s="686"/>
      <c r="G316" s="680" t="s">
        <v>602</v>
      </c>
      <c r="H316" s="680">
        <v>129600</v>
      </c>
    </row>
    <row r="317" spans="2:8">
      <c r="B317" s="685">
        <v>21115</v>
      </c>
      <c r="C317" s="692" t="s">
        <v>446</v>
      </c>
      <c r="D317" s="184" t="s">
        <v>865</v>
      </c>
      <c r="E317" s="185">
        <v>11716</v>
      </c>
      <c r="F317" s="686"/>
    </row>
    <row r="318" spans="2:8">
      <c r="B318" s="685">
        <v>21116</v>
      </c>
      <c r="C318" s="175" t="s">
        <v>445</v>
      </c>
      <c r="D318" s="184" t="s">
        <v>865</v>
      </c>
      <c r="E318" s="185">
        <v>7656</v>
      </c>
      <c r="F318" s="686"/>
    </row>
    <row r="319" spans="2:8">
      <c r="B319" s="685">
        <v>21117</v>
      </c>
      <c r="C319" s="175" t="s">
        <v>450</v>
      </c>
      <c r="D319" s="184" t="s">
        <v>865</v>
      </c>
      <c r="E319" s="185">
        <v>46864</v>
      </c>
      <c r="F319" s="686"/>
    </row>
    <row r="320" spans="2:8">
      <c r="B320" s="685">
        <v>21118</v>
      </c>
      <c r="C320" s="175" t="s">
        <v>447</v>
      </c>
      <c r="D320" s="184" t="s">
        <v>865</v>
      </c>
      <c r="E320" s="185">
        <v>9512</v>
      </c>
      <c r="F320" s="686"/>
      <c r="H320" s="11"/>
    </row>
    <row r="321" spans="2:8">
      <c r="B321" s="685">
        <v>21119</v>
      </c>
      <c r="C321" s="175" t="s">
        <v>449</v>
      </c>
      <c r="D321" s="184" t="s">
        <v>865</v>
      </c>
      <c r="E321" s="185">
        <v>11275</v>
      </c>
      <c r="F321" s="686"/>
    </row>
    <row r="322" spans="2:8">
      <c r="B322" s="685">
        <v>21120</v>
      </c>
      <c r="C322" s="175" t="s">
        <v>448</v>
      </c>
      <c r="D322" s="184" t="s">
        <v>865</v>
      </c>
      <c r="E322" s="185">
        <v>20648</v>
      </c>
      <c r="F322" s="686"/>
      <c r="H322" s="11"/>
    </row>
    <row r="323" spans="2:8" ht="15" thickBot="1">
      <c r="B323" s="689">
        <v>21199</v>
      </c>
      <c r="C323" s="172" t="s">
        <v>798</v>
      </c>
      <c r="D323" s="186" t="s">
        <v>865</v>
      </c>
      <c r="E323" s="187">
        <v>5200</v>
      </c>
      <c r="F323" s="758" t="s">
        <v>1677</v>
      </c>
      <c r="G323" s="759"/>
      <c r="H323" s="693">
        <v>40057</v>
      </c>
    </row>
    <row r="324" spans="2:8" ht="15.75" thickTop="1" thickBot="1">
      <c r="H324" s="11"/>
    </row>
    <row r="325" spans="2:8" ht="13.5" thickTop="1">
      <c r="B325" s="762" t="s">
        <v>941</v>
      </c>
      <c r="C325" s="763"/>
      <c r="D325" s="763"/>
      <c r="E325" s="764"/>
      <c r="F325" s="684"/>
      <c r="H325" s="11"/>
    </row>
    <row r="326" spans="2:8">
      <c r="B326" s="685">
        <v>21201</v>
      </c>
      <c r="C326" s="171" t="s">
        <v>179</v>
      </c>
      <c r="D326" s="184" t="s">
        <v>865</v>
      </c>
      <c r="E326" s="185"/>
      <c r="F326" s="686"/>
      <c r="H326" s="11"/>
    </row>
    <row r="327" spans="2:8">
      <c r="B327" s="685">
        <v>21202</v>
      </c>
      <c r="C327" s="171" t="s">
        <v>180</v>
      </c>
      <c r="D327" s="184" t="s">
        <v>865</v>
      </c>
      <c r="E327" s="185"/>
      <c r="F327" s="686"/>
      <c r="H327" s="11"/>
    </row>
    <row r="328" spans="2:8">
      <c r="B328" s="685">
        <v>21203</v>
      </c>
      <c r="C328" s="171" t="s">
        <v>181</v>
      </c>
      <c r="D328" s="184" t="s">
        <v>865</v>
      </c>
      <c r="E328" s="185">
        <v>263500</v>
      </c>
      <c r="F328" s="686"/>
      <c r="H328" s="11"/>
    </row>
    <row r="329" spans="2:8">
      <c r="B329" s="685">
        <v>21204</v>
      </c>
      <c r="C329" s="171" t="s">
        <v>209</v>
      </c>
      <c r="D329" s="184" t="s">
        <v>865</v>
      </c>
      <c r="E329" s="185"/>
      <c r="F329" s="686"/>
      <c r="H329" s="11"/>
    </row>
    <row r="330" spans="2:8">
      <c r="B330" s="685">
        <v>21205</v>
      </c>
      <c r="C330" s="171" t="s">
        <v>890</v>
      </c>
      <c r="D330" s="184" t="s">
        <v>865</v>
      </c>
      <c r="E330" s="185">
        <v>180000</v>
      </c>
      <c r="F330" s="686"/>
      <c r="H330" s="11"/>
    </row>
    <row r="331" spans="2:8">
      <c r="B331" s="685">
        <v>21206</v>
      </c>
      <c r="C331" s="171" t="s">
        <v>97</v>
      </c>
      <c r="D331" s="184" t="s">
        <v>865</v>
      </c>
      <c r="E331" s="185">
        <v>151000</v>
      </c>
      <c r="F331" s="686"/>
      <c r="H331" s="11"/>
    </row>
    <row r="332" spans="2:8">
      <c r="B332" s="685">
        <v>21207</v>
      </c>
      <c r="C332" s="171" t="s">
        <v>210</v>
      </c>
      <c r="D332" s="184" t="s">
        <v>865</v>
      </c>
      <c r="E332" s="185"/>
      <c r="F332" s="686"/>
    </row>
    <row r="333" spans="2:8">
      <c r="B333" s="685">
        <v>21208</v>
      </c>
      <c r="C333" s="171" t="s">
        <v>213</v>
      </c>
      <c r="D333" s="184" t="s">
        <v>865</v>
      </c>
      <c r="E333" s="185"/>
      <c r="F333" s="686"/>
    </row>
    <row r="334" spans="2:8">
      <c r="B334" s="685">
        <v>21209</v>
      </c>
      <c r="C334" s="171" t="s">
        <v>211</v>
      </c>
      <c r="D334" s="184" t="s">
        <v>865</v>
      </c>
      <c r="E334" s="185"/>
      <c r="F334" s="686"/>
    </row>
    <row r="335" spans="2:8">
      <c r="B335" s="685">
        <v>21210</v>
      </c>
      <c r="C335" s="171" t="s">
        <v>212</v>
      </c>
      <c r="D335" s="184" t="s">
        <v>865</v>
      </c>
      <c r="E335" s="185">
        <v>178275</v>
      </c>
      <c r="F335" s="686"/>
    </row>
    <row r="336" spans="2:8">
      <c r="B336" s="685">
        <v>21211</v>
      </c>
      <c r="C336" s="171" t="s">
        <v>1141</v>
      </c>
      <c r="D336" s="184" t="s">
        <v>865</v>
      </c>
      <c r="E336" s="185"/>
      <c r="F336" s="686"/>
    </row>
    <row r="337" spans="2:6">
      <c r="B337" s="685">
        <v>21212</v>
      </c>
      <c r="C337" s="171" t="s">
        <v>891</v>
      </c>
      <c r="D337" s="184" t="s">
        <v>865</v>
      </c>
      <c r="E337" s="185">
        <v>110000</v>
      </c>
      <c r="F337" s="686"/>
    </row>
    <row r="338" spans="2:6">
      <c r="B338" s="685">
        <v>21213</v>
      </c>
      <c r="C338" s="171" t="s">
        <v>98</v>
      </c>
      <c r="D338" s="184" t="s">
        <v>865</v>
      </c>
      <c r="E338" s="185">
        <f>42000*1.16</f>
        <v>48720</v>
      </c>
      <c r="F338" s="686"/>
    </row>
    <row r="339" spans="2:6">
      <c r="B339" s="685">
        <v>21214</v>
      </c>
      <c r="C339" s="171" t="s">
        <v>225</v>
      </c>
      <c r="D339" s="184" t="s">
        <v>865</v>
      </c>
      <c r="E339" s="185"/>
      <c r="F339" s="686"/>
    </row>
    <row r="340" spans="2:6">
      <c r="B340" s="685">
        <v>21215</v>
      </c>
      <c r="C340" s="171" t="s">
        <v>226</v>
      </c>
      <c r="D340" s="184" t="s">
        <v>865</v>
      </c>
      <c r="E340" s="185"/>
      <c r="F340" s="686"/>
    </row>
    <row r="341" spans="2:6">
      <c r="B341" s="685">
        <v>21216</v>
      </c>
      <c r="C341" s="171" t="s">
        <v>227</v>
      </c>
      <c r="D341" s="184" t="s">
        <v>865</v>
      </c>
      <c r="E341" s="185"/>
      <c r="F341" s="686"/>
    </row>
    <row r="342" spans="2:6">
      <c r="B342" s="685">
        <v>21217</v>
      </c>
      <c r="C342" s="171" t="s">
        <v>228</v>
      </c>
      <c r="D342" s="184" t="s">
        <v>865</v>
      </c>
      <c r="E342" s="185"/>
      <c r="F342" s="686"/>
    </row>
    <row r="343" spans="2:6">
      <c r="B343" s="685">
        <v>21218</v>
      </c>
      <c r="C343" s="171" t="s">
        <v>592</v>
      </c>
      <c r="D343" s="184" t="s">
        <v>865</v>
      </c>
      <c r="E343" s="185">
        <v>53126</v>
      </c>
      <c r="F343" s="686"/>
    </row>
    <row r="344" spans="2:6">
      <c r="B344" s="685">
        <v>21219</v>
      </c>
      <c r="C344" s="171" t="s">
        <v>110</v>
      </c>
      <c r="D344" s="184" t="s">
        <v>865</v>
      </c>
      <c r="E344" s="185">
        <v>27000</v>
      </c>
      <c r="F344" s="686"/>
    </row>
    <row r="345" spans="2:6">
      <c r="B345" s="685">
        <v>21220</v>
      </c>
      <c r="C345" s="171" t="s">
        <v>99</v>
      </c>
      <c r="D345" s="184" t="s">
        <v>865</v>
      </c>
      <c r="E345" s="185">
        <v>215300</v>
      </c>
      <c r="F345" s="686"/>
    </row>
    <row r="346" spans="2:6">
      <c r="B346" s="685">
        <v>21221</v>
      </c>
      <c r="C346" s="171" t="s">
        <v>214</v>
      </c>
      <c r="D346" s="184" t="s">
        <v>865</v>
      </c>
      <c r="E346" s="185">
        <v>98000</v>
      </c>
      <c r="F346" s="686"/>
    </row>
    <row r="347" spans="2:6">
      <c r="B347" s="685">
        <v>21222</v>
      </c>
      <c r="C347" s="171" t="s">
        <v>215</v>
      </c>
      <c r="D347" s="184" t="s">
        <v>865</v>
      </c>
      <c r="E347" s="185"/>
      <c r="F347" s="686"/>
    </row>
    <row r="348" spans="2:6">
      <c r="B348" s="685">
        <v>21223</v>
      </c>
      <c r="C348" s="171" t="s">
        <v>942</v>
      </c>
      <c r="D348" s="184" t="s">
        <v>865</v>
      </c>
      <c r="E348" s="185"/>
      <c r="F348" s="686"/>
    </row>
    <row r="349" spans="2:6">
      <c r="B349" s="685">
        <v>21224</v>
      </c>
      <c r="C349" s="171" t="s">
        <v>943</v>
      </c>
      <c r="D349" s="184" t="s">
        <v>865</v>
      </c>
      <c r="E349" s="185"/>
      <c r="F349" s="686"/>
    </row>
    <row r="350" spans="2:6">
      <c r="B350" s="685">
        <v>21225</v>
      </c>
      <c r="C350" s="171" t="s">
        <v>944</v>
      </c>
      <c r="D350" s="184" t="s">
        <v>865</v>
      </c>
      <c r="E350" s="185"/>
      <c r="F350" s="686"/>
    </row>
    <row r="351" spans="2:6">
      <c r="B351" s="685">
        <v>21226</v>
      </c>
      <c r="C351" s="171" t="s">
        <v>945</v>
      </c>
      <c r="D351" s="184" t="s">
        <v>865</v>
      </c>
      <c r="E351" s="185">
        <v>69057</v>
      </c>
      <c r="F351" s="686"/>
    </row>
    <row r="352" spans="2:6">
      <c r="B352" s="685">
        <v>21227</v>
      </c>
      <c r="C352" s="171" t="s">
        <v>946</v>
      </c>
      <c r="D352" s="184" t="s">
        <v>865</v>
      </c>
      <c r="E352" s="185">
        <v>101121</v>
      </c>
      <c r="F352" s="686"/>
    </row>
    <row r="353" spans="2:6">
      <c r="B353" s="685">
        <v>21228</v>
      </c>
      <c r="C353" s="171" t="s">
        <v>947</v>
      </c>
      <c r="D353" s="184" t="s">
        <v>865</v>
      </c>
      <c r="E353" s="185">
        <v>222364</v>
      </c>
      <c r="F353" s="686"/>
    </row>
    <row r="354" spans="2:6">
      <c r="B354" s="685">
        <v>21229</v>
      </c>
      <c r="C354" s="704" t="s">
        <v>511</v>
      </c>
      <c r="D354" s="184" t="s">
        <v>865</v>
      </c>
      <c r="E354" s="185">
        <v>71000</v>
      </c>
      <c r="F354" s="686"/>
    </row>
    <row r="355" spans="2:6">
      <c r="B355" s="685">
        <v>21230</v>
      </c>
      <c r="C355" s="704" t="s">
        <v>510</v>
      </c>
      <c r="D355" s="184" t="s">
        <v>865</v>
      </c>
      <c r="E355" s="185">
        <v>91700</v>
      </c>
      <c r="F355" s="686"/>
    </row>
    <row r="356" spans="2:6">
      <c r="B356" s="685">
        <v>21231</v>
      </c>
      <c r="C356" s="704" t="s">
        <v>509</v>
      </c>
      <c r="D356" s="184" t="s">
        <v>865</v>
      </c>
      <c r="E356" s="185">
        <v>140000</v>
      </c>
      <c r="F356" s="686"/>
    </row>
    <row r="357" spans="2:6">
      <c r="B357" s="685">
        <v>21232</v>
      </c>
      <c r="C357" s="171" t="s">
        <v>624</v>
      </c>
      <c r="D357" s="184" t="s">
        <v>865</v>
      </c>
      <c r="E357" s="185">
        <v>120000</v>
      </c>
      <c r="F357" s="686"/>
    </row>
    <row r="358" spans="2:6">
      <c r="B358" s="685">
        <v>21233</v>
      </c>
      <c r="C358" s="171" t="s">
        <v>512</v>
      </c>
      <c r="D358" s="184" t="s">
        <v>865</v>
      </c>
      <c r="E358" s="185">
        <v>70000</v>
      </c>
      <c r="F358" s="686"/>
    </row>
    <row r="359" spans="2:6">
      <c r="B359" s="685">
        <v>21234</v>
      </c>
      <c r="C359" s="171" t="s">
        <v>625</v>
      </c>
      <c r="D359" s="184" t="s">
        <v>865</v>
      </c>
      <c r="E359" s="185">
        <v>22000</v>
      </c>
      <c r="F359" s="686"/>
    </row>
    <row r="360" spans="2:6">
      <c r="B360" s="685">
        <v>21235</v>
      </c>
      <c r="C360" s="171" t="s">
        <v>948</v>
      </c>
      <c r="D360" s="184" t="s">
        <v>865</v>
      </c>
      <c r="E360" s="185">
        <v>35000</v>
      </c>
      <c r="F360" s="686"/>
    </row>
    <row r="361" spans="2:6">
      <c r="B361" s="685">
        <v>21236</v>
      </c>
      <c r="C361" s="171" t="s">
        <v>626</v>
      </c>
      <c r="D361" s="184" t="s">
        <v>865</v>
      </c>
      <c r="E361" s="185">
        <v>23000</v>
      </c>
      <c r="F361" s="686"/>
    </row>
    <row r="362" spans="2:6">
      <c r="B362" s="685">
        <v>21237</v>
      </c>
      <c r="C362" s="171" t="s">
        <v>183</v>
      </c>
      <c r="D362" s="184" t="s">
        <v>865</v>
      </c>
      <c r="E362" s="185">
        <v>7150</v>
      </c>
      <c r="F362" s="686"/>
    </row>
    <row r="363" spans="2:6">
      <c r="B363" s="685">
        <v>21238</v>
      </c>
      <c r="C363" s="171" t="s">
        <v>184</v>
      </c>
      <c r="D363" s="184" t="s">
        <v>865</v>
      </c>
      <c r="E363" s="185">
        <v>56650</v>
      </c>
      <c r="F363" s="686"/>
    </row>
    <row r="364" spans="2:6">
      <c r="B364" s="685">
        <v>21239</v>
      </c>
      <c r="C364" s="171" t="s">
        <v>185</v>
      </c>
      <c r="D364" s="184" t="s">
        <v>865</v>
      </c>
      <c r="E364" s="185">
        <v>131120</v>
      </c>
      <c r="F364" s="686"/>
    </row>
    <row r="365" spans="2:6">
      <c r="B365" s="685">
        <v>21240</v>
      </c>
      <c r="C365" s="171" t="s">
        <v>186</v>
      </c>
      <c r="D365" s="184" t="s">
        <v>865</v>
      </c>
      <c r="E365" s="185">
        <v>193160</v>
      </c>
      <c r="F365" s="686"/>
    </row>
    <row r="366" spans="2:6">
      <c r="B366" s="685">
        <v>21241</v>
      </c>
      <c r="C366" s="171" t="s">
        <v>187</v>
      </c>
      <c r="D366" s="184" t="s">
        <v>865</v>
      </c>
      <c r="E366" s="185">
        <v>65000</v>
      </c>
      <c r="F366" s="686"/>
    </row>
    <row r="367" spans="2:6">
      <c r="B367" s="685">
        <v>21242</v>
      </c>
      <c r="C367" s="171" t="s">
        <v>188</v>
      </c>
      <c r="D367" s="184" t="s">
        <v>865</v>
      </c>
      <c r="E367" s="185">
        <v>200000</v>
      </c>
      <c r="F367" s="686"/>
    </row>
    <row r="368" spans="2:6">
      <c r="B368" s="685">
        <v>21243</v>
      </c>
      <c r="C368" s="171" t="s">
        <v>189</v>
      </c>
      <c r="D368" s="184" t="s">
        <v>865</v>
      </c>
      <c r="E368" s="185">
        <v>465000</v>
      </c>
      <c r="F368" s="686"/>
    </row>
    <row r="369" spans="2:6">
      <c r="B369" s="703">
        <v>21299</v>
      </c>
      <c r="C369" s="178" t="s">
        <v>103</v>
      </c>
      <c r="D369" s="234" t="s">
        <v>865</v>
      </c>
      <c r="E369" s="194">
        <v>50600</v>
      </c>
      <c r="F369" s="686"/>
    </row>
    <row r="370" spans="2:6">
      <c r="B370" s="685">
        <v>21300</v>
      </c>
      <c r="C370" s="171" t="s">
        <v>104</v>
      </c>
      <c r="D370" s="184" t="s">
        <v>865</v>
      </c>
      <c r="E370" s="185">
        <v>27700</v>
      </c>
      <c r="F370" s="686"/>
    </row>
    <row r="371" spans="2:6">
      <c r="B371" s="703">
        <v>21301</v>
      </c>
      <c r="C371" s="178" t="s">
        <v>106</v>
      </c>
      <c r="D371" s="234" t="s">
        <v>865</v>
      </c>
      <c r="E371" s="194">
        <v>50600</v>
      </c>
      <c r="F371" s="686"/>
    </row>
    <row r="372" spans="2:6" ht="15" thickBot="1">
      <c r="B372" s="689">
        <v>21302</v>
      </c>
      <c r="C372" s="172" t="s">
        <v>108</v>
      </c>
      <c r="D372" s="186" t="s">
        <v>865</v>
      </c>
      <c r="E372" s="187">
        <v>1945000</v>
      </c>
      <c r="F372" s="686"/>
    </row>
    <row r="373" spans="2:6" ht="15" thickTop="1">
      <c r="B373" s="174"/>
      <c r="C373" s="174"/>
      <c r="D373" s="190"/>
      <c r="E373" s="191"/>
      <c r="F373" s="686"/>
    </row>
    <row r="374" spans="2:6" ht="15" thickBot="1"/>
    <row r="375" spans="2:6" ht="13.5" thickTop="1">
      <c r="B375" s="762" t="s">
        <v>949</v>
      </c>
      <c r="C375" s="763"/>
      <c r="D375" s="763"/>
      <c r="E375" s="764"/>
      <c r="F375" s="684"/>
    </row>
    <row r="376" spans="2:6" ht="16.5">
      <c r="B376" s="685">
        <v>21301</v>
      </c>
      <c r="C376" s="171" t="s">
        <v>950</v>
      </c>
      <c r="D376" s="184" t="s">
        <v>458</v>
      </c>
      <c r="E376" s="185"/>
      <c r="F376" s="686"/>
    </row>
    <row r="377" spans="2:6" ht="16.5">
      <c r="B377" s="685">
        <v>21302</v>
      </c>
      <c r="C377" s="171" t="s">
        <v>951</v>
      </c>
      <c r="D377" s="184" t="s">
        <v>458</v>
      </c>
      <c r="E377" s="185"/>
      <c r="F377" s="686"/>
    </row>
    <row r="378" spans="2:6" ht="16.5">
      <c r="B378" s="685">
        <v>21303</v>
      </c>
      <c r="C378" s="171" t="s">
        <v>882</v>
      </c>
      <c r="D378" s="184" t="s">
        <v>458</v>
      </c>
      <c r="E378" s="185"/>
      <c r="F378" s="686"/>
    </row>
    <row r="379" spans="2:6">
      <c r="B379" s="685">
        <v>21304</v>
      </c>
      <c r="C379" s="171" t="s">
        <v>952</v>
      </c>
      <c r="D379" s="184" t="s">
        <v>865</v>
      </c>
      <c r="E379" s="185"/>
      <c r="F379" s="686"/>
    </row>
    <row r="380" spans="2:6">
      <c r="B380" s="685">
        <v>21305</v>
      </c>
      <c r="C380" s="171" t="s">
        <v>953</v>
      </c>
      <c r="D380" s="184" t="s">
        <v>865</v>
      </c>
      <c r="E380" s="185"/>
      <c r="F380" s="686"/>
    </row>
    <row r="381" spans="2:6">
      <c r="B381" s="685">
        <v>21306</v>
      </c>
      <c r="C381" s="171" t="s">
        <v>841</v>
      </c>
      <c r="D381" s="184" t="s">
        <v>841</v>
      </c>
      <c r="E381" s="185"/>
      <c r="F381" s="686"/>
    </row>
    <row r="382" spans="2:6" ht="15" thickBot="1">
      <c r="B382" s="689">
        <v>21399</v>
      </c>
      <c r="C382" s="172" t="s">
        <v>841</v>
      </c>
      <c r="D382" s="186" t="s">
        <v>841</v>
      </c>
      <c r="E382" s="187"/>
      <c r="F382" s="686"/>
    </row>
    <row r="383" spans="2:6" ht="15.75" thickTop="1" thickBot="1"/>
    <row r="384" spans="2:6" ht="13.5" thickTop="1">
      <c r="B384" s="762" t="s">
        <v>954</v>
      </c>
      <c r="C384" s="763"/>
      <c r="D384" s="763"/>
      <c r="E384" s="764"/>
      <c r="F384" s="684"/>
    </row>
    <row r="385" spans="2:8">
      <c r="B385" s="685">
        <v>21401</v>
      </c>
      <c r="C385" s="171" t="s">
        <v>800</v>
      </c>
      <c r="D385" s="184" t="s">
        <v>865</v>
      </c>
      <c r="E385" s="185">
        <v>17052</v>
      </c>
      <c r="F385" s="686"/>
    </row>
    <row r="386" spans="2:8">
      <c r="B386" s="685">
        <v>21402</v>
      </c>
      <c r="C386" s="171" t="s">
        <v>216</v>
      </c>
      <c r="D386" s="184" t="s">
        <v>865</v>
      </c>
      <c r="E386" s="185">
        <v>14400</v>
      </c>
      <c r="F386" s="758" t="s">
        <v>1677</v>
      </c>
      <c r="G386" s="759"/>
      <c r="H386" s="693">
        <v>40087</v>
      </c>
    </row>
    <row r="387" spans="2:8">
      <c r="B387" s="685">
        <v>21403</v>
      </c>
      <c r="C387" s="171" t="s">
        <v>801</v>
      </c>
      <c r="D387" s="184" t="s">
        <v>865</v>
      </c>
      <c r="E387" s="185">
        <v>27799</v>
      </c>
      <c r="F387" s="686"/>
    </row>
    <row r="388" spans="2:8">
      <c r="B388" s="685">
        <v>21404</v>
      </c>
      <c r="C388" s="171" t="s">
        <v>1606</v>
      </c>
      <c r="D388" s="184" t="s">
        <v>865</v>
      </c>
      <c r="E388" s="185">
        <v>21400</v>
      </c>
      <c r="F388" s="758" t="s">
        <v>1677</v>
      </c>
      <c r="G388" s="759"/>
      <c r="H388" s="693">
        <v>40087</v>
      </c>
    </row>
    <row r="389" spans="2:8">
      <c r="B389" s="685">
        <v>21405</v>
      </c>
      <c r="C389" s="171" t="s">
        <v>218</v>
      </c>
      <c r="D389" s="184" t="s">
        <v>865</v>
      </c>
      <c r="E389" s="185">
        <v>26700</v>
      </c>
      <c r="F389" s="758" t="s">
        <v>1677</v>
      </c>
      <c r="G389" s="759"/>
      <c r="H389" s="693">
        <v>40057</v>
      </c>
    </row>
    <row r="390" spans="2:8">
      <c r="B390" s="685">
        <v>21406</v>
      </c>
      <c r="C390" s="171" t="s">
        <v>219</v>
      </c>
      <c r="D390" s="184" t="s">
        <v>865</v>
      </c>
      <c r="E390" s="185">
        <v>35786</v>
      </c>
      <c r="F390" s="686"/>
    </row>
    <row r="391" spans="2:8">
      <c r="B391" s="685">
        <v>21407</v>
      </c>
      <c r="C391" s="171" t="s">
        <v>220</v>
      </c>
      <c r="D391" s="184" t="s">
        <v>865</v>
      </c>
      <c r="E391" s="185">
        <v>57414</v>
      </c>
      <c r="F391" s="686"/>
    </row>
    <row r="392" spans="2:8">
      <c r="B392" s="685">
        <v>21408</v>
      </c>
      <c r="C392" s="171" t="s">
        <v>221</v>
      </c>
      <c r="D392" s="184" t="s">
        <v>865</v>
      </c>
      <c r="E392" s="185">
        <v>7000</v>
      </c>
      <c r="F392" s="686"/>
    </row>
    <row r="393" spans="2:8">
      <c r="B393" s="685">
        <v>21409</v>
      </c>
      <c r="C393" s="171" t="s">
        <v>222</v>
      </c>
      <c r="D393" s="184" t="s">
        <v>865</v>
      </c>
      <c r="E393" s="185">
        <v>20000</v>
      </c>
      <c r="F393" s="686"/>
    </row>
    <row r="394" spans="2:8">
      <c r="B394" s="685">
        <v>21410</v>
      </c>
      <c r="C394" s="171" t="s">
        <v>223</v>
      </c>
      <c r="D394" s="184" t="s">
        <v>865</v>
      </c>
      <c r="E394" s="185">
        <v>22400</v>
      </c>
      <c r="F394" s="686"/>
    </row>
    <row r="395" spans="2:8">
      <c r="B395" s="685">
        <v>21411</v>
      </c>
      <c r="C395" s="171" t="s">
        <v>539</v>
      </c>
      <c r="D395" s="184" t="s">
        <v>865</v>
      </c>
      <c r="E395" s="185">
        <v>30918</v>
      </c>
      <c r="F395" s="686"/>
    </row>
    <row r="396" spans="2:8">
      <c r="B396" s="685">
        <v>21412</v>
      </c>
      <c r="C396" s="171" t="s">
        <v>540</v>
      </c>
      <c r="D396" s="184" t="s">
        <v>865</v>
      </c>
      <c r="E396" s="185">
        <v>27770</v>
      </c>
      <c r="F396" s="686"/>
    </row>
    <row r="397" spans="2:8">
      <c r="B397" s="685">
        <v>21413</v>
      </c>
      <c r="C397" s="171" t="s">
        <v>224</v>
      </c>
      <c r="D397" s="184" t="s">
        <v>865</v>
      </c>
      <c r="E397" s="185">
        <v>16165</v>
      </c>
      <c r="F397" s="686"/>
    </row>
    <row r="398" spans="2:8">
      <c r="B398" s="685">
        <v>21414</v>
      </c>
      <c r="C398" s="171" t="s">
        <v>541</v>
      </c>
      <c r="D398" s="184" t="s">
        <v>865</v>
      </c>
      <c r="E398" s="185">
        <v>8100</v>
      </c>
      <c r="F398" s="686"/>
    </row>
    <row r="399" spans="2:8">
      <c r="B399" s="685">
        <v>21415</v>
      </c>
      <c r="C399" s="171" t="s">
        <v>334</v>
      </c>
      <c r="D399" s="184" t="s">
        <v>865</v>
      </c>
      <c r="E399" s="185">
        <v>11700</v>
      </c>
      <c r="F399" s="686"/>
    </row>
    <row r="400" spans="2:8">
      <c r="B400" s="685">
        <v>21416</v>
      </c>
      <c r="C400" s="171" t="s">
        <v>333</v>
      </c>
      <c r="D400" s="184" t="s">
        <v>865</v>
      </c>
      <c r="E400" s="185">
        <v>72</v>
      </c>
      <c r="F400" s="686"/>
    </row>
    <row r="401" spans="2:6">
      <c r="B401" s="685">
        <v>21417</v>
      </c>
      <c r="C401" s="171" t="s">
        <v>879</v>
      </c>
      <c r="D401" s="184" t="s">
        <v>865</v>
      </c>
      <c r="E401" s="185">
        <v>322</v>
      </c>
      <c r="F401" s="686"/>
    </row>
    <row r="402" spans="2:6">
      <c r="B402" s="685">
        <v>21418</v>
      </c>
      <c r="C402" s="171" t="s">
        <v>515</v>
      </c>
      <c r="D402" s="184" t="s">
        <v>865</v>
      </c>
      <c r="E402" s="185">
        <v>350</v>
      </c>
      <c r="F402" s="686"/>
    </row>
    <row r="403" spans="2:6">
      <c r="B403" s="685">
        <v>21419</v>
      </c>
      <c r="C403" s="171" t="s">
        <v>506</v>
      </c>
      <c r="D403" s="184" t="s">
        <v>865</v>
      </c>
      <c r="E403" s="185">
        <v>400</v>
      </c>
      <c r="F403" s="686"/>
    </row>
    <row r="404" spans="2:6">
      <c r="B404" s="685">
        <v>21420</v>
      </c>
      <c r="C404" s="171" t="s">
        <v>507</v>
      </c>
      <c r="D404" s="184" t="s">
        <v>865</v>
      </c>
      <c r="E404" s="185">
        <v>350</v>
      </c>
      <c r="F404" s="686"/>
    </row>
    <row r="405" spans="2:6">
      <c r="B405" s="685">
        <v>21421</v>
      </c>
      <c r="C405" s="171" t="s">
        <v>508</v>
      </c>
      <c r="D405" s="184" t="s">
        <v>865</v>
      </c>
      <c r="E405" s="185">
        <v>400</v>
      </c>
      <c r="F405" s="686"/>
    </row>
    <row r="406" spans="2:6">
      <c r="B406" s="685">
        <v>21422</v>
      </c>
      <c r="C406" s="171" t="s">
        <v>514</v>
      </c>
      <c r="D406" s="184" t="s">
        <v>865</v>
      </c>
      <c r="E406" s="185">
        <v>350</v>
      </c>
      <c r="F406" s="686"/>
    </row>
    <row r="407" spans="2:6">
      <c r="B407" s="685">
        <v>21423</v>
      </c>
      <c r="C407" s="171" t="s">
        <v>465</v>
      </c>
      <c r="D407" s="184" t="s">
        <v>865</v>
      </c>
      <c r="E407" s="185">
        <v>49248</v>
      </c>
      <c r="F407" s="686"/>
    </row>
    <row r="408" spans="2:6">
      <c r="B408" s="685">
        <v>21424</v>
      </c>
      <c r="C408" s="171" t="s">
        <v>467</v>
      </c>
      <c r="D408" s="184" t="s">
        <v>865</v>
      </c>
      <c r="E408" s="185">
        <v>58084</v>
      </c>
      <c r="F408" s="686"/>
    </row>
    <row r="409" spans="2:6">
      <c r="B409" s="685">
        <v>21425</v>
      </c>
      <c r="C409" s="171" t="s">
        <v>468</v>
      </c>
      <c r="D409" s="184" t="s">
        <v>865</v>
      </c>
      <c r="E409" s="185">
        <v>61466</v>
      </c>
      <c r="F409" s="686"/>
    </row>
    <row r="410" spans="2:6">
      <c r="B410" s="685">
        <v>21426</v>
      </c>
      <c r="C410" s="171" t="s">
        <v>469</v>
      </c>
      <c r="D410" s="184" t="s">
        <v>865</v>
      </c>
      <c r="E410" s="185">
        <v>66056</v>
      </c>
      <c r="F410" s="686"/>
    </row>
    <row r="411" spans="2:6">
      <c r="B411" s="685">
        <v>21427</v>
      </c>
      <c r="C411" s="171" t="s">
        <v>485</v>
      </c>
      <c r="D411" s="184" t="s">
        <v>865</v>
      </c>
      <c r="E411" s="185">
        <v>71705</v>
      </c>
      <c r="F411" s="686"/>
    </row>
    <row r="412" spans="2:6">
      <c r="B412" s="685">
        <v>21428</v>
      </c>
      <c r="C412" s="171" t="s">
        <v>486</v>
      </c>
      <c r="D412" s="184" t="s">
        <v>865</v>
      </c>
      <c r="E412" s="185">
        <v>78054</v>
      </c>
      <c r="F412" s="686"/>
    </row>
    <row r="413" spans="2:6">
      <c r="B413" s="685">
        <v>21429</v>
      </c>
      <c r="C413" s="171" t="s">
        <v>487</v>
      </c>
      <c r="D413" s="184" t="s">
        <v>865</v>
      </c>
      <c r="E413" s="185">
        <v>100073</v>
      </c>
      <c r="F413" s="686"/>
    </row>
    <row r="414" spans="2:6">
      <c r="B414" s="685">
        <v>21430</v>
      </c>
      <c r="C414" s="171" t="s">
        <v>488</v>
      </c>
      <c r="D414" s="184" t="s">
        <v>865</v>
      </c>
      <c r="E414" s="185">
        <v>120002</v>
      </c>
      <c r="F414" s="686"/>
    </row>
    <row r="415" spans="2:6">
      <c r="B415" s="685">
        <v>21431</v>
      </c>
      <c r="C415" s="171" t="s">
        <v>489</v>
      </c>
      <c r="D415" s="184" t="s">
        <v>865</v>
      </c>
      <c r="E415" s="185">
        <v>148416</v>
      </c>
      <c r="F415" s="686"/>
    </row>
    <row r="416" spans="2:6">
      <c r="B416" s="685">
        <v>21432</v>
      </c>
      <c r="C416" s="171" t="s">
        <v>490</v>
      </c>
      <c r="D416" s="184" t="s">
        <v>865</v>
      </c>
      <c r="E416" s="185">
        <v>160985</v>
      </c>
      <c r="F416" s="686"/>
    </row>
    <row r="417" spans="2:8">
      <c r="B417" s="685">
        <v>21433</v>
      </c>
      <c r="C417" s="171" t="s">
        <v>1410</v>
      </c>
      <c r="D417" s="184" t="s">
        <v>865</v>
      </c>
      <c r="E417" s="185">
        <v>159396</v>
      </c>
      <c r="F417" s="686"/>
    </row>
    <row r="418" spans="2:8">
      <c r="B418" s="685">
        <v>21434</v>
      </c>
      <c r="C418" s="171" t="s">
        <v>491</v>
      </c>
      <c r="D418" s="184" t="s">
        <v>865</v>
      </c>
      <c r="E418" s="185">
        <v>255913</v>
      </c>
      <c r="F418" s="686"/>
    </row>
    <row r="419" spans="2:8">
      <c r="B419" s="685">
        <v>21435</v>
      </c>
      <c r="C419" s="171" t="s">
        <v>495</v>
      </c>
      <c r="D419" s="184" t="s">
        <v>865</v>
      </c>
      <c r="E419" s="185">
        <v>32574</v>
      </c>
      <c r="F419" s="686"/>
    </row>
    <row r="420" spans="2:8">
      <c r="B420" s="685">
        <v>21436</v>
      </c>
      <c r="C420" s="171" t="s">
        <v>496</v>
      </c>
      <c r="D420" s="184" t="s">
        <v>865</v>
      </c>
      <c r="E420" s="185">
        <v>58441</v>
      </c>
      <c r="F420" s="686"/>
    </row>
    <row r="421" spans="2:8">
      <c r="B421" s="685">
        <v>21437</v>
      </c>
      <c r="C421" s="171" t="s">
        <v>497</v>
      </c>
      <c r="D421" s="184" t="s">
        <v>865</v>
      </c>
      <c r="E421" s="185">
        <v>64898</v>
      </c>
      <c r="F421" s="686"/>
    </row>
    <row r="422" spans="2:8">
      <c r="B422" s="685">
        <v>21438</v>
      </c>
      <c r="C422" s="171" t="s">
        <v>498</v>
      </c>
      <c r="D422" s="184" t="s">
        <v>865</v>
      </c>
      <c r="E422" s="185">
        <v>77890</v>
      </c>
      <c r="F422" s="686"/>
    </row>
    <row r="423" spans="2:8">
      <c r="B423" s="685">
        <v>21439</v>
      </c>
      <c r="C423" s="171" t="s">
        <v>501</v>
      </c>
      <c r="D423" s="184" t="s">
        <v>865</v>
      </c>
      <c r="E423" s="185">
        <v>90853</v>
      </c>
      <c r="F423" s="686"/>
    </row>
    <row r="424" spans="2:8">
      <c r="B424" s="685">
        <v>21440</v>
      </c>
      <c r="C424" s="171" t="s">
        <v>502</v>
      </c>
      <c r="D424" s="184" t="s">
        <v>865</v>
      </c>
      <c r="E424" s="185">
        <v>103844</v>
      </c>
      <c r="F424" s="686"/>
    </row>
    <row r="425" spans="2:8">
      <c r="B425" s="685">
        <v>21441</v>
      </c>
      <c r="C425" s="171" t="s">
        <v>466</v>
      </c>
      <c r="D425" s="184" t="s">
        <v>865</v>
      </c>
      <c r="E425" s="185">
        <v>18417</v>
      </c>
      <c r="F425" s="686"/>
      <c r="H425" s="705"/>
    </row>
    <row r="426" spans="2:8">
      <c r="B426" s="685">
        <v>21442</v>
      </c>
      <c r="C426" s="171" t="s">
        <v>881</v>
      </c>
      <c r="D426" s="184" t="s">
        <v>865</v>
      </c>
      <c r="E426" s="185">
        <v>27553</v>
      </c>
      <c r="F426" s="686"/>
      <c r="H426" s="705"/>
    </row>
    <row r="427" spans="2:8">
      <c r="B427" s="685">
        <v>21443</v>
      </c>
      <c r="C427" s="178" t="s">
        <v>542</v>
      </c>
      <c r="D427" s="184" t="s">
        <v>865</v>
      </c>
      <c r="E427" s="194">
        <v>838</v>
      </c>
      <c r="F427" s="686"/>
    </row>
    <row r="428" spans="2:8">
      <c r="B428" s="685">
        <v>21444</v>
      </c>
      <c r="C428" s="178" t="s">
        <v>543</v>
      </c>
      <c r="D428" s="184" t="s">
        <v>865</v>
      </c>
      <c r="E428" s="194">
        <v>749</v>
      </c>
      <c r="F428" s="686"/>
    </row>
    <row r="429" spans="2:8">
      <c r="B429" s="685">
        <v>21445</v>
      </c>
      <c r="C429" s="178" t="s">
        <v>492</v>
      </c>
      <c r="D429" s="184" t="s">
        <v>865</v>
      </c>
      <c r="E429" s="194">
        <v>625</v>
      </c>
      <c r="F429" s="686"/>
    </row>
    <row r="430" spans="2:8">
      <c r="B430" s="685">
        <v>21446</v>
      </c>
      <c r="C430" s="178" t="s">
        <v>493</v>
      </c>
      <c r="D430" s="184" t="s">
        <v>865</v>
      </c>
      <c r="E430" s="194">
        <v>1021</v>
      </c>
      <c r="F430" s="686"/>
    </row>
    <row r="431" spans="2:8">
      <c r="B431" s="685">
        <v>21447</v>
      </c>
      <c r="C431" s="178" t="s">
        <v>494</v>
      </c>
      <c r="D431" s="184" t="s">
        <v>865</v>
      </c>
      <c r="E431" s="194">
        <v>749</v>
      </c>
      <c r="F431" s="686"/>
    </row>
    <row r="432" spans="2:8">
      <c r="B432" s="685">
        <v>21448</v>
      </c>
      <c r="C432" s="178" t="s">
        <v>544</v>
      </c>
      <c r="D432" s="184" t="s">
        <v>865</v>
      </c>
      <c r="E432" s="194">
        <v>2871</v>
      </c>
      <c r="F432" s="686"/>
    </row>
    <row r="433" spans="2:8">
      <c r="B433" s="685">
        <v>21449</v>
      </c>
      <c r="C433" s="178" t="s">
        <v>503</v>
      </c>
      <c r="D433" s="184" t="s">
        <v>865</v>
      </c>
      <c r="E433" s="194">
        <v>175</v>
      </c>
      <c r="F433" s="686"/>
    </row>
    <row r="434" spans="2:8">
      <c r="B434" s="685">
        <v>21450</v>
      </c>
      <c r="C434" s="178" t="s">
        <v>504</v>
      </c>
      <c r="D434" s="184" t="s">
        <v>865</v>
      </c>
      <c r="E434" s="194">
        <v>230</v>
      </c>
      <c r="F434" s="686"/>
    </row>
    <row r="435" spans="2:8" ht="15" thickBot="1">
      <c r="B435" s="689">
        <v>21499</v>
      </c>
      <c r="C435" s="172" t="s">
        <v>841</v>
      </c>
      <c r="D435" s="186" t="s">
        <v>841</v>
      </c>
      <c r="E435" s="187"/>
      <c r="F435" s="686"/>
      <c r="H435" s="11"/>
    </row>
    <row r="436" spans="2:8" ht="15.75" thickTop="1" thickBot="1"/>
    <row r="437" spans="2:8" ht="13.5" thickTop="1">
      <c r="B437" s="762" t="s">
        <v>1045</v>
      </c>
      <c r="C437" s="763"/>
      <c r="D437" s="763"/>
      <c r="E437" s="764"/>
      <c r="F437" s="684"/>
    </row>
    <row r="438" spans="2:8">
      <c r="B438" s="685">
        <v>21501</v>
      </c>
      <c r="C438" s="171" t="s">
        <v>1171</v>
      </c>
      <c r="D438" s="184" t="s">
        <v>865</v>
      </c>
      <c r="E438" s="185">
        <v>2279</v>
      </c>
      <c r="F438" s="686"/>
    </row>
    <row r="439" spans="2:8">
      <c r="B439" s="685">
        <v>21502</v>
      </c>
      <c r="C439" s="171" t="s">
        <v>1170</v>
      </c>
      <c r="D439" s="184" t="s">
        <v>865</v>
      </c>
      <c r="E439" s="185">
        <v>1946</v>
      </c>
      <c r="F439" s="686"/>
    </row>
    <row r="440" spans="2:8">
      <c r="B440" s="685">
        <v>21503</v>
      </c>
      <c r="C440" s="171" t="s">
        <v>1169</v>
      </c>
      <c r="D440" s="184" t="s">
        <v>865</v>
      </c>
      <c r="E440" s="185">
        <v>641</v>
      </c>
      <c r="F440" s="686"/>
    </row>
    <row r="441" spans="2:8">
      <c r="B441" s="685">
        <v>21504</v>
      </c>
      <c r="C441" s="171" t="s">
        <v>957</v>
      </c>
      <c r="D441" s="184" t="s">
        <v>865</v>
      </c>
      <c r="E441" s="185">
        <v>212</v>
      </c>
      <c r="F441" s="686"/>
    </row>
    <row r="442" spans="2:8">
      <c r="B442" s="685">
        <v>21505</v>
      </c>
      <c r="C442" s="171" t="s">
        <v>1172</v>
      </c>
      <c r="D442" s="184" t="s">
        <v>865</v>
      </c>
      <c r="E442" s="185">
        <v>3305</v>
      </c>
      <c r="F442" s="686"/>
    </row>
    <row r="443" spans="2:8">
      <c r="B443" s="685">
        <v>21506</v>
      </c>
      <c r="C443" s="171" t="s">
        <v>1173</v>
      </c>
      <c r="D443" s="184" t="s">
        <v>865</v>
      </c>
      <c r="E443" s="185">
        <v>5200</v>
      </c>
      <c r="F443" s="686"/>
    </row>
    <row r="444" spans="2:8">
      <c r="B444" s="685">
        <v>21507</v>
      </c>
      <c r="C444" s="171" t="s">
        <v>958</v>
      </c>
      <c r="D444" s="184" t="s">
        <v>865</v>
      </c>
      <c r="E444" s="185">
        <v>283</v>
      </c>
      <c r="F444" s="686"/>
    </row>
    <row r="445" spans="2:8">
      <c r="B445" s="685">
        <v>21508</v>
      </c>
      <c r="C445" s="171" t="s">
        <v>969</v>
      </c>
      <c r="D445" s="184" t="s">
        <v>865</v>
      </c>
      <c r="E445" s="185">
        <v>2644</v>
      </c>
      <c r="F445" s="686"/>
    </row>
    <row r="446" spans="2:8">
      <c r="B446" s="685">
        <v>21509</v>
      </c>
      <c r="C446" s="171" t="s">
        <v>959</v>
      </c>
      <c r="D446" s="184" t="s">
        <v>831</v>
      </c>
      <c r="E446" s="185">
        <v>1191</v>
      </c>
      <c r="F446" s="686"/>
    </row>
    <row r="447" spans="2:8">
      <c r="B447" s="685">
        <v>21510</v>
      </c>
      <c r="C447" s="171" t="s">
        <v>960</v>
      </c>
      <c r="D447" s="184" t="s">
        <v>831</v>
      </c>
      <c r="E447" s="185">
        <v>1000</v>
      </c>
      <c r="F447" s="758" t="s">
        <v>1677</v>
      </c>
      <c r="G447" s="759"/>
      <c r="H447" s="693">
        <v>40057</v>
      </c>
    </row>
    <row r="448" spans="2:8">
      <c r="B448" s="685">
        <v>21511</v>
      </c>
      <c r="C448" s="171" t="s">
        <v>961</v>
      </c>
      <c r="D448" s="184" t="s">
        <v>831</v>
      </c>
      <c r="E448" s="185">
        <v>700</v>
      </c>
      <c r="F448" s="758" t="s">
        <v>1677</v>
      </c>
      <c r="G448" s="759"/>
      <c r="H448" s="693">
        <v>40057</v>
      </c>
    </row>
    <row r="449" spans="2:8">
      <c r="B449" s="685">
        <v>21512</v>
      </c>
      <c r="C449" s="171" t="s">
        <v>659</v>
      </c>
      <c r="D449" s="184" t="s">
        <v>831</v>
      </c>
      <c r="E449" s="185">
        <v>398</v>
      </c>
      <c r="F449" s="686"/>
    </row>
    <row r="450" spans="2:8">
      <c r="B450" s="685">
        <v>21513</v>
      </c>
      <c r="C450" s="171" t="s">
        <v>843</v>
      </c>
      <c r="D450" s="184" t="s">
        <v>831</v>
      </c>
      <c r="E450" s="185">
        <v>297</v>
      </c>
      <c r="F450" s="686"/>
    </row>
    <row r="451" spans="2:8">
      <c r="B451" s="685">
        <v>21514</v>
      </c>
      <c r="C451" s="171" t="s">
        <v>1434</v>
      </c>
      <c r="D451" s="184" t="s">
        <v>865</v>
      </c>
      <c r="E451" s="185">
        <v>2200</v>
      </c>
      <c r="F451" s="686"/>
    </row>
    <row r="452" spans="2:8">
      <c r="B452" s="685">
        <v>21515</v>
      </c>
      <c r="C452" s="171" t="s">
        <v>642</v>
      </c>
      <c r="D452" s="184" t="s">
        <v>865</v>
      </c>
      <c r="E452" s="185">
        <v>10000</v>
      </c>
      <c r="F452" s="758" t="s">
        <v>1677</v>
      </c>
      <c r="G452" s="759"/>
      <c r="H452" s="693">
        <v>40057</v>
      </c>
    </row>
    <row r="453" spans="2:8">
      <c r="B453" s="685">
        <v>21516</v>
      </c>
      <c r="C453" s="171" t="s">
        <v>644</v>
      </c>
      <c r="D453" s="184" t="s">
        <v>865</v>
      </c>
      <c r="E453" s="185">
        <v>20000</v>
      </c>
      <c r="F453" s="686"/>
    </row>
    <row r="454" spans="2:8">
      <c r="B454" s="685">
        <v>21517</v>
      </c>
      <c r="C454" s="171" t="s">
        <v>643</v>
      </c>
      <c r="D454" s="184" t="s">
        <v>865</v>
      </c>
      <c r="E454" s="185">
        <v>8000</v>
      </c>
      <c r="F454" s="686"/>
    </row>
    <row r="455" spans="2:8">
      <c r="B455" s="685">
        <v>21518</v>
      </c>
      <c r="C455" s="171" t="s">
        <v>646</v>
      </c>
      <c r="D455" s="184" t="s">
        <v>865</v>
      </c>
      <c r="E455" s="185">
        <v>48000</v>
      </c>
      <c r="F455" s="686"/>
    </row>
    <row r="456" spans="2:8">
      <c r="B456" s="685">
        <v>21519</v>
      </c>
      <c r="C456" s="171" t="s">
        <v>645</v>
      </c>
      <c r="D456" s="184" t="s">
        <v>865</v>
      </c>
      <c r="E456" s="185">
        <v>48000</v>
      </c>
      <c r="F456" s="686"/>
    </row>
    <row r="457" spans="2:8">
      <c r="B457" s="685">
        <v>21520</v>
      </c>
      <c r="C457" s="171" t="s">
        <v>849</v>
      </c>
      <c r="D457" s="184" t="s">
        <v>831</v>
      </c>
      <c r="E457" s="185">
        <v>3487</v>
      </c>
      <c r="F457" s="686"/>
    </row>
    <row r="458" spans="2:8">
      <c r="B458" s="685">
        <v>21521</v>
      </c>
      <c r="C458" s="171" t="s">
        <v>850</v>
      </c>
      <c r="D458" s="184" t="s">
        <v>831</v>
      </c>
      <c r="E458" s="185">
        <v>2551</v>
      </c>
      <c r="F458" s="686"/>
    </row>
    <row r="459" spans="2:8">
      <c r="B459" s="685">
        <v>21522</v>
      </c>
      <c r="C459" s="171" t="s">
        <v>851</v>
      </c>
      <c r="D459" s="184" t="s">
        <v>831</v>
      </c>
      <c r="E459" s="185">
        <v>1518</v>
      </c>
      <c r="F459" s="686"/>
    </row>
    <row r="460" spans="2:8">
      <c r="B460" s="685">
        <v>21523</v>
      </c>
      <c r="C460" s="171" t="s">
        <v>852</v>
      </c>
      <c r="D460" s="184" t="s">
        <v>831</v>
      </c>
      <c r="E460" s="185">
        <v>1163</v>
      </c>
      <c r="F460" s="686"/>
    </row>
    <row r="461" spans="2:8">
      <c r="B461" s="685">
        <v>21524</v>
      </c>
      <c r="C461" s="171" t="s">
        <v>1219</v>
      </c>
      <c r="D461" s="184" t="s">
        <v>831</v>
      </c>
      <c r="E461" s="185">
        <v>8000</v>
      </c>
      <c r="F461" s="686"/>
    </row>
    <row r="462" spans="2:8">
      <c r="B462" s="685">
        <v>21525</v>
      </c>
      <c r="C462" s="171" t="s">
        <v>1220</v>
      </c>
      <c r="D462" s="184" t="s">
        <v>831</v>
      </c>
      <c r="E462" s="185">
        <v>5100</v>
      </c>
      <c r="F462" s="686"/>
    </row>
    <row r="463" spans="2:8">
      <c r="B463" s="685">
        <v>21526</v>
      </c>
      <c r="C463" s="171" t="s">
        <v>845</v>
      </c>
      <c r="D463" s="184" t="s">
        <v>831</v>
      </c>
      <c r="E463" s="185">
        <v>10000</v>
      </c>
      <c r="F463" s="686"/>
    </row>
    <row r="464" spans="2:8">
      <c r="B464" s="685">
        <v>21527</v>
      </c>
      <c r="C464" s="171" t="s">
        <v>844</v>
      </c>
      <c r="D464" s="184" t="s">
        <v>831</v>
      </c>
      <c r="E464" s="185">
        <v>3300</v>
      </c>
      <c r="F464" s="686"/>
    </row>
    <row r="465" spans="2:6">
      <c r="B465" s="685">
        <v>21528</v>
      </c>
      <c r="C465" s="171" t="s">
        <v>660</v>
      </c>
      <c r="D465" s="184" t="s">
        <v>831</v>
      </c>
      <c r="E465" s="185">
        <v>2100</v>
      </c>
      <c r="F465" s="686"/>
    </row>
    <row r="466" spans="2:6">
      <c r="B466" s="685">
        <v>21529</v>
      </c>
      <c r="C466" s="171" t="s">
        <v>661</v>
      </c>
      <c r="D466" s="184" t="s">
        <v>831</v>
      </c>
      <c r="E466" s="185">
        <v>1200</v>
      </c>
      <c r="F466" s="686"/>
    </row>
    <row r="467" spans="2:6">
      <c r="B467" s="685">
        <v>21530</v>
      </c>
      <c r="C467" s="171" t="s">
        <v>962</v>
      </c>
      <c r="D467" s="184" t="s">
        <v>831</v>
      </c>
      <c r="E467" s="185">
        <v>600</v>
      </c>
      <c r="F467" s="686"/>
    </row>
    <row r="468" spans="2:6">
      <c r="B468" s="685">
        <v>21531</v>
      </c>
      <c r="C468" s="171" t="s">
        <v>708</v>
      </c>
      <c r="D468" s="184" t="s">
        <v>831</v>
      </c>
      <c r="E468" s="185">
        <v>2154</v>
      </c>
      <c r="F468" s="686"/>
    </row>
    <row r="469" spans="2:6">
      <c r="B469" s="685">
        <v>21532</v>
      </c>
      <c r="C469" s="171" t="s">
        <v>1221</v>
      </c>
      <c r="D469" s="184" t="s">
        <v>831</v>
      </c>
      <c r="E469" s="185">
        <v>300</v>
      </c>
      <c r="F469" s="686"/>
    </row>
    <row r="470" spans="2:6">
      <c r="B470" s="685">
        <v>21533</v>
      </c>
      <c r="C470" s="171" t="s">
        <v>1213</v>
      </c>
      <c r="D470" s="184" t="s">
        <v>831</v>
      </c>
      <c r="E470" s="185">
        <v>680</v>
      </c>
      <c r="F470" s="686"/>
    </row>
    <row r="471" spans="2:6">
      <c r="B471" s="685">
        <v>21534</v>
      </c>
      <c r="C471" s="171" t="s">
        <v>655</v>
      </c>
      <c r="D471" s="184" t="s">
        <v>865</v>
      </c>
      <c r="E471" s="185">
        <v>45000</v>
      </c>
      <c r="F471" s="686"/>
    </row>
    <row r="472" spans="2:6">
      <c r="B472" s="685">
        <v>21535</v>
      </c>
      <c r="C472" s="171" t="s">
        <v>639</v>
      </c>
      <c r="D472" s="184" t="s">
        <v>865</v>
      </c>
      <c r="E472" s="185">
        <v>1000</v>
      </c>
      <c r="F472" s="686"/>
    </row>
    <row r="473" spans="2:6">
      <c r="B473" s="685">
        <v>21536</v>
      </c>
      <c r="C473" s="171" t="s">
        <v>638</v>
      </c>
      <c r="D473" s="184" t="s">
        <v>865</v>
      </c>
      <c r="E473" s="185">
        <v>1800</v>
      </c>
      <c r="F473" s="686"/>
    </row>
    <row r="474" spans="2:6">
      <c r="B474" s="685">
        <v>21537</v>
      </c>
      <c r="C474" s="171" t="s">
        <v>1181</v>
      </c>
      <c r="D474" s="184" t="s">
        <v>865</v>
      </c>
      <c r="E474" s="185">
        <v>600</v>
      </c>
      <c r="F474" s="686"/>
    </row>
    <row r="475" spans="2:6">
      <c r="B475" s="685">
        <v>21538</v>
      </c>
      <c r="C475" s="171" t="s">
        <v>1182</v>
      </c>
      <c r="D475" s="184" t="s">
        <v>865</v>
      </c>
      <c r="E475" s="185">
        <v>1200</v>
      </c>
      <c r="F475" s="686"/>
    </row>
    <row r="476" spans="2:6">
      <c r="B476" s="685">
        <v>21539</v>
      </c>
      <c r="C476" s="171" t="s">
        <v>640</v>
      </c>
      <c r="D476" s="184" t="s">
        <v>865</v>
      </c>
      <c r="E476" s="185">
        <v>500</v>
      </c>
      <c r="F476" s="686"/>
    </row>
    <row r="477" spans="2:6">
      <c r="B477" s="685">
        <v>21540</v>
      </c>
      <c r="C477" s="171" t="s">
        <v>641</v>
      </c>
      <c r="D477" s="184" t="s">
        <v>865</v>
      </c>
      <c r="E477" s="185">
        <v>1300</v>
      </c>
      <c r="F477" s="686"/>
    </row>
    <row r="478" spans="2:6">
      <c r="B478" s="685">
        <v>21541</v>
      </c>
      <c r="C478" s="171" t="s">
        <v>344</v>
      </c>
      <c r="D478" s="184" t="s">
        <v>865</v>
      </c>
      <c r="E478" s="185">
        <v>1200</v>
      </c>
      <c r="F478" s="686"/>
    </row>
    <row r="479" spans="2:6">
      <c r="B479" s="685">
        <v>21542</v>
      </c>
      <c r="C479" s="171" t="s">
        <v>345</v>
      </c>
      <c r="D479" s="184" t="s">
        <v>865</v>
      </c>
      <c r="E479" s="185">
        <v>1700</v>
      </c>
      <c r="F479" s="686"/>
    </row>
    <row r="480" spans="2:6">
      <c r="B480" s="685">
        <v>21543</v>
      </c>
      <c r="C480" s="171" t="s">
        <v>346</v>
      </c>
      <c r="D480" s="184" t="s">
        <v>865</v>
      </c>
      <c r="E480" s="185">
        <v>5200</v>
      </c>
      <c r="F480" s="686"/>
    </row>
    <row r="481" spans="2:6">
      <c r="B481" s="685">
        <v>21544</v>
      </c>
      <c r="C481" s="171" t="s">
        <v>347</v>
      </c>
      <c r="D481" s="184" t="s">
        <v>865</v>
      </c>
      <c r="E481" s="185">
        <v>1400</v>
      </c>
      <c r="F481" s="686"/>
    </row>
    <row r="482" spans="2:6">
      <c r="B482" s="685">
        <v>21545</v>
      </c>
      <c r="C482" s="171" t="s">
        <v>1183</v>
      </c>
      <c r="D482" s="184" t="s">
        <v>865</v>
      </c>
      <c r="E482" s="185">
        <v>9000</v>
      </c>
      <c r="F482" s="686"/>
    </row>
    <row r="483" spans="2:6">
      <c r="B483" s="685">
        <v>21546</v>
      </c>
      <c r="C483" s="171" t="s">
        <v>1185</v>
      </c>
      <c r="D483" s="184" t="s">
        <v>865</v>
      </c>
      <c r="E483" s="185">
        <v>29254</v>
      </c>
      <c r="F483" s="686"/>
    </row>
    <row r="484" spans="2:6">
      <c r="B484" s="685">
        <v>21547</v>
      </c>
      <c r="C484" s="171" t="s">
        <v>1184</v>
      </c>
      <c r="D484" s="184" t="s">
        <v>865</v>
      </c>
      <c r="E484" s="185">
        <v>21500</v>
      </c>
      <c r="F484" s="686"/>
    </row>
    <row r="485" spans="2:6">
      <c r="B485" s="685">
        <v>21548</v>
      </c>
      <c r="C485" s="171" t="s">
        <v>505</v>
      </c>
      <c r="D485" s="184" t="s">
        <v>865</v>
      </c>
      <c r="E485" s="185">
        <v>5500</v>
      </c>
      <c r="F485" s="686"/>
    </row>
    <row r="486" spans="2:6">
      <c r="B486" s="685">
        <v>21549</v>
      </c>
      <c r="C486" s="171" t="s">
        <v>718</v>
      </c>
      <c r="D486" s="184" t="s">
        <v>865</v>
      </c>
      <c r="E486" s="185">
        <v>74580</v>
      </c>
      <c r="F486" s="686"/>
    </row>
    <row r="487" spans="2:6">
      <c r="B487" s="685">
        <v>21550</v>
      </c>
      <c r="C487" s="171" t="s">
        <v>671</v>
      </c>
      <c r="D487" s="184" t="s">
        <v>865</v>
      </c>
      <c r="E487" s="185">
        <v>2362</v>
      </c>
      <c r="F487" s="686"/>
    </row>
    <row r="488" spans="2:6">
      <c r="B488" s="685">
        <v>21551</v>
      </c>
      <c r="C488" s="171" t="s">
        <v>349</v>
      </c>
      <c r="D488" s="184" t="s">
        <v>865</v>
      </c>
      <c r="E488" s="185">
        <v>110000</v>
      </c>
      <c r="F488" s="686"/>
    </row>
    <row r="489" spans="2:6">
      <c r="B489" s="685">
        <v>21552</v>
      </c>
      <c r="C489" s="171" t="s">
        <v>717</v>
      </c>
      <c r="D489" s="184" t="s">
        <v>865</v>
      </c>
      <c r="E489" s="185">
        <v>340000</v>
      </c>
      <c r="F489" s="686"/>
    </row>
    <row r="490" spans="2:6">
      <c r="B490" s="685">
        <v>21553</v>
      </c>
      <c r="C490" s="171" t="s">
        <v>197</v>
      </c>
      <c r="D490" s="184" t="s">
        <v>865</v>
      </c>
      <c r="E490" s="185">
        <v>375000</v>
      </c>
      <c r="F490" s="686"/>
    </row>
    <row r="491" spans="2:6">
      <c r="B491" s="685">
        <v>21554</v>
      </c>
      <c r="C491" s="171" t="s">
        <v>709</v>
      </c>
      <c r="D491" s="184" t="s">
        <v>865</v>
      </c>
      <c r="E491" s="185">
        <v>255000</v>
      </c>
      <c r="F491" s="686"/>
    </row>
    <row r="492" spans="2:6">
      <c r="B492" s="685">
        <v>21555</v>
      </c>
      <c r="C492" s="171" t="s">
        <v>987</v>
      </c>
      <c r="D492" s="184" t="s">
        <v>865</v>
      </c>
      <c r="E492" s="185">
        <v>40000</v>
      </c>
      <c r="F492" s="686"/>
    </row>
    <row r="493" spans="2:6">
      <c r="B493" s="685">
        <v>21556</v>
      </c>
      <c r="C493" s="171" t="s">
        <v>1178</v>
      </c>
      <c r="D493" s="184" t="s">
        <v>865</v>
      </c>
      <c r="E493" s="185">
        <v>4954</v>
      </c>
      <c r="F493" s="686"/>
    </row>
    <row r="494" spans="2:6">
      <c r="B494" s="685">
        <v>21557</v>
      </c>
      <c r="C494" s="171" t="s">
        <v>1177</v>
      </c>
      <c r="D494" s="184" t="s">
        <v>865</v>
      </c>
      <c r="E494" s="185">
        <v>3421</v>
      </c>
      <c r="F494" s="686"/>
    </row>
    <row r="495" spans="2:6">
      <c r="B495" s="685">
        <v>21558</v>
      </c>
      <c r="C495" s="171" t="s">
        <v>1176</v>
      </c>
      <c r="D495" s="184" t="s">
        <v>865</v>
      </c>
      <c r="E495" s="185">
        <v>1944</v>
      </c>
      <c r="F495" s="686"/>
    </row>
    <row r="496" spans="2:6">
      <c r="B496" s="685">
        <v>21559</v>
      </c>
      <c r="C496" s="171" t="s">
        <v>1174</v>
      </c>
      <c r="D496" s="184" t="s">
        <v>865</v>
      </c>
      <c r="E496" s="185">
        <v>463</v>
      </c>
      <c r="F496" s="686"/>
    </row>
    <row r="497" spans="2:6">
      <c r="B497" s="685">
        <v>21560</v>
      </c>
      <c r="C497" s="171" t="s">
        <v>1179</v>
      </c>
      <c r="D497" s="184" t="s">
        <v>865</v>
      </c>
      <c r="E497" s="185">
        <v>9147</v>
      </c>
      <c r="F497" s="686"/>
    </row>
    <row r="498" spans="2:6">
      <c r="B498" s="685">
        <v>21561</v>
      </c>
      <c r="C498" s="171" t="s">
        <v>1180</v>
      </c>
      <c r="D498" s="184" t="s">
        <v>865</v>
      </c>
      <c r="E498" s="185">
        <v>14000</v>
      </c>
      <c r="F498" s="686"/>
    </row>
    <row r="499" spans="2:6">
      <c r="B499" s="685">
        <v>21562</v>
      </c>
      <c r="C499" s="171" t="s">
        <v>1175</v>
      </c>
      <c r="D499" s="184" t="s">
        <v>865</v>
      </c>
      <c r="E499" s="185">
        <v>1016</v>
      </c>
      <c r="F499" s="686"/>
    </row>
    <row r="500" spans="2:6">
      <c r="B500" s="685">
        <v>21563</v>
      </c>
      <c r="C500" s="171" t="s">
        <v>955</v>
      </c>
      <c r="D500" s="184" t="s">
        <v>865</v>
      </c>
      <c r="E500" s="185">
        <v>463</v>
      </c>
      <c r="F500" s="686"/>
    </row>
    <row r="501" spans="2:6">
      <c r="B501" s="685">
        <v>21564</v>
      </c>
      <c r="C501" s="171" t="s">
        <v>956</v>
      </c>
      <c r="D501" s="184" t="s">
        <v>865</v>
      </c>
      <c r="E501" s="185">
        <v>1016</v>
      </c>
      <c r="F501" s="686"/>
    </row>
    <row r="502" spans="2:6">
      <c r="B502" s="685">
        <v>21565</v>
      </c>
      <c r="C502" s="171" t="s">
        <v>711</v>
      </c>
      <c r="D502" s="184" t="s">
        <v>865</v>
      </c>
      <c r="E502" s="185">
        <v>225000</v>
      </c>
      <c r="F502" s="686"/>
    </row>
    <row r="503" spans="2:6">
      <c r="B503" s="685">
        <v>21566</v>
      </c>
      <c r="C503" s="171" t="s">
        <v>847</v>
      </c>
      <c r="D503" s="184" t="s">
        <v>865</v>
      </c>
      <c r="E503" s="185">
        <v>245000</v>
      </c>
      <c r="F503" s="686"/>
    </row>
    <row r="504" spans="2:6">
      <c r="B504" s="685">
        <v>21567</v>
      </c>
      <c r="C504" s="171" t="s">
        <v>710</v>
      </c>
      <c r="D504" s="184" t="s">
        <v>865</v>
      </c>
      <c r="E504" s="185">
        <v>25000</v>
      </c>
      <c r="F504" s="686"/>
    </row>
    <row r="505" spans="2:6">
      <c r="B505" s="685">
        <v>21568</v>
      </c>
      <c r="C505" s="171" t="s">
        <v>658</v>
      </c>
      <c r="D505" s="184" t="s">
        <v>925</v>
      </c>
      <c r="E505" s="185">
        <v>4290</v>
      </c>
      <c r="F505" s="686"/>
    </row>
    <row r="506" spans="2:6">
      <c r="B506" s="685">
        <v>21569</v>
      </c>
      <c r="C506" s="171" t="s">
        <v>647</v>
      </c>
      <c r="D506" s="184" t="s">
        <v>865</v>
      </c>
      <c r="E506" s="185">
        <v>4800</v>
      </c>
      <c r="F506" s="686"/>
    </row>
    <row r="507" spans="2:6">
      <c r="B507" s="685">
        <v>21570</v>
      </c>
      <c r="C507" s="171" t="s">
        <v>648</v>
      </c>
      <c r="D507" s="184" t="s">
        <v>865</v>
      </c>
      <c r="E507" s="185">
        <v>2500</v>
      </c>
      <c r="F507" s="686"/>
    </row>
    <row r="508" spans="2:6">
      <c r="B508" s="685">
        <v>21571</v>
      </c>
      <c r="C508" s="171" t="s">
        <v>1211</v>
      </c>
      <c r="D508" s="184" t="s">
        <v>865</v>
      </c>
      <c r="E508" s="185">
        <v>5362</v>
      </c>
      <c r="F508" s="686"/>
    </row>
    <row r="509" spans="2:6">
      <c r="B509" s="685">
        <v>21572</v>
      </c>
      <c r="C509" s="171" t="s">
        <v>1212</v>
      </c>
      <c r="D509" s="184" t="s">
        <v>865</v>
      </c>
      <c r="E509" s="185">
        <v>7859</v>
      </c>
      <c r="F509" s="686"/>
    </row>
    <row r="510" spans="2:6">
      <c r="B510" s="685">
        <v>21573</v>
      </c>
      <c r="C510" s="171" t="s">
        <v>964</v>
      </c>
      <c r="D510" s="184" t="s">
        <v>865</v>
      </c>
      <c r="E510" s="185">
        <v>10638</v>
      </c>
      <c r="F510" s="686"/>
    </row>
    <row r="511" spans="2:6">
      <c r="B511" s="685">
        <v>21574</v>
      </c>
      <c r="C511" s="171" t="s">
        <v>963</v>
      </c>
      <c r="D511" s="184" t="s">
        <v>865</v>
      </c>
      <c r="E511" s="185">
        <v>5500</v>
      </c>
      <c r="F511" s="686"/>
    </row>
    <row r="512" spans="2:6">
      <c r="B512" s="685">
        <v>21575</v>
      </c>
      <c r="C512" s="171" t="s">
        <v>712</v>
      </c>
      <c r="D512" s="184" t="s">
        <v>865</v>
      </c>
      <c r="E512" s="185">
        <v>18000</v>
      </c>
      <c r="F512" s="686"/>
    </row>
    <row r="513" spans="2:6">
      <c r="B513" s="685">
        <v>21576</v>
      </c>
      <c r="C513" s="235" t="s">
        <v>714</v>
      </c>
      <c r="D513" s="184" t="s">
        <v>865</v>
      </c>
      <c r="E513" s="193">
        <v>67300</v>
      </c>
      <c r="F513" s="686"/>
    </row>
    <row r="514" spans="2:6">
      <c r="B514" s="685">
        <v>21577</v>
      </c>
      <c r="C514" s="235" t="s">
        <v>499</v>
      </c>
      <c r="D514" s="184" t="s">
        <v>865</v>
      </c>
      <c r="E514" s="193">
        <v>23861</v>
      </c>
      <c r="F514" s="686"/>
    </row>
    <row r="515" spans="2:6">
      <c r="B515" s="685">
        <v>21578</v>
      </c>
      <c r="C515" s="235" t="s">
        <v>713</v>
      </c>
      <c r="D515" s="184" t="s">
        <v>865</v>
      </c>
      <c r="E515" s="193">
        <v>57600</v>
      </c>
      <c r="F515" s="686"/>
    </row>
    <row r="516" spans="2:6">
      <c r="B516" s="685">
        <v>21579</v>
      </c>
      <c r="C516" s="171" t="s">
        <v>715</v>
      </c>
      <c r="D516" s="184" t="s">
        <v>865</v>
      </c>
      <c r="E516" s="185">
        <v>4000</v>
      </c>
      <c r="F516" s="686"/>
    </row>
    <row r="517" spans="2:6">
      <c r="B517" s="685">
        <v>21580</v>
      </c>
      <c r="C517" s="171" t="s">
        <v>716</v>
      </c>
      <c r="D517" s="184" t="s">
        <v>865</v>
      </c>
      <c r="E517" s="185">
        <v>19500</v>
      </c>
      <c r="F517" s="686"/>
    </row>
    <row r="518" spans="2:6">
      <c r="B518" s="685">
        <v>21581</v>
      </c>
      <c r="C518" s="171" t="s">
        <v>636</v>
      </c>
      <c r="D518" s="184" t="s">
        <v>865</v>
      </c>
      <c r="E518" s="185">
        <v>1318</v>
      </c>
      <c r="F518" s="686"/>
    </row>
    <row r="519" spans="2:6">
      <c r="B519" s="685">
        <v>21582</v>
      </c>
      <c r="C519" s="171" t="s">
        <v>635</v>
      </c>
      <c r="D519" s="184" t="s">
        <v>865</v>
      </c>
      <c r="E519" s="185">
        <v>1160</v>
      </c>
      <c r="F519" s="686"/>
    </row>
    <row r="520" spans="2:6">
      <c r="B520" s="685">
        <v>21583</v>
      </c>
      <c r="C520" s="171" t="s">
        <v>985</v>
      </c>
      <c r="D520" s="184" t="s">
        <v>865</v>
      </c>
      <c r="E520" s="185"/>
      <c r="F520" s="686"/>
    </row>
    <row r="521" spans="2:6">
      <c r="B521" s="685">
        <v>21584</v>
      </c>
      <c r="C521" s="171" t="s">
        <v>986</v>
      </c>
      <c r="D521" s="184" t="s">
        <v>865</v>
      </c>
      <c r="E521" s="185"/>
      <c r="F521" s="686"/>
    </row>
    <row r="522" spans="2:6">
      <c r="B522" s="685">
        <v>21585</v>
      </c>
      <c r="C522" s="171" t="s">
        <v>656</v>
      </c>
      <c r="D522" s="184" t="s">
        <v>865</v>
      </c>
      <c r="E522" s="185">
        <v>4722</v>
      </c>
      <c r="F522" s="686"/>
    </row>
    <row r="523" spans="2:6">
      <c r="B523" s="685">
        <v>21586</v>
      </c>
      <c r="C523" s="171" t="s">
        <v>968</v>
      </c>
      <c r="D523" s="184" t="s">
        <v>865</v>
      </c>
      <c r="E523" s="185">
        <v>4400</v>
      </c>
      <c r="F523" s="686"/>
    </row>
    <row r="524" spans="2:6">
      <c r="B524" s="685">
        <v>21587</v>
      </c>
      <c r="C524" s="171" t="s">
        <v>719</v>
      </c>
      <c r="D524" s="184" t="s">
        <v>865</v>
      </c>
      <c r="E524" s="185">
        <v>28000</v>
      </c>
      <c r="F524" s="686"/>
    </row>
    <row r="525" spans="2:6">
      <c r="B525" s="685">
        <v>21588</v>
      </c>
      <c r="C525" s="171" t="s">
        <v>720</v>
      </c>
      <c r="D525" s="184" t="s">
        <v>865</v>
      </c>
      <c r="E525" s="185">
        <v>77000</v>
      </c>
      <c r="F525" s="686"/>
    </row>
    <row r="526" spans="2:6">
      <c r="B526" s="685">
        <v>21589</v>
      </c>
      <c r="C526" s="171" t="s">
        <v>722</v>
      </c>
      <c r="D526" s="184" t="s">
        <v>865</v>
      </c>
      <c r="E526" s="185">
        <v>92000</v>
      </c>
      <c r="F526" s="686"/>
    </row>
    <row r="527" spans="2:6">
      <c r="B527" s="685">
        <v>21590</v>
      </c>
      <c r="C527" s="171" t="s">
        <v>721</v>
      </c>
      <c r="D527" s="184" t="s">
        <v>865</v>
      </c>
      <c r="E527" s="185">
        <v>35000</v>
      </c>
      <c r="F527" s="686"/>
    </row>
    <row r="528" spans="2:6">
      <c r="B528" s="685">
        <v>21591</v>
      </c>
      <c r="C528" s="171" t="s">
        <v>500</v>
      </c>
      <c r="D528" s="184" t="s">
        <v>865</v>
      </c>
      <c r="E528" s="185">
        <v>99000</v>
      </c>
      <c r="F528" s="686"/>
    </row>
    <row r="529" spans="2:6">
      <c r="B529" s="685">
        <v>21592</v>
      </c>
      <c r="C529" s="171" t="s">
        <v>1215</v>
      </c>
      <c r="D529" s="184" t="s">
        <v>865</v>
      </c>
      <c r="E529" s="185">
        <v>25000</v>
      </c>
      <c r="F529" s="686"/>
    </row>
    <row r="530" spans="2:6">
      <c r="B530" s="685">
        <v>21593</v>
      </c>
      <c r="C530" s="171" t="s">
        <v>1216</v>
      </c>
      <c r="D530" s="184" t="s">
        <v>865</v>
      </c>
      <c r="E530" s="185">
        <v>16000</v>
      </c>
      <c r="F530" s="686"/>
    </row>
    <row r="531" spans="2:6">
      <c r="B531" s="685">
        <v>21594</v>
      </c>
      <c r="C531" s="171" t="s">
        <v>1214</v>
      </c>
      <c r="D531" s="184" t="s">
        <v>865</v>
      </c>
      <c r="E531" s="185">
        <v>9500</v>
      </c>
      <c r="F531" s="686"/>
    </row>
    <row r="532" spans="2:6">
      <c r="B532" s="685">
        <v>21595</v>
      </c>
      <c r="C532" s="171" t="s">
        <v>836</v>
      </c>
      <c r="D532" s="184" t="s">
        <v>865</v>
      </c>
      <c r="E532" s="185">
        <v>9500</v>
      </c>
      <c r="F532" s="686"/>
    </row>
    <row r="533" spans="2:6">
      <c r="B533" s="685">
        <v>21596</v>
      </c>
      <c r="C533" s="171" t="s">
        <v>348</v>
      </c>
      <c r="D533" s="184" t="s">
        <v>865</v>
      </c>
      <c r="E533" s="185">
        <v>14000</v>
      </c>
      <c r="F533" s="686"/>
    </row>
    <row r="534" spans="2:6">
      <c r="B534" s="685">
        <v>21597</v>
      </c>
      <c r="C534" s="171" t="s">
        <v>907</v>
      </c>
      <c r="D534" s="184" t="s">
        <v>865</v>
      </c>
      <c r="E534" s="185">
        <v>22000</v>
      </c>
      <c r="F534" s="686"/>
    </row>
    <row r="535" spans="2:6">
      <c r="B535" s="685">
        <v>21598</v>
      </c>
      <c r="C535" s="171" t="s">
        <v>967</v>
      </c>
      <c r="D535" s="184" t="s">
        <v>865</v>
      </c>
      <c r="E535" s="185">
        <v>9000</v>
      </c>
      <c r="F535" s="686"/>
    </row>
    <row r="536" spans="2:6">
      <c r="B536" s="685">
        <v>21599</v>
      </c>
      <c r="C536" s="171" t="s">
        <v>966</v>
      </c>
      <c r="D536" s="184" t="s">
        <v>865</v>
      </c>
      <c r="E536" s="185">
        <v>3500</v>
      </c>
      <c r="F536" s="686"/>
    </row>
    <row r="537" spans="2:6">
      <c r="B537" s="685">
        <v>21600</v>
      </c>
      <c r="C537" s="171" t="s">
        <v>732</v>
      </c>
      <c r="D537" s="184" t="s">
        <v>865</v>
      </c>
      <c r="E537" s="185">
        <v>9925</v>
      </c>
      <c r="F537" s="686"/>
    </row>
    <row r="538" spans="2:6">
      <c r="B538" s="685">
        <v>21601</v>
      </c>
      <c r="C538" s="171" t="s">
        <v>650</v>
      </c>
      <c r="D538" s="184" t="s">
        <v>865</v>
      </c>
      <c r="E538" s="185">
        <v>3500</v>
      </c>
      <c r="F538" s="686"/>
    </row>
    <row r="539" spans="2:6">
      <c r="B539" s="685">
        <v>21602</v>
      </c>
      <c r="C539" s="171" t="s">
        <v>649</v>
      </c>
      <c r="D539" s="184" t="s">
        <v>865</v>
      </c>
      <c r="E539" s="185">
        <v>7757</v>
      </c>
      <c r="F539" s="686"/>
    </row>
    <row r="540" spans="2:6">
      <c r="B540" s="685">
        <v>21603</v>
      </c>
      <c r="C540" s="171" t="s">
        <v>965</v>
      </c>
      <c r="D540" s="184" t="s">
        <v>865</v>
      </c>
      <c r="E540" s="185">
        <v>6010</v>
      </c>
      <c r="F540" s="686"/>
    </row>
    <row r="541" spans="2:6">
      <c r="B541" s="685">
        <v>21604</v>
      </c>
      <c r="C541" s="171" t="s">
        <v>654</v>
      </c>
      <c r="D541" s="184" t="s">
        <v>865</v>
      </c>
      <c r="E541" s="185">
        <v>8000</v>
      </c>
      <c r="F541" s="686"/>
    </row>
    <row r="542" spans="2:6">
      <c r="B542" s="685">
        <v>21605</v>
      </c>
      <c r="C542" s="171" t="s">
        <v>198</v>
      </c>
      <c r="D542" s="184" t="s">
        <v>865</v>
      </c>
      <c r="E542" s="185">
        <v>2151800</v>
      </c>
      <c r="F542" s="686"/>
    </row>
    <row r="543" spans="2:6">
      <c r="B543" s="685">
        <v>21606</v>
      </c>
      <c r="C543" s="171" t="s">
        <v>199</v>
      </c>
      <c r="D543" s="184" t="s">
        <v>865</v>
      </c>
      <c r="E543" s="185">
        <v>3502805</v>
      </c>
      <c r="F543" s="686"/>
    </row>
    <row r="544" spans="2:6">
      <c r="B544" s="685">
        <v>21607</v>
      </c>
      <c r="C544" s="171" t="s">
        <v>200</v>
      </c>
      <c r="D544" s="184" t="s">
        <v>865</v>
      </c>
      <c r="E544" s="185">
        <v>4005000</v>
      </c>
      <c r="F544" s="686"/>
    </row>
    <row r="545" spans="2:6">
      <c r="B545" s="685">
        <v>21608</v>
      </c>
      <c r="C545" s="171" t="s">
        <v>1203</v>
      </c>
      <c r="D545" s="184" t="s">
        <v>831</v>
      </c>
      <c r="E545" s="185">
        <v>1125</v>
      </c>
      <c r="F545" s="686"/>
    </row>
    <row r="546" spans="2:6">
      <c r="B546" s="685">
        <v>21609</v>
      </c>
      <c r="C546" s="171" t="s">
        <v>657</v>
      </c>
      <c r="D546" s="184" t="s">
        <v>865</v>
      </c>
      <c r="E546" s="185">
        <v>33500</v>
      </c>
      <c r="F546" s="686"/>
    </row>
    <row r="547" spans="2:6">
      <c r="B547" s="685">
        <v>21610</v>
      </c>
      <c r="C547" s="171" t="s">
        <v>1200</v>
      </c>
      <c r="D547" s="184" t="s">
        <v>865</v>
      </c>
      <c r="E547" s="185">
        <v>18352</v>
      </c>
      <c r="F547" s="686"/>
    </row>
    <row r="548" spans="2:6">
      <c r="B548" s="685">
        <v>21611</v>
      </c>
      <c r="C548" s="171" t="s">
        <v>1199</v>
      </c>
      <c r="D548" s="184" t="s">
        <v>865</v>
      </c>
      <c r="E548" s="185">
        <v>14396</v>
      </c>
      <c r="F548" s="686"/>
    </row>
    <row r="549" spans="2:6">
      <c r="B549" s="685">
        <v>21612</v>
      </c>
      <c r="C549" s="171" t="s">
        <v>1198</v>
      </c>
      <c r="D549" s="184" t="s">
        <v>865</v>
      </c>
      <c r="E549" s="185">
        <v>9315</v>
      </c>
      <c r="F549" s="686"/>
    </row>
    <row r="550" spans="2:6">
      <c r="B550" s="685">
        <v>21613</v>
      </c>
      <c r="C550" s="171" t="s">
        <v>1197</v>
      </c>
      <c r="D550" s="184" t="s">
        <v>865</v>
      </c>
      <c r="E550" s="185">
        <v>5134</v>
      </c>
      <c r="F550" s="686"/>
    </row>
    <row r="551" spans="2:6">
      <c r="B551" s="685">
        <v>21614</v>
      </c>
      <c r="C551" s="171" t="s">
        <v>1201</v>
      </c>
      <c r="D551" s="184" t="s">
        <v>865</v>
      </c>
      <c r="E551" s="185">
        <v>28225</v>
      </c>
      <c r="F551" s="686"/>
    </row>
    <row r="552" spans="2:6">
      <c r="B552" s="685">
        <v>21615</v>
      </c>
      <c r="C552" s="171" t="s">
        <v>1202</v>
      </c>
      <c r="D552" s="184" t="s">
        <v>865</v>
      </c>
      <c r="E552" s="185">
        <v>35600</v>
      </c>
      <c r="F552" s="686"/>
    </row>
    <row r="553" spans="2:6">
      <c r="B553" s="685">
        <v>21616</v>
      </c>
      <c r="C553" s="171" t="s">
        <v>1196</v>
      </c>
      <c r="D553" s="190" t="s">
        <v>865</v>
      </c>
      <c r="E553" s="185">
        <v>6722</v>
      </c>
      <c r="F553" s="686"/>
    </row>
    <row r="554" spans="2:6">
      <c r="B554" s="685">
        <v>21617</v>
      </c>
      <c r="C554" s="178" t="s">
        <v>723</v>
      </c>
      <c r="D554" s="184" t="s">
        <v>865</v>
      </c>
      <c r="E554" s="194">
        <v>20776</v>
      </c>
      <c r="F554" s="686"/>
    </row>
    <row r="555" spans="2:6">
      <c r="B555" s="685">
        <v>21618</v>
      </c>
      <c r="C555" s="178" t="s">
        <v>724</v>
      </c>
      <c r="D555" s="184" t="s">
        <v>865</v>
      </c>
      <c r="E555" s="194">
        <v>26000</v>
      </c>
      <c r="F555" s="686"/>
    </row>
    <row r="556" spans="2:6">
      <c r="B556" s="685">
        <v>21619</v>
      </c>
      <c r="C556" s="178" t="s">
        <v>848</v>
      </c>
      <c r="D556" s="234" t="s">
        <v>865</v>
      </c>
      <c r="E556" s="194">
        <v>160000</v>
      </c>
      <c r="F556" s="686"/>
    </row>
    <row r="557" spans="2:6" ht="15" thickBot="1">
      <c r="B557" s="689">
        <v>21699</v>
      </c>
      <c r="C557" s="172"/>
      <c r="D557" s="186"/>
      <c r="E557" s="187"/>
      <c r="F557" s="686"/>
    </row>
    <row r="558" spans="2:6" ht="15.75" thickTop="1" thickBot="1"/>
    <row r="559" spans="2:6" ht="13.5" thickTop="1">
      <c r="B559" s="762" t="s">
        <v>1168</v>
      </c>
      <c r="C559" s="763"/>
      <c r="D559" s="763"/>
      <c r="E559" s="764"/>
      <c r="F559" s="684"/>
    </row>
    <row r="560" spans="2:6">
      <c r="B560" s="685">
        <v>21701</v>
      </c>
      <c r="C560" s="171" t="s">
        <v>1142</v>
      </c>
      <c r="D560" s="184" t="s">
        <v>831</v>
      </c>
      <c r="E560" s="185">
        <v>4294</v>
      </c>
      <c r="F560" s="686"/>
    </row>
    <row r="561" spans="2:6">
      <c r="B561" s="685">
        <v>21702</v>
      </c>
      <c r="C561" s="171" t="s">
        <v>1143</v>
      </c>
      <c r="D561" s="184" t="s">
        <v>865</v>
      </c>
      <c r="E561" s="185">
        <v>4341</v>
      </c>
      <c r="F561" s="686"/>
    </row>
    <row r="562" spans="2:6">
      <c r="B562" s="685">
        <v>21703</v>
      </c>
      <c r="C562" s="171" t="s">
        <v>855</v>
      </c>
      <c r="D562" s="184" t="s">
        <v>831</v>
      </c>
      <c r="E562" s="185">
        <v>6254</v>
      </c>
      <c r="F562" s="686"/>
    </row>
    <row r="563" spans="2:6">
      <c r="B563" s="685">
        <v>21704</v>
      </c>
      <c r="C563" s="171" t="s">
        <v>1144</v>
      </c>
      <c r="D563" s="184" t="s">
        <v>865</v>
      </c>
      <c r="E563" s="185">
        <v>5773</v>
      </c>
      <c r="F563" s="686"/>
    </row>
    <row r="564" spans="2:6">
      <c r="B564" s="685">
        <v>21705</v>
      </c>
      <c r="C564" s="171" t="s">
        <v>1145</v>
      </c>
      <c r="D564" s="184" t="s">
        <v>865</v>
      </c>
      <c r="E564" s="185">
        <v>5670</v>
      </c>
      <c r="F564" s="686"/>
    </row>
    <row r="565" spans="2:6">
      <c r="B565" s="685">
        <v>21706</v>
      </c>
      <c r="C565" s="171" t="s">
        <v>1146</v>
      </c>
      <c r="D565" s="184" t="s">
        <v>831</v>
      </c>
      <c r="E565" s="185">
        <v>6254</v>
      </c>
      <c r="F565" s="686"/>
    </row>
    <row r="566" spans="2:6">
      <c r="B566" s="685">
        <v>21707</v>
      </c>
      <c r="C566" s="171" t="s">
        <v>862</v>
      </c>
      <c r="D566" s="184" t="s">
        <v>831</v>
      </c>
      <c r="E566" s="185">
        <v>9665</v>
      </c>
      <c r="F566" s="686"/>
    </row>
    <row r="567" spans="2:6">
      <c r="B567" s="685">
        <v>21708</v>
      </c>
      <c r="C567" s="171" t="s">
        <v>1147</v>
      </c>
      <c r="D567" s="184" t="s">
        <v>865</v>
      </c>
      <c r="E567" s="185">
        <v>10079</v>
      </c>
      <c r="F567" s="686"/>
    </row>
    <row r="568" spans="2:6">
      <c r="B568" s="685">
        <v>21709</v>
      </c>
      <c r="C568" s="171" t="s">
        <v>1148</v>
      </c>
      <c r="D568" s="184" t="s">
        <v>865</v>
      </c>
      <c r="E568" s="185">
        <v>10079</v>
      </c>
      <c r="F568" s="686"/>
    </row>
    <row r="569" spans="2:6">
      <c r="B569" s="685">
        <v>21710</v>
      </c>
      <c r="C569" s="171" t="s">
        <v>1156</v>
      </c>
      <c r="D569" s="184" t="s">
        <v>831</v>
      </c>
      <c r="E569" s="185">
        <v>9665</v>
      </c>
      <c r="F569" s="686"/>
    </row>
    <row r="570" spans="2:6">
      <c r="B570" s="685">
        <v>21711</v>
      </c>
      <c r="C570" s="171" t="s">
        <v>1157</v>
      </c>
      <c r="D570" s="184" t="s">
        <v>865</v>
      </c>
      <c r="E570" s="185">
        <v>10079</v>
      </c>
      <c r="F570" s="686"/>
    </row>
    <row r="571" spans="2:6">
      <c r="B571" s="685">
        <v>21712</v>
      </c>
      <c r="C571" s="171" t="s">
        <v>863</v>
      </c>
      <c r="D571" s="184" t="s">
        <v>831</v>
      </c>
      <c r="E571" s="185">
        <v>16478</v>
      </c>
      <c r="F571" s="686"/>
    </row>
    <row r="572" spans="2:6">
      <c r="B572" s="685">
        <v>21713</v>
      </c>
      <c r="C572" s="171" t="s">
        <v>1158</v>
      </c>
      <c r="D572" s="184" t="s">
        <v>865</v>
      </c>
      <c r="E572" s="185">
        <v>18992</v>
      </c>
      <c r="F572" s="686"/>
    </row>
    <row r="573" spans="2:6">
      <c r="B573" s="685">
        <v>21714</v>
      </c>
      <c r="C573" s="171" t="s">
        <v>1159</v>
      </c>
      <c r="D573" s="184" t="s">
        <v>831</v>
      </c>
      <c r="E573" s="185">
        <v>25595</v>
      </c>
      <c r="F573" s="686"/>
    </row>
    <row r="574" spans="2:6">
      <c r="B574" s="685">
        <v>21715</v>
      </c>
      <c r="C574" s="171" t="s">
        <v>1160</v>
      </c>
      <c r="D574" s="184" t="s">
        <v>865</v>
      </c>
      <c r="E574" s="185">
        <v>17800</v>
      </c>
      <c r="F574" s="686"/>
    </row>
    <row r="575" spans="2:6">
      <c r="B575" s="685">
        <v>21716</v>
      </c>
      <c r="C575" s="171" t="s">
        <v>1161</v>
      </c>
      <c r="D575" s="184" t="s">
        <v>865</v>
      </c>
      <c r="E575" s="185">
        <v>55800</v>
      </c>
      <c r="F575" s="686"/>
    </row>
    <row r="576" spans="2:6">
      <c r="B576" s="685">
        <v>21717</v>
      </c>
      <c r="C576" s="171" t="s">
        <v>1162</v>
      </c>
      <c r="D576" s="184" t="s">
        <v>865</v>
      </c>
      <c r="E576" s="185">
        <v>66300</v>
      </c>
      <c r="F576" s="686"/>
    </row>
    <row r="577" spans="2:8">
      <c r="B577" s="685">
        <v>21718</v>
      </c>
      <c r="C577" s="171" t="s">
        <v>1163</v>
      </c>
      <c r="D577" s="184" t="s">
        <v>865</v>
      </c>
      <c r="E577" s="185">
        <v>85600</v>
      </c>
      <c r="F577" s="686"/>
    </row>
    <row r="578" spans="2:8">
      <c r="B578" s="685">
        <v>21719</v>
      </c>
      <c r="C578" s="171" t="s">
        <v>1164</v>
      </c>
      <c r="D578" s="184" t="s">
        <v>865</v>
      </c>
      <c r="E578" s="185">
        <v>129800</v>
      </c>
      <c r="F578" s="686"/>
    </row>
    <row r="579" spans="2:8">
      <c r="B579" s="685">
        <v>21720</v>
      </c>
      <c r="C579" s="171" t="s">
        <v>1165</v>
      </c>
      <c r="D579" s="184" t="s">
        <v>865</v>
      </c>
      <c r="E579" s="185">
        <v>187200</v>
      </c>
      <c r="F579" s="686"/>
    </row>
    <row r="580" spans="2:8">
      <c r="B580" s="685">
        <v>21721</v>
      </c>
      <c r="C580" s="171" t="s">
        <v>1166</v>
      </c>
      <c r="D580" s="184" t="s">
        <v>865</v>
      </c>
      <c r="E580" s="185">
        <v>304600</v>
      </c>
      <c r="F580" s="686"/>
    </row>
    <row r="581" spans="2:8">
      <c r="B581" s="685">
        <v>21722</v>
      </c>
      <c r="C581" s="171" t="s">
        <v>1167</v>
      </c>
      <c r="D581" s="184" t="s">
        <v>865</v>
      </c>
      <c r="E581" s="185">
        <v>385400</v>
      </c>
      <c r="F581" s="686"/>
    </row>
    <row r="582" spans="2:8" ht="15" thickBot="1">
      <c r="B582" s="689">
        <v>21799</v>
      </c>
      <c r="C582" s="172"/>
      <c r="D582" s="186"/>
      <c r="E582" s="187"/>
      <c r="F582" s="686"/>
    </row>
    <row r="583" spans="2:8" ht="15.75" thickTop="1" thickBot="1"/>
    <row r="584" spans="2:8" ht="13.5" thickTop="1">
      <c r="B584" s="762" t="s">
        <v>1186</v>
      </c>
      <c r="C584" s="763"/>
      <c r="D584" s="763"/>
      <c r="E584" s="764"/>
      <c r="F584" s="684"/>
    </row>
    <row r="585" spans="2:8">
      <c r="B585" s="685">
        <v>21801</v>
      </c>
      <c r="C585" s="171" t="s">
        <v>1187</v>
      </c>
      <c r="D585" s="184" t="s">
        <v>865</v>
      </c>
      <c r="E585" s="185">
        <v>6000</v>
      </c>
      <c r="F585" s="758" t="s">
        <v>1677</v>
      </c>
      <c r="G585" s="759"/>
      <c r="H585" s="693">
        <v>40057</v>
      </c>
    </row>
    <row r="586" spans="2:8">
      <c r="B586" s="685">
        <v>21802</v>
      </c>
      <c r="C586" s="171" t="s">
        <v>1188</v>
      </c>
      <c r="D586" s="184" t="s">
        <v>865</v>
      </c>
      <c r="E586" s="185">
        <v>6700</v>
      </c>
      <c r="F586" s="758" t="s">
        <v>1677</v>
      </c>
      <c r="G586" s="759"/>
      <c r="H586" s="693">
        <v>40057</v>
      </c>
    </row>
    <row r="587" spans="2:8">
      <c r="B587" s="685">
        <v>21803</v>
      </c>
      <c r="C587" s="171" t="s">
        <v>1189</v>
      </c>
      <c r="D587" s="184" t="s">
        <v>865</v>
      </c>
      <c r="E587" s="185">
        <v>9700</v>
      </c>
      <c r="F587" s="758" t="s">
        <v>1677</v>
      </c>
      <c r="G587" s="759"/>
      <c r="H587" s="693">
        <v>40057</v>
      </c>
    </row>
    <row r="588" spans="2:8">
      <c r="B588" s="685">
        <v>21804</v>
      </c>
      <c r="C588" s="171" t="s">
        <v>1190</v>
      </c>
      <c r="D588" s="184" t="s">
        <v>865</v>
      </c>
      <c r="E588" s="185">
        <v>37417</v>
      </c>
      <c r="F588" s="686"/>
    </row>
    <row r="589" spans="2:8">
      <c r="B589" s="685">
        <v>21805</v>
      </c>
      <c r="C589" s="171" t="s">
        <v>1191</v>
      </c>
      <c r="D589" s="184" t="s">
        <v>865</v>
      </c>
      <c r="E589" s="185">
        <v>22700</v>
      </c>
      <c r="F589" s="758" t="s">
        <v>1677</v>
      </c>
      <c r="G589" s="759"/>
      <c r="H589" s="693">
        <v>40057</v>
      </c>
    </row>
    <row r="590" spans="2:8">
      <c r="B590" s="685">
        <v>21806</v>
      </c>
      <c r="C590" s="171" t="s">
        <v>1192</v>
      </c>
      <c r="D590" s="184" t="s">
        <v>865</v>
      </c>
      <c r="E590" s="185">
        <v>35000</v>
      </c>
      <c r="F590" s="758" t="s">
        <v>1677</v>
      </c>
      <c r="G590" s="759"/>
      <c r="H590" s="693">
        <v>40057</v>
      </c>
    </row>
    <row r="591" spans="2:8">
      <c r="B591" s="685">
        <v>21807</v>
      </c>
      <c r="C591" s="171" t="s">
        <v>1193</v>
      </c>
      <c r="D591" s="184" t="s">
        <v>865</v>
      </c>
      <c r="E591" s="185">
        <v>117032</v>
      </c>
      <c r="F591" s="686"/>
    </row>
    <row r="592" spans="2:8">
      <c r="B592" s="685">
        <v>21808</v>
      </c>
      <c r="C592" s="171" t="s">
        <v>1194</v>
      </c>
      <c r="D592" s="184" t="s">
        <v>865</v>
      </c>
      <c r="E592" s="185">
        <v>162043</v>
      </c>
      <c r="F592" s="686"/>
    </row>
    <row r="593" spans="2:8">
      <c r="B593" s="685">
        <v>21809</v>
      </c>
      <c r="C593" s="171" t="s">
        <v>1195</v>
      </c>
      <c r="D593" s="184" t="s">
        <v>865</v>
      </c>
      <c r="E593" s="185">
        <v>276409</v>
      </c>
      <c r="F593" s="686"/>
    </row>
    <row r="594" spans="2:8">
      <c r="B594" s="685">
        <v>21810</v>
      </c>
      <c r="C594" s="171" t="s">
        <v>1222</v>
      </c>
      <c r="D594" s="184" t="s">
        <v>865</v>
      </c>
      <c r="E594" s="185">
        <v>7500</v>
      </c>
      <c r="F594" s="686"/>
    </row>
    <row r="595" spans="2:8">
      <c r="B595" s="685">
        <v>21811</v>
      </c>
      <c r="C595" s="171" t="s">
        <v>1223</v>
      </c>
      <c r="D595" s="184" t="s">
        <v>865</v>
      </c>
      <c r="E595" s="185">
        <v>10000</v>
      </c>
      <c r="F595" s="686"/>
    </row>
    <row r="596" spans="2:8">
      <c r="B596" s="685">
        <v>21812</v>
      </c>
      <c r="C596" s="171" t="s">
        <v>1210</v>
      </c>
      <c r="D596" s="184" t="s">
        <v>865</v>
      </c>
      <c r="E596" s="185">
        <v>13500</v>
      </c>
      <c r="F596" s="686"/>
    </row>
    <row r="597" spans="2:8">
      <c r="B597" s="685">
        <v>21813</v>
      </c>
      <c r="C597" s="171" t="s">
        <v>1209</v>
      </c>
      <c r="D597" s="184" t="s">
        <v>865</v>
      </c>
      <c r="E597" s="185">
        <v>9800</v>
      </c>
      <c r="F597" s="686"/>
    </row>
    <row r="598" spans="2:8">
      <c r="B598" s="685">
        <v>21814</v>
      </c>
      <c r="C598" s="171" t="s">
        <v>1224</v>
      </c>
      <c r="D598" s="184" t="s">
        <v>865</v>
      </c>
      <c r="E598" s="185">
        <v>20200</v>
      </c>
      <c r="F598" s="686"/>
    </row>
    <row r="599" spans="2:8">
      <c r="B599" s="685">
        <v>21815</v>
      </c>
      <c r="C599" s="171" t="s">
        <v>1456</v>
      </c>
      <c r="D599" s="184" t="s">
        <v>865</v>
      </c>
      <c r="E599" s="185">
        <v>53425</v>
      </c>
      <c r="F599" s="686"/>
    </row>
    <row r="600" spans="2:8">
      <c r="B600" s="685"/>
      <c r="C600" s="171" t="s">
        <v>1678</v>
      </c>
      <c r="D600" s="184" t="s">
        <v>865</v>
      </c>
      <c r="E600" s="185">
        <v>24000</v>
      </c>
      <c r="F600" s="758" t="s">
        <v>1677</v>
      </c>
      <c r="G600" s="759"/>
      <c r="H600" s="693">
        <v>40087</v>
      </c>
    </row>
    <row r="601" spans="2:8">
      <c r="B601" s="685">
        <v>21816</v>
      </c>
      <c r="C601" s="171" t="s">
        <v>1607</v>
      </c>
      <c r="D601" s="184" t="s">
        <v>865</v>
      </c>
      <c r="E601" s="185">
        <v>38000</v>
      </c>
      <c r="F601" s="758" t="s">
        <v>1677</v>
      </c>
      <c r="G601" s="759"/>
      <c r="H601" s="693">
        <v>40057</v>
      </c>
    </row>
    <row r="602" spans="2:8">
      <c r="B602" s="685">
        <v>21817</v>
      </c>
      <c r="C602" s="171" t="s">
        <v>1608</v>
      </c>
      <c r="D602" s="184" t="s">
        <v>865</v>
      </c>
      <c r="E602" s="185">
        <v>50000</v>
      </c>
      <c r="F602" s="758" t="s">
        <v>1677</v>
      </c>
      <c r="G602" s="759"/>
      <c r="H602" s="693">
        <v>40087</v>
      </c>
    </row>
    <row r="603" spans="2:8">
      <c r="B603" s="685">
        <v>21818</v>
      </c>
      <c r="C603" s="171" t="s">
        <v>1609</v>
      </c>
      <c r="D603" s="184" t="s">
        <v>865</v>
      </c>
      <c r="E603" s="185">
        <v>107000</v>
      </c>
      <c r="F603" s="758" t="s">
        <v>1677</v>
      </c>
      <c r="G603" s="759"/>
      <c r="H603" s="693">
        <v>40087</v>
      </c>
    </row>
    <row r="604" spans="2:8">
      <c r="B604" s="685">
        <v>21819</v>
      </c>
      <c r="C604" s="171" t="s">
        <v>1679</v>
      </c>
      <c r="D604" s="184" t="s">
        <v>865</v>
      </c>
      <c r="E604" s="185">
        <v>113000</v>
      </c>
      <c r="F604" s="758" t="s">
        <v>1677</v>
      </c>
      <c r="G604" s="759"/>
      <c r="H604" s="693">
        <v>40087</v>
      </c>
    </row>
    <row r="605" spans="2:8">
      <c r="B605" s="685"/>
      <c r="C605" s="171" t="s">
        <v>1610</v>
      </c>
      <c r="D605" s="184" t="s">
        <v>865</v>
      </c>
      <c r="E605" s="185">
        <v>17500</v>
      </c>
      <c r="F605" s="758" t="s">
        <v>1677</v>
      </c>
      <c r="G605" s="759"/>
      <c r="H605" s="693">
        <v>40057</v>
      </c>
    </row>
    <row r="606" spans="2:8">
      <c r="B606" s="685"/>
      <c r="C606" s="171" t="s">
        <v>1611</v>
      </c>
      <c r="D606" s="184" t="s">
        <v>865</v>
      </c>
      <c r="E606" s="185">
        <v>24000</v>
      </c>
      <c r="F606" s="758" t="s">
        <v>1677</v>
      </c>
      <c r="G606" s="759"/>
      <c r="H606" s="693">
        <v>40057</v>
      </c>
    </row>
    <row r="607" spans="2:8">
      <c r="B607" s="685"/>
      <c r="C607" s="171" t="s">
        <v>1612</v>
      </c>
      <c r="D607" s="184" t="s">
        <v>865</v>
      </c>
      <c r="E607" s="185">
        <v>70000</v>
      </c>
      <c r="F607" s="758" t="s">
        <v>1677</v>
      </c>
      <c r="G607" s="759"/>
      <c r="H607" s="693">
        <v>40057</v>
      </c>
    </row>
    <row r="608" spans="2:8">
      <c r="B608" s="685">
        <v>21819</v>
      </c>
      <c r="C608" s="171" t="s">
        <v>1225</v>
      </c>
      <c r="D608" s="184" t="s">
        <v>865</v>
      </c>
      <c r="E608" s="185">
        <v>12000</v>
      </c>
      <c r="F608" s="686"/>
    </row>
    <row r="609" spans="2:8">
      <c r="B609" s="685">
        <v>21820</v>
      </c>
      <c r="C609" s="171" t="s">
        <v>1457</v>
      </c>
      <c r="D609" s="184" t="s">
        <v>865</v>
      </c>
      <c r="E609" s="185">
        <v>22205</v>
      </c>
      <c r="F609" s="686"/>
    </row>
    <row r="610" spans="2:8">
      <c r="B610" s="685">
        <v>21821</v>
      </c>
      <c r="C610" s="171" t="s">
        <v>1458</v>
      </c>
      <c r="D610" s="184" t="s">
        <v>865</v>
      </c>
      <c r="E610" s="185">
        <v>29365</v>
      </c>
      <c r="F610" s="686"/>
    </row>
    <row r="611" spans="2:8">
      <c r="B611" s="685">
        <v>21822</v>
      </c>
      <c r="C611" s="171" t="s">
        <v>1459</v>
      </c>
      <c r="D611" s="184" t="s">
        <v>865</v>
      </c>
      <c r="E611" s="185">
        <v>50635</v>
      </c>
      <c r="F611" s="686"/>
    </row>
    <row r="612" spans="2:8">
      <c r="B612" s="685">
        <v>21823</v>
      </c>
      <c r="C612" s="171" t="s">
        <v>1204</v>
      </c>
      <c r="D612" s="184" t="s">
        <v>865</v>
      </c>
      <c r="E612" s="185"/>
      <c r="F612" s="686"/>
    </row>
    <row r="613" spans="2:8">
      <c r="B613" s="685">
        <v>21824</v>
      </c>
      <c r="C613" s="171" t="s">
        <v>1205</v>
      </c>
      <c r="D613" s="184" t="s">
        <v>865</v>
      </c>
      <c r="E613" s="185"/>
      <c r="F613" s="686"/>
    </row>
    <row r="614" spans="2:8">
      <c r="B614" s="685">
        <v>21825</v>
      </c>
      <c r="C614" s="171" t="s">
        <v>1206</v>
      </c>
      <c r="D614" s="184" t="s">
        <v>865</v>
      </c>
      <c r="E614" s="185"/>
      <c r="F614" s="686"/>
    </row>
    <row r="615" spans="2:8">
      <c r="B615" s="685">
        <v>21826</v>
      </c>
      <c r="C615" s="171" t="s">
        <v>1207</v>
      </c>
      <c r="D615" s="184" t="s">
        <v>865</v>
      </c>
      <c r="E615" s="185"/>
      <c r="F615" s="686"/>
    </row>
    <row r="616" spans="2:8">
      <c r="B616" s="685">
        <v>21827</v>
      </c>
      <c r="C616" s="171" t="s">
        <v>1208</v>
      </c>
      <c r="D616" s="184" t="s">
        <v>831</v>
      </c>
      <c r="E616" s="185">
        <v>1200</v>
      </c>
      <c r="F616" s="686"/>
    </row>
    <row r="617" spans="2:8">
      <c r="B617" s="685">
        <v>21828</v>
      </c>
      <c r="C617" s="171" t="s">
        <v>1584</v>
      </c>
      <c r="D617" s="184" t="s">
        <v>865</v>
      </c>
      <c r="E617" s="185">
        <v>200</v>
      </c>
      <c r="F617" s="758" t="s">
        <v>1677</v>
      </c>
      <c r="G617" s="759"/>
      <c r="H617" s="693">
        <v>40057</v>
      </c>
    </row>
    <row r="618" spans="2:8">
      <c r="B618" s="685">
        <v>21829</v>
      </c>
      <c r="C618" s="171" t="s">
        <v>1579</v>
      </c>
      <c r="D618" s="184" t="s">
        <v>865</v>
      </c>
      <c r="E618" s="185">
        <v>3905</v>
      </c>
      <c r="F618" s="686"/>
    </row>
    <row r="619" spans="2:8">
      <c r="B619" s="685">
        <v>21830</v>
      </c>
      <c r="C619" s="171" t="s">
        <v>1578</v>
      </c>
      <c r="D619" s="184" t="s">
        <v>865</v>
      </c>
      <c r="E619" s="185">
        <v>2310</v>
      </c>
      <c r="F619" s="686"/>
    </row>
    <row r="620" spans="2:8">
      <c r="B620" s="685">
        <v>21831</v>
      </c>
      <c r="C620" s="171" t="s">
        <v>1577</v>
      </c>
      <c r="D620" s="184" t="s">
        <v>865</v>
      </c>
      <c r="E620" s="185">
        <v>1414</v>
      </c>
      <c r="F620" s="686"/>
    </row>
    <row r="621" spans="2:8">
      <c r="B621" s="685">
        <v>21832</v>
      </c>
      <c r="C621" s="171" t="s">
        <v>1581</v>
      </c>
      <c r="D621" s="184" t="s">
        <v>865</v>
      </c>
      <c r="E621" s="185">
        <v>12933</v>
      </c>
      <c r="F621" s="686"/>
    </row>
    <row r="622" spans="2:8">
      <c r="B622" s="685">
        <v>21833</v>
      </c>
      <c r="C622" s="171" t="s">
        <v>1580</v>
      </c>
      <c r="D622" s="184" t="s">
        <v>865</v>
      </c>
      <c r="E622" s="185">
        <v>6952</v>
      </c>
      <c r="F622" s="686"/>
    </row>
    <row r="623" spans="2:8">
      <c r="B623" s="685">
        <v>21834</v>
      </c>
      <c r="C623" s="171" t="s">
        <v>1582</v>
      </c>
      <c r="D623" s="184" t="s">
        <v>865</v>
      </c>
      <c r="E623" s="185">
        <v>20422</v>
      </c>
      <c r="F623" s="686"/>
    </row>
    <row r="624" spans="2:8">
      <c r="B624" s="685">
        <v>21835</v>
      </c>
      <c r="C624" s="171" t="s">
        <v>1576</v>
      </c>
      <c r="D624" s="184" t="s">
        <v>865</v>
      </c>
      <c r="E624" s="185">
        <v>635</v>
      </c>
      <c r="F624" s="686"/>
    </row>
    <row r="625" spans="2:8">
      <c r="B625" s="685">
        <v>21836</v>
      </c>
      <c r="C625" s="171" t="s">
        <v>1583</v>
      </c>
      <c r="D625" s="184" t="s">
        <v>865</v>
      </c>
      <c r="E625" s="185">
        <v>36880</v>
      </c>
      <c r="F625" s="686"/>
    </row>
    <row r="626" spans="2:8">
      <c r="B626" s="685">
        <v>21837</v>
      </c>
      <c r="C626" s="171" t="s">
        <v>1575</v>
      </c>
      <c r="D626" s="184" t="s">
        <v>865</v>
      </c>
      <c r="E626" s="185">
        <v>200</v>
      </c>
      <c r="F626" s="758" t="s">
        <v>1677</v>
      </c>
      <c r="G626" s="759"/>
      <c r="H626" s="693">
        <v>40057</v>
      </c>
    </row>
    <row r="627" spans="2:8">
      <c r="B627" s="685">
        <v>21838</v>
      </c>
      <c r="C627" s="171" t="s">
        <v>1570</v>
      </c>
      <c r="D627" s="184" t="s">
        <v>865</v>
      </c>
      <c r="E627" s="185">
        <v>2907</v>
      </c>
      <c r="F627" s="686"/>
    </row>
    <row r="628" spans="2:8">
      <c r="B628" s="685">
        <v>21839</v>
      </c>
      <c r="C628" s="171" t="s">
        <v>1569</v>
      </c>
      <c r="D628" s="184" t="s">
        <v>865</v>
      </c>
      <c r="E628" s="185">
        <v>2482</v>
      </c>
      <c r="F628" s="686"/>
    </row>
    <row r="629" spans="2:8">
      <c r="B629" s="685">
        <v>21840</v>
      </c>
      <c r="C629" s="171" t="s">
        <v>1568</v>
      </c>
      <c r="D629" s="184" t="s">
        <v>865</v>
      </c>
      <c r="E629" s="185">
        <v>1180</v>
      </c>
      <c r="F629" s="686"/>
    </row>
    <row r="630" spans="2:8">
      <c r="B630" s="685">
        <v>21841</v>
      </c>
      <c r="C630" s="171" t="s">
        <v>1572</v>
      </c>
      <c r="D630" s="184" t="s">
        <v>865</v>
      </c>
      <c r="E630" s="185">
        <v>10145</v>
      </c>
      <c r="F630" s="686"/>
    </row>
    <row r="631" spans="2:8">
      <c r="B631" s="685">
        <v>21842</v>
      </c>
      <c r="C631" s="171" t="s">
        <v>1571</v>
      </c>
      <c r="D631" s="184" t="s">
        <v>865</v>
      </c>
      <c r="E631" s="185">
        <v>4156</v>
      </c>
      <c r="F631" s="686"/>
    </row>
    <row r="632" spans="2:8">
      <c r="B632" s="685">
        <v>21843</v>
      </c>
      <c r="C632" s="171" t="s">
        <v>1573</v>
      </c>
      <c r="D632" s="184" t="s">
        <v>865</v>
      </c>
      <c r="E632" s="185">
        <v>16337</v>
      </c>
      <c r="F632" s="686"/>
    </row>
    <row r="633" spans="2:8">
      <c r="B633" s="685">
        <v>21844</v>
      </c>
      <c r="C633" s="171" t="s">
        <v>1567</v>
      </c>
      <c r="D633" s="184" t="s">
        <v>865</v>
      </c>
      <c r="E633" s="185">
        <v>564</v>
      </c>
      <c r="F633" s="686"/>
    </row>
    <row r="634" spans="2:8">
      <c r="B634" s="685">
        <v>21845</v>
      </c>
      <c r="C634" s="171" t="s">
        <v>1574</v>
      </c>
      <c r="D634" s="184" t="s">
        <v>865</v>
      </c>
      <c r="E634" s="185">
        <v>30050</v>
      </c>
      <c r="F634" s="686"/>
    </row>
    <row r="635" spans="2:8">
      <c r="B635" s="685">
        <v>21846</v>
      </c>
      <c r="C635" s="171" t="s">
        <v>1539</v>
      </c>
      <c r="D635" s="184" t="s">
        <v>865</v>
      </c>
      <c r="E635" s="185">
        <v>700</v>
      </c>
      <c r="F635" s="686"/>
    </row>
    <row r="636" spans="2:8">
      <c r="B636" s="685">
        <v>21847</v>
      </c>
      <c r="C636" s="171" t="s">
        <v>1273</v>
      </c>
      <c r="D636" s="184" t="s">
        <v>865</v>
      </c>
      <c r="E636" s="185">
        <v>3555</v>
      </c>
      <c r="F636" s="686"/>
    </row>
    <row r="637" spans="2:8">
      <c r="B637" s="685">
        <v>21848</v>
      </c>
      <c r="C637" s="171" t="s">
        <v>1271</v>
      </c>
      <c r="D637" s="184" t="s">
        <v>865</v>
      </c>
      <c r="E637" s="185">
        <v>3555</v>
      </c>
      <c r="F637" s="686"/>
    </row>
    <row r="638" spans="2:8">
      <c r="B638" s="685">
        <v>21849</v>
      </c>
      <c r="C638" s="171" t="s">
        <v>1274</v>
      </c>
      <c r="D638" s="184" t="s">
        <v>865</v>
      </c>
      <c r="E638" s="185">
        <v>3555</v>
      </c>
      <c r="F638" s="686"/>
    </row>
    <row r="639" spans="2:8">
      <c r="B639" s="685">
        <v>21850</v>
      </c>
      <c r="C639" s="171" t="s">
        <v>1272</v>
      </c>
      <c r="D639" s="184" t="s">
        <v>865</v>
      </c>
      <c r="E639" s="185">
        <v>3555</v>
      </c>
      <c r="F639" s="686"/>
    </row>
    <row r="640" spans="2:8">
      <c r="B640" s="685">
        <v>21851</v>
      </c>
      <c r="C640" s="171" t="s">
        <v>1269</v>
      </c>
      <c r="D640" s="184" t="s">
        <v>865</v>
      </c>
      <c r="E640" s="185">
        <v>2984</v>
      </c>
      <c r="F640" s="686"/>
    </row>
    <row r="641" spans="2:6">
      <c r="B641" s="685">
        <v>21852</v>
      </c>
      <c r="C641" s="171" t="s">
        <v>1269</v>
      </c>
      <c r="D641" s="184" t="s">
        <v>865</v>
      </c>
      <c r="E641" s="185">
        <v>2984</v>
      </c>
      <c r="F641" s="686"/>
    </row>
    <row r="642" spans="2:6">
      <c r="B642" s="685">
        <v>21853</v>
      </c>
      <c r="C642" s="171" t="s">
        <v>1270</v>
      </c>
      <c r="D642" s="184" t="s">
        <v>865</v>
      </c>
      <c r="E642" s="185">
        <v>2984</v>
      </c>
      <c r="F642" s="686"/>
    </row>
    <row r="643" spans="2:6">
      <c r="B643" s="685">
        <v>21854</v>
      </c>
      <c r="C643" s="171" t="s">
        <v>1268</v>
      </c>
      <c r="D643" s="184" t="s">
        <v>865</v>
      </c>
      <c r="E643" s="185">
        <v>1776</v>
      </c>
      <c r="F643" s="686"/>
    </row>
    <row r="644" spans="2:6">
      <c r="B644" s="685">
        <v>21855</v>
      </c>
      <c r="C644" s="171" t="s">
        <v>1281</v>
      </c>
      <c r="D644" s="184" t="s">
        <v>865</v>
      </c>
      <c r="E644" s="185">
        <v>1776</v>
      </c>
      <c r="F644" s="686"/>
    </row>
    <row r="645" spans="2:6">
      <c r="B645" s="685">
        <v>21856</v>
      </c>
      <c r="C645" s="171" t="s">
        <v>1279</v>
      </c>
      <c r="D645" s="184" t="s">
        <v>865</v>
      </c>
      <c r="E645" s="185">
        <v>2414</v>
      </c>
      <c r="F645" s="686"/>
    </row>
    <row r="646" spans="2:6">
      <c r="B646" s="685">
        <v>21857</v>
      </c>
      <c r="C646" s="171" t="s">
        <v>1278</v>
      </c>
      <c r="D646" s="184" t="s">
        <v>865</v>
      </c>
      <c r="E646" s="185">
        <v>2414</v>
      </c>
      <c r="F646" s="686"/>
    </row>
    <row r="647" spans="2:6">
      <c r="B647" s="685">
        <v>21858</v>
      </c>
      <c r="C647" s="171" t="s">
        <v>1277</v>
      </c>
      <c r="D647" s="184" t="s">
        <v>865</v>
      </c>
      <c r="E647" s="185">
        <v>2414</v>
      </c>
      <c r="F647" s="686"/>
    </row>
    <row r="648" spans="2:6">
      <c r="B648" s="685">
        <v>21859</v>
      </c>
      <c r="C648" s="171" t="s">
        <v>1275</v>
      </c>
      <c r="D648" s="184" t="s">
        <v>865</v>
      </c>
      <c r="E648" s="185">
        <v>2414</v>
      </c>
      <c r="F648" s="686"/>
    </row>
    <row r="649" spans="2:6">
      <c r="B649" s="685">
        <v>21860</v>
      </c>
      <c r="C649" s="171" t="s">
        <v>1276</v>
      </c>
      <c r="D649" s="184" t="s">
        <v>865</v>
      </c>
      <c r="E649" s="185">
        <v>2414</v>
      </c>
      <c r="F649" s="686"/>
    </row>
    <row r="650" spans="2:6">
      <c r="B650" s="685">
        <v>21861</v>
      </c>
      <c r="C650" s="171" t="s">
        <v>1282</v>
      </c>
      <c r="D650" s="184" t="s">
        <v>865</v>
      </c>
      <c r="E650" s="185">
        <v>7500</v>
      </c>
      <c r="F650" s="686"/>
    </row>
    <row r="651" spans="2:6">
      <c r="B651" s="685">
        <v>21862</v>
      </c>
      <c r="C651" s="171" t="s">
        <v>1280</v>
      </c>
      <c r="D651" s="184" t="s">
        <v>865</v>
      </c>
      <c r="E651" s="185">
        <v>1021</v>
      </c>
      <c r="F651" s="686"/>
    </row>
    <row r="652" spans="2:6">
      <c r="B652" s="685">
        <v>21863</v>
      </c>
      <c r="C652" s="171" t="s">
        <v>1284</v>
      </c>
      <c r="D652" s="184" t="s">
        <v>865</v>
      </c>
      <c r="E652" s="185">
        <v>9500</v>
      </c>
      <c r="F652" s="686"/>
    </row>
    <row r="653" spans="2:6">
      <c r="B653" s="685">
        <v>21864</v>
      </c>
      <c r="C653" s="171" t="s">
        <v>1283</v>
      </c>
      <c r="D653" s="184" t="s">
        <v>865</v>
      </c>
      <c r="E653" s="185">
        <v>9500</v>
      </c>
      <c r="F653" s="686"/>
    </row>
    <row r="654" spans="2:6">
      <c r="B654" s="685">
        <v>21865</v>
      </c>
      <c r="C654" s="171" t="s">
        <v>1250</v>
      </c>
      <c r="D654" s="184" t="s">
        <v>865</v>
      </c>
      <c r="E654" s="185">
        <v>2584</v>
      </c>
      <c r="F654" s="686"/>
    </row>
    <row r="655" spans="2:6">
      <c r="B655" s="685">
        <v>21866</v>
      </c>
      <c r="C655" s="171" t="s">
        <v>1248</v>
      </c>
      <c r="D655" s="184" t="s">
        <v>865</v>
      </c>
      <c r="E655" s="185">
        <v>2584</v>
      </c>
      <c r="F655" s="686"/>
    </row>
    <row r="656" spans="2:6">
      <c r="B656" s="685">
        <v>21867</v>
      </c>
      <c r="C656" s="171" t="s">
        <v>1251</v>
      </c>
      <c r="D656" s="184" t="s">
        <v>865</v>
      </c>
      <c r="E656" s="185">
        <v>2584</v>
      </c>
      <c r="F656" s="686"/>
    </row>
    <row r="657" spans="2:8">
      <c r="B657" s="685">
        <v>21868</v>
      </c>
      <c r="C657" s="171" t="s">
        <v>1249</v>
      </c>
      <c r="D657" s="184" t="s">
        <v>865</v>
      </c>
      <c r="E657" s="185">
        <v>2584</v>
      </c>
      <c r="F657" s="686"/>
    </row>
    <row r="658" spans="2:8">
      <c r="B658" s="685">
        <v>21869</v>
      </c>
      <c r="C658" s="171" t="s">
        <v>1246</v>
      </c>
      <c r="D658" s="184" t="s">
        <v>865</v>
      </c>
      <c r="E658" s="185">
        <v>1674</v>
      </c>
      <c r="F658" s="686"/>
    </row>
    <row r="659" spans="2:8">
      <c r="B659" s="685">
        <v>21870</v>
      </c>
      <c r="C659" s="171" t="s">
        <v>1246</v>
      </c>
      <c r="D659" s="184" t="s">
        <v>865</v>
      </c>
      <c r="E659" s="185">
        <v>1674</v>
      </c>
      <c r="F659" s="686"/>
    </row>
    <row r="660" spans="2:8">
      <c r="B660" s="685">
        <v>21871</v>
      </c>
      <c r="C660" s="171" t="s">
        <v>1247</v>
      </c>
      <c r="D660" s="184" t="s">
        <v>865</v>
      </c>
      <c r="E660" s="185">
        <v>1674</v>
      </c>
      <c r="F660" s="686"/>
    </row>
    <row r="661" spans="2:8">
      <c r="B661" s="685">
        <v>21872</v>
      </c>
      <c r="C661" s="171" t="s">
        <v>1244</v>
      </c>
      <c r="D661" s="184" t="s">
        <v>865</v>
      </c>
      <c r="E661" s="185">
        <v>871</v>
      </c>
      <c r="F661" s="686"/>
    </row>
    <row r="662" spans="2:8">
      <c r="B662" s="685">
        <v>21873</v>
      </c>
      <c r="C662" s="171" t="s">
        <v>1245</v>
      </c>
      <c r="D662" s="184" t="s">
        <v>865</v>
      </c>
      <c r="E662" s="185">
        <v>871</v>
      </c>
      <c r="F662" s="686"/>
    </row>
    <row r="663" spans="2:8">
      <c r="B663" s="685">
        <v>21874</v>
      </c>
      <c r="C663" s="171" t="s">
        <v>1263</v>
      </c>
      <c r="D663" s="184" t="s">
        <v>865</v>
      </c>
      <c r="E663" s="185">
        <v>9310</v>
      </c>
      <c r="F663" s="686"/>
    </row>
    <row r="664" spans="2:8">
      <c r="B664" s="685">
        <v>21875</v>
      </c>
      <c r="C664" s="171" t="s">
        <v>1264</v>
      </c>
      <c r="D664" s="184" t="s">
        <v>865</v>
      </c>
      <c r="E664" s="185">
        <v>9310</v>
      </c>
      <c r="F664" s="686"/>
    </row>
    <row r="665" spans="2:8">
      <c r="B665" s="685">
        <v>21876</v>
      </c>
      <c r="C665" s="171" t="s">
        <v>1262</v>
      </c>
      <c r="D665" s="184" t="s">
        <v>865</v>
      </c>
      <c r="E665" s="185">
        <v>3952</v>
      </c>
      <c r="F665" s="686"/>
    </row>
    <row r="666" spans="2:8">
      <c r="B666" s="685">
        <v>21877</v>
      </c>
      <c r="C666" s="171" t="s">
        <v>1261</v>
      </c>
      <c r="D666" s="184" t="s">
        <v>865</v>
      </c>
      <c r="E666" s="185">
        <v>3952</v>
      </c>
      <c r="F666" s="686"/>
    </row>
    <row r="667" spans="2:8">
      <c r="B667" s="685">
        <v>21878</v>
      </c>
      <c r="C667" s="171" t="s">
        <v>1260</v>
      </c>
      <c r="D667" s="184" t="s">
        <v>865</v>
      </c>
      <c r="E667" s="185">
        <v>3952</v>
      </c>
      <c r="F667" s="686"/>
    </row>
    <row r="668" spans="2:8">
      <c r="B668" s="685">
        <v>21879</v>
      </c>
      <c r="C668" s="171" t="s">
        <v>1252</v>
      </c>
      <c r="D668" s="184" t="s">
        <v>865</v>
      </c>
      <c r="E668" s="185">
        <v>3952</v>
      </c>
      <c r="F668" s="686"/>
    </row>
    <row r="669" spans="2:8">
      <c r="B669" s="685">
        <v>21880</v>
      </c>
      <c r="C669" s="171" t="s">
        <v>1253</v>
      </c>
      <c r="D669" s="184" t="s">
        <v>865</v>
      </c>
      <c r="E669" s="185">
        <v>3952</v>
      </c>
      <c r="F669" s="686"/>
    </row>
    <row r="670" spans="2:8">
      <c r="B670" s="685">
        <v>21881</v>
      </c>
      <c r="C670" s="171" t="s">
        <v>1266</v>
      </c>
      <c r="D670" s="184" t="s">
        <v>865</v>
      </c>
      <c r="E670" s="185">
        <v>14230</v>
      </c>
      <c r="F670" s="686"/>
    </row>
    <row r="671" spans="2:8">
      <c r="B671" s="685">
        <v>21882</v>
      </c>
      <c r="C671" s="171" t="s">
        <v>1265</v>
      </c>
      <c r="D671" s="184" t="s">
        <v>865</v>
      </c>
      <c r="E671" s="185">
        <v>14230</v>
      </c>
      <c r="F671" s="686"/>
    </row>
    <row r="672" spans="2:8">
      <c r="B672" s="685">
        <v>21883</v>
      </c>
      <c r="C672" s="171" t="s">
        <v>1242</v>
      </c>
      <c r="D672" s="184" t="s">
        <v>865</v>
      </c>
      <c r="E672" s="185">
        <v>250</v>
      </c>
      <c r="F672" s="758" t="s">
        <v>1677</v>
      </c>
      <c r="G672" s="759"/>
      <c r="H672" s="693">
        <v>40057</v>
      </c>
    </row>
    <row r="673" spans="2:8">
      <c r="B673" s="685">
        <v>21884</v>
      </c>
      <c r="C673" s="171" t="s">
        <v>1267</v>
      </c>
      <c r="D673" s="184" t="s">
        <v>865</v>
      </c>
      <c r="E673" s="185">
        <v>22447</v>
      </c>
      <c r="F673" s="686"/>
    </row>
    <row r="674" spans="2:8">
      <c r="B674" s="685">
        <v>21885</v>
      </c>
      <c r="C674" s="171" t="s">
        <v>1549</v>
      </c>
      <c r="D674" s="184" t="s">
        <v>865</v>
      </c>
      <c r="E674" s="185">
        <v>200</v>
      </c>
      <c r="F674" s="758" t="s">
        <v>1677</v>
      </c>
      <c r="G674" s="759"/>
      <c r="H674" s="693">
        <v>40057</v>
      </c>
    </row>
    <row r="675" spans="2:8">
      <c r="B675" s="685">
        <v>21886</v>
      </c>
      <c r="C675" s="171" t="s">
        <v>1553</v>
      </c>
      <c r="D675" s="184" t="s">
        <v>865</v>
      </c>
      <c r="E675" s="194">
        <v>5076</v>
      </c>
      <c r="F675" s="686"/>
    </row>
    <row r="676" spans="2:8">
      <c r="B676" s="685">
        <v>21887</v>
      </c>
      <c r="C676" s="171" t="s">
        <v>1552</v>
      </c>
      <c r="D676" s="184" t="s">
        <v>865</v>
      </c>
      <c r="E676" s="185">
        <v>2717</v>
      </c>
      <c r="F676" s="686"/>
    </row>
    <row r="677" spans="2:8">
      <c r="B677" s="685">
        <v>21888</v>
      </c>
      <c r="C677" s="171" t="s">
        <v>1551</v>
      </c>
      <c r="D677" s="184" t="s">
        <v>865</v>
      </c>
      <c r="E677" s="185">
        <v>600</v>
      </c>
      <c r="F677" s="758" t="s">
        <v>1677</v>
      </c>
      <c r="G677" s="759"/>
      <c r="H677" s="693">
        <v>40057</v>
      </c>
    </row>
    <row r="678" spans="2:8">
      <c r="B678" s="685">
        <v>21889</v>
      </c>
      <c r="C678" s="171" t="s">
        <v>1555</v>
      </c>
      <c r="D678" s="184" t="s">
        <v>865</v>
      </c>
      <c r="E678" s="185">
        <v>22502</v>
      </c>
      <c r="F678" s="686"/>
    </row>
    <row r="679" spans="2:8">
      <c r="B679" s="685">
        <v>21890</v>
      </c>
      <c r="C679" s="171" t="s">
        <v>1554</v>
      </c>
      <c r="D679" s="184" t="s">
        <v>865</v>
      </c>
      <c r="E679" s="185">
        <v>3600</v>
      </c>
      <c r="F679" s="758" t="s">
        <v>1677</v>
      </c>
      <c r="G679" s="759"/>
      <c r="H679" s="693">
        <v>40057</v>
      </c>
    </row>
    <row r="680" spans="2:8">
      <c r="B680" s="685">
        <v>21891</v>
      </c>
      <c r="C680" s="171" t="s">
        <v>1556</v>
      </c>
      <c r="D680" s="184" t="s">
        <v>865</v>
      </c>
      <c r="E680" s="185">
        <v>27934</v>
      </c>
      <c r="F680" s="686"/>
    </row>
    <row r="681" spans="2:8">
      <c r="B681" s="685">
        <v>21892</v>
      </c>
      <c r="C681" s="171" t="s">
        <v>1550</v>
      </c>
      <c r="D681" s="184" t="s">
        <v>865</v>
      </c>
      <c r="E681" s="185">
        <v>300</v>
      </c>
      <c r="F681" s="758" t="s">
        <v>1677</v>
      </c>
      <c r="G681" s="759"/>
      <c r="H681" s="693">
        <v>40057</v>
      </c>
    </row>
    <row r="682" spans="2:8">
      <c r="B682" s="685">
        <v>21893</v>
      </c>
      <c r="C682" s="171" t="s">
        <v>1557</v>
      </c>
      <c r="D682" s="184" t="s">
        <v>865</v>
      </c>
      <c r="E682" s="185">
        <v>60061</v>
      </c>
      <c r="F682" s="686"/>
    </row>
    <row r="683" spans="2:8">
      <c r="B683" s="685">
        <v>21894</v>
      </c>
      <c r="C683" s="171" t="s">
        <v>28</v>
      </c>
      <c r="D683" s="184" t="s">
        <v>865</v>
      </c>
      <c r="E683" s="185">
        <v>7242</v>
      </c>
      <c r="F683" s="686"/>
    </row>
    <row r="684" spans="2:8">
      <c r="B684" s="685">
        <v>21895</v>
      </c>
      <c r="C684" s="171" t="s">
        <v>26</v>
      </c>
      <c r="D684" s="184" t="s">
        <v>865</v>
      </c>
      <c r="E684" s="194">
        <v>7242</v>
      </c>
      <c r="F684" s="686"/>
    </row>
    <row r="685" spans="2:8">
      <c r="B685" s="685">
        <v>21896</v>
      </c>
      <c r="C685" s="171" t="s">
        <v>24</v>
      </c>
      <c r="D685" s="184" t="s">
        <v>865</v>
      </c>
      <c r="E685" s="185">
        <v>5510</v>
      </c>
      <c r="F685" s="686"/>
    </row>
    <row r="686" spans="2:8">
      <c r="B686" s="685">
        <v>21897</v>
      </c>
      <c r="C686" s="171" t="s">
        <v>25</v>
      </c>
      <c r="D686" s="184" t="s">
        <v>865</v>
      </c>
      <c r="E686" s="185">
        <v>5510</v>
      </c>
      <c r="F686" s="686"/>
    </row>
    <row r="687" spans="2:8">
      <c r="B687" s="685">
        <v>21898</v>
      </c>
      <c r="C687" s="171" t="s">
        <v>29</v>
      </c>
      <c r="D687" s="184" t="s">
        <v>865</v>
      </c>
      <c r="E687" s="185">
        <v>11023</v>
      </c>
      <c r="F687" s="686"/>
    </row>
    <row r="688" spans="2:8">
      <c r="B688" s="685">
        <v>21899</v>
      </c>
      <c r="C688" s="171" t="s">
        <v>27</v>
      </c>
      <c r="D688" s="184" t="s">
        <v>865</v>
      </c>
      <c r="E688" s="185">
        <v>11023</v>
      </c>
      <c r="F688" s="686"/>
    </row>
    <row r="689" spans="2:8">
      <c r="B689" s="685">
        <v>21900</v>
      </c>
      <c r="C689" s="171" t="s">
        <v>30</v>
      </c>
      <c r="D689" s="184" t="s">
        <v>865</v>
      </c>
      <c r="E689" s="185">
        <v>12477</v>
      </c>
      <c r="F689" s="686"/>
    </row>
    <row r="690" spans="2:8">
      <c r="B690" s="685">
        <v>21901</v>
      </c>
      <c r="C690" s="171" t="s">
        <v>31</v>
      </c>
      <c r="D690" s="184" t="s">
        <v>865</v>
      </c>
      <c r="E690" s="185">
        <v>12477</v>
      </c>
      <c r="F690" s="686"/>
    </row>
    <row r="691" spans="2:8">
      <c r="B691" s="685">
        <v>21902</v>
      </c>
      <c r="C691" s="171" t="s">
        <v>32</v>
      </c>
      <c r="D691" s="184" t="s">
        <v>865</v>
      </c>
      <c r="E691" s="185">
        <v>15861</v>
      </c>
      <c r="F691" s="686"/>
    </row>
    <row r="692" spans="2:8">
      <c r="B692" s="685">
        <v>21903</v>
      </c>
      <c r="C692" s="171" t="s">
        <v>33</v>
      </c>
      <c r="D692" s="184" t="s">
        <v>865</v>
      </c>
      <c r="E692" s="185">
        <v>15861</v>
      </c>
      <c r="F692" s="686"/>
    </row>
    <row r="693" spans="2:8">
      <c r="B693" s="685">
        <v>21904</v>
      </c>
      <c r="C693" s="171" t="s">
        <v>34</v>
      </c>
      <c r="D693" s="184" t="s">
        <v>865</v>
      </c>
      <c r="E693" s="194">
        <v>35084</v>
      </c>
      <c r="F693" s="686"/>
    </row>
    <row r="694" spans="2:8">
      <c r="B694" s="685">
        <v>21905</v>
      </c>
      <c r="C694" s="171" t="s">
        <v>51</v>
      </c>
      <c r="D694" s="184" t="s">
        <v>865</v>
      </c>
      <c r="E694" s="185">
        <v>4735</v>
      </c>
      <c r="F694" s="686"/>
    </row>
    <row r="695" spans="2:8">
      <c r="B695" s="685">
        <v>21906</v>
      </c>
      <c r="C695" s="171" t="s">
        <v>49</v>
      </c>
      <c r="D695" s="184" t="s">
        <v>865</v>
      </c>
      <c r="E695" s="185">
        <v>1792</v>
      </c>
      <c r="F695" s="686"/>
    </row>
    <row r="696" spans="2:8">
      <c r="B696" s="685">
        <v>21907</v>
      </c>
      <c r="C696" s="171" t="s">
        <v>52</v>
      </c>
      <c r="D696" s="184" t="s">
        <v>865</v>
      </c>
      <c r="E696" s="185">
        <v>14753</v>
      </c>
      <c r="F696" s="686"/>
    </row>
    <row r="697" spans="2:8">
      <c r="B697" s="685">
        <v>21908</v>
      </c>
      <c r="C697" s="171" t="s">
        <v>50</v>
      </c>
      <c r="D697" s="184" t="s">
        <v>865</v>
      </c>
      <c r="E697" s="185">
        <v>2569</v>
      </c>
      <c r="F697" s="686"/>
    </row>
    <row r="698" spans="2:8">
      <c r="B698" s="685">
        <v>21909</v>
      </c>
      <c r="C698" s="171" t="s">
        <v>53</v>
      </c>
      <c r="D698" s="184" t="s">
        <v>865</v>
      </c>
      <c r="E698" s="185">
        <v>27145</v>
      </c>
      <c r="F698" s="686"/>
    </row>
    <row r="699" spans="2:8">
      <c r="B699" s="685">
        <v>21910</v>
      </c>
      <c r="C699" s="171" t="s">
        <v>610</v>
      </c>
      <c r="D699" s="184" t="s">
        <v>865</v>
      </c>
      <c r="E699" s="185">
        <v>2500</v>
      </c>
      <c r="F699" s="758" t="s">
        <v>1677</v>
      </c>
      <c r="G699" s="759"/>
      <c r="H699" s="693">
        <v>40057</v>
      </c>
    </row>
    <row r="700" spans="2:8">
      <c r="B700" s="685">
        <v>21911</v>
      </c>
      <c r="C700" s="171" t="s">
        <v>611</v>
      </c>
      <c r="D700" s="184" t="s">
        <v>865</v>
      </c>
      <c r="E700" s="185">
        <v>4500</v>
      </c>
      <c r="F700" s="686"/>
    </row>
    <row r="701" spans="2:8">
      <c r="B701" s="685">
        <v>21912</v>
      </c>
      <c r="C701" s="171" t="s">
        <v>48</v>
      </c>
      <c r="D701" s="184" t="s">
        <v>865</v>
      </c>
      <c r="E701" s="185">
        <v>3523</v>
      </c>
      <c r="F701" s="686"/>
    </row>
    <row r="702" spans="2:8">
      <c r="B702" s="685">
        <v>21913</v>
      </c>
      <c r="C702" s="171" t="s">
        <v>46</v>
      </c>
      <c r="D702" s="184" t="s">
        <v>865</v>
      </c>
      <c r="E702" s="185">
        <v>13156</v>
      </c>
      <c r="F702" s="686"/>
    </row>
    <row r="703" spans="2:8">
      <c r="B703" s="685">
        <v>21914</v>
      </c>
      <c r="C703" s="171" t="s">
        <v>47</v>
      </c>
      <c r="D703" s="184" t="s">
        <v>865</v>
      </c>
      <c r="E703" s="185">
        <v>7774</v>
      </c>
      <c r="F703" s="686"/>
    </row>
    <row r="704" spans="2:8">
      <c r="B704" s="685">
        <v>21915</v>
      </c>
      <c r="C704" s="171" t="s">
        <v>45</v>
      </c>
      <c r="D704" s="184" t="s">
        <v>865</v>
      </c>
      <c r="E704" s="194">
        <v>56298</v>
      </c>
      <c r="F704" s="686"/>
    </row>
    <row r="705" spans="2:6">
      <c r="B705" s="685">
        <v>21916</v>
      </c>
      <c r="C705" s="171" t="s">
        <v>39</v>
      </c>
      <c r="D705" s="184" t="s">
        <v>865</v>
      </c>
      <c r="E705" s="185">
        <v>3197</v>
      </c>
      <c r="F705" s="686"/>
    </row>
    <row r="706" spans="2:6">
      <c r="B706" s="685">
        <v>21917</v>
      </c>
      <c r="C706" s="171" t="s">
        <v>43</v>
      </c>
      <c r="D706" s="184" t="s">
        <v>865</v>
      </c>
      <c r="E706" s="185">
        <v>17981</v>
      </c>
      <c r="F706" s="686"/>
    </row>
    <row r="707" spans="2:6">
      <c r="B707" s="685">
        <v>21918</v>
      </c>
      <c r="C707" s="171" t="s">
        <v>38</v>
      </c>
      <c r="D707" s="184" t="s">
        <v>865</v>
      </c>
      <c r="E707" s="185">
        <v>1800</v>
      </c>
      <c r="F707" s="686"/>
    </row>
    <row r="708" spans="2:6">
      <c r="B708" s="685">
        <v>21919</v>
      </c>
      <c r="C708" s="171" t="s">
        <v>41</v>
      </c>
      <c r="D708" s="184" t="s">
        <v>865</v>
      </c>
      <c r="E708" s="185">
        <v>10721</v>
      </c>
      <c r="F708" s="686"/>
    </row>
    <row r="709" spans="2:6">
      <c r="B709" s="685">
        <v>21920</v>
      </c>
      <c r="C709" s="171" t="s">
        <v>40</v>
      </c>
      <c r="D709" s="184" t="s">
        <v>865</v>
      </c>
      <c r="E709" s="185">
        <v>6262</v>
      </c>
      <c r="F709" s="686"/>
    </row>
    <row r="710" spans="2:6">
      <c r="B710" s="685">
        <v>21921</v>
      </c>
      <c r="C710" s="171" t="s">
        <v>44</v>
      </c>
      <c r="D710" s="184" t="s">
        <v>865</v>
      </c>
      <c r="E710" s="185">
        <v>29092</v>
      </c>
      <c r="F710" s="686"/>
    </row>
    <row r="711" spans="2:6">
      <c r="B711" s="685">
        <v>21922</v>
      </c>
      <c r="C711" s="171" t="s">
        <v>23</v>
      </c>
      <c r="D711" s="184" t="s">
        <v>865</v>
      </c>
      <c r="E711" s="185">
        <v>354</v>
      </c>
      <c r="F711" s="686"/>
    </row>
    <row r="712" spans="2:6">
      <c r="B712" s="685">
        <v>21923</v>
      </c>
      <c r="C712" s="171" t="s">
        <v>0</v>
      </c>
      <c r="D712" s="184" t="s">
        <v>865</v>
      </c>
      <c r="E712" s="185">
        <v>3446</v>
      </c>
      <c r="F712" s="686"/>
    </row>
    <row r="713" spans="2:6">
      <c r="B713" s="685">
        <v>21924</v>
      </c>
      <c r="C713" s="171" t="s">
        <v>1596</v>
      </c>
      <c r="D713" s="184" t="s">
        <v>865</v>
      </c>
      <c r="E713" s="194">
        <v>2604</v>
      </c>
      <c r="F713" s="686"/>
    </row>
    <row r="714" spans="2:6">
      <c r="B714" s="685">
        <v>21925</v>
      </c>
      <c r="C714" s="171" t="s">
        <v>1595</v>
      </c>
      <c r="D714" s="184" t="s">
        <v>865</v>
      </c>
      <c r="E714" s="185">
        <v>1472</v>
      </c>
      <c r="F714" s="686"/>
    </row>
    <row r="715" spans="2:6">
      <c r="B715" s="685">
        <v>21926</v>
      </c>
      <c r="C715" s="171" t="s">
        <v>2</v>
      </c>
      <c r="D715" s="184" t="s">
        <v>865</v>
      </c>
      <c r="E715" s="185">
        <v>10153</v>
      </c>
      <c r="F715" s="686"/>
    </row>
    <row r="716" spans="2:6">
      <c r="B716" s="685">
        <v>21927</v>
      </c>
      <c r="C716" s="171" t="s">
        <v>1</v>
      </c>
      <c r="D716" s="184" t="s">
        <v>865</v>
      </c>
      <c r="E716" s="185">
        <v>4314</v>
      </c>
      <c r="F716" s="686"/>
    </row>
    <row r="717" spans="2:6">
      <c r="B717" s="685">
        <v>21928</v>
      </c>
      <c r="C717" s="171" t="s">
        <v>21</v>
      </c>
      <c r="D717" s="184" t="s">
        <v>865</v>
      </c>
      <c r="E717" s="185">
        <v>19421</v>
      </c>
      <c r="F717" s="686"/>
    </row>
    <row r="718" spans="2:6">
      <c r="B718" s="685">
        <v>21929</v>
      </c>
      <c r="C718" s="171" t="s">
        <v>1594</v>
      </c>
      <c r="D718" s="184" t="s">
        <v>865</v>
      </c>
      <c r="E718" s="185">
        <v>515</v>
      </c>
      <c r="F718" s="686"/>
    </row>
    <row r="719" spans="2:6">
      <c r="B719" s="685">
        <v>21930</v>
      </c>
      <c r="C719" s="171" t="s">
        <v>22</v>
      </c>
      <c r="D719" s="184" t="s">
        <v>865</v>
      </c>
      <c r="E719" s="185">
        <v>35858</v>
      </c>
      <c r="F719" s="686"/>
    </row>
    <row r="720" spans="2:6">
      <c r="B720" s="685">
        <v>21931</v>
      </c>
      <c r="C720" s="171" t="s">
        <v>1593</v>
      </c>
      <c r="D720" s="184" t="s">
        <v>865</v>
      </c>
      <c r="E720" s="185">
        <v>253</v>
      </c>
      <c r="F720" s="686"/>
    </row>
    <row r="721" spans="2:8">
      <c r="B721" s="685">
        <v>21932</v>
      </c>
      <c r="C721" s="171" t="s">
        <v>1588</v>
      </c>
      <c r="D721" s="184" t="s">
        <v>865</v>
      </c>
      <c r="E721" s="185">
        <v>2716</v>
      </c>
      <c r="F721" s="686"/>
    </row>
    <row r="722" spans="2:8">
      <c r="B722" s="685">
        <v>21933</v>
      </c>
      <c r="C722" s="171" t="s">
        <v>1587</v>
      </c>
      <c r="D722" s="184" t="s">
        <v>865</v>
      </c>
      <c r="E722" s="194">
        <v>2085</v>
      </c>
      <c r="F722" s="686"/>
    </row>
    <row r="723" spans="2:8">
      <c r="B723" s="685">
        <v>21934</v>
      </c>
      <c r="C723" s="171" t="s">
        <v>1586</v>
      </c>
      <c r="D723" s="184" t="s">
        <v>865</v>
      </c>
      <c r="E723" s="185">
        <v>865</v>
      </c>
      <c r="F723" s="686"/>
    </row>
    <row r="724" spans="2:8">
      <c r="B724" s="685">
        <v>21935</v>
      </c>
      <c r="C724" s="171" t="s">
        <v>1590</v>
      </c>
      <c r="D724" s="184" t="s">
        <v>865</v>
      </c>
      <c r="E724" s="185">
        <v>10153</v>
      </c>
      <c r="F724" s="686"/>
    </row>
    <row r="725" spans="2:8">
      <c r="B725" s="685">
        <v>21936</v>
      </c>
      <c r="C725" s="171" t="s">
        <v>1589</v>
      </c>
      <c r="D725" s="184" t="s">
        <v>865</v>
      </c>
      <c r="E725" s="185">
        <v>4314</v>
      </c>
      <c r="F725" s="686"/>
    </row>
    <row r="726" spans="2:8">
      <c r="B726" s="685">
        <v>21937</v>
      </c>
      <c r="C726" s="171" t="s">
        <v>1591</v>
      </c>
      <c r="D726" s="184" t="s">
        <v>865</v>
      </c>
      <c r="E726" s="185">
        <v>16506</v>
      </c>
      <c r="F726" s="686"/>
    </row>
    <row r="727" spans="2:8">
      <c r="B727" s="685">
        <v>21938</v>
      </c>
      <c r="C727" s="171" t="s">
        <v>1585</v>
      </c>
      <c r="D727" s="184" t="s">
        <v>865</v>
      </c>
      <c r="E727" s="185">
        <v>515</v>
      </c>
      <c r="F727" s="686"/>
    </row>
    <row r="728" spans="2:8">
      <c r="B728" s="685">
        <v>21939</v>
      </c>
      <c r="C728" s="171" t="s">
        <v>1592</v>
      </c>
      <c r="D728" s="184" t="s">
        <v>865</v>
      </c>
      <c r="E728" s="185">
        <v>29989</v>
      </c>
      <c r="F728" s="686"/>
    </row>
    <row r="729" spans="2:8">
      <c r="B729" s="685">
        <v>21940</v>
      </c>
      <c r="C729" s="171" t="s">
        <v>1540</v>
      </c>
      <c r="D729" s="184" t="s">
        <v>865</v>
      </c>
      <c r="E729" s="185">
        <v>300</v>
      </c>
      <c r="F729" s="758" t="s">
        <v>1677</v>
      </c>
      <c r="G729" s="759"/>
      <c r="H729" s="693">
        <v>40057</v>
      </c>
    </row>
    <row r="730" spans="2:8">
      <c r="B730" s="685">
        <v>21941</v>
      </c>
      <c r="C730" s="171" t="s">
        <v>1544</v>
      </c>
      <c r="D730" s="184" t="s">
        <v>865</v>
      </c>
      <c r="E730" s="185">
        <v>6677</v>
      </c>
      <c r="F730" s="686"/>
    </row>
    <row r="731" spans="2:8">
      <c r="B731" s="685">
        <v>21942</v>
      </c>
      <c r="C731" s="171" t="s">
        <v>1543</v>
      </c>
      <c r="D731" s="184" t="s">
        <v>865</v>
      </c>
      <c r="E731" s="194">
        <v>5084</v>
      </c>
      <c r="F731" s="686"/>
    </row>
    <row r="732" spans="2:8">
      <c r="B732" s="685">
        <v>21943</v>
      </c>
      <c r="C732" s="171" t="s">
        <v>1542</v>
      </c>
      <c r="D732" s="184" t="s">
        <v>865</v>
      </c>
      <c r="E732" s="185">
        <v>1970</v>
      </c>
      <c r="F732" s="686"/>
    </row>
    <row r="733" spans="2:8">
      <c r="B733" s="685">
        <v>21944</v>
      </c>
      <c r="C733" s="171" t="s">
        <v>1546</v>
      </c>
      <c r="D733" s="184" t="s">
        <v>865</v>
      </c>
      <c r="E733" s="185">
        <v>25216</v>
      </c>
      <c r="F733" s="686"/>
    </row>
    <row r="734" spans="2:8">
      <c r="B734" s="685">
        <v>21945</v>
      </c>
      <c r="C734" s="171" t="s">
        <v>1545</v>
      </c>
      <c r="D734" s="184" t="s">
        <v>865</v>
      </c>
      <c r="E734" s="185">
        <v>10630</v>
      </c>
      <c r="F734" s="686"/>
    </row>
    <row r="735" spans="2:8">
      <c r="B735" s="685">
        <v>21946</v>
      </c>
      <c r="C735" s="171" t="s">
        <v>1547</v>
      </c>
      <c r="D735" s="184" t="s">
        <v>865</v>
      </c>
      <c r="E735" s="185">
        <v>36135</v>
      </c>
      <c r="F735" s="686"/>
    </row>
    <row r="736" spans="2:8">
      <c r="B736" s="685">
        <v>21947</v>
      </c>
      <c r="C736" s="171" t="s">
        <v>1541</v>
      </c>
      <c r="D736" s="184" t="s">
        <v>865</v>
      </c>
      <c r="E736" s="185">
        <v>500</v>
      </c>
      <c r="F736" s="758" t="s">
        <v>1677</v>
      </c>
      <c r="G736" s="759"/>
      <c r="H736" s="693">
        <v>40057</v>
      </c>
    </row>
    <row r="737" spans="2:8">
      <c r="B737" s="685">
        <v>21948</v>
      </c>
      <c r="C737" s="171" t="s">
        <v>1548</v>
      </c>
      <c r="D737" s="184" t="s">
        <v>865</v>
      </c>
      <c r="E737" s="185">
        <v>78148</v>
      </c>
      <c r="F737" s="686"/>
    </row>
    <row r="738" spans="2:8">
      <c r="B738" s="685">
        <v>21949</v>
      </c>
      <c r="C738" s="171" t="s">
        <v>1566</v>
      </c>
      <c r="D738" s="184" t="s">
        <v>865</v>
      </c>
      <c r="E738" s="185">
        <v>245</v>
      </c>
      <c r="F738" s="686"/>
    </row>
    <row r="739" spans="2:8">
      <c r="B739" s="685">
        <v>21950</v>
      </c>
      <c r="C739" s="171" t="s">
        <v>1561</v>
      </c>
      <c r="D739" s="184" t="s">
        <v>865</v>
      </c>
      <c r="E739" s="185">
        <v>1865</v>
      </c>
      <c r="F739" s="686"/>
    </row>
    <row r="740" spans="2:8">
      <c r="B740" s="685">
        <v>21951</v>
      </c>
      <c r="C740" s="171" t="s">
        <v>1560</v>
      </c>
      <c r="D740" s="184" t="s">
        <v>865</v>
      </c>
      <c r="E740" s="185">
        <v>1369</v>
      </c>
      <c r="F740" s="686"/>
    </row>
    <row r="741" spans="2:8">
      <c r="B741" s="685">
        <v>21952</v>
      </c>
      <c r="C741" s="171" t="s">
        <v>1559</v>
      </c>
      <c r="D741" s="184" t="s">
        <v>865</v>
      </c>
      <c r="E741" s="185">
        <v>747</v>
      </c>
      <c r="F741" s="686"/>
    </row>
    <row r="742" spans="2:8">
      <c r="B742" s="685">
        <v>21953</v>
      </c>
      <c r="C742" s="171" t="s">
        <v>1563</v>
      </c>
      <c r="D742" s="184" t="s">
        <v>865</v>
      </c>
      <c r="E742" s="185">
        <v>11370</v>
      </c>
      <c r="F742" s="686"/>
    </row>
    <row r="743" spans="2:8">
      <c r="B743" s="685">
        <v>21954</v>
      </c>
      <c r="C743" s="171" t="s">
        <v>1562</v>
      </c>
      <c r="D743" s="184" t="s">
        <v>865</v>
      </c>
      <c r="E743" s="185">
        <v>3061</v>
      </c>
      <c r="F743" s="686"/>
    </row>
    <row r="744" spans="2:8">
      <c r="B744" s="685">
        <v>21955</v>
      </c>
      <c r="C744" s="171" t="s">
        <v>1564</v>
      </c>
      <c r="D744" s="184" t="s">
        <v>865</v>
      </c>
      <c r="E744" s="185">
        <v>15002</v>
      </c>
      <c r="F744" s="686"/>
    </row>
    <row r="745" spans="2:8">
      <c r="B745" s="685">
        <v>21956</v>
      </c>
      <c r="C745" s="171" t="s">
        <v>1558</v>
      </c>
      <c r="D745" s="184" t="s">
        <v>865</v>
      </c>
      <c r="E745" s="185">
        <v>461</v>
      </c>
      <c r="F745" s="686"/>
    </row>
    <row r="746" spans="2:8">
      <c r="B746" s="685">
        <v>21957</v>
      </c>
      <c r="C746" s="171" t="s">
        <v>1565</v>
      </c>
      <c r="D746" s="184" t="s">
        <v>865</v>
      </c>
      <c r="E746" s="185">
        <v>32589</v>
      </c>
      <c r="F746" s="686"/>
    </row>
    <row r="747" spans="2:8">
      <c r="B747" s="685">
        <v>21958</v>
      </c>
      <c r="C747" s="171" t="s">
        <v>1230</v>
      </c>
      <c r="D747" s="184" t="s">
        <v>865</v>
      </c>
      <c r="E747" s="185">
        <v>11000</v>
      </c>
      <c r="F747" s="686"/>
    </row>
    <row r="748" spans="2:8">
      <c r="B748" s="685">
        <v>21959</v>
      </c>
      <c r="C748" s="171" t="s">
        <v>1229</v>
      </c>
      <c r="D748" s="184" t="s">
        <v>865</v>
      </c>
      <c r="E748" s="185"/>
      <c r="F748" s="686"/>
    </row>
    <row r="749" spans="2:8">
      <c r="B749" s="685">
        <v>21960</v>
      </c>
      <c r="C749" s="171" t="s">
        <v>1228</v>
      </c>
      <c r="D749" s="184" t="s">
        <v>865</v>
      </c>
      <c r="E749" s="185">
        <v>3000</v>
      </c>
      <c r="F749" s="758" t="s">
        <v>1677</v>
      </c>
      <c r="G749" s="759"/>
      <c r="H749" s="693">
        <v>40057</v>
      </c>
    </row>
    <row r="750" spans="2:8">
      <c r="B750" s="685">
        <v>21961</v>
      </c>
      <c r="C750" s="171" t="s">
        <v>1226</v>
      </c>
      <c r="D750" s="184" t="s">
        <v>865</v>
      </c>
      <c r="E750" s="185">
        <v>1100</v>
      </c>
      <c r="F750" s="758" t="s">
        <v>1677</v>
      </c>
      <c r="G750" s="759"/>
      <c r="H750" s="693">
        <v>40057</v>
      </c>
    </row>
    <row r="751" spans="2:8">
      <c r="B751" s="685">
        <v>21962</v>
      </c>
      <c r="C751" s="171" t="s">
        <v>1231</v>
      </c>
      <c r="D751" s="184" t="s">
        <v>865</v>
      </c>
      <c r="E751" s="185">
        <v>15000</v>
      </c>
      <c r="F751" s="686"/>
    </row>
    <row r="752" spans="2:8">
      <c r="B752" s="685">
        <v>21963</v>
      </c>
      <c r="C752" s="171" t="s">
        <v>1232</v>
      </c>
      <c r="D752" s="184" t="s">
        <v>865</v>
      </c>
      <c r="E752" s="185"/>
      <c r="F752" s="686"/>
    </row>
    <row r="753" spans="2:6">
      <c r="B753" s="685">
        <v>21964</v>
      </c>
      <c r="C753" s="171" t="s">
        <v>1227</v>
      </c>
      <c r="D753" s="184" t="s">
        <v>865</v>
      </c>
      <c r="E753" s="185">
        <v>4454</v>
      </c>
      <c r="F753" s="686"/>
    </row>
    <row r="754" spans="2:6">
      <c r="B754" s="685">
        <v>21965</v>
      </c>
      <c r="C754" s="171" t="s">
        <v>1233</v>
      </c>
      <c r="D754" s="184" t="s">
        <v>865</v>
      </c>
      <c r="E754" s="185">
        <v>45000</v>
      </c>
      <c r="F754" s="686"/>
    </row>
    <row r="755" spans="2:6">
      <c r="B755" s="685">
        <v>21966</v>
      </c>
      <c r="C755" s="171" t="s">
        <v>1238</v>
      </c>
      <c r="D755" s="184" t="s">
        <v>865</v>
      </c>
      <c r="E755" s="185">
        <v>15000</v>
      </c>
      <c r="F755" s="686"/>
    </row>
    <row r="756" spans="2:6">
      <c r="B756" s="685">
        <v>21967</v>
      </c>
      <c r="C756" s="171" t="s">
        <v>1237</v>
      </c>
      <c r="D756" s="184" t="s">
        <v>865</v>
      </c>
      <c r="E756" s="185"/>
      <c r="F756" s="686"/>
    </row>
    <row r="757" spans="2:6">
      <c r="B757" s="685">
        <v>21968</v>
      </c>
      <c r="C757" s="171" t="s">
        <v>1236</v>
      </c>
      <c r="D757" s="184" t="s">
        <v>865</v>
      </c>
      <c r="E757" s="185">
        <v>7500</v>
      </c>
      <c r="F757" s="686"/>
    </row>
    <row r="758" spans="2:6">
      <c r="B758" s="685">
        <v>21969</v>
      </c>
      <c r="C758" s="171" t="s">
        <v>1234</v>
      </c>
      <c r="D758" s="184" t="s">
        <v>865</v>
      </c>
      <c r="E758" s="185">
        <v>3100</v>
      </c>
      <c r="F758" s="686"/>
    </row>
    <row r="759" spans="2:6">
      <c r="B759" s="685">
        <v>21970</v>
      </c>
      <c r="C759" s="171" t="s">
        <v>1239</v>
      </c>
      <c r="D759" s="184" t="s">
        <v>865</v>
      </c>
      <c r="E759" s="185">
        <v>18000</v>
      </c>
      <c r="F759" s="686"/>
    </row>
    <row r="760" spans="2:6">
      <c r="B760" s="685">
        <v>21971</v>
      </c>
      <c r="C760" s="171" t="s">
        <v>1240</v>
      </c>
      <c r="D760" s="184" t="s">
        <v>865</v>
      </c>
      <c r="E760" s="185">
        <v>48000</v>
      </c>
      <c r="F760" s="686"/>
    </row>
    <row r="761" spans="2:6">
      <c r="B761" s="685">
        <v>21972</v>
      </c>
      <c r="C761" s="171" t="s">
        <v>1235</v>
      </c>
      <c r="D761" s="184" t="s">
        <v>865</v>
      </c>
      <c r="E761" s="185"/>
      <c r="F761" s="686"/>
    </row>
    <row r="762" spans="2:6">
      <c r="B762" s="685">
        <v>21973</v>
      </c>
      <c r="C762" s="171" t="s">
        <v>1241</v>
      </c>
      <c r="D762" s="184" t="s">
        <v>865</v>
      </c>
      <c r="E762" s="185"/>
      <c r="F762" s="686"/>
    </row>
    <row r="763" spans="2:6">
      <c r="B763" s="685">
        <v>21974</v>
      </c>
      <c r="C763" s="171" t="s">
        <v>1350</v>
      </c>
      <c r="D763" s="184" t="s">
        <v>865</v>
      </c>
      <c r="E763" s="185">
        <v>750</v>
      </c>
      <c r="F763" s="686"/>
    </row>
    <row r="764" spans="2:6">
      <c r="B764" s="685">
        <v>21975</v>
      </c>
      <c r="C764" s="171" t="s">
        <v>1349</v>
      </c>
      <c r="D764" s="184" t="s">
        <v>865</v>
      </c>
      <c r="E764" s="185">
        <v>750</v>
      </c>
      <c r="F764" s="686"/>
    </row>
    <row r="765" spans="2:6">
      <c r="B765" s="685">
        <v>21976</v>
      </c>
      <c r="C765" s="171" t="s">
        <v>1538</v>
      </c>
      <c r="D765" s="184" t="s">
        <v>865</v>
      </c>
      <c r="E765" s="185">
        <v>1200</v>
      </c>
      <c r="F765" s="686"/>
    </row>
    <row r="766" spans="2:6">
      <c r="B766" s="685">
        <v>21977</v>
      </c>
      <c r="C766" s="171" t="s">
        <v>1534</v>
      </c>
      <c r="D766" s="184" t="s">
        <v>865</v>
      </c>
      <c r="E766" s="185">
        <v>800</v>
      </c>
      <c r="F766" s="686"/>
    </row>
    <row r="767" spans="2:6">
      <c r="B767" s="685">
        <v>21978</v>
      </c>
      <c r="C767" s="171" t="s">
        <v>1536</v>
      </c>
      <c r="D767" s="184" t="s">
        <v>865</v>
      </c>
      <c r="E767" s="185">
        <v>700</v>
      </c>
      <c r="F767" s="686"/>
    </row>
    <row r="768" spans="2:6">
      <c r="B768" s="685">
        <v>21979</v>
      </c>
      <c r="C768" s="171" t="s">
        <v>1535</v>
      </c>
      <c r="D768" s="184" t="s">
        <v>865</v>
      </c>
      <c r="E768" s="185">
        <v>950</v>
      </c>
      <c r="F768" s="686"/>
    </row>
    <row r="769" spans="2:6">
      <c r="B769" s="685">
        <v>21980</v>
      </c>
      <c r="C769" s="171" t="s">
        <v>1285</v>
      </c>
      <c r="D769" s="184" t="s">
        <v>865</v>
      </c>
      <c r="E769" s="185">
        <v>550</v>
      </c>
      <c r="F769" s="686"/>
    </row>
    <row r="770" spans="2:6">
      <c r="B770" s="685">
        <v>21981</v>
      </c>
      <c r="C770" s="171" t="s">
        <v>1537</v>
      </c>
      <c r="D770" s="184" t="s">
        <v>865</v>
      </c>
      <c r="E770" s="185">
        <v>5000</v>
      </c>
      <c r="F770" s="686"/>
    </row>
    <row r="771" spans="2:6">
      <c r="B771" s="685">
        <v>21982</v>
      </c>
      <c r="C771" s="171" t="s">
        <v>35</v>
      </c>
      <c r="D771" s="184" t="s">
        <v>865</v>
      </c>
      <c r="E771" s="185">
        <v>1800</v>
      </c>
      <c r="F771" s="686"/>
    </row>
    <row r="772" spans="2:6">
      <c r="B772" s="685">
        <v>21983</v>
      </c>
      <c r="C772" s="171" t="s">
        <v>36</v>
      </c>
      <c r="D772" s="184" t="s">
        <v>865</v>
      </c>
      <c r="E772" s="185">
        <v>1800</v>
      </c>
      <c r="F772" s="686"/>
    </row>
    <row r="773" spans="2:6">
      <c r="B773" s="685">
        <v>21984</v>
      </c>
      <c r="C773" s="171" t="s">
        <v>37</v>
      </c>
      <c r="D773" s="184" t="s">
        <v>865</v>
      </c>
      <c r="E773" s="185">
        <v>2800</v>
      </c>
      <c r="F773" s="686"/>
    </row>
    <row r="774" spans="2:6">
      <c r="B774" s="685">
        <v>21985</v>
      </c>
      <c r="C774" s="171" t="s">
        <v>148</v>
      </c>
      <c r="D774" s="184" t="s">
        <v>865</v>
      </c>
      <c r="E774" s="185">
        <v>2000</v>
      </c>
      <c r="F774" s="686"/>
    </row>
    <row r="775" spans="2:6">
      <c r="B775" s="685">
        <v>21986</v>
      </c>
      <c r="C775" s="171" t="s">
        <v>145</v>
      </c>
      <c r="D775" s="184" t="s">
        <v>865</v>
      </c>
      <c r="E775" s="185">
        <v>3800</v>
      </c>
      <c r="F775" s="686"/>
    </row>
    <row r="776" spans="2:6">
      <c r="B776" s="685">
        <v>21987</v>
      </c>
      <c r="C776" s="171" t="s">
        <v>146</v>
      </c>
      <c r="D776" s="184" t="s">
        <v>865</v>
      </c>
      <c r="E776" s="185">
        <v>5500</v>
      </c>
      <c r="F776" s="686"/>
    </row>
    <row r="777" spans="2:6">
      <c r="B777" s="685">
        <v>21988</v>
      </c>
      <c r="C777" s="171" t="s">
        <v>147</v>
      </c>
      <c r="D777" s="184" t="s">
        <v>865</v>
      </c>
      <c r="E777" s="185">
        <v>13500</v>
      </c>
      <c r="F777" s="686"/>
    </row>
    <row r="778" spans="2:6">
      <c r="B778" s="685">
        <v>21989</v>
      </c>
      <c r="C778" s="171" t="s">
        <v>139</v>
      </c>
      <c r="D778" s="184" t="s">
        <v>865</v>
      </c>
      <c r="E778" s="185">
        <v>1769</v>
      </c>
      <c r="F778" s="686"/>
    </row>
    <row r="779" spans="2:6">
      <c r="B779" s="685">
        <v>21990</v>
      </c>
      <c r="C779" s="171" t="s">
        <v>140</v>
      </c>
      <c r="D779" s="184" t="s">
        <v>865</v>
      </c>
      <c r="E779" s="185">
        <v>4070</v>
      </c>
      <c r="F779" s="686"/>
    </row>
    <row r="780" spans="2:6">
      <c r="B780" s="685">
        <v>21991</v>
      </c>
      <c r="C780" s="171" t="s">
        <v>136</v>
      </c>
      <c r="D780" s="184" t="s">
        <v>865</v>
      </c>
      <c r="E780" s="185">
        <v>3842</v>
      </c>
      <c r="F780" s="686"/>
    </row>
    <row r="781" spans="2:6">
      <c r="B781" s="685">
        <v>21992</v>
      </c>
      <c r="C781" s="171" t="s">
        <v>141</v>
      </c>
      <c r="D781" s="184" t="s">
        <v>865</v>
      </c>
      <c r="E781" s="185">
        <v>6702</v>
      </c>
      <c r="F781" s="686"/>
    </row>
    <row r="782" spans="2:6">
      <c r="B782" s="685">
        <v>21993</v>
      </c>
      <c r="C782" s="171" t="s">
        <v>137</v>
      </c>
      <c r="D782" s="184" t="s">
        <v>865</v>
      </c>
      <c r="E782" s="185">
        <v>6702</v>
      </c>
      <c r="F782" s="686"/>
    </row>
    <row r="783" spans="2:6">
      <c r="B783" s="685">
        <v>21994</v>
      </c>
      <c r="C783" s="171" t="s">
        <v>138</v>
      </c>
      <c r="D783" s="184" t="s">
        <v>865</v>
      </c>
      <c r="E783" s="185">
        <v>25440</v>
      </c>
      <c r="F783" s="686"/>
    </row>
    <row r="784" spans="2:6">
      <c r="B784" s="685">
        <v>21995</v>
      </c>
      <c r="C784" s="171" t="s">
        <v>88</v>
      </c>
      <c r="D784" s="184" t="s">
        <v>865</v>
      </c>
      <c r="E784" s="185">
        <v>14681</v>
      </c>
      <c r="F784" s="686"/>
    </row>
    <row r="785" spans="2:8">
      <c r="B785" s="685">
        <v>21996</v>
      </c>
      <c r="C785" s="171" t="s">
        <v>89</v>
      </c>
      <c r="D785" s="184" t="s">
        <v>865</v>
      </c>
      <c r="E785" s="185">
        <v>20674</v>
      </c>
      <c r="F785" s="686"/>
    </row>
    <row r="786" spans="2:8">
      <c r="B786" s="685">
        <v>21997</v>
      </c>
      <c r="C786" s="171" t="s">
        <v>63</v>
      </c>
      <c r="D786" s="184" t="s">
        <v>865</v>
      </c>
      <c r="E786" s="185">
        <v>2231</v>
      </c>
      <c r="F786" s="686"/>
    </row>
    <row r="787" spans="2:8">
      <c r="B787" s="685">
        <v>21998</v>
      </c>
      <c r="C787" s="171" t="s">
        <v>59</v>
      </c>
      <c r="D787" s="184" t="s">
        <v>865</v>
      </c>
      <c r="E787" s="185">
        <v>2709</v>
      </c>
      <c r="F787" s="686"/>
    </row>
    <row r="788" spans="2:8">
      <c r="B788" s="685">
        <v>21999</v>
      </c>
      <c r="C788" s="171" t="s">
        <v>60</v>
      </c>
      <c r="D788" s="184" t="s">
        <v>865</v>
      </c>
      <c r="E788" s="185">
        <v>5817</v>
      </c>
      <c r="F788" s="686"/>
    </row>
    <row r="789" spans="2:8">
      <c r="B789" s="685">
        <v>22000</v>
      </c>
      <c r="C789" s="171" t="s">
        <v>61</v>
      </c>
      <c r="D789" s="184" t="s">
        <v>865</v>
      </c>
      <c r="E789" s="185">
        <v>10153</v>
      </c>
      <c r="F789" s="686"/>
    </row>
    <row r="790" spans="2:8">
      <c r="B790" s="685">
        <v>22001</v>
      </c>
      <c r="C790" s="171" t="s">
        <v>62</v>
      </c>
      <c r="D790" s="184" t="s">
        <v>865</v>
      </c>
      <c r="E790" s="185">
        <v>37956</v>
      </c>
      <c r="F790" s="686"/>
    </row>
    <row r="791" spans="2:8">
      <c r="B791" s="685">
        <v>22002</v>
      </c>
      <c r="C791" s="171" t="s">
        <v>54</v>
      </c>
      <c r="D791" s="184" t="s">
        <v>865</v>
      </c>
      <c r="E791" s="185">
        <v>1928</v>
      </c>
      <c r="F791" s="686"/>
    </row>
    <row r="792" spans="2:8">
      <c r="B792" s="685">
        <v>22003</v>
      </c>
      <c r="C792" s="171" t="s">
        <v>55</v>
      </c>
      <c r="D792" s="184" t="s">
        <v>865</v>
      </c>
      <c r="E792" s="185">
        <v>2326</v>
      </c>
      <c r="F792" s="686"/>
    </row>
    <row r="793" spans="2:8">
      <c r="B793" s="685">
        <v>22004</v>
      </c>
      <c r="C793" s="171" t="s">
        <v>56</v>
      </c>
      <c r="D793" s="184" t="s">
        <v>865</v>
      </c>
      <c r="E793" s="185">
        <v>5060</v>
      </c>
      <c r="F793" s="686"/>
    </row>
    <row r="794" spans="2:8">
      <c r="B794" s="685">
        <v>22005</v>
      </c>
      <c r="C794" s="171" t="s">
        <v>57</v>
      </c>
      <c r="D794" s="184" t="s">
        <v>865</v>
      </c>
      <c r="E794" s="185">
        <v>4000</v>
      </c>
      <c r="F794" s="758" t="s">
        <v>1677</v>
      </c>
      <c r="G794" s="759"/>
      <c r="H794" s="693">
        <v>40057</v>
      </c>
    </row>
    <row r="795" spans="2:8">
      <c r="B795" s="685">
        <v>22006</v>
      </c>
      <c r="C795" s="171" t="s">
        <v>58</v>
      </c>
      <c r="D795" s="184" t="s">
        <v>865</v>
      </c>
      <c r="E795" s="185">
        <v>39000</v>
      </c>
      <c r="F795" s="758" t="s">
        <v>1677</v>
      </c>
      <c r="G795" s="759"/>
      <c r="H795" s="693">
        <v>40057</v>
      </c>
    </row>
    <row r="796" spans="2:8">
      <c r="B796" s="685">
        <v>22007</v>
      </c>
      <c r="C796" s="171" t="s">
        <v>149</v>
      </c>
      <c r="D796" s="184" t="s">
        <v>865</v>
      </c>
      <c r="E796" s="185">
        <v>23289</v>
      </c>
      <c r="F796" s="686"/>
    </row>
    <row r="797" spans="2:8">
      <c r="B797" s="685">
        <v>22008</v>
      </c>
      <c r="C797" s="171" t="s">
        <v>150</v>
      </c>
      <c r="D797" s="184" t="s">
        <v>865</v>
      </c>
      <c r="E797" s="185">
        <v>26346</v>
      </c>
      <c r="F797" s="686"/>
    </row>
    <row r="798" spans="2:8">
      <c r="B798" s="685">
        <v>22009</v>
      </c>
      <c r="C798" s="171" t="s">
        <v>120</v>
      </c>
      <c r="D798" s="184" t="s">
        <v>865</v>
      </c>
      <c r="E798" s="185">
        <v>3567</v>
      </c>
      <c r="F798" s="686"/>
    </row>
    <row r="799" spans="2:8">
      <c r="B799" s="685">
        <v>22010</v>
      </c>
      <c r="C799" s="171" t="s">
        <v>121</v>
      </c>
      <c r="D799" s="184" t="s">
        <v>865</v>
      </c>
      <c r="E799" s="185">
        <v>3742</v>
      </c>
      <c r="F799" s="686"/>
    </row>
    <row r="800" spans="2:8">
      <c r="B800" s="685">
        <v>22011</v>
      </c>
      <c r="C800" s="171" t="s">
        <v>122</v>
      </c>
      <c r="D800" s="184" t="s">
        <v>865</v>
      </c>
      <c r="E800" s="185">
        <v>7292</v>
      </c>
      <c r="F800" s="686"/>
    </row>
    <row r="801" spans="2:6">
      <c r="B801" s="685">
        <v>22012</v>
      </c>
      <c r="C801" s="171" t="s">
        <v>123</v>
      </c>
      <c r="D801" s="184" t="s">
        <v>865</v>
      </c>
      <c r="E801" s="185">
        <v>16820</v>
      </c>
      <c r="F801" s="686"/>
    </row>
    <row r="802" spans="2:6">
      <c r="B802" s="685">
        <v>22013</v>
      </c>
      <c r="C802" s="171" t="s">
        <v>124</v>
      </c>
      <c r="D802" s="184" t="s">
        <v>865</v>
      </c>
      <c r="E802" s="185">
        <v>753</v>
      </c>
      <c r="F802" s="686"/>
    </row>
    <row r="803" spans="2:6">
      <c r="B803" s="685">
        <v>22014</v>
      </c>
      <c r="C803" s="171" t="s">
        <v>125</v>
      </c>
      <c r="D803" s="184" t="s">
        <v>865</v>
      </c>
      <c r="E803" s="185">
        <v>955</v>
      </c>
      <c r="F803" s="686"/>
    </row>
    <row r="804" spans="2:6">
      <c r="B804" s="685">
        <v>22015</v>
      </c>
      <c r="C804" s="171" t="s">
        <v>126</v>
      </c>
      <c r="D804" s="184" t="s">
        <v>865</v>
      </c>
      <c r="E804" s="185">
        <v>1880</v>
      </c>
      <c r="F804" s="686"/>
    </row>
    <row r="805" spans="2:6">
      <c r="B805" s="685">
        <v>22016</v>
      </c>
      <c r="C805" s="171" t="s">
        <v>144</v>
      </c>
      <c r="D805" s="184" t="s">
        <v>865</v>
      </c>
      <c r="E805" s="185">
        <v>3446</v>
      </c>
      <c r="F805" s="686"/>
    </row>
    <row r="806" spans="2:6">
      <c r="B806" s="685">
        <v>22017</v>
      </c>
      <c r="C806" s="171" t="s">
        <v>142</v>
      </c>
      <c r="D806" s="184" t="s">
        <v>865</v>
      </c>
      <c r="E806" s="185">
        <v>19421</v>
      </c>
      <c r="F806" s="686"/>
    </row>
    <row r="807" spans="2:6">
      <c r="B807" s="685">
        <v>22018</v>
      </c>
      <c r="C807" s="171" t="s">
        <v>143</v>
      </c>
      <c r="D807" s="184" t="s">
        <v>865</v>
      </c>
      <c r="E807" s="185">
        <v>35858</v>
      </c>
      <c r="F807" s="686"/>
    </row>
    <row r="808" spans="2:6">
      <c r="B808" s="685">
        <v>22019</v>
      </c>
      <c r="C808" s="171" t="s">
        <v>64</v>
      </c>
      <c r="D808" s="184" t="s">
        <v>865</v>
      </c>
      <c r="E808" s="185">
        <v>4026</v>
      </c>
      <c r="F808" s="686"/>
    </row>
    <row r="809" spans="2:6">
      <c r="B809" s="685">
        <v>22020</v>
      </c>
      <c r="C809" s="171" t="s">
        <v>64</v>
      </c>
      <c r="D809" s="184" t="s">
        <v>865</v>
      </c>
      <c r="E809" s="185">
        <v>4026</v>
      </c>
      <c r="F809" s="686"/>
    </row>
    <row r="810" spans="2:6">
      <c r="B810" s="685">
        <v>22021</v>
      </c>
      <c r="C810" s="171" t="s">
        <v>65</v>
      </c>
      <c r="D810" s="184" t="s">
        <v>865</v>
      </c>
      <c r="E810" s="185">
        <v>4612</v>
      </c>
      <c r="F810" s="686"/>
    </row>
    <row r="811" spans="2:6">
      <c r="B811" s="685">
        <v>22022</v>
      </c>
      <c r="C811" s="171" t="s">
        <v>66</v>
      </c>
      <c r="D811" s="184" t="s">
        <v>865</v>
      </c>
      <c r="E811" s="185">
        <v>5955</v>
      </c>
      <c r="F811" s="686"/>
    </row>
    <row r="812" spans="2:6">
      <c r="B812" s="685">
        <v>22023</v>
      </c>
      <c r="C812" s="171" t="s">
        <v>74</v>
      </c>
      <c r="D812" s="184" t="s">
        <v>865</v>
      </c>
      <c r="E812" s="185">
        <v>12294</v>
      </c>
      <c r="F812" s="686"/>
    </row>
    <row r="813" spans="2:6">
      <c r="B813" s="685">
        <v>22024</v>
      </c>
      <c r="C813" s="171" t="s">
        <v>75</v>
      </c>
      <c r="D813" s="184" t="s">
        <v>865</v>
      </c>
      <c r="E813" s="185">
        <v>97938</v>
      </c>
      <c r="F813" s="686"/>
    </row>
    <row r="814" spans="2:6">
      <c r="B814" s="685">
        <v>22025</v>
      </c>
      <c r="C814" s="171" t="s">
        <v>76</v>
      </c>
      <c r="D814" s="184" t="s">
        <v>865</v>
      </c>
      <c r="E814" s="185">
        <v>2500</v>
      </c>
      <c r="F814" s="686"/>
    </row>
    <row r="815" spans="2:6">
      <c r="B815" s="685">
        <v>22026</v>
      </c>
      <c r="C815" s="171" t="s">
        <v>84</v>
      </c>
      <c r="D815" s="184" t="s">
        <v>865</v>
      </c>
      <c r="E815" s="185">
        <v>3000</v>
      </c>
      <c r="F815" s="686"/>
    </row>
    <row r="816" spans="2:6">
      <c r="B816" s="685">
        <v>22027</v>
      </c>
      <c r="C816" s="171" t="s">
        <v>77</v>
      </c>
      <c r="D816" s="184" t="s">
        <v>865</v>
      </c>
      <c r="E816" s="185">
        <v>2800</v>
      </c>
      <c r="F816" s="686"/>
    </row>
    <row r="817" spans="2:6">
      <c r="B817" s="685">
        <v>22028</v>
      </c>
      <c r="C817" s="171" t="s">
        <v>85</v>
      </c>
      <c r="D817" s="184" t="s">
        <v>865</v>
      </c>
      <c r="E817" s="185">
        <v>5000</v>
      </c>
      <c r="F817" s="686"/>
    </row>
    <row r="818" spans="2:6">
      <c r="B818" s="685">
        <v>22029</v>
      </c>
      <c r="C818" s="171" t="s">
        <v>87</v>
      </c>
      <c r="D818" s="184" t="s">
        <v>865</v>
      </c>
      <c r="E818" s="185">
        <v>8500</v>
      </c>
      <c r="F818" s="686"/>
    </row>
    <row r="819" spans="2:6">
      <c r="B819" s="685">
        <v>22030</v>
      </c>
      <c r="C819" s="171" t="s">
        <v>78</v>
      </c>
      <c r="D819" s="184" t="s">
        <v>865</v>
      </c>
      <c r="E819" s="185">
        <v>7800</v>
      </c>
      <c r="F819" s="686"/>
    </row>
    <row r="820" spans="2:6">
      <c r="B820" s="685">
        <v>22031</v>
      </c>
      <c r="C820" s="171" t="s">
        <v>86</v>
      </c>
      <c r="D820" s="184" t="s">
        <v>865</v>
      </c>
      <c r="E820" s="185">
        <v>14000</v>
      </c>
      <c r="F820" s="686"/>
    </row>
    <row r="821" spans="2:6">
      <c r="B821" s="685">
        <v>22032</v>
      </c>
      <c r="C821" s="171" t="s">
        <v>79</v>
      </c>
      <c r="D821" s="184" t="s">
        <v>865</v>
      </c>
      <c r="E821" s="185">
        <v>12500</v>
      </c>
      <c r="F821" s="686"/>
    </row>
    <row r="822" spans="2:6">
      <c r="B822" s="685">
        <v>22033</v>
      </c>
      <c r="C822" s="171" t="s">
        <v>80</v>
      </c>
      <c r="D822" s="184" t="s">
        <v>865</v>
      </c>
      <c r="E822" s="185">
        <v>2300</v>
      </c>
      <c r="F822" s="686"/>
    </row>
    <row r="823" spans="2:6">
      <c r="B823" s="685">
        <v>22034</v>
      </c>
      <c r="C823" s="171" t="s">
        <v>81</v>
      </c>
      <c r="D823" s="184" t="s">
        <v>865</v>
      </c>
      <c r="E823" s="185">
        <v>4500</v>
      </c>
      <c r="F823" s="686"/>
    </row>
    <row r="824" spans="2:6">
      <c r="B824" s="685">
        <v>22035</v>
      </c>
      <c r="C824" s="171" t="s">
        <v>82</v>
      </c>
      <c r="D824" s="184" t="s">
        <v>865</v>
      </c>
      <c r="E824" s="185">
        <v>8000</v>
      </c>
      <c r="F824" s="686"/>
    </row>
    <row r="825" spans="2:6">
      <c r="B825" s="685">
        <v>22036</v>
      </c>
      <c r="C825" s="171" t="s">
        <v>83</v>
      </c>
      <c r="D825" s="184" t="s">
        <v>865</v>
      </c>
      <c r="E825" s="185">
        <v>39000</v>
      </c>
      <c r="F825" s="686"/>
    </row>
    <row r="826" spans="2:6">
      <c r="B826" s="685">
        <v>22037</v>
      </c>
      <c r="C826" s="171" t="s">
        <v>127</v>
      </c>
      <c r="D826" s="184" t="s">
        <v>865</v>
      </c>
      <c r="E826" s="185">
        <v>1595</v>
      </c>
      <c r="F826" s="686"/>
    </row>
    <row r="827" spans="2:6">
      <c r="B827" s="685">
        <v>22038</v>
      </c>
      <c r="C827" s="171" t="s">
        <v>128</v>
      </c>
      <c r="D827" s="184" t="s">
        <v>865</v>
      </c>
      <c r="E827" s="185">
        <v>1825</v>
      </c>
      <c r="F827" s="686"/>
    </row>
    <row r="828" spans="2:6">
      <c r="B828" s="685">
        <v>22039</v>
      </c>
      <c r="C828" s="171" t="s">
        <v>133</v>
      </c>
      <c r="D828" s="184" t="s">
        <v>865</v>
      </c>
      <c r="E828" s="185">
        <v>2706</v>
      </c>
      <c r="F828" s="686"/>
    </row>
    <row r="829" spans="2:6">
      <c r="B829" s="685">
        <v>22040</v>
      </c>
      <c r="C829" s="171" t="s">
        <v>134</v>
      </c>
      <c r="D829" s="184" t="s">
        <v>865</v>
      </c>
      <c r="E829" s="185">
        <v>5407</v>
      </c>
      <c r="F829" s="686"/>
    </row>
    <row r="830" spans="2:6">
      <c r="B830" s="685">
        <v>22041</v>
      </c>
      <c r="C830" s="171" t="s">
        <v>135</v>
      </c>
      <c r="D830" s="184" t="s">
        <v>865</v>
      </c>
      <c r="E830" s="185">
        <v>23048</v>
      </c>
      <c r="F830" s="686"/>
    </row>
    <row r="831" spans="2:6">
      <c r="B831" s="685">
        <v>22042</v>
      </c>
      <c r="C831" s="171" t="s">
        <v>93</v>
      </c>
      <c r="D831" s="184" t="s">
        <v>865</v>
      </c>
      <c r="E831" s="185">
        <v>4938</v>
      </c>
      <c r="F831" s="686"/>
    </row>
    <row r="832" spans="2:6">
      <c r="B832" s="685">
        <v>22043</v>
      </c>
      <c r="C832" s="171" t="s">
        <v>90</v>
      </c>
      <c r="D832" s="184" t="s">
        <v>865</v>
      </c>
      <c r="E832" s="185">
        <v>10145</v>
      </c>
      <c r="F832" s="686"/>
    </row>
    <row r="833" spans="2:6">
      <c r="B833" s="685">
        <v>22044</v>
      </c>
      <c r="C833" s="171" t="s">
        <v>91</v>
      </c>
      <c r="D833" s="184" t="s">
        <v>865</v>
      </c>
      <c r="E833" s="185">
        <v>17996</v>
      </c>
      <c r="F833" s="686"/>
    </row>
    <row r="834" spans="2:6">
      <c r="B834" s="685">
        <v>22045</v>
      </c>
      <c r="C834" s="171" t="s">
        <v>92</v>
      </c>
      <c r="D834" s="184" t="s">
        <v>865</v>
      </c>
      <c r="E834" s="185">
        <v>83549</v>
      </c>
      <c r="F834" s="686"/>
    </row>
    <row r="835" spans="2:6">
      <c r="B835" s="685">
        <v>22046</v>
      </c>
      <c r="C835" s="171" t="s">
        <v>119</v>
      </c>
      <c r="D835" s="184" t="s">
        <v>865</v>
      </c>
      <c r="E835" s="185">
        <v>8297</v>
      </c>
      <c r="F835" s="686"/>
    </row>
    <row r="836" spans="2:6">
      <c r="B836" s="685">
        <v>22047</v>
      </c>
      <c r="C836" s="171" t="s">
        <v>117</v>
      </c>
      <c r="D836" s="184" t="s">
        <v>865</v>
      </c>
      <c r="E836" s="185">
        <v>20314</v>
      </c>
      <c r="F836" s="686"/>
    </row>
    <row r="837" spans="2:6">
      <c r="B837" s="685">
        <v>22048</v>
      </c>
      <c r="C837" s="171" t="s">
        <v>118</v>
      </c>
      <c r="D837" s="184" t="s">
        <v>865</v>
      </c>
      <c r="E837" s="185">
        <v>32381</v>
      </c>
      <c r="F837" s="686"/>
    </row>
    <row r="838" spans="2:6">
      <c r="B838" s="685">
        <v>22049</v>
      </c>
      <c r="C838" s="171" t="s">
        <v>116</v>
      </c>
      <c r="D838" s="184" t="s">
        <v>865</v>
      </c>
      <c r="E838" s="185">
        <v>17119</v>
      </c>
      <c r="F838" s="686"/>
    </row>
    <row r="839" spans="2:6">
      <c r="B839" s="685">
        <v>22050</v>
      </c>
      <c r="C839" s="171" t="s">
        <v>114</v>
      </c>
      <c r="D839" s="184" t="s">
        <v>865</v>
      </c>
      <c r="E839" s="185">
        <v>80880</v>
      </c>
      <c r="F839" s="686"/>
    </row>
    <row r="840" spans="2:6">
      <c r="B840" s="685">
        <v>22051</v>
      </c>
      <c r="C840" s="171" t="s">
        <v>115</v>
      </c>
      <c r="D840" s="184" t="s">
        <v>865</v>
      </c>
      <c r="E840" s="185">
        <v>26170</v>
      </c>
      <c r="F840" s="686"/>
    </row>
    <row r="841" spans="2:6">
      <c r="B841" s="685">
        <v>22052</v>
      </c>
      <c r="C841" s="171" t="s">
        <v>95</v>
      </c>
      <c r="D841" s="184" t="s">
        <v>865</v>
      </c>
      <c r="E841" s="185">
        <v>10062</v>
      </c>
      <c r="F841" s="686"/>
    </row>
    <row r="842" spans="2:6">
      <c r="B842" s="685">
        <v>22053</v>
      </c>
      <c r="C842" s="171" t="s">
        <v>113</v>
      </c>
      <c r="D842" s="184" t="s">
        <v>865</v>
      </c>
      <c r="E842" s="185">
        <v>15769</v>
      </c>
      <c r="F842" s="686"/>
    </row>
    <row r="843" spans="2:6">
      <c r="B843" s="685">
        <v>22054</v>
      </c>
      <c r="C843" s="171" t="s">
        <v>96</v>
      </c>
      <c r="D843" s="184" t="s">
        <v>865</v>
      </c>
      <c r="E843" s="185">
        <v>15769</v>
      </c>
      <c r="F843" s="686"/>
    </row>
    <row r="844" spans="2:6">
      <c r="B844" s="685">
        <v>22055</v>
      </c>
      <c r="C844" s="171" t="s">
        <v>94</v>
      </c>
      <c r="D844" s="184" t="s">
        <v>865</v>
      </c>
      <c r="E844" s="185">
        <v>83549</v>
      </c>
      <c r="F844" s="686"/>
    </row>
    <row r="845" spans="2:6">
      <c r="B845" s="685">
        <v>22056</v>
      </c>
      <c r="C845" s="171" t="s">
        <v>151</v>
      </c>
      <c r="D845" s="184" t="s">
        <v>865</v>
      </c>
      <c r="E845" s="185">
        <v>34201</v>
      </c>
      <c r="F845" s="686"/>
    </row>
    <row r="846" spans="2:6">
      <c r="B846" s="685">
        <v>22057</v>
      </c>
      <c r="C846" s="171" t="s">
        <v>152</v>
      </c>
      <c r="D846" s="184" t="s">
        <v>865</v>
      </c>
      <c r="E846" s="185">
        <v>28500</v>
      </c>
      <c r="F846" s="686"/>
    </row>
    <row r="847" spans="2:6">
      <c r="B847" s="685">
        <v>22058</v>
      </c>
      <c r="C847" s="171" t="s">
        <v>153</v>
      </c>
      <c r="D847" s="184" t="s">
        <v>865</v>
      </c>
      <c r="E847" s="185">
        <v>53662</v>
      </c>
      <c r="F847" s="686"/>
    </row>
    <row r="848" spans="2:6">
      <c r="B848" s="685">
        <v>22059</v>
      </c>
      <c r="C848" s="171" t="s">
        <v>156</v>
      </c>
      <c r="D848" s="184" t="s">
        <v>865</v>
      </c>
      <c r="E848" s="185">
        <v>5690</v>
      </c>
      <c r="F848" s="686"/>
    </row>
    <row r="849" spans="2:6">
      <c r="B849" s="685">
        <v>22060</v>
      </c>
      <c r="C849" s="171" t="s">
        <v>157</v>
      </c>
      <c r="D849" s="184" t="s">
        <v>865</v>
      </c>
      <c r="E849" s="185">
        <v>5690</v>
      </c>
      <c r="F849" s="686"/>
    </row>
    <row r="850" spans="2:6">
      <c r="B850" s="685">
        <v>22061</v>
      </c>
      <c r="C850" s="171" t="s">
        <v>158</v>
      </c>
      <c r="D850" s="184" t="s">
        <v>865</v>
      </c>
      <c r="E850" s="185">
        <v>11695</v>
      </c>
      <c r="F850" s="686"/>
    </row>
    <row r="851" spans="2:6">
      <c r="B851" s="685">
        <v>22062</v>
      </c>
      <c r="C851" s="171" t="s">
        <v>159</v>
      </c>
      <c r="D851" s="184" t="s">
        <v>865</v>
      </c>
      <c r="E851" s="185">
        <v>15776</v>
      </c>
      <c r="F851" s="686"/>
    </row>
    <row r="852" spans="2:6">
      <c r="B852" s="685">
        <v>22063</v>
      </c>
      <c r="C852" s="171" t="s">
        <v>160</v>
      </c>
      <c r="D852" s="184" t="s">
        <v>865</v>
      </c>
      <c r="E852" s="185">
        <v>2078</v>
      </c>
      <c r="F852" s="686"/>
    </row>
    <row r="853" spans="2:6">
      <c r="B853" s="685">
        <v>22064</v>
      </c>
      <c r="C853" s="171" t="s">
        <v>161</v>
      </c>
      <c r="D853" s="184" t="s">
        <v>865</v>
      </c>
      <c r="E853" s="185">
        <v>19860</v>
      </c>
      <c r="F853" s="686"/>
    </row>
    <row r="854" spans="2:6">
      <c r="B854" s="685">
        <v>22065</v>
      </c>
      <c r="C854" s="171" t="s">
        <v>173</v>
      </c>
      <c r="D854" s="184" t="s">
        <v>865</v>
      </c>
      <c r="E854" s="185">
        <v>3000</v>
      </c>
      <c r="F854" s="686"/>
    </row>
    <row r="855" spans="2:6">
      <c r="B855" s="685">
        <v>22066</v>
      </c>
      <c r="C855" s="171" t="s">
        <v>162</v>
      </c>
      <c r="D855" s="184" t="s">
        <v>865</v>
      </c>
      <c r="E855" s="185">
        <v>2500</v>
      </c>
      <c r="F855" s="686"/>
    </row>
    <row r="856" spans="2:6">
      <c r="B856" s="685">
        <v>22067</v>
      </c>
      <c r="C856" s="171" t="s">
        <v>163</v>
      </c>
      <c r="D856" s="184" t="s">
        <v>865</v>
      </c>
      <c r="E856" s="185">
        <v>3500</v>
      </c>
      <c r="F856" s="686"/>
    </row>
    <row r="857" spans="2:6">
      <c r="B857" s="685">
        <v>22068</v>
      </c>
      <c r="C857" s="171" t="s">
        <v>164</v>
      </c>
      <c r="D857" s="184" t="s">
        <v>865</v>
      </c>
      <c r="E857" s="185">
        <v>4000</v>
      </c>
      <c r="F857" s="686"/>
    </row>
    <row r="858" spans="2:6">
      <c r="B858" s="685">
        <v>22069</v>
      </c>
      <c r="C858" s="171" t="s">
        <v>171</v>
      </c>
      <c r="D858" s="184" t="s">
        <v>865</v>
      </c>
      <c r="E858" s="185">
        <v>1600</v>
      </c>
      <c r="F858" s="686"/>
    </row>
    <row r="859" spans="2:6">
      <c r="B859" s="685">
        <v>22070</v>
      </c>
      <c r="C859" s="171" t="s">
        <v>172</v>
      </c>
      <c r="D859" s="184" t="s">
        <v>865</v>
      </c>
      <c r="E859" s="185">
        <v>4000</v>
      </c>
      <c r="F859" s="686"/>
    </row>
    <row r="860" spans="2:6">
      <c r="B860" s="685">
        <v>22071</v>
      </c>
      <c r="C860" s="171" t="s">
        <v>174</v>
      </c>
      <c r="D860" s="184" t="s">
        <v>865</v>
      </c>
      <c r="E860" s="185">
        <v>4500</v>
      </c>
      <c r="F860" s="686"/>
    </row>
    <row r="861" spans="2:6">
      <c r="B861" s="685">
        <v>22072</v>
      </c>
      <c r="C861" s="171" t="s">
        <v>175</v>
      </c>
      <c r="D861" s="184" t="s">
        <v>865</v>
      </c>
      <c r="E861" s="185">
        <v>4500</v>
      </c>
      <c r="F861" s="686"/>
    </row>
    <row r="862" spans="2:6">
      <c r="B862" s="685">
        <v>22073</v>
      </c>
      <c r="C862" s="171" t="s">
        <v>176</v>
      </c>
      <c r="D862" s="184" t="s">
        <v>865</v>
      </c>
      <c r="E862" s="185">
        <v>1500</v>
      </c>
      <c r="F862" s="686"/>
    </row>
    <row r="863" spans="2:6">
      <c r="B863" s="685">
        <v>22074</v>
      </c>
      <c r="C863" s="171" t="s">
        <v>177</v>
      </c>
      <c r="D863" s="184" t="s">
        <v>865</v>
      </c>
      <c r="E863" s="185">
        <v>2000</v>
      </c>
      <c r="F863" s="686"/>
    </row>
    <row r="864" spans="2:6">
      <c r="B864" s="685">
        <v>22075</v>
      </c>
      <c r="C864" s="171" t="s">
        <v>178</v>
      </c>
      <c r="D864" s="184" t="s">
        <v>865</v>
      </c>
      <c r="E864" s="185">
        <v>3500</v>
      </c>
      <c r="F864" s="686"/>
    </row>
    <row r="865" spans="2:6">
      <c r="B865" s="685">
        <v>22076</v>
      </c>
      <c r="C865" s="171" t="s">
        <v>612</v>
      </c>
      <c r="D865" s="184" t="s">
        <v>865</v>
      </c>
      <c r="E865" s="185">
        <v>20000</v>
      </c>
      <c r="F865" s="686"/>
    </row>
    <row r="866" spans="2:6">
      <c r="B866" s="685">
        <v>22077</v>
      </c>
      <c r="C866" s="171" t="s">
        <v>970</v>
      </c>
      <c r="D866" s="184" t="s">
        <v>865</v>
      </c>
      <c r="E866" s="185">
        <v>1000</v>
      </c>
      <c r="F866" s="686"/>
    </row>
    <row r="867" spans="2:6">
      <c r="B867" s="685">
        <v>22078</v>
      </c>
      <c r="C867" s="171" t="s">
        <v>971</v>
      </c>
      <c r="D867" s="184" t="s">
        <v>865</v>
      </c>
      <c r="E867" s="185">
        <v>1000</v>
      </c>
      <c r="F867" s="686"/>
    </row>
    <row r="868" spans="2:6">
      <c r="B868" s="685">
        <v>22079</v>
      </c>
      <c r="C868" s="171" t="s">
        <v>972</v>
      </c>
      <c r="D868" s="184" t="s">
        <v>865</v>
      </c>
      <c r="E868" s="185">
        <v>800</v>
      </c>
      <c r="F868" s="686"/>
    </row>
    <row r="869" spans="2:6">
      <c r="B869" s="685">
        <v>22080</v>
      </c>
      <c r="C869" s="171" t="s">
        <v>973</v>
      </c>
      <c r="D869" s="184" t="s">
        <v>865</v>
      </c>
      <c r="E869" s="185">
        <v>800</v>
      </c>
      <c r="F869" s="686"/>
    </row>
    <row r="870" spans="2:6">
      <c r="B870" s="685">
        <v>22081</v>
      </c>
      <c r="C870" s="171" t="s">
        <v>974</v>
      </c>
      <c r="D870" s="184" t="s">
        <v>865</v>
      </c>
      <c r="E870" s="185">
        <v>1000</v>
      </c>
      <c r="F870" s="686"/>
    </row>
    <row r="871" spans="2:6">
      <c r="B871" s="685">
        <v>22082</v>
      </c>
      <c r="C871" s="171" t="s">
        <v>975</v>
      </c>
      <c r="D871" s="184" t="s">
        <v>865</v>
      </c>
      <c r="E871" s="185">
        <v>3500</v>
      </c>
      <c r="F871" s="686"/>
    </row>
    <row r="872" spans="2:6">
      <c r="B872" s="685">
        <v>22083</v>
      </c>
      <c r="C872" s="171" t="s">
        <v>976</v>
      </c>
      <c r="D872" s="184" t="s">
        <v>865</v>
      </c>
      <c r="E872" s="185">
        <v>1500</v>
      </c>
      <c r="F872" s="686"/>
    </row>
    <row r="873" spans="2:6">
      <c r="B873" s="685">
        <v>22084</v>
      </c>
      <c r="C873" s="171" t="s">
        <v>977</v>
      </c>
      <c r="D873" s="184" t="s">
        <v>865</v>
      </c>
      <c r="E873" s="185">
        <v>500</v>
      </c>
      <c r="F873" s="686"/>
    </row>
    <row r="874" spans="2:6">
      <c r="B874" s="685">
        <v>22085</v>
      </c>
      <c r="C874" s="171" t="s">
        <v>978</v>
      </c>
      <c r="D874" s="184" t="s">
        <v>865</v>
      </c>
      <c r="E874" s="185">
        <v>21000</v>
      </c>
      <c r="F874" s="686"/>
    </row>
    <row r="875" spans="2:6">
      <c r="B875" s="685">
        <v>22086</v>
      </c>
      <c r="C875" s="171" t="s">
        <v>979</v>
      </c>
      <c r="D875" s="184" t="s">
        <v>865</v>
      </c>
      <c r="E875" s="185">
        <v>27500</v>
      </c>
      <c r="F875" s="686"/>
    </row>
    <row r="876" spans="2:6">
      <c r="B876" s="685">
        <v>22087</v>
      </c>
      <c r="C876" s="171" t="s">
        <v>373</v>
      </c>
      <c r="D876" s="184" t="s">
        <v>865</v>
      </c>
      <c r="E876" s="185">
        <v>34400</v>
      </c>
      <c r="F876" s="686"/>
    </row>
    <row r="877" spans="2:6">
      <c r="B877" s="685">
        <v>22088</v>
      </c>
      <c r="C877" s="171" t="s">
        <v>374</v>
      </c>
      <c r="D877" s="184" t="s">
        <v>865</v>
      </c>
      <c r="E877" s="185"/>
      <c r="F877" s="686"/>
    </row>
    <row r="878" spans="2:6">
      <c r="B878" s="685">
        <v>22089</v>
      </c>
      <c r="C878" s="171" t="s">
        <v>688</v>
      </c>
      <c r="D878" s="184" t="s">
        <v>865</v>
      </c>
      <c r="E878" s="185">
        <v>24377</v>
      </c>
      <c r="F878" s="686"/>
    </row>
    <row r="879" spans="2:6">
      <c r="B879" s="685">
        <v>22090</v>
      </c>
      <c r="C879" s="171" t="s">
        <v>689</v>
      </c>
      <c r="D879" s="184" t="s">
        <v>865</v>
      </c>
      <c r="E879" s="185">
        <v>33242</v>
      </c>
      <c r="F879" s="686"/>
    </row>
    <row r="880" spans="2:6">
      <c r="B880" s="685">
        <v>22091</v>
      </c>
      <c r="C880" s="171" t="s">
        <v>690</v>
      </c>
      <c r="D880" s="184" t="s">
        <v>865</v>
      </c>
      <c r="E880" s="185">
        <v>42937</v>
      </c>
      <c r="F880" s="686"/>
    </row>
    <row r="881" spans="2:8">
      <c r="B881" s="685">
        <v>22092</v>
      </c>
      <c r="C881" s="171" t="s">
        <v>662</v>
      </c>
      <c r="D881" s="184" t="s">
        <v>865</v>
      </c>
      <c r="E881" s="185">
        <v>42000</v>
      </c>
      <c r="F881" s="686"/>
    </row>
    <row r="882" spans="2:8">
      <c r="B882" s="685">
        <v>22093</v>
      </c>
      <c r="C882" s="171" t="s">
        <v>663</v>
      </c>
      <c r="D882" s="184" t="s">
        <v>865</v>
      </c>
      <c r="E882" s="185">
        <v>110000</v>
      </c>
      <c r="F882" s="686"/>
    </row>
    <row r="883" spans="2:8">
      <c r="B883" s="685">
        <v>22199</v>
      </c>
      <c r="C883" s="171" t="s">
        <v>1719</v>
      </c>
      <c r="D883" s="184" t="s">
        <v>865</v>
      </c>
      <c r="E883" s="185">
        <v>177000</v>
      </c>
      <c r="F883" s="758" t="s">
        <v>1722</v>
      </c>
      <c r="G883" s="759"/>
      <c r="H883" s="693">
        <v>40179</v>
      </c>
    </row>
    <row r="884" spans="2:8">
      <c r="B884" s="685"/>
      <c r="C884" s="171" t="s">
        <v>1720</v>
      </c>
      <c r="D884" s="184" t="s">
        <v>865</v>
      </c>
      <c r="E884" s="185">
        <v>270000</v>
      </c>
      <c r="F884" s="758" t="s">
        <v>1723</v>
      </c>
      <c r="G884" s="759"/>
      <c r="H884" s="693">
        <v>40179</v>
      </c>
    </row>
    <row r="885" spans="2:8" ht="15" thickBot="1">
      <c r="B885" s="689"/>
      <c r="C885" s="172" t="s">
        <v>1721</v>
      </c>
      <c r="D885" s="186" t="s">
        <v>865</v>
      </c>
      <c r="E885" s="187">
        <v>302500</v>
      </c>
      <c r="F885" s="758" t="s">
        <v>1722</v>
      </c>
      <c r="G885" s="759"/>
      <c r="H885" s="693">
        <v>40179</v>
      </c>
    </row>
    <row r="886" spans="2:8" ht="15.75" thickTop="1" thickBot="1"/>
    <row r="887" spans="2:8" ht="13.5" thickTop="1">
      <c r="B887" s="762" t="s">
        <v>980</v>
      </c>
      <c r="C887" s="763"/>
      <c r="D887" s="763"/>
      <c r="E887" s="764"/>
      <c r="F887" s="684"/>
    </row>
    <row r="888" spans="2:8">
      <c r="B888" s="685">
        <v>22201</v>
      </c>
      <c r="C888" s="171" t="s">
        <v>614</v>
      </c>
      <c r="D888" s="184" t="s">
        <v>865</v>
      </c>
      <c r="E888" s="185">
        <v>20000</v>
      </c>
      <c r="F888" s="686"/>
    </row>
    <row r="889" spans="2:8">
      <c r="B889" s="685">
        <v>22202</v>
      </c>
      <c r="C889" s="171" t="s">
        <v>613</v>
      </c>
      <c r="D889" s="184" t="s">
        <v>865</v>
      </c>
      <c r="E889" s="185">
        <v>20000</v>
      </c>
      <c r="F889" s="686"/>
    </row>
    <row r="890" spans="2:8">
      <c r="B890" s="685">
        <v>22203</v>
      </c>
      <c r="C890" s="171" t="s">
        <v>981</v>
      </c>
      <c r="D890" s="184" t="s">
        <v>865</v>
      </c>
      <c r="E890" s="185"/>
      <c r="F890" s="686"/>
    </row>
    <row r="891" spans="2:8">
      <c r="B891" s="685">
        <v>22204</v>
      </c>
      <c r="C891" s="171" t="s">
        <v>615</v>
      </c>
      <c r="D891" s="184" t="s">
        <v>865</v>
      </c>
      <c r="E891" s="185">
        <v>9000</v>
      </c>
      <c r="F891" s="686"/>
    </row>
    <row r="892" spans="2:8">
      <c r="B892" s="685">
        <v>22205</v>
      </c>
      <c r="C892" s="171" t="s">
        <v>982</v>
      </c>
      <c r="D892" s="184" t="s">
        <v>865</v>
      </c>
      <c r="E892" s="185">
        <v>27700</v>
      </c>
      <c r="F892" s="686"/>
    </row>
    <row r="893" spans="2:8">
      <c r="B893" s="685">
        <v>22206</v>
      </c>
      <c r="C893" s="171" t="s">
        <v>1217</v>
      </c>
      <c r="D893" s="184" t="s">
        <v>865</v>
      </c>
      <c r="E893" s="185">
        <v>4700</v>
      </c>
      <c r="F893" s="686"/>
    </row>
    <row r="894" spans="2:8">
      <c r="B894" s="685">
        <v>22207</v>
      </c>
      <c r="C894" s="171" t="s">
        <v>1218</v>
      </c>
      <c r="D894" s="184" t="s">
        <v>865</v>
      </c>
      <c r="E894" s="185">
        <v>50600</v>
      </c>
      <c r="F894" s="686"/>
    </row>
    <row r="895" spans="2:8">
      <c r="B895" s="685">
        <v>22208</v>
      </c>
      <c r="C895" s="171" t="s">
        <v>616</v>
      </c>
      <c r="D895" s="184" t="s">
        <v>865</v>
      </c>
      <c r="E895" s="185">
        <v>68000</v>
      </c>
      <c r="F895" s="686"/>
    </row>
    <row r="896" spans="2:8">
      <c r="B896" s="685">
        <v>22209</v>
      </c>
      <c r="C896" s="171" t="s">
        <v>617</v>
      </c>
      <c r="D896" s="184" t="s">
        <v>865</v>
      </c>
      <c r="E896" s="185">
        <v>14000</v>
      </c>
      <c r="F896" s="686"/>
    </row>
    <row r="897" spans="2:8">
      <c r="B897" s="685">
        <v>22210</v>
      </c>
      <c r="C897" s="171" t="s">
        <v>618</v>
      </c>
      <c r="D897" s="184" t="s">
        <v>865</v>
      </c>
      <c r="E897" s="185">
        <v>20100</v>
      </c>
      <c r="F897" s="686"/>
    </row>
    <row r="898" spans="2:8">
      <c r="B898" s="685">
        <v>22211</v>
      </c>
      <c r="C898" s="171" t="s">
        <v>619</v>
      </c>
      <c r="D898" s="184" t="s">
        <v>865</v>
      </c>
      <c r="E898" s="185">
        <v>12000</v>
      </c>
      <c r="F898" s="686"/>
    </row>
    <row r="899" spans="2:8">
      <c r="B899" s="685">
        <v>22212</v>
      </c>
      <c r="C899" s="171" t="s">
        <v>620</v>
      </c>
      <c r="D899" s="184" t="s">
        <v>865</v>
      </c>
      <c r="E899" s="185">
        <v>5000</v>
      </c>
      <c r="F899" s="686"/>
    </row>
    <row r="900" spans="2:8">
      <c r="B900" s="685">
        <v>22213</v>
      </c>
      <c r="C900" s="171" t="s">
        <v>621</v>
      </c>
      <c r="D900" s="184" t="s">
        <v>865</v>
      </c>
      <c r="E900" s="185">
        <v>15000</v>
      </c>
      <c r="F900" s="686"/>
    </row>
    <row r="901" spans="2:8">
      <c r="B901" s="685">
        <v>22214</v>
      </c>
      <c r="C901" s="171" t="s">
        <v>622</v>
      </c>
      <c r="D901" s="184" t="s">
        <v>865</v>
      </c>
      <c r="E901" s="185">
        <v>6000</v>
      </c>
      <c r="F901" s="686"/>
    </row>
    <row r="902" spans="2:8">
      <c r="B902" s="685">
        <v>22215</v>
      </c>
      <c r="C902" s="171" t="s">
        <v>983</v>
      </c>
      <c r="D902" s="184" t="s">
        <v>865</v>
      </c>
      <c r="E902" s="185">
        <v>5000</v>
      </c>
      <c r="F902" s="686"/>
    </row>
    <row r="903" spans="2:8">
      <c r="B903" s="685">
        <v>22216</v>
      </c>
      <c r="C903" s="171" t="s">
        <v>375</v>
      </c>
      <c r="D903" s="184" t="s">
        <v>865</v>
      </c>
      <c r="E903" s="185">
        <v>10000</v>
      </c>
      <c r="F903" s="758" t="s">
        <v>1677</v>
      </c>
      <c r="G903" s="759"/>
      <c r="H903" s="693">
        <v>40057</v>
      </c>
    </row>
    <row r="904" spans="2:8">
      <c r="B904" s="685">
        <v>22217</v>
      </c>
      <c r="C904" s="171" t="s">
        <v>623</v>
      </c>
      <c r="D904" s="184" t="s">
        <v>865</v>
      </c>
      <c r="E904" s="185">
        <v>9000</v>
      </c>
      <c r="F904" s="686"/>
    </row>
    <row r="905" spans="2:8">
      <c r="B905" s="685">
        <v>22218</v>
      </c>
      <c r="C905" s="171" t="s">
        <v>376</v>
      </c>
      <c r="D905" s="184" t="s">
        <v>865</v>
      </c>
      <c r="E905" s="185">
        <v>36000</v>
      </c>
      <c r="F905" s="758" t="s">
        <v>1677</v>
      </c>
      <c r="G905" s="759"/>
      <c r="H905" s="693">
        <v>40057</v>
      </c>
    </row>
    <row r="906" spans="2:8" ht="15" thickBot="1">
      <c r="B906" s="689">
        <v>22299</v>
      </c>
      <c r="C906" s="172"/>
      <c r="D906" s="186"/>
      <c r="E906" s="187"/>
      <c r="F906" s="686"/>
    </row>
    <row r="907" spans="2:8" ht="15.75" thickTop="1" thickBot="1"/>
    <row r="908" spans="2:8" ht="13.5" thickTop="1">
      <c r="B908" s="762" t="s">
        <v>984</v>
      </c>
      <c r="C908" s="763"/>
      <c r="D908" s="763"/>
      <c r="E908" s="764"/>
      <c r="F908" s="684"/>
    </row>
    <row r="909" spans="2:8" ht="16.5">
      <c r="B909" s="685">
        <v>22301</v>
      </c>
      <c r="C909" s="175" t="s">
        <v>876</v>
      </c>
      <c r="D909" s="184" t="s">
        <v>458</v>
      </c>
      <c r="E909" s="185"/>
      <c r="F909" s="686"/>
    </row>
    <row r="910" spans="2:8">
      <c r="B910" s="685">
        <v>22302</v>
      </c>
      <c r="C910" s="175" t="s">
        <v>294</v>
      </c>
      <c r="D910" s="184" t="s">
        <v>865</v>
      </c>
      <c r="E910" s="185">
        <f>ROUND(H910*(1+G910),0)</f>
        <v>213</v>
      </c>
      <c r="F910" s="686"/>
      <c r="G910" s="12">
        <v>0.15</v>
      </c>
      <c r="H910" s="680">
        <v>185</v>
      </c>
    </row>
    <row r="911" spans="2:8">
      <c r="B911" s="685">
        <v>22303</v>
      </c>
      <c r="C911" s="175" t="s">
        <v>295</v>
      </c>
      <c r="D911" s="184" t="s">
        <v>865</v>
      </c>
      <c r="E911" s="185">
        <f>ROUND(H911*(1+G911),0)</f>
        <v>319</v>
      </c>
      <c r="F911" s="686"/>
      <c r="G911" s="12">
        <v>0.15</v>
      </c>
      <c r="H911" s="680">
        <v>277</v>
      </c>
    </row>
    <row r="912" spans="2:8">
      <c r="B912" s="685">
        <v>22304</v>
      </c>
      <c r="C912" s="175" t="s">
        <v>296</v>
      </c>
      <c r="D912" s="184" t="s">
        <v>865</v>
      </c>
      <c r="E912" s="185">
        <f>ROUND(H912*(1+G912),0)</f>
        <v>478</v>
      </c>
      <c r="F912" s="686"/>
      <c r="G912" s="12">
        <v>0.15</v>
      </c>
      <c r="H912" s="680">
        <v>416</v>
      </c>
    </row>
    <row r="913" spans="2:8">
      <c r="B913" s="685">
        <v>22305</v>
      </c>
      <c r="C913" s="175" t="s">
        <v>545</v>
      </c>
      <c r="D913" s="184" t="s">
        <v>865</v>
      </c>
      <c r="E913" s="185">
        <v>9660</v>
      </c>
      <c r="F913" s="686"/>
    </row>
    <row r="914" spans="2:8">
      <c r="B914" s="685">
        <v>22306</v>
      </c>
      <c r="C914" s="175" t="s">
        <v>880</v>
      </c>
      <c r="D914" s="184" t="s">
        <v>903</v>
      </c>
      <c r="E914" s="185"/>
      <c r="F914" s="686"/>
    </row>
    <row r="915" spans="2:8">
      <c r="B915" s="685">
        <v>22307</v>
      </c>
      <c r="C915" s="175" t="s">
        <v>546</v>
      </c>
      <c r="D915" s="184" t="s">
        <v>865</v>
      </c>
      <c r="E915" s="185">
        <v>2800</v>
      </c>
      <c r="F915" s="686"/>
    </row>
    <row r="916" spans="2:8">
      <c r="B916" s="685">
        <v>22308</v>
      </c>
      <c r="C916" s="692" t="s">
        <v>289</v>
      </c>
      <c r="D916" s="184" t="s">
        <v>922</v>
      </c>
      <c r="E916" s="185">
        <v>2054</v>
      </c>
      <c r="F916" s="686"/>
      <c r="G916" s="12">
        <v>0.15</v>
      </c>
      <c r="H916" s="11">
        <v>1304</v>
      </c>
    </row>
    <row r="917" spans="2:8">
      <c r="B917" s="685">
        <v>22309</v>
      </c>
      <c r="C917" s="692" t="s">
        <v>290</v>
      </c>
      <c r="D917" s="184" t="s">
        <v>922</v>
      </c>
      <c r="E917" s="185">
        <v>2054</v>
      </c>
      <c r="F917" s="686"/>
      <c r="G917" s="12">
        <v>0.15</v>
      </c>
      <c r="H917" s="11">
        <v>1047</v>
      </c>
    </row>
    <row r="918" spans="2:8">
      <c r="B918" s="685">
        <v>22310</v>
      </c>
      <c r="C918" s="692" t="s">
        <v>291</v>
      </c>
      <c r="D918" s="184" t="s">
        <v>922</v>
      </c>
      <c r="E918" s="185">
        <v>1500</v>
      </c>
      <c r="F918" s="758" t="s">
        <v>1677</v>
      </c>
      <c r="G918" s="759"/>
      <c r="H918" s="693">
        <v>40057</v>
      </c>
    </row>
    <row r="919" spans="2:8">
      <c r="B919" s="685">
        <v>22311</v>
      </c>
      <c r="C919" s="692" t="s">
        <v>292</v>
      </c>
      <c r="D919" s="184" t="s">
        <v>922</v>
      </c>
      <c r="E919" s="185">
        <v>1500</v>
      </c>
      <c r="F919" s="758" t="s">
        <v>1677</v>
      </c>
      <c r="G919" s="759"/>
      <c r="H919" s="693">
        <v>40057</v>
      </c>
    </row>
    <row r="920" spans="2:8">
      <c r="B920" s="685">
        <v>22312</v>
      </c>
      <c r="C920" s="692" t="s">
        <v>293</v>
      </c>
      <c r="D920" s="184" t="s">
        <v>922</v>
      </c>
      <c r="E920" s="185">
        <v>4200</v>
      </c>
      <c r="F920" s="686"/>
      <c r="G920" s="12">
        <v>0.15</v>
      </c>
      <c r="H920" s="11">
        <v>794</v>
      </c>
    </row>
    <row r="921" spans="2:8">
      <c r="B921" s="703">
        <v>22313</v>
      </c>
      <c r="C921" s="701" t="s">
        <v>287</v>
      </c>
      <c r="D921" s="234" t="s">
        <v>922</v>
      </c>
      <c r="E921" s="194">
        <v>4976</v>
      </c>
      <c r="F921" s="686"/>
      <c r="G921" s="12">
        <v>0.15</v>
      </c>
      <c r="H921" s="11">
        <v>823</v>
      </c>
    </row>
    <row r="922" spans="2:8">
      <c r="B922" s="685">
        <v>22399</v>
      </c>
      <c r="C922" s="706" t="s">
        <v>1303</v>
      </c>
      <c r="D922" s="184" t="s">
        <v>925</v>
      </c>
      <c r="E922" s="185">
        <v>15800</v>
      </c>
      <c r="F922" s="686"/>
      <c r="G922" s="12"/>
      <c r="H922" s="11"/>
    </row>
    <row r="923" spans="2:8">
      <c r="B923" s="685">
        <v>22400</v>
      </c>
      <c r="C923" s="706" t="s">
        <v>1304</v>
      </c>
      <c r="D923" s="184" t="s">
        <v>925</v>
      </c>
      <c r="E923" s="185">
        <v>1600</v>
      </c>
      <c r="F923" s="686"/>
      <c r="G923" s="12"/>
      <c r="H923" s="11"/>
    </row>
    <row r="924" spans="2:8">
      <c r="B924" s="685">
        <v>22401</v>
      </c>
      <c r="C924" s="171" t="s">
        <v>1305</v>
      </c>
      <c r="D924" s="184" t="s">
        <v>868</v>
      </c>
      <c r="E924" s="185">
        <v>2200</v>
      </c>
    </row>
    <row r="925" spans="2:8">
      <c r="B925" s="685">
        <v>22402</v>
      </c>
      <c r="C925" s="171" t="s">
        <v>1306</v>
      </c>
      <c r="D925" s="184" t="s">
        <v>831</v>
      </c>
      <c r="E925" s="185"/>
    </row>
    <row r="926" spans="2:8">
      <c r="B926" s="685">
        <v>22403</v>
      </c>
      <c r="C926" s="171" t="s">
        <v>586</v>
      </c>
      <c r="D926" s="184" t="s">
        <v>868</v>
      </c>
      <c r="E926" s="185">
        <v>2200</v>
      </c>
    </row>
    <row r="927" spans="2:8">
      <c r="B927" s="685">
        <v>22404</v>
      </c>
      <c r="C927" s="171" t="s">
        <v>1635</v>
      </c>
      <c r="D927" s="184" t="s">
        <v>669</v>
      </c>
      <c r="E927" s="185">
        <v>1599</v>
      </c>
      <c r="H927" s="693">
        <v>40057</v>
      </c>
    </row>
    <row r="928" spans="2:8">
      <c r="B928" s="685">
        <v>22405</v>
      </c>
      <c r="C928" s="171" t="s">
        <v>1633</v>
      </c>
      <c r="D928" s="184" t="s">
        <v>669</v>
      </c>
      <c r="E928" s="185">
        <v>360000</v>
      </c>
      <c r="H928" s="693">
        <v>40057</v>
      </c>
    </row>
    <row r="929" spans="2:8">
      <c r="B929" s="685">
        <v>22406</v>
      </c>
      <c r="C929" s="171" t="s">
        <v>1636</v>
      </c>
      <c r="D929" s="184" t="s">
        <v>669</v>
      </c>
      <c r="E929" s="185">
        <v>20000</v>
      </c>
      <c r="H929" s="693">
        <v>40057</v>
      </c>
    </row>
    <row r="930" spans="2:8">
      <c r="B930" s="685">
        <v>22407</v>
      </c>
      <c r="C930" s="171" t="s">
        <v>1638</v>
      </c>
      <c r="D930" s="184" t="s">
        <v>669</v>
      </c>
      <c r="E930" s="185">
        <v>47500</v>
      </c>
      <c r="H930" s="693">
        <v>40057</v>
      </c>
    </row>
    <row r="931" spans="2:8">
      <c r="B931" s="685">
        <v>22408</v>
      </c>
      <c r="C931" s="171" t="s">
        <v>1640</v>
      </c>
      <c r="D931" s="184" t="s">
        <v>669</v>
      </c>
      <c r="E931" s="185">
        <v>54166.67</v>
      </c>
      <c r="H931" s="693">
        <v>40057</v>
      </c>
    </row>
    <row r="932" spans="2:8" ht="28.5">
      <c r="B932" s="685">
        <v>22409</v>
      </c>
      <c r="C932" s="679" t="s">
        <v>1642</v>
      </c>
      <c r="D932" s="184" t="s">
        <v>669</v>
      </c>
      <c r="E932" s="185">
        <v>295000</v>
      </c>
      <c r="H932" s="693">
        <v>40057</v>
      </c>
    </row>
    <row r="933" spans="2:8" ht="28.5">
      <c r="B933" s="685">
        <v>22410</v>
      </c>
      <c r="C933" s="679" t="s">
        <v>1643</v>
      </c>
      <c r="D933" s="184" t="s">
        <v>669</v>
      </c>
      <c r="E933" s="185">
        <v>295000</v>
      </c>
      <c r="H933" s="693">
        <v>40057</v>
      </c>
    </row>
    <row r="934" spans="2:8">
      <c r="B934" s="685">
        <v>22411</v>
      </c>
      <c r="C934" s="171" t="s">
        <v>1644</v>
      </c>
      <c r="D934" s="184" t="s">
        <v>905</v>
      </c>
      <c r="E934" s="185">
        <v>1599</v>
      </c>
      <c r="H934" s="693">
        <v>40057</v>
      </c>
    </row>
    <row r="935" spans="2:8">
      <c r="B935" s="685">
        <v>22412</v>
      </c>
      <c r="C935" s="171" t="s">
        <v>1649</v>
      </c>
      <c r="D935" s="184" t="s">
        <v>831</v>
      </c>
      <c r="E935" s="185">
        <v>27522.6</v>
      </c>
      <c r="H935" s="693">
        <v>40057</v>
      </c>
    </row>
    <row r="936" spans="2:8">
      <c r="B936" s="685">
        <v>22413</v>
      </c>
      <c r="C936" s="171" t="s">
        <v>1658</v>
      </c>
      <c r="D936" s="184" t="s">
        <v>831</v>
      </c>
      <c r="E936" s="185">
        <v>10300</v>
      </c>
      <c r="F936" s="768" t="s">
        <v>1677</v>
      </c>
      <c r="G936" s="759"/>
      <c r="H936" s="693">
        <v>40057</v>
      </c>
    </row>
    <row r="937" spans="2:8">
      <c r="B937" s="685">
        <v>22414</v>
      </c>
      <c r="C937" s="171" t="s">
        <v>1659</v>
      </c>
      <c r="D937" s="184" t="s">
        <v>831</v>
      </c>
      <c r="E937" s="185">
        <v>18200</v>
      </c>
      <c r="F937" s="768" t="s">
        <v>1677</v>
      </c>
      <c r="G937" s="759"/>
      <c r="H937" s="693">
        <v>40057</v>
      </c>
    </row>
    <row r="938" spans="2:8">
      <c r="B938" s="685">
        <v>22415</v>
      </c>
      <c r="C938" s="171" t="s">
        <v>1664</v>
      </c>
      <c r="D938" s="184" t="s">
        <v>865</v>
      </c>
      <c r="E938" s="185">
        <v>1700000</v>
      </c>
      <c r="H938" s="693">
        <v>40057</v>
      </c>
    </row>
    <row r="939" spans="2:8">
      <c r="B939" s="685">
        <v>22416</v>
      </c>
      <c r="C939" s="171" t="s">
        <v>1684</v>
      </c>
      <c r="D939" s="184" t="s">
        <v>831</v>
      </c>
      <c r="E939" s="185">
        <v>51220.03</v>
      </c>
      <c r="H939" s="693">
        <v>40179</v>
      </c>
    </row>
    <row r="940" spans="2:8">
      <c r="B940" s="685">
        <v>22417</v>
      </c>
      <c r="C940" s="171" t="s">
        <v>1694</v>
      </c>
      <c r="D940" s="184" t="s">
        <v>868</v>
      </c>
      <c r="E940" s="185">
        <v>3500</v>
      </c>
      <c r="H940" s="693">
        <v>40148</v>
      </c>
    </row>
    <row r="941" spans="2:8">
      <c r="B941" s="685">
        <v>22418</v>
      </c>
      <c r="C941" s="171" t="s">
        <v>1698</v>
      </c>
      <c r="D941" s="184" t="s">
        <v>865</v>
      </c>
      <c r="E941" s="185">
        <v>49000</v>
      </c>
      <c r="H941" s="693">
        <v>40148</v>
      </c>
    </row>
    <row r="942" spans="2:8" ht="15" thickBot="1">
      <c r="B942" s="689">
        <v>22419</v>
      </c>
      <c r="C942" s="172" t="s">
        <v>1704</v>
      </c>
      <c r="D942" s="186" t="s">
        <v>865</v>
      </c>
      <c r="E942" s="187">
        <v>29500</v>
      </c>
    </row>
    <row r="943" spans="2:8" ht="15" thickTop="1">
      <c r="E943" s="191"/>
      <c r="F943" s="686"/>
      <c r="G943" s="699"/>
      <c r="H943" s="699"/>
    </row>
    <row r="944" spans="2:8">
      <c r="E944" s="191"/>
      <c r="F944" s="686"/>
      <c r="G944" s="699"/>
      <c r="H944" s="699"/>
    </row>
    <row r="945" spans="5:8">
      <c r="E945" s="707"/>
      <c r="F945" s="686"/>
      <c r="G945" s="708"/>
      <c r="H945" s="699"/>
    </row>
    <row r="946" spans="5:8">
      <c r="E946" s="191"/>
      <c r="F946" s="686"/>
      <c r="G946" s="699"/>
      <c r="H946" s="699"/>
    </row>
    <row r="947" spans="5:8">
      <c r="E947" s="191"/>
      <c r="F947" s="686"/>
      <c r="G947" s="699"/>
      <c r="H947" s="699"/>
    </row>
    <row r="948" spans="5:8">
      <c r="E948" s="191"/>
      <c r="F948" s="686"/>
      <c r="G948" s="699"/>
      <c r="H948" s="699"/>
    </row>
    <row r="949" spans="5:8">
      <c r="E949" s="191"/>
      <c r="F949" s="686"/>
      <c r="G949" s="699"/>
      <c r="H949" s="699"/>
    </row>
  </sheetData>
  <mergeCells count="101">
    <mergeCell ref="F936:G936"/>
    <mergeCell ref="F937:G937"/>
    <mergeCell ref="F750:G750"/>
    <mergeCell ref="F794:G794"/>
    <mergeCell ref="F795:G795"/>
    <mergeCell ref="F903:G903"/>
    <mergeCell ref="F884:G884"/>
    <mergeCell ref="F885:G885"/>
    <mergeCell ref="F883:G883"/>
    <mergeCell ref="F919:G919"/>
    <mergeCell ref="F905:G905"/>
    <mergeCell ref="F918:G918"/>
    <mergeCell ref="F674:G674"/>
    <mergeCell ref="F729:G729"/>
    <mergeCell ref="F677:G677"/>
    <mergeCell ref="F679:G679"/>
    <mergeCell ref="F88:G88"/>
    <mergeCell ref="F89:G89"/>
    <mergeCell ref="F448:G448"/>
    <mergeCell ref="F452:G452"/>
    <mergeCell ref="F585:G585"/>
    <mergeCell ref="F388:G388"/>
    <mergeCell ref="F270:G270"/>
    <mergeCell ref="F271:G271"/>
    <mergeCell ref="F280:G280"/>
    <mergeCell ref="F284:G284"/>
    <mergeCell ref="F286:G286"/>
    <mergeCell ref="F243:G243"/>
    <mergeCell ref="F246:G246"/>
    <mergeCell ref="F250:G250"/>
    <mergeCell ref="F251:G251"/>
    <mergeCell ref="F269:G269"/>
    <mergeCell ref="I303:J303"/>
    <mergeCell ref="F323:G323"/>
    <mergeCell ref="F389:G389"/>
    <mergeCell ref="F447:G447"/>
    <mergeCell ref="F295:G295"/>
    <mergeCell ref="B887:E887"/>
    <mergeCell ref="B908:E908"/>
    <mergeCell ref="F586:G586"/>
    <mergeCell ref="F587:G587"/>
    <mergeCell ref="F589:G589"/>
    <mergeCell ref="F590:G590"/>
    <mergeCell ref="F600:G600"/>
    <mergeCell ref="F604:G604"/>
    <mergeCell ref="F602:G602"/>
    <mergeCell ref="F603:G603"/>
    <mergeCell ref="F605:G605"/>
    <mergeCell ref="F736:G736"/>
    <mergeCell ref="F749:G749"/>
    <mergeCell ref="F617:G617"/>
    <mergeCell ref="F626:G626"/>
    <mergeCell ref="F672:G672"/>
    <mergeCell ref="B437:E437"/>
    <mergeCell ref="F606:G606"/>
    <mergeCell ref="F607:G607"/>
    <mergeCell ref="B375:E375"/>
    <mergeCell ref="B91:E91"/>
    <mergeCell ref="B384:E384"/>
    <mergeCell ref="B60:E60"/>
    <mergeCell ref="B149:E149"/>
    <mergeCell ref="B193:E193"/>
    <mergeCell ref="B106:E106"/>
    <mergeCell ref="F601:G601"/>
    <mergeCell ref="F293:G293"/>
    <mergeCell ref="C1:E1"/>
    <mergeCell ref="C2:E2"/>
    <mergeCell ref="C3:E3"/>
    <mergeCell ref="C4:E4"/>
    <mergeCell ref="C5:E5"/>
    <mergeCell ref="F72:G72"/>
    <mergeCell ref="F74:G74"/>
    <mergeCell ref="F73:G73"/>
    <mergeCell ref="F681:G681"/>
    <mergeCell ref="G67:H67"/>
    <mergeCell ref="F71:G71"/>
    <mergeCell ref="B9:E9"/>
    <mergeCell ref="B19:E19"/>
    <mergeCell ref="B31:E31"/>
    <mergeCell ref="B45:E45"/>
    <mergeCell ref="F61:G61"/>
    <mergeCell ref="F62:G62"/>
    <mergeCell ref="F70:G70"/>
    <mergeCell ref="F65:G65"/>
    <mergeCell ref="B268:E268"/>
    <mergeCell ref="B302:E302"/>
    <mergeCell ref="B559:E559"/>
    <mergeCell ref="B584:E584"/>
    <mergeCell ref="B325:E325"/>
    <mergeCell ref="F699:G699"/>
    <mergeCell ref="F75:G75"/>
    <mergeCell ref="F86:G86"/>
    <mergeCell ref="F87:G87"/>
    <mergeCell ref="F130:G130"/>
    <mergeCell ref="F386:G386"/>
    <mergeCell ref="F200:G200"/>
    <mergeCell ref="F201:G201"/>
    <mergeCell ref="F228:G228"/>
    <mergeCell ref="F229:G229"/>
    <mergeCell ref="F234:G234"/>
    <mergeCell ref="F242:G242"/>
  </mergeCells>
  <phoneticPr fontId="0" type="noConversion"/>
  <printOptions horizontalCentered="1" verticalCentered="1"/>
  <pageMargins left="0" right="0" top="0" bottom="0" header="0" footer="0"/>
  <pageSetup scale="89" orientation="portrait" r:id="rId1"/>
  <headerFooter alignWithMargins="0"/>
  <rowBreaks count="20" manualBreakCount="20">
    <brk id="44" min="1" max="4" man="1"/>
    <brk id="90" min="1" max="4" man="1"/>
    <brk id="125" min="1" max="4" man="1"/>
    <brk id="169" min="1" max="4" man="1"/>
    <brk id="209" min="1" max="4" man="1"/>
    <brk id="240" min="1" max="4" man="1"/>
    <brk id="300" min="1" max="4" man="1"/>
    <brk id="346" min="1" max="4" man="1"/>
    <brk id="397" min="1" max="4" man="1"/>
    <brk id="436" min="1" max="4" man="1"/>
    <brk id="483" min="1" max="4" man="1"/>
    <brk id="528" min="1" max="4" man="1"/>
    <brk id="582" min="1" max="4" man="1"/>
    <brk id="628" min="1" max="4" man="1"/>
    <brk id="676" min="1" max="4" man="1"/>
    <brk id="722" min="1" max="4" man="1"/>
    <brk id="769" min="1" max="4" man="1"/>
    <brk id="812" min="1" max="4" man="1"/>
    <brk id="846" min="1" max="4" man="1"/>
    <brk id="886" min="1" max="4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5" enableFormatConditionsCalculation="0">
    <tabColor indexed="10"/>
  </sheetPr>
  <dimension ref="A1:AO100"/>
  <sheetViews>
    <sheetView topLeftCell="A55" zoomScale="85" zoomScaleNormal="85" workbookViewId="0">
      <selection activeCell="D62" sqref="D62"/>
    </sheetView>
  </sheetViews>
  <sheetFormatPr baseColWidth="10" defaultRowHeight="14.25"/>
  <cols>
    <col min="1" max="1" width="11.5703125" style="179" customWidth="1"/>
    <col min="2" max="2" width="38.28515625" style="170" customWidth="1"/>
    <col min="3" max="3" width="13.85546875" style="183" customWidth="1"/>
    <col min="4" max="4" width="17" style="170" customWidth="1"/>
    <col min="5" max="5" width="14.140625" style="170" customWidth="1"/>
    <col min="7" max="7" width="34.42578125" customWidth="1"/>
    <col min="8" max="8" width="8.28515625" style="7" customWidth="1"/>
    <col min="9" max="9" width="8.5703125" customWidth="1"/>
    <col min="10" max="10" width="12.42578125" style="7" customWidth="1"/>
    <col min="11" max="11" width="10.28515625" customWidth="1"/>
    <col min="12" max="12" width="12.42578125" customWidth="1"/>
    <col min="13" max="13" width="10.28515625" customWidth="1"/>
    <col min="14" max="14" width="12.140625" customWidth="1"/>
    <col min="15" max="15" width="10.28515625" customWidth="1"/>
    <col min="16" max="16" width="12.140625" customWidth="1"/>
    <col min="17" max="17" width="10.28515625" customWidth="1"/>
    <col min="18" max="18" width="12.42578125" style="7" customWidth="1"/>
    <col min="19" max="19" width="11.140625" customWidth="1"/>
    <col min="20" max="20" width="13.140625" customWidth="1"/>
    <col min="21" max="21" width="11.140625" customWidth="1"/>
    <col min="22" max="22" width="12.7109375" customWidth="1"/>
    <col min="23" max="23" width="11.140625" customWidth="1"/>
    <col min="24" max="24" width="12.28515625" customWidth="1"/>
    <col min="25" max="25" width="11.140625" customWidth="1"/>
    <col min="26" max="26" width="12.5703125" customWidth="1"/>
    <col min="27" max="27" width="9.5703125" customWidth="1"/>
    <col min="28" max="28" width="12.42578125" customWidth="1"/>
    <col min="29" max="29" width="9.5703125" customWidth="1"/>
    <col min="30" max="30" width="12.42578125" customWidth="1"/>
    <col min="31" max="31" width="9.7109375" customWidth="1"/>
    <col min="32" max="32" width="12" customWidth="1"/>
    <col min="33" max="33" width="9.42578125" customWidth="1"/>
    <col min="34" max="34" width="12.7109375" customWidth="1"/>
    <col min="35" max="35" width="9.5703125" customWidth="1"/>
    <col min="36" max="36" width="12.5703125" customWidth="1"/>
    <col min="37" max="37" width="10.42578125" customWidth="1"/>
    <col min="38" max="38" width="12.7109375" customWidth="1"/>
    <col min="40" max="40" width="12.5703125" customWidth="1"/>
  </cols>
  <sheetData>
    <row r="1" spans="1:17" ht="15" customHeight="1">
      <c r="A1" s="780" t="s">
        <v>1054</v>
      </c>
      <c r="B1" s="780"/>
      <c r="C1" s="780"/>
      <c r="D1" s="780"/>
      <c r="E1" s="780"/>
    </row>
    <row r="2" spans="1:17" ht="18.75">
      <c r="A2" s="780" t="s">
        <v>1381</v>
      </c>
      <c r="B2" s="780"/>
      <c r="C2" s="780"/>
      <c r="D2" s="780"/>
      <c r="E2" s="780"/>
    </row>
    <row r="3" spans="1:17" ht="18.75">
      <c r="A3" s="781"/>
      <c r="B3" s="781"/>
      <c r="C3" s="781"/>
      <c r="D3" s="781"/>
      <c r="E3" s="781"/>
    </row>
    <row r="4" spans="1:17" ht="15" customHeight="1">
      <c r="A4" s="782" t="s">
        <v>1727</v>
      </c>
      <c r="B4" s="782"/>
      <c r="C4" s="782"/>
      <c r="D4" s="782"/>
      <c r="E4" s="782"/>
    </row>
    <row r="5" spans="1:17" ht="15">
      <c r="A5" s="198"/>
      <c r="B5" s="134"/>
      <c r="C5" s="134"/>
      <c r="D5" s="134"/>
      <c r="E5" s="134"/>
    </row>
    <row r="6" spans="1:17" ht="15" thickBot="1">
      <c r="C6" s="182"/>
      <c r="D6" s="183"/>
    </row>
    <row r="7" spans="1:17" ht="13.5" thickTop="1">
      <c r="A7" s="769" t="s">
        <v>837</v>
      </c>
      <c r="B7" s="771" t="s">
        <v>838</v>
      </c>
      <c r="C7" s="771" t="s">
        <v>859</v>
      </c>
      <c r="D7" s="773" t="s">
        <v>1489</v>
      </c>
      <c r="E7" s="784" t="s">
        <v>1490</v>
      </c>
      <c r="F7" s="135"/>
    </row>
    <row r="8" spans="1:17" ht="13.5" thickBot="1">
      <c r="A8" s="770"/>
      <c r="B8" s="772"/>
      <c r="C8" s="772"/>
      <c r="D8" s="772"/>
      <c r="E8" s="785" t="s">
        <v>336</v>
      </c>
      <c r="F8" s="135"/>
      <c r="J8" s="29"/>
      <c r="K8" s="29"/>
      <c r="L8" s="29"/>
      <c r="M8" s="29"/>
      <c r="N8" s="29"/>
      <c r="O8" s="29"/>
      <c r="P8" s="29"/>
      <c r="Q8" s="29"/>
    </row>
    <row r="9" spans="1:17" ht="15.75" thickTop="1" thickBot="1">
      <c r="A9" s="196" t="s">
        <v>841</v>
      </c>
      <c r="B9" s="199" t="s">
        <v>841</v>
      </c>
      <c r="C9" s="205"/>
      <c r="J9" s="29"/>
      <c r="K9" s="29"/>
      <c r="L9" s="29"/>
      <c r="M9" s="29"/>
      <c r="N9" s="29"/>
      <c r="O9" s="29"/>
      <c r="P9" s="29"/>
      <c r="Q9" s="29"/>
    </row>
    <row r="10" spans="1:17" ht="15" thickTop="1">
      <c r="A10" s="197">
        <v>30101</v>
      </c>
      <c r="B10" s="200" t="s">
        <v>1254</v>
      </c>
      <c r="C10" s="338">
        <f>ROUND((J67)/30*P65,0)</f>
        <v>20600</v>
      </c>
      <c r="D10" s="206">
        <f>ROUND(S93-1,4)</f>
        <v>0.6835</v>
      </c>
      <c r="E10" s="207">
        <f>ROUND(C10*(1+D10),0)</f>
        <v>34680</v>
      </c>
      <c r="F10" s="5"/>
      <c r="J10" s="29"/>
      <c r="K10" s="29"/>
      <c r="L10" s="29"/>
      <c r="M10" s="29"/>
      <c r="N10" s="29"/>
      <c r="O10" s="29"/>
      <c r="P10" s="29"/>
      <c r="Q10" s="29"/>
    </row>
    <row r="11" spans="1:17">
      <c r="A11" s="181">
        <v>30102</v>
      </c>
      <c r="B11" s="177" t="s">
        <v>687</v>
      </c>
      <c r="C11" s="339">
        <f>ROUND(J67/30*R65,0)</f>
        <v>25750</v>
      </c>
      <c r="D11" s="208">
        <f>ROUND(U93-1,4)</f>
        <v>0.67290000000000005</v>
      </c>
      <c r="E11" s="209">
        <f t="shared" ref="E11:E17" si="0">ROUND(C11*(1+D11),0)</f>
        <v>43077</v>
      </c>
      <c r="F11" s="5"/>
      <c r="J11" s="29"/>
      <c r="K11" s="29"/>
      <c r="L11" s="29"/>
      <c r="M11" s="29"/>
      <c r="N11" s="29"/>
      <c r="O11" s="29"/>
      <c r="P11" s="29"/>
      <c r="Q11" s="29"/>
    </row>
    <row r="12" spans="1:17">
      <c r="A12" s="181">
        <v>30103</v>
      </c>
      <c r="B12" s="201" t="s">
        <v>692</v>
      </c>
      <c r="C12" s="339">
        <f>ROUND(J67/30*T65,0)</f>
        <v>28325</v>
      </c>
      <c r="D12" s="210">
        <f>ROUND(W93-1,4)</f>
        <v>0.66830000000000001</v>
      </c>
      <c r="E12" s="211">
        <f t="shared" si="0"/>
        <v>47255</v>
      </c>
      <c r="F12" s="5"/>
      <c r="J12" s="29"/>
      <c r="K12" s="29"/>
      <c r="L12" s="29"/>
      <c r="M12" s="29"/>
      <c r="N12" s="29"/>
      <c r="O12" s="29"/>
      <c r="P12" s="29"/>
      <c r="Q12" s="29"/>
    </row>
    <row r="13" spans="1:17">
      <c r="A13" s="181">
        <v>30104</v>
      </c>
      <c r="B13" s="201" t="s">
        <v>742</v>
      </c>
      <c r="C13" s="339">
        <f>ROUND(J67/30*V65,0)</f>
        <v>29613</v>
      </c>
      <c r="D13" s="210">
        <f>ROUND(Y93-1,4)</f>
        <v>0.66400000000000003</v>
      </c>
      <c r="E13" s="211">
        <f>ROUND(C13*(1+D13),0)</f>
        <v>49276</v>
      </c>
      <c r="F13" s="5"/>
      <c r="J13" s="29"/>
      <c r="K13" s="29"/>
      <c r="L13" s="29"/>
      <c r="M13" s="29"/>
      <c r="N13" s="29"/>
      <c r="O13" s="29"/>
      <c r="P13" s="29"/>
      <c r="Q13" s="29"/>
    </row>
    <row r="14" spans="1:17">
      <c r="A14" s="181">
        <v>30105</v>
      </c>
      <c r="B14" s="177" t="s">
        <v>277</v>
      </c>
      <c r="C14" s="339">
        <f>ROUND(J67/30*R65,0)</f>
        <v>25750</v>
      </c>
      <c r="D14" s="208">
        <f>ROUND(S93-1,4)</f>
        <v>0.6835</v>
      </c>
      <c r="E14" s="209">
        <f t="shared" si="0"/>
        <v>43350</v>
      </c>
      <c r="F14" s="5"/>
      <c r="J14" s="29"/>
      <c r="K14" s="29"/>
      <c r="L14" s="29"/>
      <c r="M14" s="29"/>
      <c r="N14" s="29"/>
      <c r="O14" s="29"/>
      <c r="P14" s="29"/>
      <c r="Q14" s="29"/>
    </row>
    <row r="15" spans="1:17">
      <c r="A15" s="181">
        <v>30106</v>
      </c>
      <c r="B15" s="177" t="s">
        <v>693</v>
      </c>
      <c r="C15" s="339">
        <f>ROUND(C10*AB65,0)</f>
        <v>45320</v>
      </c>
      <c r="D15" s="208">
        <f>ROUND(AC93-1,4)</f>
        <v>0.57709999999999995</v>
      </c>
      <c r="E15" s="209">
        <f t="shared" si="0"/>
        <v>71474</v>
      </c>
      <c r="F15" s="5"/>
      <c r="J15" s="29"/>
      <c r="K15" s="29"/>
      <c r="L15" s="29"/>
      <c r="M15" s="29"/>
      <c r="N15" s="29"/>
      <c r="O15" s="29"/>
      <c r="P15" s="29"/>
      <c r="Q15" s="29"/>
    </row>
    <row r="16" spans="1:17">
      <c r="A16" s="181">
        <v>30107</v>
      </c>
      <c r="B16" s="177" t="s">
        <v>694</v>
      </c>
      <c r="C16" s="339">
        <f>ROUND(C10*AD65,0)</f>
        <v>49852</v>
      </c>
      <c r="D16" s="208">
        <f>ROUND(AE93-1,4)</f>
        <v>0.57620000000000005</v>
      </c>
      <c r="E16" s="209">
        <f t="shared" si="0"/>
        <v>78577</v>
      </c>
      <c r="F16" s="5"/>
      <c r="K16" s="29"/>
      <c r="L16" s="29"/>
      <c r="M16" s="29"/>
      <c r="N16" s="29"/>
      <c r="O16" s="29"/>
      <c r="P16" s="29"/>
      <c r="Q16" s="29"/>
    </row>
    <row r="17" spans="1:17">
      <c r="A17" s="181">
        <v>30108</v>
      </c>
      <c r="B17" s="177" t="s">
        <v>695</v>
      </c>
      <c r="C17" s="339">
        <f>ROUND(C10*AH65,0)</f>
        <v>52118</v>
      </c>
      <c r="D17" s="208">
        <f>ROUND(AI93-1,4)</f>
        <v>0.5756</v>
      </c>
      <c r="E17" s="209">
        <f t="shared" si="0"/>
        <v>82117</v>
      </c>
      <c r="F17" s="5"/>
      <c r="J17" s="29"/>
      <c r="K17" s="29"/>
      <c r="L17" s="29"/>
      <c r="M17" s="29"/>
      <c r="N17" s="29"/>
      <c r="O17" s="29"/>
      <c r="P17" s="29"/>
      <c r="Q17" s="29"/>
    </row>
    <row r="18" spans="1:17">
      <c r="A18" s="181">
        <v>30109</v>
      </c>
      <c r="B18" s="177" t="s">
        <v>741</v>
      </c>
      <c r="C18" s="339">
        <f>ROUND(C10*AJ65,0)</f>
        <v>54384</v>
      </c>
      <c r="D18" s="208">
        <f>ROUND(AK93-1,4)</f>
        <v>0.57520000000000004</v>
      </c>
      <c r="E18" s="209">
        <f>ROUND(C18*(1+D18),0)</f>
        <v>85666</v>
      </c>
      <c r="F18" s="5"/>
      <c r="J18" s="29"/>
      <c r="K18" s="29"/>
      <c r="L18" s="29"/>
      <c r="M18" s="29"/>
      <c r="N18" s="29"/>
      <c r="O18" s="29"/>
      <c r="P18" s="29"/>
      <c r="Q18" s="29"/>
    </row>
    <row r="19" spans="1:17">
      <c r="A19" s="181">
        <v>30110</v>
      </c>
      <c r="B19" s="177" t="s">
        <v>864</v>
      </c>
      <c r="C19" s="339">
        <f>ROUND(C10*AF65,0)</f>
        <v>51500</v>
      </c>
      <c r="D19" s="208">
        <f>ROUND(AG93-1,4)</f>
        <v>0.57579999999999998</v>
      </c>
      <c r="E19" s="209">
        <f t="shared" ref="E19:E26" si="1">ROUND(C19*(1+D19),0)</f>
        <v>81154</v>
      </c>
      <c r="F19" s="5"/>
      <c r="J19" s="29"/>
      <c r="K19" s="29"/>
      <c r="L19" s="29"/>
      <c r="M19" s="29"/>
      <c r="N19" s="29"/>
      <c r="O19" s="29"/>
      <c r="P19" s="29"/>
      <c r="Q19" s="29"/>
    </row>
    <row r="20" spans="1:17">
      <c r="A20" s="181">
        <v>30111</v>
      </c>
      <c r="B20" s="177" t="s">
        <v>988</v>
      </c>
      <c r="C20" s="339">
        <f>ROUND(C10*AF65,0)</f>
        <v>51500</v>
      </c>
      <c r="D20" s="208">
        <f>ROUND(AG93-1,4)</f>
        <v>0.57579999999999998</v>
      </c>
      <c r="E20" s="209">
        <f t="shared" si="1"/>
        <v>81154</v>
      </c>
      <c r="F20" s="5"/>
      <c r="J20" s="29"/>
    </row>
    <row r="21" spans="1:17">
      <c r="A21" s="181">
        <v>30112</v>
      </c>
      <c r="B21" s="177" t="s">
        <v>989</v>
      </c>
      <c r="C21" s="339">
        <f>ROUND(C10*AN65,0)</f>
        <v>65920</v>
      </c>
      <c r="D21" s="208">
        <f>ROUND(AO93-1,4)</f>
        <v>0.5736</v>
      </c>
      <c r="E21" s="209">
        <f t="shared" si="1"/>
        <v>103732</v>
      </c>
      <c r="F21" s="5"/>
      <c r="J21" s="29"/>
      <c r="K21" s="29"/>
      <c r="L21" s="29"/>
      <c r="M21" s="29"/>
      <c r="N21" s="29"/>
      <c r="O21" s="29"/>
      <c r="P21" s="29"/>
      <c r="Q21" s="29"/>
    </row>
    <row r="22" spans="1:17">
      <c r="A22" s="181">
        <v>30113</v>
      </c>
      <c r="B22" s="177" t="s">
        <v>886</v>
      </c>
      <c r="C22" s="339">
        <f>ROUND(C10*AN65,0)</f>
        <v>65920</v>
      </c>
      <c r="D22" s="208">
        <f>ROUND(AO93-1,4)</f>
        <v>0.5736</v>
      </c>
      <c r="E22" s="209">
        <f t="shared" si="1"/>
        <v>103732</v>
      </c>
      <c r="F22" s="5"/>
      <c r="J22" s="29"/>
      <c r="K22" s="29"/>
      <c r="L22" s="29"/>
      <c r="M22" s="29"/>
      <c r="N22" s="29"/>
      <c r="O22" s="29"/>
      <c r="P22" s="29"/>
      <c r="Q22" s="29"/>
    </row>
    <row r="23" spans="1:17">
      <c r="A23" s="181">
        <v>30114</v>
      </c>
      <c r="B23" s="177" t="s">
        <v>887</v>
      </c>
      <c r="C23" s="339">
        <f>ROUND(C10*X65,0)</f>
        <v>37080</v>
      </c>
      <c r="D23" s="208">
        <f>ROUND(Y93-1,4)</f>
        <v>0.66400000000000003</v>
      </c>
      <c r="E23" s="209">
        <f t="shared" si="1"/>
        <v>61701</v>
      </c>
      <c r="F23" s="5"/>
      <c r="J23" s="29"/>
      <c r="K23" s="29"/>
      <c r="L23" s="29"/>
      <c r="M23" s="29"/>
      <c r="N23" s="29"/>
      <c r="O23" s="29"/>
      <c r="P23" s="29"/>
      <c r="Q23" s="29"/>
    </row>
    <row r="24" spans="1:17" ht="15" thickBot="1">
      <c r="A24" s="181">
        <v>30115</v>
      </c>
      <c r="B24" s="177" t="s">
        <v>990</v>
      </c>
      <c r="C24" s="339">
        <f>ROUND(C10*X65,0)</f>
        <v>37080</v>
      </c>
      <c r="D24" s="208">
        <f>ROUND(Y93-1,4)</f>
        <v>0.66400000000000003</v>
      </c>
      <c r="E24" s="209">
        <f t="shared" si="1"/>
        <v>61701</v>
      </c>
      <c r="F24" s="5"/>
      <c r="J24" s="29"/>
      <c r="K24" s="29"/>
      <c r="L24" s="29"/>
      <c r="M24" s="29"/>
      <c r="N24" s="29"/>
      <c r="O24" s="29"/>
      <c r="P24" s="29"/>
      <c r="Q24" s="29"/>
    </row>
    <row r="25" spans="1:17" ht="15" thickBot="1">
      <c r="A25" s="181">
        <v>30116</v>
      </c>
      <c r="B25" s="177" t="s">
        <v>991</v>
      </c>
      <c r="C25" s="339">
        <f>ROUND(C10*Z65,0)</f>
        <v>41200</v>
      </c>
      <c r="D25" s="208">
        <f>ROUND(AA93-1,4)</f>
        <v>0.65410000000000001</v>
      </c>
      <c r="E25" s="209">
        <f t="shared" si="1"/>
        <v>68149</v>
      </c>
      <c r="F25" s="5"/>
      <c r="G25" s="796" t="s">
        <v>1728</v>
      </c>
      <c r="H25" s="797"/>
      <c r="I25" s="797"/>
      <c r="J25" s="798"/>
      <c r="K25" s="29"/>
      <c r="L25" s="29"/>
      <c r="M25" s="29"/>
      <c r="N25" s="29"/>
      <c r="O25" s="29"/>
      <c r="P25" s="29"/>
      <c r="Q25" s="29"/>
    </row>
    <row r="26" spans="1:17">
      <c r="A26" s="181">
        <v>30117</v>
      </c>
      <c r="B26" s="177" t="s">
        <v>278</v>
      </c>
      <c r="C26" s="339">
        <f>ROUND(C10*R65,0)</f>
        <v>30900</v>
      </c>
      <c r="D26" s="208">
        <f>ROUND(S93-1,4)</f>
        <v>0.6835</v>
      </c>
      <c r="E26" s="209">
        <f t="shared" si="1"/>
        <v>52020</v>
      </c>
      <c r="F26" s="5"/>
      <c r="G26" s="369" t="s">
        <v>260</v>
      </c>
      <c r="H26" s="251"/>
      <c r="I26" s="84"/>
      <c r="J26" s="370">
        <v>515000</v>
      </c>
      <c r="K26" s="29"/>
      <c r="L26" s="29"/>
      <c r="M26" s="29"/>
      <c r="N26" s="29"/>
      <c r="O26" s="29"/>
      <c r="P26" s="29"/>
      <c r="Q26" s="29"/>
    </row>
    <row r="27" spans="1:17">
      <c r="A27" s="181">
        <v>30118</v>
      </c>
      <c r="B27" s="177" t="s">
        <v>992</v>
      </c>
      <c r="C27" s="339">
        <f>ROUND(C10*7,0)</f>
        <v>144200</v>
      </c>
      <c r="D27" s="177"/>
      <c r="E27" s="212"/>
      <c r="G27" s="363" t="s">
        <v>261</v>
      </c>
      <c r="H27" s="1"/>
      <c r="I27" s="3"/>
      <c r="J27" s="364">
        <v>61500</v>
      </c>
      <c r="K27" s="29"/>
      <c r="L27" s="29"/>
      <c r="M27" s="29"/>
      <c r="N27" s="29"/>
      <c r="O27" s="29"/>
      <c r="P27" s="29"/>
      <c r="Q27" s="29"/>
    </row>
    <row r="28" spans="1:17">
      <c r="A28" s="181">
        <v>30119</v>
      </c>
      <c r="B28" s="177" t="s">
        <v>696</v>
      </c>
      <c r="C28" s="339">
        <f>ROUND(C10+C15,0)</f>
        <v>65920</v>
      </c>
      <c r="D28" s="208">
        <f>ROUND((D10+D15)/2,4)</f>
        <v>0.63029999999999997</v>
      </c>
      <c r="E28" s="209">
        <f>ROUND(E10+E15,0)</f>
        <v>106154</v>
      </c>
      <c r="F28" s="5"/>
      <c r="G28" s="363" t="s">
        <v>262</v>
      </c>
      <c r="H28" s="1"/>
      <c r="I28" s="3"/>
      <c r="J28" s="364">
        <f>ROUND(J26/30/8,0)</f>
        <v>2146</v>
      </c>
      <c r="K28" s="29"/>
      <c r="L28" s="29"/>
      <c r="M28" s="29"/>
      <c r="N28" s="29"/>
      <c r="O28" s="29"/>
      <c r="P28" s="29"/>
      <c r="Q28" s="29"/>
    </row>
    <row r="29" spans="1:17">
      <c r="A29" s="181">
        <v>30120</v>
      </c>
      <c r="B29" s="177" t="s">
        <v>697</v>
      </c>
      <c r="C29" s="339">
        <f>ROUND(C11+C16,0)</f>
        <v>75602</v>
      </c>
      <c r="D29" s="208">
        <f>ROUND((D11+D16)/2,4)</f>
        <v>0.62460000000000004</v>
      </c>
      <c r="E29" s="209">
        <f>ROUND(E11+E16,0)</f>
        <v>121654</v>
      </c>
      <c r="F29" s="5"/>
      <c r="G29" s="363" t="s">
        <v>263</v>
      </c>
      <c r="H29" s="1"/>
      <c r="I29" s="3"/>
      <c r="J29" s="364">
        <f>ROUND(J28*1.35,0)</f>
        <v>2897</v>
      </c>
      <c r="K29" s="29"/>
      <c r="L29" s="29"/>
      <c r="M29" s="29"/>
      <c r="N29" s="29"/>
      <c r="O29" s="29"/>
      <c r="P29" s="29"/>
      <c r="Q29" s="29"/>
    </row>
    <row r="30" spans="1:17">
      <c r="A30" s="181"/>
      <c r="B30" s="177"/>
      <c r="C30" s="339"/>
      <c r="D30" s="208"/>
      <c r="E30" s="209"/>
      <c r="F30" s="5"/>
      <c r="G30" s="363" t="s">
        <v>749</v>
      </c>
      <c r="H30" s="1"/>
      <c r="I30" s="3"/>
      <c r="J30" s="364">
        <f>ROUND(J28*1.75,0)</f>
        <v>3756</v>
      </c>
      <c r="K30" s="29"/>
      <c r="L30" s="29"/>
      <c r="M30" s="29"/>
      <c r="N30" s="29"/>
      <c r="O30" s="29"/>
      <c r="P30" s="29"/>
      <c r="Q30" s="29"/>
    </row>
    <row r="31" spans="1:17">
      <c r="A31" s="181"/>
      <c r="B31" s="177"/>
      <c r="C31" s="339"/>
      <c r="D31" s="208"/>
      <c r="E31" s="209"/>
      <c r="F31" s="5"/>
      <c r="G31" s="363" t="s">
        <v>750</v>
      </c>
      <c r="H31" s="1"/>
      <c r="I31" s="3"/>
      <c r="J31" s="364">
        <f>ROUND(J28*2.1,0)</f>
        <v>4507</v>
      </c>
      <c r="K31" s="29"/>
      <c r="L31" s="29"/>
      <c r="M31" s="29"/>
      <c r="N31" s="29"/>
      <c r="O31" s="29"/>
      <c r="P31" s="29"/>
      <c r="Q31" s="29"/>
    </row>
    <row r="32" spans="1:17">
      <c r="A32" s="181">
        <v>30121</v>
      </c>
      <c r="B32" s="177" t="s">
        <v>698</v>
      </c>
      <c r="C32" s="339">
        <f>ROUND(C12+C17,0)</f>
        <v>80443</v>
      </c>
      <c r="D32" s="208">
        <f>ROUND((D12+D17)/2,4)</f>
        <v>0.622</v>
      </c>
      <c r="E32" s="209">
        <f>ROUND(E12+E17,0)</f>
        <v>129372</v>
      </c>
      <c r="F32" s="5"/>
      <c r="G32" s="363" t="s">
        <v>264</v>
      </c>
      <c r="H32" s="1"/>
      <c r="I32" s="3"/>
      <c r="J32" s="364">
        <f>ROUND(J28*1.25,0)</f>
        <v>2683</v>
      </c>
      <c r="K32" s="29"/>
      <c r="L32" s="29"/>
      <c r="M32" s="29"/>
      <c r="N32" s="29"/>
      <c r="O32" s="29"/>
      <c r="P32" s="29"/>
      <c r="Q32" s="29"/>
    </row>
    <row r="33" spans="1:17">
      <c r="A33" s="181">
        <v>30122</v>
      </c>
      <c r="B33" s="177" t="s">
        <v>743</v>
      </c>
      <c r="C33" s="339">
        <f>ROUND(C13+C18,0)</f>
        <v>83997</v>
      </c>
      <c r="D33" s="208">
        <f>ROUND((D13+D18)/2,4)</f>
        <v>0.61960000000000004</v>
      </c>
      <c r="E33" s="209">
        <f>ROUND(E13+E18,0)</f>
        <v>134942</v>
      </c>
      <c r="F33" s="5"/>
      <c r="G33" s="363" t="s">
        <v>265</v>
      </c>
      <c r="H33" s="1"/>
      <c r="I33" s="3"/>
      <c r="J33" s="364">
        <f>ROUND(J28*1.75,0)</f>
        <v>3756</v>
      </c>
      <c r="K33" s="29"/>
      <c r="L33" s="29"/>
      <c r="M33" s="29"/>
      <c r="N33" s="29"/>
      <c r="O33" s="29"/>
      <c r="P33" s="29"/>
      <c r="Q33" s="29"/>
    </row>
    <row r="34" spans="1:17">
      <c r="A34" s="181">
        <v>30123</v>
      </c>
      <c r="B34" s="177" t="s">
        <v>700</v>
      </c>
      <c r="C34" s="339">
        <f>ROUND((C10+C14+C15),0)</f>
        <v>91670</v>
      </c>
      <c r="D34" s="208">
        <f>ROUND((D10+D14+D15)/3,4)</f>
        <v>0.64800000000000002</v>
      </c>
      <c r="E34" s="209">
        <f>ROUND((E10+E14+E15),0)</f>
        <v>149504</v>
      </c>
      <c r="F34" s="5"/>
      <c r="G34" s="363" t="s">
        <v>751</v>
      </c>
      <c r="H34" s="1"/>
      <c r="I34" s="3"/>
      <c r="J34" s="364">
        <f>ROUND(J28*2,0)</f>
        <v>4292</v>
      </c>
    </row>
    <row r="35" spans="1:17" ht="15" thickBot="1">
      <c r="A35" s="181">
        <v>30124</v>
      </c>
      <c r="B35" s="177" t="s">
        <v>288</v>
      </c>
      <c r="C35" s="339">
        <f>ROUND((C10+C23+C22),0)</f>
        <v>123600</v>
      </c>
      <c r="D35" s="208">
        <f>ROUND((D11+D15+D16)/3,4)</f>
        <v>0.60870000000000002</v>
      </c>
      <c r="E35" s="209">
        <f>ROUND((E10+E23+E22),0)</f>
        <v>200113</v>
      </c>
      <c r="F35" s="5"/>
      <c r="G35" s="365" t="s">
        <v>752</v>
      </c>
      <c r="H35" s="366"/>
      <c r="I35" s="367"/>
      <c r="J35" s="368">
        <f>ROUND(J28*2.5,0)</f>
        <v>5365</v>
      </c>
    </row>
    <row r="36" spans="1:17" ht="15" thickBot="1">
      <c r="A36" s="180">
        <v>30125</v>
      </c>
      <c r="B36" s="176" t="s">
        <v>699</v>
      </c>
      <c r="C36" s="340">
        <f>ROUND((3*C10+C15),0)</f>
        <v>107120</v>
      </c>
      <c r="D36" s="213">
        <f>ROUND((D12+D16+D17)/3,4)</f>
        <v>0.60670000000000002</v>
      </c>
      <c r="E36" s="192">
        <f>ROUND((3*E10+E15),0)</f>
        <v>175514</v>
      </c>
      <c r="F36" s="5"/>
    </row>
    <row r="37" spans="1:17" ht="15.75" thickTop="1" thickBot="1">
      <c r="A37" s="198"/>
      <c r="B37" s="198" t="s">
        <v>1634</v>
      </c>
      <c r="C37" s="440">
        <f>ROUND((J67)/30*P65,0)</f>
        <v>20600</v>
      </c>
      <c r="D37" s="214">
        <f>ROUND(S93-1,4)</f>
        <v>0.6835</v>
      </c>
      <c r="E37" s="192">
        <f>ROUND(C10*(1+D10),0)</f>
        <v>34680</v>
      </c>
      <c r="F37" s="5"/>
    </row>
    <row r="38" spans="1:17" ht="16.5" thickTop="1" thickBot="1">
      <c r="E38" s="215"/>
      <c r="F38" s="16"/>
    </row>
    <row r="39" spans="1:17" ht="17.25" thickTop="1" thickBot="1">
      <c r="B39" s="788" t="s">
        <v>1034</v>
      </c>
      <c r="C39" s="789"/>
      <c r="D39" s="790"/>
      <c r="E39" s="216"/>
      <c r="F39" s="17"/>
    </row>
    <row r="40" spans="1:17" ht="15.75" thickTop="1" thickBot="1">
      <c r="B40" s="202"/>
      <c r="C40" s="202"/>
      <c r="D40" s="217"/>
      <c r="E40" s="218"/>
      <c r="F40" s="6"/>
    </row>
    <row r="41" spans="1:17" ht="15.75" thickTop="1" thickBot="1">
      <c r="B41" s="776" t="s">
        <v>838</v>
      </c>
      <c r="C41" s="777"/>
      <c r="D41" s="224" t="s">
        <v>993</v>
      </c>
      <c r="E41" s="218"/>
      <c r="F41" s="6"/>
    </row>
    <row r="42" spans="1:17" ht="15.75" thickTop="1" thickBot="1">
      <c r="B42" s="203"/>
      <c r="C42" s="203"/>
      <c r="D42" s="219"/>
      <c r="E42" s="218"/>
      <c r="F42" s="6"/>
    </row>
    <row r="43" spans="1:17" ht="15" thickTop="1">
      <c r="B43" s="778" t="s">
        <v>1035</v>
      </c>
      <c r="C43" s="779"/>
      <c r="D43" s="220">
        <v>8.33</v>
      </c>
      <c r="E43" s="218"/>
      <c r="F43" s="6"/>
    </row>
    <row r="44" spans="1:17">
      <c r="B44" s="774" t="s">
        <v>1036</v>
      </c>
      <c r="C44" s="775"/>
      <c r="D44" s="221">
        <f>ROUND(D43*1/100,2)</f>
        <v>0.08</v>
      </c>
      <c r="E44" s="218"/>
      <c r="F44" s="6"/>
    </row>
    <row r="45" spans="1:17">
      <c r="B45" s="774" t="s">
        <v>994</v>
      </c>
      <c r="C45" s="775"/>
      <c r="D45" s="221">
        <v>4.16</v>
      </c>
      <c r="E45" s="218"/>
      <c r="F45" s="6"/>
    </row>
    <row r="46" spans="1:17">
      <c r="B46" s="774" t="s">
        <v>995</v>
      </c>
      <c r="C46" s="775"/>
      <c r="D46" s="221">
        <v>8.33</v>
      </c>
      <c r="E46" s="218"/>
      <c r="F46" s="6"/>
    </row>
    <row r="47" spans="1:17">
      <c r="B47" s="774" t="s">
        <v>996</v>
      </c>
      <c r="C47" s="775"/>
      <c r="D47" s="221">
        <v>11.66</v>
      </c>
      <c r="E47" s="218"/>
      <c r="F47" s="6"/>
      <c r="G47" s="6"/>
      <c r="H47" s="32"/>
      <c r="I47" s="6"/>
    </row>
    <row r="48" spans="1:17">
      <c r="B48" s="774" t="s">
        <v>997</v>
      </c>
      <c r="C48" s="775"/>
      <c r="D48" s="221">
        <v>0.5</v>
      </c>
      <c r="E48" s="218"/>
      <c r="F48" s="6"/>
      <c r="G48" s="6"/>
      <c r="H48" s="32"/>
      <c r="I48" s="6"/>
    </row>
    <row r="49" spans="2:40">
      <c r="B49" s="774" t="s">
        <v>1029</v>
      </c>
      <c r="C49" s="775"/>
      <c r="D49" s="221">
        <v>3</v>
      </c>
      <c r="E49" s="218"/>
      <c r="F49" s="6"/>
      <c r="G49" s="6"/>
      <c r="H49" s="32"/>
      <c r="I49" s="6"/>
    </row>
    <row r="50" spans="2:40">
      <c r="B50" s="774" t="s">
        <v>1030</v>
      </c>
      <c r="C50" s="775"/>
      <c r="D50" s="221">
        <v>4</v>
      </c>
      <c r="E50" s="218"/>
      <c r="F50" s="6"/>
      <c r="G50" s="6"/>
      <c r="H50" s="32"/>
      <c r="I50" s="6"/>
    </row>
    <row r="51" spans="2:40">
      <c r="B51" s="774" t="s">
        <v>1037</v>
      </c>
      <c r="C51" s="775"/>
      <c r="D51" s="221">
        <v>8</v>
      </c>
      <c r="E51" s="218"/>
      <c r="F51" s="6"/>
      <c r="G51" s="6"/>
      <c r="H51" s="32"/>
      <c r="I51" s="6"/>
    </row>
    <row r="52" spans="2:40">
      <c r="B52" s="774" t="s">
        <v>1038</v>
      </c>
      <c r="C52" s="775"/>
      <c r="D52" s="221">
        <v>10.125</v>
      </c>
      <c r="E52" s="204"/>
      <c r="F52" s="18"/>
      <c r="G52" s="18"/>
      <c r="I52" s="18"/>
    </row>
    <row r="53" spans="2:40">
      <c r="B53" s="774" t="s">
        <v>1039</v>
      </c>
      <c r="C53" s="775"/>
      <c r="D53" s="221">
        <v>5.6</v>
      </c>
      <c r="E53" s="204"/>
      <c r="F53" s="18"/>
      <c r="G53" s="18"/>
      <c r="I53" s="18"/>
    </row>
    <row r="54" spans="2:40">
      <c r="B54" s="774" t="s">
        <v>1040</v>
      </c>
      <c r="C54" s="775"/>
      <c r="D54" s="221">
        <v>0.5</v>
      </c>
    </row>
    <row r="55" spans="2:40">
      <c r="B55" s="774" t="s">
        <v>1031</v>
      </c>
      <c r="C55" s="775"/>
      <c r="D55" s="221">
        <v>3</v>
      </c>
    </row>
    <row r="56" spans="2:40">
      <c r="B56" s="774" t="s">
        <v>1032</v>
      </c>
      <c r="C56" s="775"/>
      <c r="D56" s="221">
        <f>1/40*100</f>
        <v>2.5</v>
      </c>
    </row>
    <row r="57" spans="2:40" ht="15" thickBot="1">
      <c r="B57" s="786" t="s">
        <v>1033</v>
      </c>
      <c r="C57" s="787"/>
      <c r="D57" s="222">
        <f>SUM(D43:D56)</f>
        <v>69.784999999999997</v>
      </c>
    </row>
    <row r="58" spans="2:40" ht="15" thickTop="1">
      <c r="B58" s="204"/>
      <c r="C58" s="204"/>
      <c r="D58" s="223"/>
    </row>
    <row r="59" spans="2:40">
      <c r="B59" s="783" t="s">
        <v>1059</v>
      </c>
      <c r="C59" s="783"/>
      <c r="D59" s="323">
        <v>0</v>
      </c>
    </row>
    <row r="60" spans="2:40">
      <c r="B60" s="783" t="s">
        <v>1058</v>
      </c>
      <c r="C60" s="783"/>
      <c r="D60" s="323">
        <v>0.05</v>
      </c>
    </row>
    <row r="61" spans="2:40">
      <c r="B61" s="783" t="s">
        <v>680</v>
      </c>
      <c r="C61" s="783"/>
      <c r="D61" s="608" t="s">
        <v>1729</v>
      </c>
    </row>
    <row r="63" spans="2:40">
      <c r="G63" s="33" t="s">
        <v>266</v>
      </c>
      <c r="H63" s="34"/>
      <c r="I63" s="33"/>
      <c r="J63" s="35" t="s">
        <v>233</v>
      </c>
      <c r="K63" s="245">
        <v>61500</v>
      </c>
      <c r="L63" s="167" t="s">
        <v>235</v>
      </c>
      <c r="M63" s="36">
        <f>ROUND(K63/30*(365-17-3),0)</f>
        <v>707250</v>
      </c>
      <c r="N63" s="1" t="s">
        <v>237</v>
      </c>
      <c r="O63" s="2">
        <f>ROUND(M63/365,0)</f>
        <v>1938</v>
      </c>
      <c r="P63" s="168"/>
      <c r="Q63" s="169"/>
      <c r="AN63" s="25"/>
    </row>
    <row r="64" spans="2:40">
      <c r="G64" s="22"/>
      <c r="H64" s="27"/>
      <c r="I64" s="22"/>
      <c r="J64" s="27"/>
      <c r="K64" s="23"/>
      <c r="L64" s="27"/>
      <c r="M64" s="23"/>
      <c r="N64" s="27"/>
      <c r="O64" s="23"/>
      <c r="P64" s="23"/>
      <c r="Q64" s="23"/>
      <c r="R64" s="24"/>
      <c r="AN64" s="25"/>
    </row>
    <row r="65" spans="7:41" ht="18">
      <c r="G65" s="26" t="s">
        <v>998</v>
      </c>
      <c r="H65" s="30"/>
      <c r="I65" s="30"/>
      <c r="J65" s="793">
        <v>1</v>
      </c>
      <c r="K65" s="794"/>
      <c r="L65" s="793">
        <v>1.1000000000000001</v>
      </c>
      <c r="M65" s="794"/>
      <c r="N65" s="793">
        <v>1.1499999999999999</v>
      </c>
      <c r="O65" s="794"/>
      <c r="P65" s="793">
        <v>1.2</v>
      </c>
      <c r="Q65" s="794"/>
      <c r="R65" s="793">
        <v>1.5</v>
      </c>
      <c r="S65" s="794"/>
      <c r="T65" s="793">
        <v>1.65</v>
      </c>
      <c r="U65" s="794"/>
      <c r="V65" s="799">
        <v>1.7250000000000001</v>
      </c>
      <c r="W65" s="800"/>
      <c r="X65" s="793">
        <v>1.8</v>
      </c>
      <c r="Y65" s="794"/>
      <c r="Z65" s="791">
        <v>2</v>
      </c>
      <c r="AA65" s="792"/>
      <c r="AB65" s="791">
        <v>2.2000000000000002</v>
      </c>
      <c r="AC65" s="795"/>
      <c r="AD65" s="791">
        <f>2.2*1.1</f>
        <v>2.4200000000000004</v>
      </c>
      <c r="AE65" s="795"/>
      <c r="AF65" s="795">
        <v>2.5</v>
      </c>
      <c r="AG65" s="792"/>
      <c r="AH65" s="791">
        <f>2.2*1.15</f>
        <v>2.5299999999999998</v>
      </c>
      <c r="AI65" s="792"/>
      <c r="AJ65" s="791">
        <v>2.64</v>
      </c>
      <c r="AK65" s="792"/>
      <c r="AL65" s="791">
        <v>3</v>
      </c>
      <c r="AM65" s="792"/>
      <c r="AN65" s="791">
        <v>3.2</v>
      </c>
      <c r="AO65" s="792"/>
    </row>
    <row r="66" spans="7:41" ht="15" thickBot="1">
      <c r="G66" s="37"/>
      <c r="H66" s="28"/>
      <c r="I66" s="77"/>
      <c r="J66" s="78" t="s">
        <v>229</v>
      </c>
      <c r="K66" s="38" t="s">
        <v>230</v>
      </c>
      <c r="L66" s="78" t="s">
        <v>229</v>
      </c>
      <c r="M66" s="38" t="s">
        <v>230</v>
      </c>
      <c r="N66" s="78" t="s">
        <v>229</v>
      </c>
      <c r="O66" s="38" t="s">
        <v>230</v>
      </c>
      <c r="P66" s="78" t="s">
        <v>229</v>
      </c>
      <c r="Q66" s="38" t="s">
        <v>230</v>
      </c>
      <c r="R66" s="39" t="s">
        <v>231</v>
      </c>
      <c r="S66" s="38" t="s">
        <v>230</v>
      </c>
      <c r="T66" s="39" t="s">
        <v>231</v>
      </c>
      <c r="U66" s="38" t="s">
        <v>230</v>
      </c>
      <c r="V66" s="39" t="s">
        <v>231</v>
      </c>
      <c r="W66" s="38" t="s">
        <v>230</v>
      </c>
      <c r="X66" s="39" t="s">
        <v>231</v>
      </c>
      <c r="Y66" s="38" t="s">
        <v>230</v>
      </c>
      <c r="Z66" s="40" t="s">
        <v>232</v>
      </c>
      <c r="AA66" s="41" t="s">
        <v>230</v>
      </c>
      <c r="AB66" s="39" t="s">
        <v>231</v>
      </c>
      <c r="AC66" s="38" t="s">
        <v>230</v>
      </c>
      <c r="AD66" s="39" t="s">
        <v>231</v>
      </c>
      <c r="AE66" s="38" t="s">
        <v>230</v>
      </c>
      <c r="AF66" s="39" t="s">
        <v>231</v>
      </c>
      <c r="AG66" s="38" t="s">
        <v>230</v>
      </c>
      <c r="AH66" s="39" t="s">
        <v>231</v>
      </c>
      <c r="AI66" s="38" t="s">
        <v>230</v>
      </c>
      <c r="AJ66" s="39" t="s">
        <v>231</v>
      </c>
      <c r="AK66" s="38" t="s">
        <v>230</v>
      </c>
      <c r="AL66" s="40" t="s">
        <v>232</v>
      </c>
      <c r="AM66" s="41" t="s">
        <v>230</v>
      </c>
      <c r="AN66" s="40" t="s">
        <v>232</v>
      </c>
      <c r="AO66" s="41" t="s">
        <v>230</v>
      </c>
    </row>
    <row r="67" spans="7:41" ht="15" thickTop="1">
      <c r="G67" s="42" t="s">
        <v>233</v>
      </c>
      <c r="H67" s="43"/>
      <c r="I67" s="53"/>
      <c r="J67" s="44">
        <v>515000</v>
      </c>
      <c r="K67" s="43" t="s">
        <v>234</v>
      </c>
      <c r="L67" s="44">
        <f>ROUND(J26*L65,0)</f>
        <v>566500</v>
      </c>
      <c r="M67" s="43" t="s">
        <v>234</v>
      </c>
      <c r="N67" s="44">
        <f>ROUND(J26*N65,0)</f>
        <v>592250</v>
      </c>
      <c r="O67" s="43" t="s">
        <v>234</v>
      </c>
      <c r="P67" s="44">
        <f>ROUND(J26*P65,0)</f>
        <v>618000</v>
      </c>
      <c r="Q67" s="43" t="s">
        <v>234</v>
      </c>
      <c r="R67" s="45">
        <f>J26*R65</f>
        <v>772500</v>
      </c>
      <c r="S67" s="43" t="s">
        <v>234</v>
      </c>
      <c r="T67" s="45">
        <f>J26*T65</f>
        <v>849750</v>
      </c>
      <c r="U67" s="43" t="s">
        <v>234</v>
      </c>
      <c r="V67" s="45">
        <f>J26*V65</f>
        <v>888375</v>
      </c>
      <c r="W67" s="43" t="s">
        <v>234</v>
      </c>
      <c r="X67" s="45">
        <f>J26*X65</f>
        <v>927000</v>
      </c>
      <c r="Y67" s="43" t="s">
        <v>234</v>
      </c>
      <c r="Z67" s="45">
        <f>J26*Z65</f>
        <v>1030000</v>
      </c>
      <c r="AA67" s="43" t="s">
        <v>234</v>
      </c>
      <c r="AB67" s="45">
        <f>J26*AB65</f>
        <v>1133000</v>
      </c>
      <c r="AC67" s="43" t="s">
        <v>234</v>
      </c>
      <c r="AD67" s="45">
        <f>J26*AD65</f>
        <v>1246300.0000000002</v>
      </c>
      <c r="AE67" s="43" t="s">
        <v>234</v>
      </c>
      <c r="AF67" s="45">
        <f>J26*AF65</f>
        <v>1287500</v>
      </c>
      <c r="AG67" s="43" t="s">
        <v>234</v>
      </c>
      <c r="AH67" s="45">
        <f>J26*AH65</f>
        <v>1302950</v>
      </c>
      <c r="AI67" s="43" t="s">
        <v>234</v>
      </c>
      <c r="AJ67" s="45">
        <f>J26*AJ65</f>
        <v>1359600</v>
      </c>
      <c r="AK67" s="43" t="s">
        <v>234</v>
      </c>
      <c r="AL67" s="45">
        <f>J26*AL65</f>
        <v>1545000</v>
      </c>
      <c r="AM67" s="46" t="s">
        <v>234</v>
      </c>
      <c r="AN67" s="45">
        <f>J26*AN65</f>
        <v>1648000</v>
      </c>
      <c r="AO67" s="46" t="s">
        <v>234</v>
      </c>
    </row>
    <row r="68" spans="7:41">
      <c r="G68" s="47" t="s">
        <v>266</v>
      </c>
      <c r="H68" s="48"/>
      <c r="I68" s="49"/>
      <c r="J68" s="50">
        <v>61500</v>
      </c>
      <c r="K68" s="37" t="s">
        <v>236</v>
      </c>
      <c r="L68" s="50">
        <f>+K63</f>
        <v>61500</v>
      </c>
      <c r="M68" s="37" t="s">
        <v>236</v>
      </c>
      <c r="N68" s="50">
        <f>+K63</f>
        <v>61500</v>
      </c>
      <c r="O68" s="37" t="s">
        <v>236</v>
      </c>
      <c r="P68" s="50">
        <f>+K63</f>
        <v>61500</v>
      </c>
      <c r="Q68" s="37" t="s">
        <v>236</v>
      </c>
      <c r="R68" s="50">
        <f>+K63</f>
        <v>61500</v>
      </c>
      <c r="S68" s="37" t="s">
        <v>236</v>
      </c>
      <c r="T68" s="50">
        <f>+K63</f>
        <v>61500</v>
      </c>
      <c r="U68" s="37" t="s">
        <v>236</v>
      </c>
      <c r="V68" s="50">
        <f>+K63</f>
        <v>61500</v>
      </c>
      <c r="W68" s="37" t="s">
        <v>236</v>
      </c>
      <c r="X68" s="50">
        <f>+K63</f>
        <v>61500</v>
      </c>
      <c r="Y68" s="37" t="s">
        <v>236</v>
      </c>
      <c r="Z68" s="50">
        <f>+K63</f>
        <v>61500</v>
      </c>
      <c r="AA68" s="37" t="s">
        <v>236</v>
      </c>
      <c r="AB68" s="50">
        <v>0</v>
      </c>
      <c r="AC68" s="37" t="s">
        <v>236</v>
      </c>
      <c r="AD68" s="50">
        <v>0</v>
      </c>
      <c r="AE68" s="37" t="s">
        <v>236</v>
      </c>
      <c r="AF68" s="50">
        <v>0</v>
      </c>
      <c r="AG68" s="37" t="s">
        <v>236</v>
      </c>
      <c r="AH68" s="50">
        <v>0</v>
      </c>
      <c r="AI68" s="37" t="s">
        <v>236</v>
      </c>
      <c r="AJ68" s="50">
        <v>0</v>
      </c>
      <c r="AK68" s="37" t="s">
        <v>236</v>
      </c>
      <c r="AL68" s="50">
        <v>0</v>
      </c>
      <c r="AM68" s="51" t="s">
        <v>236</v>
      </c>
      <c r="AN68" s="50">
        <v>0</v>
      </c>
      <c r="AO68" s="51" t="s">
        <v>236</v>
      </c>
    </row>
    <row r="69" spans="7:41">
      <c r="G69" s="52" t="s">
        <v>267</v>
      </c>
      <c r="H69" s="37"/>
      <c r="I69" s="53"/>
      <c r="J69" s="54">
        <f>SUM(J67:J68)</f>
        <v>576500</v>
      </c>
      <c r="K69" s="55" t="s">
        <v>269</v>
      </c>
      <c r="L69" s="54">
        <f>SUM(L67:L68)</f>
        <v>628000</v>
      </c>
      <c r="M69" s="55" t="s">
        <v>269</v>
      </c>
      <c r="N69" s="54">
        <f>SUM(N67:N68)</f>
        <v>653750</v>
      </c>
      <c r="O69" s="55" t="s">
        <v>269</v>
      </c>
      <c r="P69" s="54">
        <f>SUM(P67:P68)</f>
        <v>679500</v>
      </c>
      <c r="Q69" s="55" t="s">
        <v>269</v>
      </c>
      <c r="R69" s="54">
        <f>SUM(R67:R68)</f>
        <v>834000</v>
      </c>
      <c r="S69" s="55" t="s">
        <v>269</v>
      </c>
      <c r="T69" s="54">
        <f>SUM(T67:T68)</f>
        <v>911250</v>
      </c>
      <c r="U69" s="55" t="s">
        <v>269</v>
      </c>
      <c r="V69" s="54">
        <f>SUM(V67:V68)</f>
        <v>949875</v>
      </c>
      <c r="W69" s="55" t="s">
        <v>269</v>
      </c>
      <c r="X69" s="54">
        <f>SUM(X67:X68)</f>
        <v>988500</v>
      </c>
      <c r="Y69" s="55" t="s">
        <v>269</v>
      </c>
      <c r="Z69" s="54">
        <f>SUM(Z67:Z68)</f>
        <v>1091500</v>
      </c>
      <c r="AA69" s="55" t="s">
        <v>269</v>
      </c>
      <c r="AB69" s="54">
        <f>SUM(AB67:AB68)</f>
        <v>1133000</v>
      </c>
      <c r="AC69" s="55" t="s">
        <v>269</v>
      </c>
      <c r="AD69" s="54">
        <f>SUM(AD67:AD68)</f>
        <v>1246300.0000000002</v>
      </c>
      <c r="AE69" s="55" t="s">
        <v>269</v>
      </c>
      <c r="AF69" s="54">
        <f>SUM(AF67:AF68)</f>
        <v>1287500</v>
      </c>
      <c r="AG69" s="55" t="s">
        <v>269</v>
      </c>
      <c r="AH69" s="54">
        <f>SUM(AH67:AH68)</f>
        <v>1302950</v>
      </c>
      <c r="AI69" s="55" t="s">
        <v>269</v>
      </c>
      <c r="AJ69" s="54">
        <f>SUM(AJ67:AJ68)</f>
        <v>1359600</v>
      </c>
      <c r="AK69" s="55" t="s">
        <v>269</v>
      </c>
      <c r="AL69" s="54">
        <f>SUM(AL67:AL68)</f>
        <v>1545000</v>
      </c>
      <c r="AM69" s="56" t="s">
        <v>269</v>
      </c>
      <c r="AN69" s="54">
        <f>SUM(AN67:AN68)</f>
        <v>1648000</v>
      </c>
      <c r="AO69" s="56" t="s">
        <v>269</v>
      </c>
    </row>
    <row r="70" spans="7:41">
      <c r="G70" s="52" t="s">
        <v>235</v>
      </c>
      <c r="H70" s="37"/>
      <c r="I70" s="53"/>
      <c r="J70" s="54">
        <f>ROUND(J67/30*365,0)</f>
        <v>6265833</v>
      </c>
      <c r="K70" s="55" t="s">
        <v>270</v>
      </c>
      <c r="L70" s="54">
        <f>ROUND(L67/30*365,0)</f>
        <v>6892417</v>
      </c>
      <c r="M70" s="55" t="s">
        <v>270</v>
      </c>
      <c r="N70" s="54">
        <f>ROUND(N67/30*365,0)</f>
        <v>7205708</v>
      </c>
      <c r="O70" s="55" t="s">
        <v>270</v>
      </c>
      <c r="P70" s="54">
        <f>ROUND(P67/30*365,0)</f>
        <v>7519000</v>
      </c>
      <c r="Q70" s="55" t="s">
        <v>270</v>
      </c>
      <c r="R70" s="54">
        <f>ROUND(R67/30*365,0)</f>
        <v>9398750</v>
      </c>
      <c r="S70" s="55" t="s">
        <v>270</v>
      </c>
      <c r="T70" s="54">
        <f>ROUND(T67/30*365,0)</f>
        <v>10338625</v>
      </c>
      <c r="U70" s="55" t="s">
        <v>270</v>
      </c>
      <c r="V70" s="54">
        <f>ROUND(V67/30*365,0)</f>
        <v>10808563</v>
      </c>
      <c r="W70" s="55" t="s">
        <v>270</v>
      </c>
      <c r="X70" s="54">
        <f>ROUND(X67/30*365,0)</f>
        <v>11278500</v>
      </c>
      <c r="Y70" s="55" t="s">
        <v>270</v>
      </c>
      <c r="Z70" s="54">
        <f>ROUND(Z67/30*365,0)</f>
        <v>12531667</v>
      </c>
      <c r="AA70" s="55" t="s">
        <v>270</v>
      </c>
      <c r="AB70" s="54">
        <f>ROUND(AB67/30*365,0)</f>
        <v>13784833</v>
      </c>
      <c r="AC70" s="55" t="s">
        <v>270</v>
      </c>
      <c r="AD70" s="54">
        <f>ROUND(AD67/30*365,0)</f>
        <v>15163317</v>
      </c>
      <c r="AE70" s="55" t="s">
        <v>270</v>
      </c>
      <c r="AF70" s="54">
        <f>ROUND(AF67/30*365,0)</f>
        <v>15664583</v>
      </c>
      <c r="AG70" s="55" t="s">
        <v>270</v>
      </c>
      <c r="AH70" s="54">
        <f>ROUND(AH67/30*365,0)</f>
        <v>15852558</v>
      </c>
      <c r="AI70" s="55" t="s">
        <v>270</v>
      </c>
      <c r="AJ70" s="54">
        <f>ROUND(AJ67/30*365,0)</f>
        <v>16541800</v>
      </c>
      <c r="AK70" s="55" t="s">
        <v>270</v>
      </c>
      <c r="AL70" s="54">
        <f>ROUND(AL67/30*365,0)</f>
        <v>18797500</v>
      </c>
      <c r="AM70" s="56" t="s">
        <v>270</v>
      </c>
      <c r="AN70" s="54">
        <f>ROUND(AN67/30*365,0)</f>
        <v>20050667</v>
      </c>
      <c r="AO70" s="56" t="s">
        <v>270</v>
      </c>
    </row>
    <row r="71" spans="7:41">
      <c r="G71" s="52" t="s">
        <v>268</v>
      </c>
      <c r="H71" s="37"/>
      <c r="I71" s="53"/>
      <c r="J71" s="54">
        <f>ROUND(J70+M63,0)</f>
        <v>6973083</v>
      </c>
      <c r="K71" s="55" t="s">
        <v>271</v>
      </c>
      <c r="L71" s="54">
        <f>ROUND(L70+M63,0)</f>
        <v>7599667</v>
      </c>
      <c r="M71" s="55" t="s">
        <v>271</v>
      </c>
      <c r="N71" s="54">
        <f>ROUND(N70+M63,0)</f>
        <v>7912958</v>
      </c>
      <c r="O71" s="55" t="s">
        <v>271</v>
      </c>
      <c r="P71" s="54">
        <f>ROUND(P70+M63,0)</f>
        <v>8226250</v>
      </c>
      <c r="Q71" s="55" t="s">
        <v>271</v>
      </c>
      <c r="R71" s="54">
        <f>ROUND(R70+M63,0)</f>
        <v>10106000</v>
      </c>
      <c r="S71" s="55" t="s">
        <v>271</v>
      </c>
      <c r="T71" s="54">
        <f>ROUND(T70+M63,0)</f>
        <v>11045875</v>
      </c>
      <c r="U71" s="55" t="s">
        <v>271</v>
      </c>
      <c r="V71" s="54">
        <f>ROUND(V70+M63,0)</f>
        <v>11515813</v>
      </c>
      <c r="W71" s="55" t="s">
        <v>271</v>
      </c>
      <c r="X71" s="54">
        <f>ROUND(X70+M63,0)</f>
        <v>11985750</v>
      </c>
      <c r="Y71" s="55" t="s">
        <v>271</v>
      </c>
      <c r="Z71" s="54">
        <f>ROUND(Z70+M63,0)</f>
        <v>13238917</v>
      </c>
      <c r="AA71" s="55" t="s">
        <v>271</v>
      </c>
      <c r="AB71" s="54">
        <f>ROUND(AB70+AB68,0)</f>
        <v>13784833</v>
      </c>
      <c r="AC71" s="55" t="s">
        <v>271</v>
      </c>
      <c r="AD71" s="54">
        <f>ROUND(AD70+AD68,0)</f>
        <v>15163317</v>
      </c>
      <c r="AE71" s="55" t="s">
        <v>271</v>
      </c>
      <c r="AF71" s="54">
        <f>ROUND(AF70+AF68,0)</f>
        <v>15664583</v>
      </c>
      <c r="AG71" s="55" t="s">
        <v>271</v>
      </c>
      <c r="AH71" s="54">
        <f>ROUND(AH70+AH68,0)</f>
        <v>15852558</v>
      </c>
      <c r="AI71" s="55" t="s">
        <v>271</v>
      </c>
      <c r="AJ71" s="54">
        <f>ROUND(AJ70+AJ68,0)</f>
        <v>16541800</v>
      </c>
      <c r="AK71" s="55" t="s">
        <v>271</v>
      </c>
      <c r="AL71" s="54">
        <f>ROUND(AL70+AL68,0)</f>
        <v>18797500</v>
      </c>
      <c r="AM71" s="56" t="s">
        <v>271</v>
      </c>
      <c r="AN71" s="54">
        <f>ROUND(AN70+AN68,0)</f>
        <v>20050667</v>
      </c>
      <c r="AO71" s="56" t="s">
        <v>271</v>
      </c>
    </row>
    <row r="72" spans="7:41">
      <c r="G72" s="34" t="s">
        <v>259</v>
      </c>
      <c r="H72" s="34" t="s">
        <v>272</v>
      </c>
      <c r="I72" s="34" t="s">
        <v>273</v>
      </c>
      <c r="J72" s="14" t="s">
        <v>229</v>
      </c>
      <c r="K72" s="14" t="s">
        <v>274</v>
      </c>
      <c r="L72" s="14" t="s">
        <v>229</v>
      </c>
      <c r="M72" s="14" t="s">
        <v>274</v>
      </c>
      <c r="N72" s="14" t="s">
        <v>229</v>
      </c>
      <c r="O72" s="14" t="s">
        <v>274</v>
      </c>
      <c r="P72" s="14" t="s">
        <v>229</v>
      </c>
      <c r="Q72" s="14" t="s">
        <v>274</v>
      </c>
      <c r="R72" s="14" t="s">
        <v>231</v>
      </c>
      <c r="S72" s="14" t="s">
        <v>274</v>
      </c>
      <c r="T72" s="14" t="s">
        <v>231</v>
      </c>
      <c r="U72" s="14" t="s">
        <v>274</v>
      </c>
      <c r="V72" s="14" t="s">
        <v>231</v>
      </c>
      <c r="W72" s="14" t="s">
        <v>274</v>
      </c>
      <c r="X72" s="14" t="s">
        <v>231</v>
      </c>
      <c r="Y72" s="14" t="s">
        <v>274</v>
      </c>
      <c r="Z72" s="1" t="s">
        <v>232</v>
      </c>
      <c r="AA72" s="21" t="s">
        <v>274</v>
      </c>
      <c r="AB72" s="1" t="s">
        <v>232</v>
      </c>
      <c r="AC72" s="21" t="s">
        <v>274</v>
      </c>
      <c r="AD72" s="1" t="s">
        <v>232</v>
      </c>
      <c r="AE72" s="21" t="s">
        <v>274</v>
      </c>
      <c r="AF72" s="1" t="s">
        <v>232</v>
      </c>
      <c r="AG72" s="21" t="s">
        <v>274</v>
      </c>
      <c r="AH72" s="1" t="s">
        <v>232</v>
      </c>
      <c r="AI72" s="21" t="s">
        <v>274</v>
      </c>
      <c r="AJ72" s="1" t="s">
        <v>232</v>
      </c>
      <c r="AK72" s="21" t="s">
        <v>274</v>
      </c>
      <c r="AL72" s="1" t="s">
        <v>232</v>
      </c>
      <c r="AM72" s="21" t="s">
        <v>274</v>
      </c>
      <c r="AN72" s="1" t="s">
        <v>232</v>
      </c>
      <c r="AO72" s="21" t="s">
        <v>274</v>
      </c>
    </row>
    <row r="73" spans="7:41">
      <c r="G73" s="52" t="s">
        <v>238</v>
      </c>
      <c r="H73" s="37"/>
      <c r="I73" s="53"/>
      <c r="J73" s="58">
        <f>J70</f>
        <v>6265833</v>
      </c>
      <c r="K73" s="59">
        <f>ROUND(J70/J70,4)</f>
        <v>1</v>
      </c>
      <c r="L73" s="58">
        <f>L70</f>
        <v>6892417</v>
      </c>
      <c r="M73" s="59">
        <f>ROUND(L70/L70,4)</f>
        <v>1</v>
      </c>
      <c r="N73" s="58">
        <f>N70</f>
        <v>7205708</v>
      </c>
      <c r="O73" s="59">
        <f>ROUND(N70/N70,4)</f>
        <v>1</v>
      </c>
      <c r="P73" s="58">
        <f>P70</f>
        <v>7519000</v>
      </c>
      <c r="Q73" s="59">
        <f>ROUND(P70/P70,4)</f>
        <v>1</v>
      </c>
      <c r="R73" s="58">
        <f>R70</f>
        <v>9398750</v>
      </c>
      <c r="S73" s="59">
        <f>ROUND(R70/R70,4)</f>
        <v>1</v>
      </c>
      <c r="T73" s="58">
        <f>T70</f>
        <v>10338625</v>
      </c>
      <c r="U73" s="59">
        <f>ROUND(T70/T70,4)</f>
        <v>1</v>
      </c>
      <c r="V73" s="58">
        <f>V70</f>
        <v>10808563</v>
      </c>
      <c r="W73" s="59">
        <f>ROUND(V70/V70,4)</f>
        <v>1</v>
      </c>
      <c r="X73" s="58">
        <f>X70</f>
        <v>11278500</v>
      </c>
      <c r="Y73" s="59">
        <f>ROUND(X70/X70,4)</f>
        <v>1</v>
      </c>
      <c r="Z73" s="58">
        <f>Z70</f>
        <v>12531667</v>
      </c>
      <c r="AA73" s="59">
        <f>ROUND(Z70/Z70,4)</f>
        <v>1</v>
      </c>
      <c r="AB73" s="58">
        <f>AB70</f>
        <v>13784833</v>
      </c>
      <c r="AC73" s="59">
        <f>ROUND(AB70/AB70,4)</f>
        <v>1</v>
      </c>
      <c r="AD73" s="58">
        <f>AD70</f>
        <v>15163317</v>
      </c>
      <c r="AE73" s="59">
        <f>ROUND(AD70/AD70,4)</f>
        <v>1</v>
      </c>
      <c r="AF73" s="58">
        <f>AF70</f>
        <v>15664583</v>
      </c>
      <c r="AG73" s="59">
        <f>ROUND(AF70/AF70,4)</f>
        <v>1</v>
      </c>
      <c r="AH73" s="58">
        <f>AH70</f>
        <v>15852558</v>
      </c>
      <c r="AI73" s="59">
        <f>ROUND(AH70/AH70,4)</f>
        <v>1</v>
      </c>
      <c r="AJ73" s="58">
        <f>AJ70</f>
        <v>16541800</v>
      </c>
      <c r="AK73" s="59">
        <f>ROUND(AJ70/AJ70,4)</f>
        <v>1</v>
      </c>
      <c r="AL73" s="58">
        <f>AL70</f>
        <v>18797500</v>
      </c>
      <c r="AM73" s="60">
        <f>ROUND(AL70/AL70,4)</f>
        <v>1</v>
      </c>
      <c r="AN73" s="58">
        <f>AN70</f>
        <v>20050667</v>
      </c>
      <c r="AO73" s="60">
        <f>ROUND(AN70/AN70,4)</f>
        <v>1</v>
      </c>
    </row>
    <row r="74" spans="7:41">
      <c r="G74" s="52" t="s">
        <v>239</v>
      </c>
      <c r="H74" s="37"/>
      <c r="I74" s="53"/>
      <c r="J74" s="54">
        <f>+M63</f>
        <v>707250</v>
      </c>
      <c r="K74" s="59">
        <f>ROUND(J74/J70,4)</f>
        <v>0.1129</v>
      </c>
      <c r="L74" s="54">
        <f>+M63</f>
        <v>707250</v>
      </c>
      <c r="M74" s="59">
        <f>ROUND(L74/L70,4)</f>
        <v>0.1026</v>
      </c>
      <c r="N74" s="54">
        <f>+M63</f>
        <v>707250</v>
      </c>
      <c r="O74" s="59">
        <f>ROUND(N74/N70,4)</f>
        <v>9.8199999999999996E-2</v>
      </c>
      <c r="P74" s="54">
        <f>+M63</f>
        <v>707250</v>
      </c>
      <c r="Q74" s="59">
        <f>ROUND(P74/P70,4)</f>
        <v>9.4100000000000003E-2</v>
      </c>
      <c r="R74" s="54">
        <f>+M63</f>
        <v>707250</v>
      </c>
      <c r="S74" s="59">
        <f>ROUND(R74/R70,4)</f>
        <v>7.5200000000000003E-2</v>
      </c>
      <c r="T74" s="54">
        <f>+M63</f>
        <v>707250</v>
      </c>
      <c r="U74" s="59">
        <f>ROUND(T74/T70,4)</f>
        <v>6.8400000000000002E-2</v>
      </c>
      <c r="V74" s="54">
        <f>+M63</f>
        <v>707250</v>
      </c>
      <c r="W74" s="59">
        <f>ROUND(V74/V70,4)</f>
        <v>6.54E-2</v>
      </c>
      <c r="X74" s="54">
        <f>+M63</f>
        <v>707250</v>
      </c>
      <c r="Y74" s="59">
        <f>ROUND(X74/X70,4)</f>
        <v>6.2700000000000006E-2</v>
      </c>
      <c r="Z74" s="54">
        <f>+M63</f>
        <v>707250</v>
      </c>
      <c r="AA74" s="59">
        <f>ROUND(Z74/Z70,4)</f>
        <v>5.6399999999999999E-2</v>
      </c>
      <c r="AB74" s="54">
        <v>0</v>
      </c>
      <c r="AC74" s="59">
        <f>ROUND(AB74/AB70,4)</f>
        <v>0</v>
      </c>
      <c r="AD74" s="54">
        <v>0</v>
      </c>
      <c r="AE74" s="59">
        <f>ROUND(AD74/AD70,4)</f>
        <v>0</v>
      </c>
      <c r="AF74" s="54">
        <v>0</v>
      </c>
      <c r="AG74" s="59">
        <f>ROUND(AF74/AF70,4)</f>
        <v>0</v>
      </c>
      <c r="AH74" s="54">
        <v>0</v>
      </c>
      <c r="AI74" s="59">
        <f>ROUND(AH74/AH70,4)</f>
        <v>0</v>
      </c>
      <c r="AJ74" s="54">
        <v>0</v>
      </c>
      <c r="AK74" s="59">
        <f>ROUND(AJ74/AJ70,4)</f>
        <v>0</v>
      </c>
      <c r="AL74" s="54">
        <v>0</v>
      </c>
      <c r="AM74" s="60">
        <f>ROUND(AL74/AL70,4)</f>
        <v>0</v>
      </c>
      <c r="AN74" s="54">
        <v>0</v>
      </c>
      <c r="AO74" s="60">
        <f>ROUND(AN74/AN70,4)</f>
        <v>0</v>
      </c>
    </row>
    <row r="75" spans="7:41">
      <c r="G75" s="61" t="s">
        <v>240</v>
      </c>
      <c r="H75" s="57"/>
      <c r="I75" s="62"/>
      <c r="J75" s="54"/>
      <c r="K75" s="63"/>
      <c r="L75" s="54"/>
      <c r="M75" s="63"/>
      <c r="N75" s="54"/>
      <c r="O75" s="63"/>
      <c r="P75" s="54"/>
      <c r="Q75" s="63"/>
      <c r="R75" s="54"/>
      <c r="S75" s="63"/>
      <c r="T75" s="54"/>
      <c r="U75" s="63"/>
      <c r="V75" s="54"/>
      <c r="W75" s="63"/>
      <c r="X75" s="54"/>
      <c r="Y75" s="63"/>
      <c r="Z75" s="54"/>
      <c r="AA75" s="63"/>
      <c r="AB75" s="54"/>
      <c r="AC75" s="63"/>
      <c r="AD75" s="54"/>
      <c r="AE75" s="63"/>
      <c r="AF75" s="54"/>
      <c r="AG75" s="63"/>
      <c r="AH75" s="54"/>
      <c r="AI75" s="63"/>
      <c r="AJ75" s="54"/>
      <c r="AK75" s="63"/>
      <c r="AL75" s="54"/>
      <c r="AM75" s="64"/>
      <c r="AN75" s="54"/>
      <c r="AO75" s="64"/>
    </row>
    <row r="76" spans="7:41">
      <c r="G76" s="52" t="s">
        <v>241</v>
      </c>
      <c r="H76" s="37" t="s">
        <v>271</v>
      </c>
      <c r="I76" s="65">
        <v>9.8630136986301367E-2</v>
      </c>
      <c r="J76" s="54">
        <f>ROUND(J71*I76,0)</f>
        <v>687756</v>
      </c>
      <c r="K76" s="59">
        <f>ROUND(J76/J70,4)</f>
        <v>0.10979999999999999</v>
      </c>
      <c r="L76" s="54">
        <f>ROUND(L71*I76,0)</f>
        <v>749556</v>
      </c>
      <c r="M76" s="59">
        <f>ROUND(L76/L70,4)</f>
        <v>0.10879999999999999</v>
      </c>
      <c r="N76" s="54">
        <f>ROUND(N71*I76,0)</f>
        <v>780456</v>
      </c>
      <c r="O76" s="59">
        <f>ROUND(N76/N70,4)</f>
        <v>0.10829999999999999</v>
      </c>
      <c r="P76" s="54">
        <f>ROUND(P71*I76,0)</f>
        <v>811356</v>
      </c>
      <c r="Q76" s="59">
        <f>ROUND(P76/P70,4)</f>
        <v>0.1079</v>
      </c>
      <c r="R76" s="54">
        <f>ROUND(R71*I76,0)</f>
        <v>996756</v>
      </c>
      <c r="S76" s="59">
        <f>ROUND(R76/R70,4)</f>
        <v>0.1061</v>
      </c>
      <c r="T76" s="54">
        <f>ROUND(T71*I76,0)</f>
        <v>1089456</v>
      </c>
      <c r="U76" s="59">
        <f>ROUND(T76/T70,4)</f>
        <v>0.10539999999999999</v>
      </c>
      <c r="V76" s="54">
        <f>ROUND(V71*I76,0)</f>
        <v>1135806</v>
      </c>
      <c r="W76" s="59">
        <f>ROUND(V76/V70,4)</f>
        <v>0.1051</v>
      </c>
      <c r="X76" s="54">
        <f>ROUND(X71*I76,0)</f>
        <v>1182156</v>
      </c>
      <c r="Y76" s="59">
        <f>ROUND(X76/X70,4)</f>
        <v>0.1048</v>
      </c>
      <c r="Z76" s="54">
        <f>ROUND(Z71*I76,0)</f>
        <v>1305756</v>
      </c>
      <c r="AA76" s="59">
        <f>ROUND(Z76/Z70,4)</f>
        <v>0.1042</v>
      </c>
      <c r="AB76" s="54">
        <f>ROUND(AB71*I76,0)</f>
        <v>1359600</v>
      </c>
      <c r="AC76" s="59">
        <f>ROUND(AB76/AB70,4)</f>
        <v>9.8599999999999993E-2</v>
      </c>
      <c r="AD76" s="54">
        <f>ROUND(AD71*I76,0)</f>
        <v>1495560</v>
      </c>
      <c r="AE76" s="59">
        <f>ROUND(AD76/AD70,4)</f>
        <v>9.8599999999999993E-2</v>
      </c>
      <c r="AF76" s="54">
        <f>ROUND(AF71*I76,0)</f>
        <v>1545000</v>
      </c>
      <c r="AG76" s="59">
        <f>ROUND(AF76/AF70,4)</f>
        <v>9.8599999999999993E-2</v>
      </c>
      <c r="AH76" s="54">
        <f>ROUND(AH71*I76,0)</f>
        <v>1563540</v>
      </c>
      <c r="AI76" s="59">
        <f>ROUND(AH76/AH70,4)</f>
        <v>9.8599999999999993E-2</v>
      </c>
      <c r="AJ76" s="54">
        <f>ROUND(AJ71*I76,0)</f>
        <v>1631520</v>
      </c>
      <c r="AK76" s="59">
        <f>ROUND(AJ76/AJ70,4)</f>
        <v>9.8599999999999993E-2</v>
      </c>
      <c r="AL76" s="54">
        <f>ROUND(AL71*I76,0)</f>
        <v>1854000</v>
      </c>
      <c r="AM76" s="60">
        <f>ROUND(AL76/AL70,4)</f>
        <v>9.8599999999999993E-2</v>
      </c>
      <c r="AN76" s="54">
        <f>ROUND(AN71*I76,0)</f>
        <v>1977600</v>
      </c>
      <c r="AO76" s="60">
        <f>ROUND(AN76/AN70,4)</f>
        <v>9.8599999999999993E-2</v>
      </c>
    </row>
    <row r="77" spans="7:41">
      <c r="G77" s="52" t="s">
        <v>242</v>
      </c>
      <c r="H77" s="37" t="s">
        <v>275</v>
      </c>
      <c r="I77" s="66">
        <v>0.12</v>
      </c>
      <c r="J77" s="54">
        <f>ROUND(J76*I77,0)</f>
        <v>82531</v>
      </c>
      <c r="K77" s="59">
        <f>ROUND(J77/J70,4)</f>
        <v>1.32E-2</v>
      </c>
      <c r="L77" s="54">
        <f>ROUND(L76*I77,0)</f>
        <v>89947</v>
      </c>
      <c r="M77" s="59">
        <f>ROUND(L77/L70,4)</f>
        <v>1.3100000000000001E-2</v>
      </c>
      <c r="N77" s="54">
        <f>ROUND(N76*I77,0)</f>
        <v>93655</v>
      </c>
      <c r="O77" s="59">
        <f>ROUND(N77/N70,4)</f>
        <v>1.2999999999999999E-2</v>
      </c>
      <c r="P77" s="54">
        <f>ROUND(P76*I77,0)</f>
        <v>97363</v>
      </c>
      <c r="Q77" s="59">
        <f>ROUND(P77/P70,4)</f>
        <v>1.29E-2</v>
      </c>
      <c r="R77" s="54">
        <f>ROUND(R76*I77,0)</f>
        <v>119611</v>
      </c>
      <c r="S77" s="59">
        <f>ROUND(R77/R70,4)</f>
        <v>1.2699999999999999E-2</v>
      </c>
      <c r="T77" s="54">
        <f>ROUND(T76*I77,0)</f>
        <v>130735</v>
      </c>
      <c r="U77" s="59">
        <f>ROUND(T77/T70,4)</f>
        <v>1.26E-2</v>
      </c>
      <c r="V77" s="54">
        <f>ROUND(V76*I77,0)</f>
        <v>136297</v>
      </c>
      <c r="W77" s="59">
        <f>ROUND(V77/V70,4)</f>
        <v>1.26E-2</v>
      </c>
      <c r="X77" s="54">
        <f>ROUND(X76*I77,0)</f>
        <v>141859</v>
      </c>
      <c r="Y77" s="59">
        <f>ROUND(X77/X70,4)</f>
        <v>1.26E-2</v>
      </c>
      <c r="Z77" s="54">
        <f>ROUND(Z76*I77,0)</f>
        <v>156691</v>
      </c>
      <c r="AA77" s="59">
        <f>ROUND(Z77/Z70,4)</f>
        <v>1.2500000000000001E-2</v>
      </c>
      <c r="AB77" s="54">
        <f>ROUND(AB76*I77,0)</f>
        <v>163152</v>
      </c>
      <c r="AC77" s="59">
        <f>ROUND(AB77/AB70,4)</f>
        <v>1.18E-2</v>
      </c>
      <c r="AD77" s="54">
        <f>ROUND(AD76*I77,0)</f>
        <v>179467</v>
      </c>
      <c r="AE77" s="59">
        <f>ROUND(AD77/AD70,4)</f>
        <v>1.18E-2</v>
      </c>
      <c r="AF77" s="54">
        <f>ROUND(AF76*I77,0)</f>
        <v>185400</v>
      </c>
      <c r="AG77" s="59">
        <f>ROUND(AF77/AF70,4)</f>
        <v>1.18E-2</v>
      </c>
      <c r="AH77" s="54">
        <f>ROUND(AH76*I77,0)</f>
        <v>187625</v>
      </c>
      <c r="AI77" s="59">
        <f>ROUND(AH77/AH70,4)</f>
        <v>1.18E-2</v>
      </c>
      <c r="AJ77" s="54">
        <f>ROUND(AJ76*I77,0)</f>
        <v>195782</v>
      </c>
      <c r="AK77" s="59">
        <f>ROUND(AJ77/AJ70,4)</f>
        <v>1.18E-2</v>
      </c>
      <c r="AL77" s="54">
        <f>ROUND(AL76*I77,0)</f>
        <v>222480</v>
      </c>
      <c r="AM77" s="60">
        <f>ROUND(AL77/AL70,4)</f>
        <v>1.18E-2</v>
      </c>
      <c r="AN77" s="54">
        <f>ROUND(AN76*I77,0)</f>
        <v>237312</v>
      </c>
      <c r="AO77" s="60">
        <f>ROUND(AN77/AN70,4)</f>
        <v>1.18E-2</v>
      </c>
    </row>
    <row r="78" spans="7:41">
      <c r="G78" s="52" t="s">
        <v>243</v>
      </c>
      <c r="H78" s="37" t="s">
        <v>234</v>
      </c>
      <c r="I78" s="66">
        <v>0.5</v>
      </c>
      <c r="J78" s="54">
        <f>ROUND(J67*I78,0)</f>
        <v>257500</v>
      </c>
      <c r="K78" s="59">
        <f>ROUND(J78/J70,4)</f>
        <v>4.1099999999999998E-2</v>
      </c>
      <c r="L78" s="54">
        <f>ROUND(L67*I78,0)</f>
        <v>283250</v>
      </c>
      <c r="M78" s="59">
        <f>ROUND(L78/L70,4)</f>
        <v>4.1099999999999998E-2</v>
      </c>
      <c r="N78" s="54">
        <f>ROUND(N67*I78,0)</f>
        <v>296125</v>
      </c>
      <c r="O78" s="59">
        <f>ROUND(N78/N70,4)</f>
        <v>4.1099999999999998E-2</v>
      </c>
      <c r="P78" s="54">
        <f>ROUND(P67*I78,0)</f>
        <v>309000</v>
      </c>
      <c r="Q78" s="59">
        <f>ROUND(P78/P70,4)</f>
        <v>4.1099999999999998E-2</v>
      </c>
      <c r="R78" s="54">
        <f>ROUND(R67*I78,0)</f>
        <v>386250</v>
      </c>
      <c r="S78" s="59">
        <f>ROUND(R78/R70,4)</f>
        <v>4.1099999999999998E-2</v>
      </c>
      <c r="T78" s="54">
        <f>ROUND(T67*I78,0)</f>
        <v>424875</v>
      </c>
      <c r="U78" s="59">
        <f>ROUND(T78/T70,4)</f>
        <v>4.1099999999999998E-2</v>
      </c>
      <c r="V78" s="54">
        <f>ROUND(V67*I78,0)</f>
        <v>444188</v>
      </c>
      <c r="W78" s="59">
        <f>ROUND(V78/V70,4)</f>
        <v>4.1099999999999998E-2</v>
      </c>
      <c r="X78" s="54">
        <f>ROUND(X67*I78,0)</f>
        <v>463500</v>
      </c>
      <c r="Y78" s="59">
        <f>ROUND(X78/X70,4)</f>
        <v>4.1099999999999998E-2</v>
      </c>
      <c r="Z78" s="54">
        <f>ROUND(Z67*I78,0)</f>
        <v>515000</v>
      </c>
      <c r="AA78" s="59">
        <f>ROUND(Z78/Z70,4)</f>
        <v>4.1099999999999998E-2</v>
      </c>
      <c r="AB78" s="54">
        <f>ROUND(AB67*I78,0)</f>
        <v>566500</v>
      </c>
      <c r="AC78" s="59">
        <f>ROUND(AB78/AB70,4)</f>
        <v>4.1099999999999998E-2</v>
      </c>
      <c r="AD78" s="54">
        <f>ROUND(AD67*I78,0)</f>
        <v>623150</v>
      </c>
      <c r="AE78" s="59">
        <f>ROUND(AD78/AD70,4)</f>
        <v>4.1099999999999998E-2</v>
      </c>
      <c r="AF78" s="54">
        <f>ROUND(AF67*I78,0)</f>
        <v>643750</v>
      </c>
      <c r="AG78" s="59">
        <f>ROUND(AF78/AF70,4)</f>
        <v>4.1099999999999998E-2</v>
      </c>
      <c r="AH78" s="54">
        <f>ROUND(AH67*I78,0)</f>
        <v>651475</v>
      </c>
      <c r="AI78" s="59">
        <f>ROUND(AH78/AH70,4)</f>
        <v>4.1099999999999998E-2</v>
      </c>
      <c r="AJ78" s="54">
        <f>ROUND(AJ67*I78,0)</f>
        <v>679800</v>
      </c>
      <c r="AK78" s="59">
        <f>ROUND(AJ78/AJ70,4)</f>
        <v>4.1099999999999998E-2</v>
      </c>
      <c r="AL78" s="54">
        <f>ROUND(AL67*I78,0)</f>
        <v>772500</v>
      </c>
      <c r="AM78" s="60">
        <f>ROUND(AL78/AL70,4)</f>
        <v>4.1099999999999998E-2</v>
      </c>
      <c r="AN78" s="54">
        <f>ROUND(AN67*I78,0)</f>
        <v>824000</v>
      </c>
      <c r="AO78" s="60">
        <f>ROUND(AN78/AN70,4)</f>
        <v>4.1099999999999998E-2</v>
      </c>
    </row>
    <row r="79" spans="7:41">
      <c r="G79" s="52" t="s">
        <v>244</v>
      </c>
      <c r="H79" s="37" t="s">
        <v>269</v>
      </c>
      <c r="I79" s="66">
        <v>1</v>
      </c>
      <c r="J79" s="54">
        <f>ROUND(J69*I79,0)</f>
        <v>576500</v>
      </c>
      <c r="K79" s="59">
        <f>ROUND(J79/J70,4)</f>
        <v>9.1999999999999998E-2</v>
      </c>
      <c r="L79" s="54">
        <f>ROUND(L69*I79,0)</f>
        <v>628000</v>
      </c>
      <c r="M79" s="59">
        <f>ROUND(L79/L70,4)</f>
        <v>9.11E-2</v>
      </c>
      <c r="N79" s="54">
        <f>ROUND(N69*I79,0)</f>
        <v>653750</v>
      </c>
      <c r="O79" s="59">
        <f>ROUND(N79/N70,4)</f>
        <v>9.0700000000000003E-2</v>
      </c>
      <c r="P79" s="54">
        <f>ROUND(P69*I79,0)</f>
        <v>679500</v>
      </c>
      <c r="Q79" s="59">
        <f>ROUND(P79/P70,4)</f>
        <v>9.0399999999999994E-2</v>
      </c>
      <c r="R79" s="54">
        <f>ROUND(R69*I79,0)</f>
        <v>834000</v>
      </c>
      <c r="S79" s="59">
        <f>ROUND(R79/R70,4)</f>
        <v>8.8700000000000001E-2</v>
      </c>
      <c r="T79" s="54">
        <f>ROUND(T69*I79,0)</f>
        <v>911250</v>
      </c>
      <c r="U79" s="59">
        <f>ROUND(T79/T70,4)</f>
        <v>8.8099999999999998E-2</v>
      </c>
      <c r="V79" s="54">
        <f>ROUND(V69*I79,0)</f>
        <v>949875</v>
      </c>
      <c r="W79" s="59">
        <f>ROUND(V79/V70,4)</f>
        <v>8.7900000000000006E-2</v>
      </c>
      <c r="X79" s="54">
        <f>ROUND(X69*I79,0)</f>
        <v>988500</v>
      </c>
      <c r="Y79" s="59">
        <f>ROUND(X79/X70,4)</f>
        <v>8.7599999999999997E-2</v>
      </c>
      <c r="Z79" s="54">
        <f>ROUND(Z69*I79,0)</f>
        <v>1091500</v>
      </c>
      <c r="AA79" s="59">
        <f>ROUND(Z79/Z70,4)</f>
        <v>8.7099999999999997E-2</v>
      </c>
      <c r="AB79" s="54">
        <f>ROUND(AB69*I79,0)</f>
        <v>1133000</v>
      </c>
      <c r="AC79" s="59">
        <f>ROUND(AB79/AB70,4)</f>
        <v>8.2199999999999995E-2</v>
      </c>
      <c r="AD79" s="54">
        <f>ROUND(AD69*I79,0)</f>
        <v>1246300</v>
      </c>
      <c r="AE79" s="59">
        <f>ROUND(AD79/AD70,4)</f>
        <v>8.2199999999999995E-2</v>
      </c>
      <c r="AF79" s="54">
        <f>ROUND(AF69*I79,0)</f>
        <v>1287500</v>
      </c>
      <c r="AG79" s="59">
        <f>ROUND(AF79/AF70,4)</f>
        <v>8.2199999999999995E-2</v>
      </c>
      <c r="AH79" s="54">
        <f>ROUND(AH69*I79,0)</f>
        <v>1302950</v>
      </c>
      <c r="AI79" s="59">
        <f>ROUND(AH79/AH70,4)</f>
        <v>8.2199999999999995E-2</v>
      </c>
      <c r="AJ79" s="54">
        <f>ROUND(AJ69*I79,0)</f>
        <v>1359600</v>
      </c>
      <c r="AK79" s="59">
        <f>ROUND(AJ79/AJ70,4)</f>
        <v>8.2199999999999995E-2</v>
      </c>
      <c r="AL79" s="54">
        <f>ROUND(AL69*I79,0)</f>
        <v>1545000</v>
      </c>
      <c r="AM79" s="60">
        <f>ROUND(AL79/AL70,4)</f>
        <v>8.2199999999999995E-2</v>
      </c>
      <c r="AN79" s="54">
        <f>ROUND(AN69*I79,0)</f>
        <v>1648000</v>
      </c>
      <c r="AO79" s="60">
        <f>ROUND(AN79/AN70,4)</f>
        <v>8.2199999999999995E-2</v>
      </c>
    </row>
    <row r="80" spans="7:41">
      <c r="G80" s="61" t="s">
        <v>245</v>
      </c>
      <c r="H80" s="57"/>
      <c r="I80" s="62"/>
      <c r="J80" s="54"/>
      <c r="K80" s="63"/>
      <c r="L80" s="54"/>
      <c r="M80" s="63"/>
      <c r="N80" s="54"/>
      <c r="O80" s="63"/>
      <c r="P80" s="54"/>
      <c r="Q80" s="63"/>
      <c r="R80" s="54"/>
      <c r="S80" s="63"/>
      <c r="T80" s="54"/>
      <c r="U80" s="63"/>
      <c r="V80" s="54"/>
      <c r="W80" s="63"/>
      <c r="X80" s="54"/>
      <c r="Y80" s="63"/>
      <c r="Z80" s="54"/>
      <c r="AA80" s="63"/>
      <c r="AB80" s="54"/>
      <c r="AC80" s="63"/>
      <c r="AD80" s="54"/>
      <c r="AE80" s="63"/>
      <c r="AF80" s="54"/>
      <c r="AG80" s="63"/>
      <c r="AH80" s="54"/>
      <c r="AI80" s="63"/>
      <c r="AJ80" s="54"/>
      <c r="AK80" s="63"/>
      <c r="AL80" s="54"/>
      <c r="AM80" s="64"/>
      <c r="AN80" s="54"/>
      <c r="AO80" s="64"/>
    </row>
    <row r="81" spans="7:41">
      <c r="G81" s="52" t="s">
        <v>246</v>
      </c>
      <c r="H81" s="37">
        <v>34800</v>
      </c>
      <c r="I81" s="53">
        <v>3</v>
      </c>
      <c r="J81" s="54">
        <f>H81*I81</f>
        <v>104400</v>
      </c>
      <c r="K81" s="59">
        <f>ROUND(J81/J70,4)</f>
        <v>1.67E-2</v>
      </c>
      <c r="L81" s="54">
        <f>H81*I81</f>
        <v>104400</v>
      </c>
      <c r="M81" s="59">
        <f>ROUND(L81/L70,4)</f>
        <v>1.5100000000000001E-2</v>
      </c>
      <c r="N81" s="54">
        <f>H81*I81</f>
        <v>104400</v>
      </c>
      <c r="O81" s="59">
        <f>ROUND(N81/N70,4)</f>
        <v>1.4500000000000001E-2</v>
      </c>
      <c r="P81" s="54">
        <f>H81*I81</f>
        <v>104400</v>
      </c>
      <c r="Q81" s="59">
        <f>ROUND(P81/P70,4)</f>
        <v>1.3899999999999999E-2</v>
      </c>
      <c r="R81" s="54">
        <f>H81*I81</f>
        <v>104400</v>
      </c>
      <c r="S81" s="59">
        <f>ROUND(R81/R70,4)</f>
        <v>1.11E-2</v>
      </c>
      <c r="T81" s="54">
        <f>H81*I81</f>
        <v>104400</v>
      </c>
      <c r="U81" s="59">
        <f>ROUND(T81/T70,4)</f>
        <v>1.01E-2</v>
      </c>
      <c r="V81" s="54">
        <f>H81*I81</f>
        <v>104400</v>
      </c>
      <c r="W81" s="59">
        <f>ROUND(V81/V70,4)</f>
        <v>9.7000000000000003E-3</v>
      </c>
      <c r="X81" s="54">
        <f>H81*I81</f>
        <v>104400</v>
      </c>
      <c r="Y81" s="59">
        <f>ROUND(X81/X70,4)</f>
        <v>9.2999999999999992E-3</v>
      </c>
      <c r="Z81" s="54">
        <f>H81*I81</f>
        <v>104400</v>
      </c>
      <c r="AA81" s="59">
        <f>ROUND(Z81/Z70,4)</f>
        <v>8.3000000000000001E-3</v>
      </c>
      <c r="AB81" s="54">
        <v>0</v>
      </c>
      <c r="AC81" s="59">
        <f>ROUND(AB81/AB70,4)</f>
        <v>0</v>
      </c>
      <c r="AD81" s="54">
        <v>0</v>
      </c>
      <c r="AE81" s="59">
        <f>ROUND(AD81/AD70,4)</f>
        <v>0</v>
      </c>
      <c r="AF81" s="54">
        <v>0</v>
      </c>
      <c r="AG81" s="59">
        <f>ROUND(AF81/AF70,4)</f>
        <v>0</v>
      </c>
      <c r="AH81" s="54">
        <v>0</v>
      </c>
      <c r="AI81" s="59">
        <f>ROUND(AH81/AH70,4)</f>
        <v>0</v>
      </c>
      <c r="AJ81" s="54">
        <v>0</v>
      </c>
      <c r="AK81" s="59">
        <f>ROUND(AJ81/AJ70,4)</f>
        <v>0</v>
      </c>
      <c r="AL81" s="54">
        <v>0</v>
      </c>
      <c r="AM81" s="60">
        <f>ROUND(AL81/AL70,4)</f>
        <v>0</v>
      </c>
      <c r="AN81" s="54">
        <v>0</v>
      </c>
      <c r="AO81" s="60">
        <f>ROUND(AN81/AN70,4)</f>
        <v>0</v>
      </c>
    </row>
    <row r="82" spans="7:41">
      <c r="G82" s="52" t="s">
        <v>1040</v>
      </c>
      <c r="H82" s="37" t="s">
        <v>270</v>
      </c>
      <c r="I82" s="66">
        <v>5.0000000000000001E-3</v>
      </c>
      <c r="J82" s="54">
        <f>ROUND(J70*I82,0)</f>
        <v>31329</v>
      </c>
      <c r="K82" s="59">
        <f>ROUND(J82/J70,4)</f>
        <v>5.0000000000000001E-3</v>
      </c>
      <c r="L82" s="54">
        <f>ROUND(L70*I82,0)</f>
        <v>34462</v>
      </c>
      <c r="M82" s="59">
        <f>ROUND(L82/L70,4)</f>
        <v>5.0000000000000001E-3</v>
      </c>
      <c r="N82" s="54">
        <f>ROUND(N70*I82,0)</f>
        <v>36029</v>
      </c>
      <c r="O82" s="59">
        <f>ROUND(N82/N70,4)</f>
        <v>5.0000000000000001E-3</v>
      </c>
      <c r="P82" s="54">
        <f>ROUND(P70*I82,0)</f>
        <v>37595</v>
      </c>
      <c r="Q82" s="59">
        <f>ROUND(P82/P70,4)</f>
        <v>5.0000000000000001E-3</v>
      </c>
      <c r="R82" s="54">
        <f>ROUND(R70*I82,0)</f>
        <v>46994</v>
      </c>
      <c r="S82" s="59">
        <f>ROUND(R82/R70,4)</f>
        <v>5.0000000000000001E-3</v>
      </c>
      <c r="T82" s="54">
        <f>ROUND(T70*I82,0)</f>
        <v>51693</v>
      </c>
      <c r="U82" s="59">
        <f>ROUND(T82/T70,4)</f>
        <v>5.0000000000000001E-3</v>
      </c>
      <c r="V82" s="54">
        <f>ROUND(V70*I82,0)</f>
        <v>54043</v>
      </c>
      <c r="W82" s="59">
        <f>ROUND(V82/V70,4)</f>
        <v>5.0000000000000001E-3</v>
      </c>
      <c r="X82" s="54">
        <f>ROUND(X70*I82,0)</f>
        <v>56393</v>
      </c>
      <c r="Y82" s="59">
        <f>ROUND(X82/X70,4)</f>
        <v>5.0000000000000001E-3</v>
      </c>
      <c r="Z82" s="54">
        <f>ROUND(Z70*I82,0)</f>
        <v>62658</v>
      </c>
      <c r="AA82" s="59">
        <f>ROUND(Z82/Z70,4)</f>
        <v>5.0000000000000001E-3</v>
      </c>
      <c r="AB82" s="54">
        <f>ROUND(AB70*I82,0)</f>
        <v>68924</v>
      </c>
      <c r="AC82" s="59">
        <f>ROUND(AB82/AB70,4)</f>
        <v>5.0000000000000001E-3</v>
      </c>
      <c r="AD82" s="54">
        <f>ROUND(AD70*I82,0)</f>
        <v>75817</v>
      </c>
      <c r="AE82" s="59">
        <f>ROUND(AD82/AD70,4)</f>
        <v>5.0000000000000001E-3</v>
      </c>
      <c r="AF82" s="54">
        <f>ROUND(AF70*I82,0)</f>
        <v>78323</v>
      </c>
      <c r="AG82" s="59">
        <f>ROUND(AF82/AF70,4)</f>
        <v>5.0000000000000001E-3</v>
      </c>
      <c r="AH82" s="54">
        <f>ROUND(AH70*I82,0)</f>
        <v>79263</v>
      </c>
      <c r="AI82" s="59">
        <f>ROUND(AH82/AH70,4)</f>
        <v>5.0000000000000001E-3</v>
      </c>
      <c r="AJ82" s="54">
        <f>ROUND(AJ70*I82,0)</f>
        <v>82709</v>
      </c>
      <c r="AK82" s="59">
        <f>ROUND(AJ82/AJ70,4)</f>
        <v>5.0000000000000001E-3</v>
      </c>
      <c r="AL82" s="54">
        <f>ROUND(AL70*I82,0)</f>
        <v>93988</v>
      </c>
      <c r="AM82" s="60">
        <f>ROUND(AL82/AL70,4)</f>
        <v>5.0000000000000001E-3</v>
      </c>
      <c r="AN82" s="54">
        <f>ROUND(AN70*K82,0)</f>
        <v>100253</v>
      </c>
      <c r="AO82" s="60">
        <f>ROUND(AN82/AN70,4)</f>
        <v>5.0000000000000001E-3</v>
      </c>
    </row>
    <row r="83" spans="7:41">
      <c r="G83" s="61" t="s">
        <v>247</v>
      </c>
      <c r="H83" s="57"/>
      <c r="I83" s="62"/>
      <c r="J83" s="54"/>
      <c r="K83" s="63"/>
      <c r="L83" s="54"/>
      <c r="M83" s="63"/>
      <c r="N83" s="54"/>
      <c r="O83" s="63"/>
      <c r="P83" s="54"/>
      <c r="Q83" s="63"/>
      <c r="R83" s="54"/>
      <c r="S83" s="63"/>
      <c r="T83" s="54"/>
      <c r="U83" s="63"/>
      <c r="V83" s="54"/>
      <c r="W83" s="63"/>
      <c r="X83" s="54"/>
      <c r="Y83" s="63"/>
      <c r="Z83" s="54"/>
      <c r="AA83" s="63"/>
      <c r="AB83" s="54"/>
      <c r="AC83" s="63"/>
      <c r="AD83" s="54"/>
      <c r="AE83" s="63"/>
      <c r="AF83" s="54"/>
      <c r="AG83" s="63"/>
      <c r="AH83" s="54"/>
      <c r="AI83" s="63"/>
      <c r="AJ83" s="54"/>
      <c r="AK83" s="63"/>
      <c r="AL83" s="54"/>
      <c r="AM83" s="64"/>
      <c r="AN83" s="54"/>
      <c r="AO83" s="64"/>
    </row>
    <row r="84" spans="7:41">
      <c r="G84" s="52" t="s">
        <v>248</v>
      </c>
      <c r="H84" s="37" t="s">
        <v>270</v>
      </c>
      <c r="I84" s="66">
        <v>0.10125000000000001</v>
      </c>
      <c r="J84" s="54">
        <f>ROUND(J70*I84,0)</f>
        <v>634416</v>
      </c>
      <c r="K84" s="59">
        <f>ROUND(J84/J70,4)</f>
        <v>0.1013</v>
      </c>
      <c r="L84" s="54">
        <f>ROUND(L70*I84,0)</f>
        <v>697857</v>
      </c>
      <c r="M84" s="59">
        <f>ROUND(L84/L70,4)</f>
        <v>0.1012</v>
      </c>
      <c r="N84" s="54">
        <f>ROUND(N70*I84,0)</f>
        <v>729578</v>
      </c>
      <c r="O84" s="59">
        <f>ROUND(N84/N70,4)</f>
        <v>0.1013</v>
      </c>
      <c r="P84" s="54">
        <f>ROUND(P70*I84,0)</f>
        <v>761299</v>
      </c>
      <c r="Q84" s="59">
        <f>ROUND(P84/P70,4)</f>
        <v>0.1013</v>
      </c>
      <c r="R84" s="54">
        <f>ROUND(R70*I84,0)</f>
        <v>951623</v>
      </c>
      <c r="S84" s="59">
        <f>ROUND(R84/R70,4)</f>
        <v>0.1012</v>
      </c>
      <c r="T84" s="54">
        <f>ROUND(T70*I84,0)</f>
        <v>1046786</v>
      </c>
      <c r="U84" s="59">
        <f>ROUND(T84/T70,4)</f>
        <v>0.1013</v>
      </c>
      <c r="V84" s="54">
        <f>ROUND(V70*I84,0)</f>
        <v>1094367</v>
      </c>
      <c r="W84" s="59">
        <f>ROUND(V84/V70,4)</f>
        <v>0.1012</v>
      </c>
      <c r="X84" s="54">
        <f>ROUND(X70*I84,0)</f>
        <v>1141948</v>
      </c>
      <c r="Y84" s="59">
        <f>ROUND(X84/X70,4)</f>
        <v>0.1012</v>
      </c>
      <c r="Z84" s="54">
        <f>ROUND(Z70*I84,0)</f>
        <v>1268831</v>
      </c>
      <c r="AA84" s="59">
        <f>ROUND(Z84/Z70,4)</f>
        <v>0.1012</v>
      </c>
      <c r="AB84" s="54">
        <f>ROUND(AB70*I84,0)</f>
        <v>1395714</v>
      </c>
      <c r="AC84" s="59">
        <f>ROUND(AB84/AB70,4)</f>
        <v>0.1012</v>
      </c>
      <c r="AD84" s="54">
        <f>ROUND(AD70*I84,0)</f>
        <v>1535286</v>
      </c>
      <c r="AE84" s="59">
        <f>ROUND(AD84/AD70,4)</f>
        <v>0.1013</v>
      </c>
      <c r="AF84" s="54">
        <f>ROUND(AF70*I84,0)</f>
        <v>1586039</v>
      </c>
      <c r="AG84" s="59">
        <f>ROUND(AF84/AF70,4)</f>
        <v>0.1012</v>
      </c>
      <c r="AH84" s="54">
        <f>ROUND(AH70*I84,0)</f>
        <v>1605071</v>
      </c>
      <c r="AI84" s="59">
        <f>ROUND(AH84/AH70,4)</f>
        <v>0.1012</v>
      </c>
      <c r="AJ84" s="54">
        <f>ROUND(AJ70*I84,0)</f>
        <v>1674857</v>
      </c>
      <c r="AK84" s="59">
        <f>ROUND(AJ84/AJ70,4)</f>
        <v>0.1012</v>
      </c>
      <c r="AL84" s="54">
        <f>ROUND(AL70*I84,0)</f>
        <v>1903247</v>
      </c>
      <c r="AM84" s="60">
        <f>ROUND(AL84/AL70,4)</f>
        <v>0.1013</v>
      </c>
      <c r="AN84" s="54">
        <f>ROUND(AN70*I84,0)</f>
        <v>2030130</v>
      </c>
      <c r="AO84" s="60">
        <f>ROUND(AN84/AN70,4)</f>
        <v>0.1012</v>
      </c>
    </row>
    <row r="85" spans="7:41">
      <c r="G85" s="52" t="s">
        <v>250</v>
      </c>
      <c r="H85" s="37" t="s">
        <v>270</v>
      </c>
      <c r="I85" s="66">
        <v>0.08</v>
      </c>
      <c r="J85" s="54">
        <f>ROUND(J70*I85,0)</f>
        <v>501267</v>
      </c>
      <c r="K85" s="59">
        <f>ROUND(J85/J70,4)</f>
        <v>0.08</v>
      </c>
      <c r="L85" s="54">
        <f>ROUND(L70*I85,0)</f>
        <v>551393</v>
      </c>
      <c r="M85" s="59">
        <f>ROUND(L85/L70,4)</f>
        <v>0.08</v>
      </c>
      <c r="N85" s="54">
        <f>ROUND(N70*I85,0)</f>
        <v>576457</v>
      </c>
      <c r="O85" s="59">
        <f>ROUND(N85/N70,4)</f>
        <v>0.08</v>
      </c>
      <c r="P85" s="54">
        <f>ROUND(P70*I85,0)</f>
        <v>601520</v>
      </c>
      <c r="Q85" s="59">
        <f>ROUND(P85/P70,4)</f>
        <v>0.08</v>
      </c>
      <c r="R85" s="54">
        <f>ROUND(R70*I85,0)</f>
        <v>751900</v>
      </c>
      <c r="S85" s="59">
        <f>ROUND(R85/R70,4)</f>
        <v>0.08</v>
      </c>
      <c r="T85" s="54">
        <f>ROUND(T70*I85,0)</f>
        <v>827090</v>
      </c>
      <c r="U85" s="59">
        <f>ROUND(T85/T70,4)</f>
        <v>0.08</v>
      </c>
      <c r="V85" s="54">
        <f>ROUND(V70*I85,0)</f>
        <v>864685</v>
      </c>
      <c r="W85" s="59">
        <f>ROUND(V85/V70,4)</f>
        <v>0.08</v>
      </c>
      <c r="X85" s="54">
        <f>ROUND(X70*I85,0)</f>
        <v>902280</v>
      </c>
      <c r="Y85" s="59">
        <f>ROUND(X85/X70,4)</f>
        <v>0.08</v>
      </c>
      <c r="Z85" s="54">
        <f>ROUND(Z70*I85,0)</f>
        <v>1002533</v>
      </c>
      <c r="AA85" s="59">
        <f>ROUND(Z85/Z70,4)</f>
        <v>0.08</v>
      </c>
      <c r="AB85" s="54">
        <f>ROUND(AB70*I85,0)</f>
        <v>1102787</v>
      </c>
      <c r="AC85" s="59">
        <f>ROUND(AB85/AB70,4)</f>
        <v>0.08</v>
      </c>
      <c r="AD85" s="54">
        <f>ROUND(AD70*I85,0)</f>
        <v>1213065</v>
      </c>
      <c r="AE85" s="59">
        <f>ROUND(AD85/AD70,4)</f>
        <v>0.08</v>
      </c>
      <c r="AF85" s="54">
        <f>ROUND(AF70*I85,0)</f>
        <v>1253167</v>
      </c>
      <c r="AG85" s="59">
        <f>ROUND(AF85/AF70,4)</f>
        <v>0.08</v>
      </c>
      <c r="AH85" s="54">
        <f>ROUND(AH70*I85,0)</f>
        <v>1268205</v>
      </c>
      <c r="AI85" s="59">
        <f>ROUND(AH85/AH70,4)</f>
        <v>0.08</v>
      </c>
      <c r="AJ85" s="54">
        <f>ROUND(AJ70*I85,0)</f>
        <v>1323344</v>
      </c>
      <c r="AK85" s="59">
        <f>ROUND(AJ85/AJ70,4)</f>
        <v>0.08</v>
      </c>
      <c r="AL85" s="54">
        <f>ROUND(AL70*I85,0)</f>
        <v>1503800</v>
      </c>
      <c r="AM85" s="60">
        <f>ROUND(AL85/AL70,4)</f>
        <v>0.08</v>
      </c>
      <c r="AN85" s="54">
        <f>ROUND(AN70*I85,0)</f>
        <v>1604053</v>
      </c>
      <c r="AO85" s="60">
        <f>ROUND(AN85/AN70,4)</f>
        <v>0.08</v>
      </c>
    </row>
    <row r="86" spans="7:41">
      <c r="G86" s="52" t="s">
        <v>251</v>
      </c>
      <c r="H86" s="37" t="s">
        <v>270</v>
      </c>
      <c r="I86" s="66">
        <v>5.6000000000000001E-2</v>
      </c>
      <c r="J86" s="54">
        <f>ROUND(J70*I86,0)</f>
        <v>350887</v>
      </c>
      <c r="K86" s="59">
        <f>ROUND(J86/J70,4)</f>
        <v>5.6000000000000001E-2</v>
      </c>
      <c r="L86" s="54">
        <f>ROUND(L70*I86,0)</f>
        <v>385975</v>
      </c>
      <c r="M86" s="59">
        <f>ROUND(L86/L70,4)</f>
        <v>5.6000000000000001E-2</v>
      </c>
      <c r="N86" s="54">
        <f>ROUND(N70*I86,0)</f>
        <v>403520</v>
      </c>
      <c r="O86" s="59">
        <f>ROUND(N86/N70,4)</f>
        <v>5.6000000000000001E-2</v>
      </c>
      <c r="P86" s="54">
        <f>ROUND(P70*I86,0)</f>
        <v>421064</v>
      </c>
      <c r="Q86" s="59">
        <f>ROUND(P86/P70,4)</f>
        <v>5.6000000000000001E-2</v>
      </c>
      <c r="R86" s="54">
        <f>ROUND(R70*I86,0)</f>
        <v>526330</v>
      </c>
      <c r="S86" s="59">
        <f>ROUND(R86/R70,4)</f>
        <v>5.6000000000000001E-2</v>
      </c>
      <c r="T86" s="54">
        <f>ROUND(T70*I86,0)</f>
        <v>578963</v>
      </c>
      <c r="U86" s="59">
        <f>ROUND(T86/T70,4)</f>
        <v>5.6000000000000001E-2</v>
      </c>
      <c r="V86" s="54">
        <f>ROUND(V70*I86,0)</f>
        <v>605280</v>
      </c>
      <c r="W86" s="59">
        <f>ROUND(V86/V70,4)</f>
        <v>5.6000000000000001E-2</v>
      </c>
      <c r="X86" s="54">
        <f>ROUND(X70*I86,0)</f>
        <v>631596</v>
      </c>
      <c r="Y86" s="59">
        <f>ROUND(X86/X70,4)</f>
        <v>5.6000000000000001E-2</v>
      </c>
      <c r="Z86" s="54">
        <f>ROUND(Z70*I86,0)</f>
        <v>701773</v>
      </c>
      <c r="AA86" s="59">
        <f>ROUND(Z86/Z70,4)</f>
        <v>5.6000000000000001E-2</v>
      </c>
      <c r="AB86" s="54">
        <f>ROUND(AB70*I86,0)</f>
        <v>771951</v>
      </c>
      <c r="AC86" s="59">
        <f>ROUND(AB86/AB70,4)</f>
        <v>5.6000000000000001E-2</v>
      </c>
      <c r="AD86" s="54">
        <f>ROUND(AD70*I86,0)</f>
        <v>849146</v>
      </c>
      <c r="AE86" s="59">
        <f>ROUND(AD86/AD70,4)</f>
        <v>5.6000000000000001E-2</v>
      </c>
      <c r="AF86" s="54">
        <f>ROUND(AF70*I86,0)</f>
        <v>877217</v>
      </c>
      <c r="AG86" s="59">
        <f>ROUND(AF86/AF70,4)</f>
        <v>5.6000000000000001E-2</v>
      </c>
      <c r="AH86" s="54">
        <f>ROUND(AH70*I86,0)</f>
        <v>887743</v>
      </c>
      <c r="AI86" s="59">
        <f>ROUND(AH86/AH70,4)</f>
        <v>5.6000000000000001E-2</v>
      </c>
      <c r="AJ86" s="54">
        <f>ROUND(AJ70*I86,0)</f>
        <v>926341</v>
      </c>
      <c r="AK86" s="59">
        <f>ROUND(AJ86/AJ70,4)</f>
        <v>5.6000000000000001E-2</v>
      </c>
      <c r="AL86" s="54">
        <f>ROUND(AL70*I86,0)</f>
        <v>1052660</v>
      </c>
      <c r="AM86" s="60">
        <f>ROUND(AL86/AL70,4)</f>
        <v>5.6000000000000001E-2</v>
      </c>
      <c r="AN86" s="54">
        <f>ROUND(AN70*I86,0)</f>
        <v>1122837</v>
      </c>
      <c r="AO86" s="60">
        <f>ROUND(AN86/AN70,4)</f>
        <v>5.6000000000000001E-2</v>
      </c>
    </row>
    <row r="87" spans="7:41">
      <c r="G87" s="61" t="s">
        <v>252</v>
      </c>
      <c r="H87" s="57"/>
      <c r="I87" s="62"/>
      <c r="J87" s="54"/>
      <c r="K87" s="63"/>
      <c r="L87" s="54"/>
      <c r="M87" s="63"/>
      <c r="N87" s="54"/>
      <c r="O87" s="63"/>
      <c r="P87" s="54"/>
      <c r="Q87" s="63"/>
      <c r="R87" s="54"/>
      <c r="S87" s="63"/>
      <c r="T87" s="54"/>
      <c r="U87" s="63"/>
      <c r="V87" s="54"/>
      <c r="W87" s="63"/>
      <c r="X87" s="54"/>
      <c r="Y87" s="63"/>
      <c r="Z87" s="54"/>
      <c r="AA87" s="63"/>
      <c r="AB87" s="54"/>
      <c r="AC87" s="63"/>
      <c r="AD87" s="54"/>
      <c r="AE87" s="63"/>
      <c r="AF87" s="54"/>
      <c r="AG87" s="63"/>
      <c r="AH87" s="54"/>
      <c r="AI87" s="63"/>
      <c r="AJ87" s="54"/>
      <c r="AK87" s="63"/>
      <c r="AL87" s="54"/>
      <c r="AM87" s="64"/>
      <c r="AN87" s="54"/>
      <c r="AO87" s="64"/>
    </row>
    <row r="88" spans="7:41">
      <c r="G88" s="52" t="s">
        <v>253</v>
      </c>
      <c r="H88" s="37" t="s">
        <v>270</v>
      </c>
      <c r="I88" s="66">
        <v>0.02</v>
      </c>
      <c r="J88" s="54">
        <f>ROUND(J70*I88,0)</f>
        <v>125317</v>
      </c>
      <c r="K88" s="59">
        <f>ROUND(J88/J70,4)</f>
        <v>0.02</v>
      </c>
      <c r="L88" s="54">
        <f>ROUND(L70*I88,0)</f>
        <v>137848</v>
      </c>
      <c r="M88" s="59">
        <f>ROUND(L88/L70,4)</f>
        <v>0.02</v>
      </c>
      <c r="N88" s="54">
        <f>ROUND(N70*I88,0)</f>
        <v>144114</v>
      </c>
      <c r="O88" s="59">
        <f>ROUND(N88/N70,4)</f>
        <v>0.02</v>
      </c>
      <c r="P88" s="54">
        <f>ROUND(P70*I88,0)</f>
        <v>150380</v>
      </c>
      <c r="Q88" s="59">
        <f>ROUND(P88/P70,4)</f>
        <v>0.02</v>
      </c>
      <c r="R88" s="54">
        <f>ROUND(R70*I88,0)</f>
        <v>187975</v>
      </c>
      <c r="S88" s="59">
        <f>ROUND(R88/R70,4)</f>
        <v>0.02</v>
      </c>
      <c r="T88" s="54">
        <f>ROUND(T70*I88,0)</f>
        <v>206773</v>
      </c>
      <c r="U88" s="59">
        <f>ROUND(T88/T70,4)</f>
        <v>0.02</v>
      </c>
      <c r="V88" s="54">
        <f>ROUND(V70*I88,0)</f>
        <v>216171</v>
      </c>
      <c r="W88" s="59">
        <f>ROUND(V88/V70,4)</f>
        <v>0.02</v>
      </c>
      <c r="X88" s="54">
        <f>ROUND(X70*I88,0)</f>
        <v>225570</v>
      </c>
      <c r="Y88" s="59">
        <f>ROUND(X88/X70,4)</f>
        <v>0.02</v>
      </c>
      <c r="Z88" s="54">
        <f>ROUND(Z70*I88,0)</f>
        <v>250633</v>
      </c>
      <c r="AA88" s="59">
        <f>ROUND(Z88/Z70,4)</f>
        <v>0.02</v>
      </c>
      <c r="AB88" s="54">
        <f>ROUND(AB70*I88,0)</f>
        <v>275697</v>
      </c>
      <c r="AC88" s="59">
        <f>ROUND(AB88/AB70,4)</f>
        <v>0.02</v>
      </c>
      <c r="AD88" s="54">
        <f>ROUND(AD70*K88,0)</f>
        <v>303266</v>
      </c>
      <c r="AE88" s="59">
        <f>ROUND(AD88/AD70,4)</f>
        <v>0.02</v>
      </c>
      <c r="AF88" s="54">
        <f>ROUND(AF70*I88,0)</f>
        <v>313292</v>
      </c>
      <c r="AG88" s="59">
        <f>ROUND(AF88/AF70,4)</f>
        <v>0.02</v>
      </c>
      <c r="AH88" s="54">
        <f>ROUND(AH70*I88,0)</f>
        <v>317051</v>
      </c>
      <c r="AI88" s="59">
        <f>ROUND(AH88/AH70,4)</f>
        <v>0.02</v>
      </c>
      <c r="AJ88" s="54">
        <f>ROUND(AJ70*I88,0)</f>
        <v>330836</v>
      </c>
      <c r="AK88" s="59">
        <f>ROUND(AJ88/AJ70,4)</f>
        <v>0.02</v>
      </c>
      <c r="AL88" s="54">
        <f>ROUND(AL70*I88,0)</f>
        <v>375950</v>
      </c>
      <c r="AM88" s="60">
        <f>ROUND(AL88/AL70,4)</f>
        <v>0.02</v>
      </c>
      <c r="AN88" s="54">
        <f>ROUND(AN70*I88,0)</f>
        <v>401013</v>
      </c>
      <c r="AO88" s="60">
        <f>ROUND(AN88/AN70,4)</f>
        <v>0.02</v>
      </c>
    </row>
    <row r="89" spans="7:41">
      <c r="G89" s="52" t="s">
        <v>254</v>
      </c>
      <c r="H89" s="37" t="s">
        <v>270</v>
      </c>
      <c r="I89" s="67">
        <v>0.3</v>
      </c>
      <c r="J89" s="54">
        <f>ROUND(J67*12/40,0)</f>
        <v>154500</v>
      </c>
      <c r="K89" s="59">
        <f>ROUND(J89/J70,4)</f>
        <v>2.47E-2</v>
      </c>
      <c r="L89" s="54">
        <f>ROUND(J67*12/40,0)</f>
        <v>154500</v>
      </c>
      <c r="M89" s="59">
        <f>ROUND(L89/L70,4)</f>
        <v>2.24E-2</v>
      </c>
      <c r="N89" s="54">
        <f>ROUND(J67*12/40,0)</f>
        <v>154500</v>
      </c>
      <c r="O89" s="59">
        <f>ROUND(N89/N70,4)</f>
        <v>2.1399999999999999E-2</v>
      </c>
      <c r="P89" s="54">
        <f>ROUND(J67*12/40,0)</f>
        <v>154500</v>
      </c>
      <c r="Q89" s="59">
        <f>ROUND(P89/P70,4)</f>
        <v>2.0500000000000001E-2</v>
      </c>
      <c r="R89" s="54">
        <f>ROUND(J67*12/40,0)</f>
        <v>154500</v>
      </c>
      <c r="S89" s="59">
        <f>ROUND(R89/R70,4)</f>
        <v>1.6400000000000001E-2</v>
      </c>
      <c r="T89" s="54">
        <f>ROUND(J67*12/40,0)</f>
        <v>154500</v>
      </c>
      <c r="U89" s="59">
        <f>ROUND(T89/T70,4)</f>
        <v>1.49E-2</v>
      </c>
      <c r="V89" s="54">
        <f>ROUND(J67*12/40,0)</f>
        <v>154500</v>
      </c>
      <c r="W89" s="59">
        <f>ROUND(V89/V70,4)</f>
        <v>1.43E-2</v>
      </c>
      <c r="X89" s="54">
        <f>ROUND(J67*12/40,0)</f>
        <v>154500</v>
      </c>
      <c r="Y89" s="59">
        <f>ROUND(X89/X70,4)</f>
        <v>1.37E-2</v>
      </c>
      <c r="Z89" s="54">
        <f>ROUND(J67*12/40,0)</f>
        <v>154500</v>
      </c>
      <c r="AA89" s="59">
        <f>ROUND(Z89/Z70,4)</f>
        <v>1.23E-2</v>
      </c>
      <c r="AB89" s="54">
        <f>ROUND(J67*12/40,0)</f>
        <v>154500</v>
      </c>
      <c r="AC89" s="59">
        <f>ROUND(AB89/AB70,4)</f>
        <v>1.12E-2</v>
      </c>
      <c r="AD89" s="54">
        <f>ROUND(J67*12/40,0)</f>
        <v>154500</v>
      </c>
      <c r="AE89" s="59">
        <f>ROUND(AD89/AD70,4)</f>
        <v>1.0200000000000001E-2</v>
      </c>
      <c r="AF89" s="54">
        <f>ROUND(J67*12/40,0)</f>
        <v>154500</v>
      </c>
      <c r="AG89" s="59">
        <f>ROUND(AF89/AF70,4)</f>
        <v>9.9000000000000008E-3</v>
      </c>
      <c r="AH89" s="54">
        <f>ROUND(J67*12/40,0)</f>
        <v>154500</v>
      </c>
      <c r="AI89" s="59">
        <f>ROUND(AH89/AH70,4)</f>
        <v>9.7000000000000003E-3</v>
      </c>
      <c r="AJ89" s="54">
        <f>ROUND(J67*12/40,0)</f>
        <v>154500</v>
      </c>
      <c r="AK89" s="59">
        <f>ROUND(AJ89/AJ70,4)</f>
        <v>9.2999999999999992E-3</v>
      </c>
      <c r="AL89" s="54">
        <f>ROUND(J67*12/40,0)</f>
        <v>154500</v>
      </c>
      <c r="AM89" s="60">
        <f>ROUND(AL89/AL70,4)</f>
        <v>8.2000000000000007E-3</v>
      </c>
      <c r="AN89" s="54">
        <f>ROUND(J67*12/40,0)</f>
        <v>154500</v>
      </c>
      <c r="AO89" s="60">
        <f>ROUND(AN89/AN70,4)</f>
        <v>7.7000000000000002E-3</v>
      </c>
    </row>
    <row r="90" spans="7:41">
      <c r="G90" s="61" t="s">
        <v>255</v>
      </c>
      <c r="H90" s="57"/>
      <c r="I90" s="62"/>
      <c r="J90" s="54"/>
      <c r="K90" s="63"/>
      <c r="L90" s="54"/>
      <c r="M90" s="63"/>
      <c r="N90" s="54"/>
      <c r="O90" s="63"/>
      <c r="P90" s="54"/>
      <c r="Q90" s="63"/>
      <c r="R90" s="54"/>
      <c r="S90" s="63"/>
      <c r="T90" s="54"/>
      <c r="U90" s="63"/>
      <c r="V90" s="54"/>
      <c r="W90" s="63"/>
      <c r="X90" s="54"/>
      <c r="Y90" s="63"/>
      <c r="Z90" s="54"/>
      <c r="AA90" s="63"/>
      <c r="AB90" s="54"/>
      <c r="AC90" s="63"/>
      <c r="AD90" s="54"/>
      <c r="AE90" s="63"/>
      <c r="AF90" s="54"/>
      <c r="AG90" s="63"/>
      <c r="AH90" s="54"/>
      <c r="AI90" s="63"/>
      <c r="AJ90" s="54"/>
      <c r="AK90" s="63"/>
      <c r="AL90" s="54"/>
      <c r="AM90" s="64"/>
      <c r="AN90" s="54"/>
      <c r="AO90" s="64"/>
    </row>
    <row r="91" spans="7:41">
      <c r="G91" s="52" t="s">
        <v>256</v>
      </c>
      <c r="H91" s="37" t="s">
        <v>270</v>
      </c>
      <c r="I91" s="66">
        <v>0.03</v>
      </c>
      <c r="J91" s="54">
        <f>ROUND(J70*I91,0)</f>
        <v>187975</v>
      </c>
      <c r="K91" s="59">
        <f>ROUND(J91/J70,4)</f>
        <v>0.03</v>
      </c>
      <c r="L91" s="54">
        <f>ROUND(L70*I91,0)</f>
        <v>206773</v>
      </c>
      <c r="M91" s="59">
        <f>ROUND(L91/L70,4)</f>
        <v>0.03</v>
      </c>
      <c r="N91" s="54">
        <f>ROUND(N70*I91,0)</f>
        <v>216171</v>
      </c>
      <c r="O91" s="59">
        <f>ROUND(N91/N70,4)</f>
        <v>0.03</v>
      </c>
      <c r="P91" s="54">
        <f>ROUND(P70*I91,0)</f>
        <v>225570</v>
      </c>
      <c r="Q91" s="59">
        <f>ROUND(P91/P70,4)</f>
        <v>0.03</v>
      </c>
      <c r="R91" s="54">
        <f>ROUND(R70*I91,0)</f>
        <v>281963</v>
      </c>
      <c r="S91" s="59">
        <f>ROUND(R91/R70,4)</f>
        <v>0.03</v>
      </c>
      <c r="T91" s="54">
        <f>ROUND(T70*I91,0)</f>
        <v>310159</v>
      </c>
      <c r="U91" s="59">
        <f>ROUND(T91/T70,4)</f>
        <v>0.03</v>
      </c>
      <c r="V91" s="54">
        <f>ROUND(V70*I91,0)</f>
        <v>324257</v>
      </c>
      <c r="W91" s="59">
        <f>ROUND(V91/V70,4)</f>
        <v>0.03</v>
      </c>
      <c r="X91" s="54">
        <f>ROUND(X70*I91,0)</f>
        <v>338355</v>
      </c>
      <c r="Y91" s="59">
        <f>ROUND(X91/X70,4)</f>
        <v>0.03</v>
      </c>
      <c r="Z91" s="54">
        <f>ROUND(Z70*I91,0)</f>
        <v>375950</v>
      </c>
      <c r="AA91" s="59">
        <f>ROUND(Z91/Z70,4)</f>
        <v>0.03</v>
      </c>
      <c r="AB91" s="54">
        <f>ROUND(AB70*I91,0)</f>
        <v>413545</v>
      </c>
      <c r="AC91" s="59">
        <f>ROUND(AB91/AB70,4)</f>
        <v>0.03</v>
      </c>
      <c r="AD91" s="54">
        <f>ROUND(AD70*I91,0)</f>
        <v>454900</v>
      </c>
      <c r="AE91" s="59">
        <f>ROUND(AD91/AD70,4)</f>
        <v>0.03</v>
      </c>
      <c r="AF91" s="54">
        <f>ROUND(AF70*I91,0)</f>
        <v>469937</v>
      </c>
      <c r="AG91" s="59">
        <f>ROUND(AF91/AF70,4)</f>
        <v>0.03</v>
      </c>
      <c r="AH91" s="54">
        <f>ROUND(AH70*I91,0)</f>
        <v>475577</v>
      </c>
      <c r="AI91" s="59">
        <f>ROUND(AH91/AH70,4)</f>
        <v>0.03</v>
      </c>
      <c r="AJ91" s="54">
        <f>ROUND(AJ70*I91,0)</f>
        <v>496254</v>
      </c>
      <c r="AK91" s="59">
        <f>ROUND(AJ91/AJ70,4)</f>
        <v>0.03</v>
      </c>
      <c r="AL91" s="54">
        <f>ROUND(AL70*I91,0)</f>
        <v>563925</v>
      </c>
      <c r="AM91" s="60">
        <f>ROUND(AL91/AL70,4)</f>
        <v>0.03</v>
      </c>
      <c r="AN91" s="54">
        <f>ROUND(AN70*I91,0)</f>
        <v>601520</v>
      </c>
      <c r="AO91" s="60">
        <f>ROUND(AN91/AN70,4)</f>
        <v>0.03</v>
      </c>
    </row>
    <row r="92" spans="7:41">
      <c r="G92" s="52" t="s">
        <v>257</v>
      </c>
      <c r="H92" s="37" t="s">
        <v>270</v>
      </c>
      <c r="I92" s="66">
        <v>0.04</v>
      </c>
      <c r="J92" s="54">
        <f>ROUND(J70*I92,0)</f>
        <v>250633</v>
      </c>
      <c r="K92" s="59">
        <f>ROUND(J92/J70,4)</f>
        <v>0.04</v>
      </c>
      <c r="L92" s="54">
        <f>ROUND(L70*I92,0)</f>
        <v>275697</v>
      </c>
      <c r="M92" s="59">
        <f>ROUND(L92/L70,4)</f>
        <v>0.04</v>
      </c>
      <c r="N92" s="54">
        <f>ROUND(N70*I92,0)</f>
        <v>288228</v>
      </c>
      <c r="O92" s="59">
        <f>ROUND(N92/N70,4)</f>
        <v>0.04</v>
      </c>
      <c r="P92" s="54">
        <f>ROUND(P70*I92,0)</f>
        <v>300760</v>
      </c>
      <c r="Q92" s="59">
        <f>ROUND(P92/P70,4)</f>
        <v>0.04</v>
      </c>
      <c r="R92" s="54">
        <f>ROUND(R70*I92,0)</f>
        <v>375950</v>
      </c>
      <c r="S92" s="59">
        <f>ROUND(R92/R70,4)</f>
        <v>0.04</v>
      </c>
      <c r="T92" s="54">
        <f>ROUND(T70*I92,0)</f>
        <v>413545</v>
      </c>
      <c r="U92" s="59">
        <f>ROUND(T92/T70,4)</f>
        <v>0.04</v>
      </c>
      <c r="V92" s="54">
        <f>ROUND(V70*I92,0)</f>
        <v>432343</v>
      </c>
      <c r="W92" s="59">
        <f>ROUND(V92/V70,4)</f>
        <v>0.04</v>
      </c>
      <c r="X92" s="54">
        <f>ROUND(X70*I92,0)</f>
        <v>451140</v>
      </c>
      <c r="Y92" s="59">
        <f>ROUND(X92/X70,4)</f>
        <v>0.04</v>
      </c>
      <c r="Z92" s="54">
        <f>ROUND(Z70*I92,0)</f>
        <v>501267</v>
      </c>
      <c r="AA92" s="59">
        <f>ROUND(Z92/Z70,4)</f>
        <v>0.04</v>
      </c>
      <c r="AB92" s="54">
        <f>ROUND(AB70*I92,0)</f>
        <v>551393</v>
      </c>
      <c r="AC92" s="59">
        <f>ROUND(AB92/AB70,4)</f>
        <v>0.04</v>
      </c>
      <c r="AD92" s="54">
        <f>ROUND(AD70*I92,0)</f>
        <v>606533</v>
      </c>
      <c r="AE92" s="59">
        <f>ROUND(AD92/AD70,4)</f>
        <v>0.04</v>
      </c>
      <c r="AF92" s="54">
        <f>ROUND(AF70*I92,0)</f>
        <v>626583</v>
      </c>
      <c r="AG92" s="59">
        <f>ROUND(AF92/AF70,4)</f>
        <v>0.04</v>
      </c>
      <c r="AH92" s="54">
        <f>ROUND(AH70*I92,0)</f>
        <v>634102</v>
      </c>
      <c r="AI92" s="59">
        <f>ROUND(AH92/AH70,4)</f>
        <v>0.04</v>
      </c>
      <c r="AJ92" s="54">
        <f>ROUND(AJ70*I92,0)</f>
        <v>661672</v>
      </c>
      <c r="AK92" s="59">
        <f>ROUND(AJ92/AJ70,4)</f>
        <v>0.04</v>
      </c>
      <c r="AL92" s="54">
        <f>ROUND(AL70*I92,0)</f>
        <v>751900</v>
      </c>
      <c r="AM92" s="60">
        <f>ROUND(AL92/AL70,4)</f>
        <v>0.04</v>
      </c>
      <c r="AN92" s="54">
        <f>ROUND(AN70*I92,0)</f>
        <v>802027</v>
      </c>
      <c r="AO92" s="60">
        <f>ROUND(AN92/AN70,4)</f>
        <v>0.04</v>
      </c>
    </row>
    <row r="93" spans="7:41" ht="15" thickBot="1">
      <c r="G93" s="68" t="s">
        <v>258</v>
      </c>
      <c r="H93" s="69"/>
      <c r="I93" s="70"/>
      <c r="J93" s="71">
        <f t="shared" ref="J93:AO93" si="2">SUM(J73:J92)</f>
        <v>10918094</v>
      </c>
      <c r="K93" s="72">
        <f t="shared" si="2"/>
        <v>1.7426999999999999</v>
      </c>
      <c r="L93" s="71">
        <f t="shared" si="2"/>
        <v>11899325</v>
      </c>
      <c r="M93" s="72">
        <f t="shared" si="2"/>
        <v>1.7263999999999997</v>
      </c>
      <c r="N93" s="71">
        <f t="shared" si="2"/>
        <v>12389941</v>
      </c>
      <c r="O93" s="72">
        <f t="shared" si="2"/>
        <v>1.7195</v>
      </c>
      <c r="P93" s="71">
        <f>SUM(P73:P92)</f>
        <v>12880557</v>
      </c>
      <c r="Q93" s="72">
        <f>SUM(Q73:Q92)</f>
        <v>1.7130999999999998</v>
      </c>
      <c r="R93" s="71">
        <f t="shared" si="2"/>
        <v>15824252</v>
      </c>
      <c r="S93" s="72">
        <f t="shared" si="2"/>
        <v>1.6835</v>
      </c>
      <c r="T93" s="71">
        <f>SUM(T73:T92)</f>
        <v>17296100</v>
      </c>
      <c r="U93" s="72">
        <f>SUM(U73:U92)</f>
        <v>1.6728999999999998</v>
      </c>
      <c r="V93" s="71">
        <f>SUM(V73:V92)</f>
        <v>18032025</v>
      </c>
      <c r="W93" s="72">
        <f>SUM(W73:W92)</f>
        <v>1.6682999999999999</v>
      </c>
      <c r="X93" s="71">
        <f t="shared" si="2"/>
        <v>18767947</v>
      </c>
      <c r="Y93" s="72">
        <f t="shared" si="2"/>
        <v>1.6639999999999999</v>
      </c>
      <c r="Z93" s="71">
        <f t="shared" si="2"/>
        <v>20730409</v>
      </c>
      <c r="AA93" s="72">
        <f t="shared" si="2"/>
        <v>1.6540999999999999</v>
      </c>
      <c r="AB93" s="71">
        <f t="shared" si="2"/>
        <v>21741596</v>
      </c>
      <c r="AC93" s="72">
        <f t="shared" si="2"/>
        <v>1.5771000000000002</v>
      </c>
      <c r="AD93" s="71">
        <f t="shared" si="2"/>
        <v>23900307</v>
      </c>
      <c r="AE93" s="72">
        <f t="shared" si="2"/>
        <v>1.5762</v>
      </c>
      <c r="AF93" s="71">
        <f>SUM(AF73:AF92)</f>
        <v>24685291</v>
      </c>
      <c r="AG93" s="72">
        <f>SUM(AG73:AG92)</f>
        <v>1.5758000000000001</v>
      </c>
      <c r="AH93" s="71">
        <f t="shared" si="2"/>
        <v>24979660</v>
      </c>
      <c r="AI93" s="72">
        <f t="shared" si="2"/>
        <v>1.5756000000000001</v>
      </c>
      <c r="AJ93" s="71">
        <f>SUM(AJ73:AJ92)</f>
        <v>26059015</v>
      </c>
      <c r="AK93" s="72">
        <f>SUM(AK73:AK92)</f>
        <v>1.5752000000000002</v>
      </c>
      <c r="AL93" s="71">
        <f t="shared" si="2"/>
        <v>29591450</v>
      </c>
      <c r="AM93" s="73">
        <f t="shared" si="2"/>
        <v>1.5742</v>
      </c>
      <c r="AN93" s="71">
        <f t="shared" si="2"/>
        <v>31553912</v>
      </c>
      <c r="AO93" s="73">
        <f t="shared" si="2"/>
        <v>1.5736000000000001</v>
      </c>
    </row>
    <row r="94" spans="7:41" ht="15" thickTop="1">
      <c r="J94" s="75">
        <v>365</v>
      </c>
      <c r="K94" s="20"/>
      <c r="L94" s="75">
        <v>365</v>
      </c>
      <c r="M94" s="20"/>
      <c r="N94" s="75">
        <v>365</v>
      </c>
      <c r="O94" s="20"/>
      <c r="P94" s="75">
        <v>365</v>
      </c>
      <c r="Q94" s="20"/>
      <c r="R94" s="76">
        <v>365</v>
      </c>
      <c r="S94" s="13"/>
      <c r="T94" s="76">
        <v>365</v>
      </c>
      <c r="U94" s="13"/>
      <c r="V94" s="76">
        <v>365</v>
      </c>
      <c r="W94" s="13"/>
      <c r="X94" s="76">
        <v>365</v>
      </c>
      <c r="Y94" s="13"/>
      <c r="Z94" s="7">
        <v>365</v>
      </c>
      <c r="AA94" s="19"/>
      <c r="AB94" s="7">
        <v>365</v>
      </c>
      <c r="AC94" s="19"/>
      <c r="AD94" s="7">
        <v>365</v>
      </c>
      <c r="AE94" s="19"/>
      <c r="AF94" s="7">
        <v>365</v>
      </c>
      <c r="AG94" s="19"/>
      <c r="AH94" s="7">
        <v>365</v>
      </c>
      <c r="AI94" s="19"/>
      <c r="AJ94" s="7">
        <v>365</v>
      </c>
      <c r="AK94" s="19"/>
      <c r="AL94" s="7">
        <v>365</v>
      </c>
      <c r="AM94" s="19"/>
      <c r="AN94" s="7">
        <v>365</v>
      </c>
    </row>
    <row r="95" spans="7:41">
      <c r="J95" s="74">
        <f>J93/J94</f>
        <v>29912.586301369862</v>
      </c>
      <c r="K95" s="161"/>
      <c r="L95" s="74">
        <f>L93/L94</f>
        <v>32600.890410958906</v>
      </c>
      <c r="M95" s="161"/>
      <c r="N95" s="74">
        <f>N93/N94</f>
        <v>33945.043835616438</v>
      </c>
      <c r="O95" s="161"/>
      <c r="P95" s="74">
        <f>P93/P94</f>
        <v>35289.19726027397</v>
      </c>
      <c r="Q95" s="161"/>
      <c r="R95" s="31">
        <f>R93/R94</f>
        <v>43354.115068493149</v>
      </c>
      <c r="S95" s="20"/>
      <c r="T95" s="31">
        <f>T93/T94</f>
        <v>47386.575342465752</v>
      </c>
      <c r="U95" s="20"/>
      <c r="V95" s="31">
        <f>V93/V94</f>
        <v>49402.808219178085</v>
      </c>
      <c r="W95" s="20"/>
      <c r="X95" s="31">
        <f>X93/X94</f>
        <v>51419.032876712328</v>
      </c>
      <c r="Y95" s="20"/>
      <c r="Z95" s="162">
        <f>Z93/Z94</f>
        <v>56795.641095890409</v>
      </c>
      <c r="AA95" s="163"/>
      <c r="AB95" s="162">
        <f>AB93/AB94</f>
        <v>59566.016438356164</v>
      </c>
      <c r="AC95" s="163"/>
      <c r="AD95" s="162">
        <f>AD93/AD94</f>
        <v>65480.293150684935</v>
      </c>
      <c r="AE95" s="163"/>
      <c r="AF95" s="162">
        <f>AF93/AF94</f>
        <v>67630.934246575343</v>
      </c>
      <c r="AG95" s="163"/>
      <c r="AH95" s="162">
        <f>AH93/AH94</f>
        <v>68437.42465753424</v>
      </c>
      <c r="AI95" s="163"/>
      <c r="AJ95" s="162">
        <f>AJ93/AJ94</f>
        <v>71394.561643835623</v>
      </c>
      <c r="AK95" s="163"/>
      <c r="AL95" s="162">
        <f>AL93/AL94</f>
        <v>81072.465753424651</v>
      </c>
      <c r="AM95" s="163"/>
      <c r="AN95" s="162">
        <f>AN93/AN94</f>
        <v>86449.073972602739</v>
      </c>
      <c r="AO95" s="164"/>
    </row>
    <row r="100" spans="10:10">
      <c r="J100" s="163">
        <f>J93/12</f>
        <v>909841.16666666663</v>
      </c>
    </row>
  </sheetData>
  <mergeCells count="46">
    <mergeCell ref="G25:J25"/>
    <mergeCell ref="AB65:AC65"/>
    <mergeCell ref="AF65:AG65"/>
    <mergeCell ref="T65:U65"/>
    <mergeCell ref="V65:W65"/>
    <mergeCell ref="L65:M65"/>
    <mergeCell ref="X65:Y65"/>
    <mergeCell ref="R65:S65"/>
    <mergeCell ref="J65:K65"/>
    <mergeCell ref="B52:C52"/>
    <mergeCell ref="B49:C49"/>
    <mergeCell ref="B54:C54"/>
    <mergeCell ref="B50:C50"/>
    <mergeCell ref="AN65:AO65"/>
    <mergeCell ref="N65:O65"/>
    <mergeCell ref="AD65:AE65"/>
    <mergeCell ref="AJ65:AK65"/>
    <mergeCell ref="P65:Q65"/>
    <mergeCell ref="AH65:AI65"/>
    <mergeCell ref="Z65:AA65"/>
    <mergeCell ref="AL65:AM65"/>
    <mergeCell ref="A1:E1"/>
    <mergeCell ref="A2:E2"/>
    <mergeCell ref="A3:E3"/>
    <mergeCell ref="A4:E4"/>
    <mergeCell ref="B61:C61"/>
    <mergeCell ref="B53:C53"/>
    <mergeCell ref="B55:C55"/>
    <mergeCell ref="B60:C60"/>
    <mergeCell ref="B56:C56"/>
    <mergeCell ref="E7:E8"/>
    <mergeCell ref="B59:C59"/>
    <mergeCell ref="B57:C57"/>
    <mergeCell ref="B39:D39"/>
    <mergeCell ref="B48:C48"/>
    <mergeCell ref="B47:C47"/>
    <mergeCell ref="B51:C51"/>
    <mergeCell ref="A7:A8"/>
    <mergeCell ref="B7:B8"/>
    <mergeCell ref="C7:C8"/>
    <mergeCell ref="D7:D8"/>
    <mergeCell ref="B46:C46"/>
    <mergeCell ref="B41:C41"/>
    <mergeCell ref="B43:C43"/>
    <mergeCell ref="B44:C44"/>
    <mergeCell ref="B45:C45"/>
  </mergeCells>
  <phoneticPr fontId="0" type="noConversion"/>
  <printOptions horizontalCentered="1" verticalCentered="1"/>
  <pageMargins left="0" right="0" top="0" bottom="0" header="0" footer="0.39370078740157483"/>
  <pageSetup scale="89" orientation="portrait" horizontalDpi="120" verticalDpi="144" r:id="rId1"/>
  <headerFooter alignWithMargins="0"/>
  <rowBreaks count="2" manualBreakCount="2">
    <brk id="36" max="16383" man="1"/>
    <brk id="57" max="4" man="1"/>
  </rowBreaks>
  <colBreaks count="2" manualBreakCount="2">
    <brk id="6" max="1048575" man="1"/>
    <brk id="1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6">
    <tabColor indexed="33"/>
  </sheetPr>
  <dimension ref="A1:I695"/>
  <sheetViews>
    <sheetView tabSelected="1" topLeftCell="A406" zoomScale="70" zoomScaleNormal="70" zoomScaleSheetLayoutView="100" workbookViewId="0">
      <selection activeCell="H429" sqref="H429"/>
    </sheetView>
  </sheetViews>
  <sheetFormatPr baseColWidth="10" defaultRowHeight="12.75"/>
  <cols>
    <col min="1" max="1" width="11.42578125" style="95"/>
    <col min="2" max="2" width="12.7109375" style="231" customWidth="1"/>
    <col min="3" max="3" width="25.7109375" customWidth="1"/>
    <col min="4" max="4" width="12.7109375" customWidth="1"/>
    <col min="5" max="5" width="13.7109375" customWidth="1"/>
    <col min="6" max="6" width="14.7109375" style="8" customWidth="1"/>
    <col min="7" max="7" width="16.7109375" customWidth="1"/>
  </cols>
  <sheetData>
    <row r="1" spans="1:8" ht="19.5" thickTop="1">
      <c r="B1" s="225"/>
      <c r="C1" s="848" t="s">
        <v>1054</v>
      </c>
      <c r="D1" s="848"/>
      <c r="E1" s="848"/>
      <c r="F1" s="848"/>
      <c r="G1" s="849"/>
    </row>
    <row r="2" spans="1:8" ht="18.75">
      <c r="B2" s="226"/>
      <c r="C2" s="780" t="s">
        <v>1381</v>
      </c>
      <c r="D2" s="780"/>
      <c r="E2" s="780"/>
      <c r="F2" s="780"/>
      <c r="G2" s="850"/>
    </row>
    <row r="3" spans="1:8" ht="18.75">
      <c r="B3" s="226"/>
      <c r="C3" s="781"/>
      <c r="D3" s="781"/>
      <c r="E3" s="781"/>
      <c r="F3" s="781"/>
      <c r="G3" s="851"/>
    </row>
    <row r="4" spans="1:8" ht="15.75">
      <c r="B4" s="226"/>
      <c r="C4" s="852" t="s">
        <v>780</v>
      </c>
      <c r="D4" s="852"/>
      <c r="E4" s="852"/>
      <c r="F4" s="852"/>
      <c r="G4" s="853"/>
    </row>
    <row r="5" spans="1:8" ht="15.75" thickBot="1">
      <c r="B5" s="227"/>
      <c r="C5" s="856"/>
      <c r="D5" s="856"/>
      <c r="E5" s="856"/>
      <c r="F5" s="856"/>
      <c r="G5" s="857"/>
    </row>
    <row r="6" spans="1:8" ht="15" thickTop="1">
      <c r="B6" s="225" t="s">
        <v>303</v>
      </c>
      <c r="C6" s="843"/>
      <c r="D6" s="843"/>
      <c r="E6" s="843"/>
      <c r="F6" s="92" t="s">
        <v>781</v>
      </c>
      <c r="G6" s="93" t="s">
        <v>1066</v>
      </c>
      <c r="H6" s="505" t="s">
        <v>1670</v>
      </c>
    </row>
    <row r="7" spans="1:8">
      <c r="A7" s="95" t="s">
        <v>832</v>
      </c>
      <c r="B7" s="226" t="s">
        <v>834</v>
      </c>
      <c r="C7" s="844" t="s">
        <v>1102</v>
      </c>
      <c r="D7" s="844"/>
      <c r="E7" s="844"/>
      <c r="F7" s="15" t="s">
        <v>833</v>
      </c>
      <c r="G7" s="165" t="str">
        <f>'MANO DE OBRA'!D61</f>
        <v>Agosto de 2010</v>
      </c>
    </row>
    <row r="8" spans="1:8" ht="13.5" thickBot="1">
      <c r="A8" s="95">
        <f>MATERIALES2!B32</f>
        <v>20301</v>
      </c>
      <c r="B8" s="228" t="s">
        <v>835</v>
      </c>
      <c r="C8" s="845" t="s">
        <v>1070</v>
      </c>
      <c r="D8" s="845"/>
      <c r="E8" s="845"/>
      <c r="F8" s="845"/>
      <c r="G8" s="846"/>
    </row>
    <row r="9" spans="1:8" ht="14.25" thickTop="1" thickBot="1">
      <c r="B9" s="847"/>
      <c r="C9" s="847"/>
      <c r="D9" s="847"/>
      <c r="E9" s="847"/>
      <c r="F9" s="847"/>
      <c r="G9" s="847"/>
    </row>
    <row r="10" spans="1:8" ht="13.5" thickTop="1">
      <c r="B10" s="811" t="s">
        <v>304</v>
      </c>
      <c r="C10" s="812"/>
      <c r="D10" s="812"/>
      <c r="E10" s="812"/>
      <c r="F10" s="812"/>
      <c r="G10" s="825"/>
    </row>
    <row r="11" spans="1:8">
      <c r="B11" s="229"/>
      <c r="C11" s="97"/>
      <c r="D11" s="98" t="s">
        <v>301</v>
      </c>
      <c r="E11" s="98" t="s">
        <v>1072</v>
      </c>
      <c r="F11" s="99" t="s">
        <v>839</v>
      </c>
      <c r="G11" s="107" t="s">
        <v>840</v>
      </c>
    </row>
    <row r="12" spans="1:8">
      <c r="B12" s="821" t="s">
        <v>838</v>
      </c>
      <c r="C12" s="822"/>
      <c r="D12" s="100" t="s">
        <v>308</v>
      </c>
      <c r="E12" s="100" t="s">
        <v>305</v>
      </c>
      <c r="F12" s="101" t="s">
        <v>306</v>
      </c>
      <c r="G12" s="108" t="s">
        <v>310</v>
      </c>
    </row>
    <row r="13" spans="1:8">
      <c r="B13" s="230"/>
      <c r="C13" s="102"/>
      <c r="D13" s="103"/>
      <c r="E13" s="103" t="s">
        <v>309</v>
      </c>
      <c r="F13" s="104" t="s">
        <v>307</v>
      </c>
      <c r="G13" s="109"/>
    </row>
    <row r="14" spans="1:8">
      <c r="A14" s="95">
        <f>'MAQUINARIA Y EQUIPOS'!B49</f>
        <v>10142</v>
      </c>
      <c r="B14" s="823" t="str">
        <f>'MAQUINARIA Y EQUIPOS'!C50</f>
        <v>TROMPO DE BULTO</v>
      </c>
      <c r="C14" s="824"/>
      <c r="D14" s="87">
        <v>1</v>
      </c>
      <c r="E14" s="80">
        <f>'MAQUINARIA Y EQUIPOS'!D50</f>
        <v>75000</v>
      </c>
      <c r="F14" s="81">
        <v>5</v>
      </c>
      <c r="G14" s="110">
        <f>ROUND(D14*E14/F14,0)</f>
        <v>15000</v>
      </c>
    </row>
    <row r="15" spans="1:8">
      <c r="A15" s="95">
        <f>'MAQUINARIA Y EQUIPOS'!B27</f>
        <v>10120</v>
      </c>
      <c r="B15" s="835" t="str">
        <f>'MAQUINARIA Y EQUIPOS'!C28</f>
        <v>HERRAMIENTAS MENORES</v>
      </c>
      <c r="C15" s="836"/>
      <c r="D15" s="37">
        <v>1</v>
      </c>
      <c r="E15" s="82">
        <f>ROUND(G47*0.05,0)</f>
        <v>4677</v>
      </c>
      <c r="F15" s="83">
        <v>1</v>
      </c>
      <c r="G15" s="111">
        <f>ROUND(D15*E15/F15,0)</f>
        <v>4677</v>
      </c>
    </row>
    <row r="16" spans="1:8">
      <c r="B16" s="835"/>
      <c r="C16" s="836"/>
      <c r="D16" s="89"/>
      <c r="E16" s="82"/>
      <c r="F16" s="83"/>
      <c r="G16" s="111"/>
    </row>
    <row r="17" spans="1:8">
      <c r="B17" s="835"/>
      <c r="C17" s="836"/>
      <c r="D17" s="89"/>
      <c r="E17" s="82"/>
      <c r="F17" s="83"/>
      <c r="G17" s="111"/>
    </row>
    <row r="18" spans="1:8">
      <c r="B18" s="835" t="s">
        <v>841</v>
      </c>
      <c r="C18" s="836"/>
      <c r="D18" s="37"/>
      <c r="E18" s="82"/>
      <c r="F18" s="83"/>
      <c r="G18" s="111"/>
    </row>
    <row r="19" spans="1:8" ht="13.5" thickBot="1">
      <c r="B19" s="839" t="s">
        <v>841</v>
      </c>
      <c r="C19" s="840"/>
      <c r="D19" s="77"/>
      <c r="E19" s="106"/>
      <c r="F19" s="86"/>
      <c r="G19" s="112"/>
    </row>
    <row r="20" spans="1:8" ht="14.25" thickTop="1" thickBot="1">
      <c r="B20" s="808"/>
      <c r="C20" s="808"/>
      <c r="D20" s="808"/>
      <c r="E20" s="809"/>
      <c r="F20" s="119" t="s">
        <v>856</v>
      </c>
      <c r="G20" s="118">
        <f>SUM(G14:G19)</f>
        <v>19677</v>
      </c>
    </row>
    <row r="21" spans="1:8" ht="14.25" thickTop="1" thickBot="1">
      <c r="B21" s="830"/>
      <c r="C21" s="830"/>
      <c r="D21" s="830"/>
      <c r="E21" s="830"/>
      <c r="F21" s="830"/>
      <c r="G21" s="830"/>
    </row>
    <row r="22" spans="1:8" ht="13.5" thickTop="1">
      <c r="B22" s="811" t="s">
        <v>311</v>
      </c>
      <c r="C22" s="812"/>
      <c r="D22" s="812"/>
      <c r="E22" s="812"/>
      <c r="F22" s="812"/>
      <c r="G22" s="825"/>
    </row>
    <row r="23" spans="1:8">
      <c r="B23" s="817" t="s">
        <v>838</v>
      </c>
      <c r="C23" s="818"/>
      <c r="D23" s="98" t="s">
        <v>842</v>
      </c>
      <c r="E23" s="98" t="s">
        <v>853</v>
      </c>
      <c r="F23" s="99" t="s">
        <v>1047</v>
      </c>
      <c r="G23" s="107" t="s">
        <v>840</v>
      </c>
    </row>
    <row r="24" spans="1:8">
      <c r="B24" s="230"/>
      <c r="C24" s="102"/>
      <c r="D24" s="100"/>
      <c r="E24" s="100" t="s">
        <v>312</v>
      </c>
      <c r="F24" s="101" t="s">
        <v>313</v>
      </c>
      <c r="G24" s="108" t="s">
        <v>314</v>
      </c>
    </row>
    <row r="25" spans="1:8">
      <c r="A25" s="95">
        <f>MATERIALES2!B13</f>
        <v>20104</v>
      </c>
      <c r="B25" s="841" t="str">
        <f>MATERIALES2!C13</f>
        <v>CEMENTO GRIS</v>
      </c>
      <c r="C25" s="842"/>
      <c r="D25" s="87" t="s">
        <v>925</v>
      </c>
      <c r="E25" s="38">
        <v>420</v>
      </c>
      <c r="F25" s="80">
        <f>MATERIALES2!E13</f>
        <v>420</v>
      </c>
      <c r="G25" s="110">
        <f>ROUND(E25*F25,0)</f>
        <v>176400</v>
      </c>
    </row>
    <row r="26" spans="1:8" ht="14.25">
      <c r="A26" s="95">
        <f>MATERIALES2!B20</f>
        <v>20201</v>
      </c>
      <c r="B26" s="854" t="str">
        <f>MATERIALES2!C20</f>
        <v xml:space="preserve">ARENA </v>
      </c>
      <c r="C26" s="855"/>
      <c r="D26" s="37" t="s">
        <v>1066</v>
      </c>
      <c r="E26" s="55">
        <v>0.67</v>
      </c>
      <c r="F26" s="82">
        <f>MATERIALES2!E20</f>
        <v>35000</v>
      </c>
      <c r="G26" s="111">
        <f>ROUND(E26*F26,0)</f>
        <v>23450</v>
      </c>
    </row>
    <row r="27" spans="1:8" ht="14.25">
      <c r="A27" s="95">
        <f>MATERIALES2!B27</f>
        <v>20207</v>
      </c>
      <c r="B27" s="854" t="str">
        <f>MATERIALES2!C27</f>
        <v>TRITURADO 3/4 "</v>
      </c>
      <c r="C27" s="855"/>
      <c r="D27" s="37" t="s">
        <v>1066</v>
      </c>
      <c r="E27" s="55">
        <v>0.67</v>
      </c>
      <c r="F27" s="82">
        <f>MATERIALES2!E27</f>
        <v>78000</v>
      </c>
      <c r="G27" s="111">
        <f>ROUND(E27*F27,0)</f>
        <v>52260</v>
      </c>
    </row>
    <row r="28" spans="1:8">
      <c r="A28" s="95">
        <f>MATERIALES2!B28</f>
        <v>20208</v>
      </c>
      <c r="B28" s="854" t="str">
        <f>MATERIALES2!C28</f>
        <v>AGUA</v>
      </c>
      <c r="C28" s="855"/>
      <c r="D28" s="37" t="s">
        <v>1071</v>
      </c>
      <c r="E28" s="55">
        <v>230</v>
      </c>
      <c r="F28" s="82">
        <f>MATERIALES2!E28</f>
        <v>50</v>
      </c>
      <c r="G28" s="111">
        <f>ROUND(E28*F28,0)</f>
        <v>11500</v>
      </c>
      <c r="H28" s="505" t="s">
        <v>1670</v>
      </c>
    </row>
    <row r="29" spans="1:8">
      <c r="B29" s="837"/>
      <c r="C29" s="838"/>
      <c r="D29" s="37"/>
      <c r="E29" s="55"/>
      <c r="F29" s="82"/>
      <c r="G29" s="111"/>
    </row>
    <row r="30" spans="1:8">
      <c r="B30" s="837"/>
      <c r="C30" s="838"/>
      <c r="D30" s="53" t="s">
        <v>841</v>
      </c>
      <c r="E30" s="53"/>
      <c r="F30" s="82"/>
      <c r="G30" s="111"/>
    </row>
    <row r="31" spans="1:8">
      <c r="B31" s="837" t="s">
        <v>841</v>
      </c>
      <c r="C31" s="838"/>
      <c r="D31" s="53" t="s">
        <v>841</v>
      </c>
      <c r="E31" s="53"/>
      <c r="F31" s="82"/>
      <c r="G31" s="111"/>
    </row>
    <row r="32" spans="1:8">
      <c r="B32" s="837" t="s">
        <v>841</v>
      </c>
      <c r="C32" s="838"/>
      <c r="D32" s="53" t="s">
        <v>841</v>
      </c>
      <c r="E32" s="53"/>
      <c r="F32" s="82"/>
      <c r="G32" s="111"/>
    </row>
    <row r="33" spans="1:7" ht="13.5" thickBot="1">
      <c r="B33" s="839" t="s">
        <v>841</v>
      </c>
      <c r="C33" s="840"/>
      <c r="D33" s="84" t="s">
        <v>841</v>
      </c>
      <c r="E33" s="84"/>
      <c r="F33" s="85"/>
      <c r="G33" s="112"/>
    </row>
    <row r="34" spans="1:7" ht="13.5" thickTop="1">
      <c r="B34" s="808"/>
      <c r="C34" s="809"/>
      <c r="D34" s="801" t="s">
        <v>856</v>
      </c>
      <c r="E34" s="802"/>
      <c r="F34" s="9"/>
      <c r="G34" s="113">
        <f>SUM(G25:G33)</f>
        <v>263610</v>
      </c>
    </row>
    <row r="35" spans="1:7">
      <c r="B35" s="819"/>
      <c r="C35" s="820"/>
      <c r="D35" s="801" t="s">
        <v>857</v>
      </c>
      <c r="E35" s="802"/>
      <c r="F35" s="79">
        <f>'MANO DE OBRA'!D60</f>
        <v>0.05</v>
      </c>
      <c r="G35" s="113">
        <f>ROUND(G34*F35,0)</f>
        <v>13181</v>
      </c>
    </row>
    <row r="36" spans="1:7" ht="13.5" thickBot="1">
      <c r="B36" s="819"/>
      <c r="C36" s="820"/>
      <c r="D36" s="803" t="s">
        <v>320</v>
      </c>
      <c r="E36" s="804"/>
      <c r="F36" s="114"/>
      <c r="G36" s="118">
        <f>+G34+G35</f>
        <v>276791</v>
      </c>
    </row>
    <row r="37" spans="1:7" ht="14.25" thickTop="1" thickBot="1">
      <c r="B37" s="830"/>
      <c r="C37" s="830"/>
      <c r="D37" s="830"/>
      <c r="E37" s="830"/>
      <c r="F37" s="830"/>
      <c r="G37" s="830"/>
    </row>
    <row r="38" spans="1:7" ht="13.5" thickTop="1">
      <c r="B38" s="811" t="s">
        <v>858</v>
      </c>
      <c r="C38" s="812"/>
      <c r="D38" s="812"/>
      <c r="E38" s="812"/>
      <c r="F38" s="812"/>
      <c r="G38" s="825"/>
    </row>
    <row r="39" spans="1:7">
      <c r="B39" s="817"/>
      <c r="C39" s="818"/>
      <c r="D39" s="98" t="s">
        <v>301</v>
      </c>
      <c r="E39" s="98" t="s">
        <v>859</v>
      </c>
      <c r="F39" s="99" t="s">
        <v>839</v>
      </c>
      <c r="G39" s="107" t="s">
        <v>840</v>
      </c>
    </row>
    <row r="40" spans="1:7">
      <c r="B40" s="821" t="s">
        <v>838</v>
      </c>
      <c r="C40" s="822"/>
      <c r="D40" s="100" t="s">
        <v>316</v>
      </c>
      <c r="E40" s="100" t="s">
        <v>315</v>
      </c>
      <c r="F40" s="101" t="s">
        <v>306</v>
      </c>
      <c r="G40" s="108" t="s">
        <v>319</v>
      </c>
    </row>
    <row r="41" spans="1:7">
      <c r="B41" s="230"/>
      <c r="C41" s="102"/>
      <c r="D41" s="103"/>
      <c r="E41" s="103" t="s">
        <v>317</v>
      </c>
      <c r="F41" s="104" t="s">
        <v>318</v>
      </c>
      <c r="G41" s="109"/>
    </row>
    <row r="42" spans="1:7">
      <c r="A42" s="95">
        <f>'MANO DE OBRA'!A10</f>
        <v>30101</v>
      </c>
      <c r="B42" s="823" t="str">
        <f>'MANO DE OBRA'!B10</f>
        <v>AYUDANTE CUAD. TIPO AA</v>
      </c>
      <c r="C42" s="824"/>
      <c r="D42" s="87">
        <v>5</v>
      </c>
      <c r="E42" s="80">
        <f>'MANO DE OBRA'!E10</f>
        <v>34680</v>
      </c>
      <c r="F42" s="81">
        <v>3</v>
      </c>
      <c r="G42" s="110">
        <f>ROUND(D42*E42/F42,0)</f>
        <v>57800</v>
      </c>
    </row>
    <row r="43" spans="1:7">
      <c r="A43" s="95">
        <f>'MANO DE OBRA'!A15</f>
        <v>30106</v>
      </c>
      <c r="B43" s="835" t="str">
        <f>'MANO DE OBRA'!B15</f>
        <v xml:space="preserve">OFICIAL CUAD. TIPO AA </v>
      </c>
      <c r="C43" s="836"/>
      <c r="D43" s="37">
        <v>1</v>
      </c>
      <c r="E43" s="82">
        <f>'MANO DE OBRA'!E15</f>
        <v>71474</v>
      </c>
      <c r="F43" s="83">
        <v>2</v>
      </c>
      <c r="G43" s="111">
        <f>ROUND(D43*E43/F43,0)</f>
        <v>35737</v>
      </c>
    </row>
    <row r="44" spans="1:7">
      <c r="B44" s="835"/>
      <c r="C44" s="836"/>
      <c r="D44" s="89"/>
      <c r="E44" s="82"/>
      <c r="F44" s="83"/>
      <c r="G44" s="111"/>
    </row>
    <row r="45" spans="1:7">
      <c r="B45" s="835" t="s">
        <v>841</v>
      </c>
      <c r="C45" s="836"/>
      <c r="D45" s="37"/>
      <c r="E45" s="82"/>
      <c r="F45" s="83"/>
      <c r="G45" s="111"/>
    </row>
    <row r="46" spans="1:7" ht="13.5" thickBot="1">
      <c r="B46" s="828" t="s">
        <v>841</v>
      </c>
      <c r="C46" s="829"/>
      <c r="D46" s="77"/>
      <c r="E46" s="82"/>
      <c r="F46" s="86"/>
      <c r="G46" s="112"/>
    </row>
    <row r="47" spans="1:7" ht="14.25" thickTop="1" thickBot="1">
      <c r="B47" s="808"/>
      <c r="C47" s="808"/>
      <c r="D47" s="808"/>
      <c r="E47" s="809"/>
      <c r="F47" s="120" t="s">
        <v>856</v>
      </c>
      <c r="G47" s="118">
        <f>SUM(G42:G46)</f>
        <v>93537</v>
      </c>
    </row>
    <row r="48" spans="1:7" ht="14.25" thickTop="1" thickBot="1">
      <c r="B48" s="810"/>
      <c r="C48" s="810"/>
      <c r="D48" s="810"/>
      <c r="E48" s="810"/>
      <c r="F48" s="810"/>
      <c r="G48" s="810"/>
    </row>
    <row r="49" spans="1:8" ht="13.5" thickTop="1">
      <c r="B49" s="811" t="s">
        <v>321</v>
      </c>
      <c r="C49" s="812"/>
      <c r="D49" s="812"/>
      <c r="E49" s="812"/>
      <c r="F49" s="812"/>
      <c r="G49" s="825"/>
    </row>
    <row r="50" spans="1:8">
      <c r="B50" s="817" t="s">
        <v>838</v>
      </c>
      <c r="C50" s="818"/>
      <c r="D50" s="98" t="s">
        <v>301</v>
      </c>
      <c r="E50" s="98" t="s">
        <v>297</v>
      </c>
      <c r="F50" s="99" t="s">
        <v>839</v>
      </c>
      <c r="G50" s="107" t="s">
        <v>840</v>
      </c>
    </row>
    <row r="51" spans="1:8">
      <c r="B51" s="230"/>
      <c r="C51" s="102"/>
      <c r="D51" s="103" t="s">
        <v>322</v>
      </c>
      <c r="E51" s="103" t="s">
        <v>323</v>
      </c>
      <c r="F51" s="104" t="s">
        <v>324</v>
      </c>
      <c r="G51" s="109" t="s">
        <v>325</v>
      </c>
    </row>
    <row r="52" spans="1:8">
      <c r="B52" s="826"/>
      <c r="C52" s="827"/>
      <c r="D52" s="96"/>
      <c r="E52" s="96"/>
      <c r="F52" s="96"/>
      <c r="G52" s="116"/>
    </row>
    <row r="53" spans="1:8" ht="13.5" thickBot="1">
      <c r="B53" s="828" t="s">
        <v>841</v>
      </c>
      <c r="C53" s="829"/>
      <c r="D53" s="77"/>
      <c r="E53" s="82"/>
      <c r="F53" s="86"/>
      <c r="G53" s="112"/>
    </row>
    <row r="54" spans="1:8" ht="14.25" thickTop="1" thickBot="1">
      <c r="B54" s="808"/>
      <c r="C54" s="808"/>
      <c r="D54" s="808"/>
      <c r="E54" s="809"/>
      <c r="F54" s="120" t="s">
        <v>856</v>
      </c>
      <c r="G54" s="118">
        <f>SUM(G49:G53)</f>
        <v>0</v>
      </c>
    </row>
    <row r="55" spans="1:8" ht="14.25" thickTop="1" thickBot="1">
      <c r="B55" s="810"/>
      <c r="C55" s="810"/>
      <c r="D55" s="810"/>
      <c r="E55" s="810"/>
      <c r="F55" s="810"/>
      <c r="G55" s="834"/>
    </row>
    <row r="56" spans="1:8" ht="13.5" thickTop="1">
      <c r="B56" s="811" t="s">
        <v>326</v>
      </c>
      <c r="C56" s="812"/>
      <c r="D56" s="812"/>
      <c r="E56" s="812"/>
      <c r="F56" s="813"/>
      <c r="G56" s="121">
        <f>+G20+G36+G47</f>
        <v>390005</v>
      </c>
    </row>
    <row r="57" spans="1:8">
      <c r="B57" s="814" t="s">
        <v>861</v>
      </c>
      <c r="C57" s="815"/>
      <c r="D57" s="815"/>
      <c r="E57" s="816"/>
      <c r="F57" s="117">
        <v>0</v>
      </c>
      <c r="G57" s="122">
        <f>ROUND(G56*F57/100,0)</f>
        <v>0</v>
      </c>
    </row>
    <row r="58" spans="1:8" ht="13.5" thickBot="1">
      <c r="B58" s="805" t="s">
        <v>1049</v>
      </c>
      <c r="C58" s="806"/>
      <c r="D58" s="806"/>
      <c r="E58" s="806"/>
      <c r="F58" s="807"/>
      <c r="G58" s="118">
        <f>ROUND(G56+G57,-2)</f>
        <v>390000</v>
      </c>
      <c r="H58" s="505" t="s">
        <v>1670</v>
      </c>
    </row>
    <row r="59" spans="1:8" ht="15" thickTop="1">
      <c r="B59" s="225" t="s">
        <v>303</v>
      </c>
      <c r="C59" s="843"/>
      <c r="D59" s="843"/>
      <c r="E59" s="843"/>
      <c r="F59" s="92" t="s">
        <v>781</v>
      </c>
      <c r="G59" s="93" t="s">
        <v>1066</v>
      </c>
    </row>
    <row r="60" spans="1:8">
      <c r="B60" s="226" t="s">
        <v>834</v>
      </c>
      <c r="C60" s="844" t="s">
        <v>1102</v>
      </c>
      <c r="D60" s="844"/>
      <c r="E60" s="844"/>
      <c r="F60" s="15" t="s">
        <v>833</v>
      </c>
      <c r="G60" s="165" t="str">
        <f>'MANO DE OBRA'!D61</f>
        <v>Agosto de 2010</v>
      </c>
    </row>
    <row r="61" spans="1:8" ht="13.5" thickBot="1">
      <c r="A61" s="95">
        <f>MATERIALES2!B35</f>
        <v>20304</v>
      </c>
      <c r="B61" s="228" t="s">
        <v>835</v>
      </c>
      <c r="C61" s="845" t="s">
        <v>1101</v>
      </c>
      <c r="D61" s="845"/>
      <c r="E61" s="845"/>
      <c r="F61" s="845"/>
      <c r="G61" s="846"/>
    </row>
    <row r="62" spans="1:8" ht="14.25" thickTop="1" thickBot="1">
      <c r="B62" s="847"/>
      <c r="C62" s="847"/>
      <c r="D62" s="847"/>
      <c r="E62" s="847"/>
      <c r="F62" s="847"/>
      <c r="G62" s="847"/>
    </row>
    <row r="63" spans="1:8" ht="13.5" thickTop="1">
      <c r="B63" s="811" t="s">
        <v>304</v>
      </c>
      <c r="C63" s="812"/>
      <c r="D63" s="812"/>
      <c r="E63" s="812"/>
      <c r="F63" s="812"/>
      <c r="G63" s="825"/>
    </row>
    <row r="64" spans="1:8">
      <c r="B64" s="229"/>
      <c r="C64" s="97"/>
      <c r="D64" s="98" t="s">
        <v>301</v>
      </c>
      <c r="E64" s="98" t="s">
        <v>1072</v>
      </c>
      <c r="F64" s="99" t="s">
        <v>839</v>
      </c>
      <c r="G64" s="107" t="s">
        <v>840</v>
      </c>
    </row>
    <row r="65" spans="1:7">
      <c r="B65" s="821" t="s">
        <v>838</v>
      </c>
      <c r="C65" s="822"/>
      <c r="D65" s="100" t="s">
        <v>308</v>
      </c>
      <c r="E65" s="100" t="s">
        <v>305</v>
      </c>
      <c r="F65" s="101" t="s">
        <v>306</v>
      </c>
      <c r="G65" s="108" t="s">
        <v>310</v>
      </c>
    </row>
    <row r="66" spans="1:7">
      <c r="B66" s="230"/>
      <c r="C66" s="102"/>
      <c r="D66" s="103"/>
      <c r="E66" s="103" t="s">
        <v>309</v>
      </c>
      <c r="F66" s="104" t="s">
        <v>307</v>
      </c>
      <c r="G66" s="109"/>
    </row>
    <row r="67" spans="1:7">
      <c r="A67" s="95">
        <f>'MAQUINARIA Y EQUIPOS'!B49</f>
        <v>10142</v>
      </c>
      <c r="B67" s="823" t="str">
        <f>'MAQUINARIA Y EQUIPOS'!C50</f>
        <v>TROMPO DE BULTO</v>
      </c>
      <c r="C67" s="824"/>
      <c r="D67" s="87">
        <v>1</v>
      </c>
      <c r="E67" s="80">
        <f>'MAQUINARIA Y EQUIPOS'!D50</f>
        <v>75000</v>
      </c>
      <c r="F67" s="81">
        <v>5</v>
      </c>
      <c r="G67" s="110">
        <f>ROUND(D67*E67/F67,0)</f>
        <v>15000</v>
      </c>
    </row>
    <row r="68" spans="1:7">
      <c r="A68" s="95">
        <f>'MAQUINARIA Y EQUIPOS'!B27</f>
        <v>10120</v>
      </c>
      <c r="B68" s="835" t="str">
        <f>'MAQUINARIA Y EQUIPOS'!C28</f>
        <v>HERRAMIENTAS MENORES</v>
      </c>
      <c r="C68" s="836"/>
      <c r="D68" s="37">
        <v>1</v>
      </c>
      <c r="E68" s="82">
        <f>ROUND(G100*0.05,0)</f>
        <v>4677</v>
      </c>
      <c r="F68" s="83">
        <v>1</v>
      </c>
      <c r="G68" s="111">
        <f>ROUND(D68*E68/F68,0)</f>
        <v>4677</v>
      </c>
    </row>
    <row r="69" spans="1:7">
      <c r="B69" s="835"/>
      <c r="C69" s="836"/>
      <c r="D69" s="89"/>
      <c r="E69" s="82"/>
      <c r="F69" s="83"/>
      <c r="G69" s="111"/>
    </row>
    <row r="70" spans="1:7">
      <c r="B70" s="835"/>
      <c r="C70" s="836"/>
      <c r="D70" s="89"/>
      <c r="E70" s="82"/>
      <c r="F70" s="83"/>
      <c r="G70" s="111"/>
    </row>
    <row r="71" spans="1:7">
      <c r="B71" s="835" t="s">
        <v>841</v>
      </c>
      <c r="C71" s="836"/>
      <c r="D71" s="37"/>
      <c r="E71" s="82"/>
      <c r="F71" s="83"/>
      <c r="G71" s="111"/>
    </row>
    <row r="72" spans="1:7" ht="13.5" thickBot="1">
      <c r="B72" s="839" t="s">
        <v>841</v>
      </c>
      <c r="C72" s="840"/>
      <c r="D72" s="77"/>
      <c r="E72" s="106"/>
      <c r="F72" s="86"/>
      <c r="G72" s="112"/>
    </row>
    <row r="73" spans="1:7" ht="14.25" thickTop="1" thickBot="1">
      <c r="B73" s="808"/>
      <c r="C73" s="808"/>
      <c r="D73" s="808"/>
      <c r="E73" s="809"/>
      <c r="F73" s="119" t="s">
        <v>856</v>
      </c>
      <c r="G73" s="118">
        <f>SUM(G67:G72)</f>
        <v>19677</v>
      </c>
    </row>
    <row r="74" spans="1:7" ht="14.25" thickTop="1" thickBot="1">
      <c r="B74" s="830"/>
      <c r="C74" s="830"/>
      <c r="D74" s="830"/>
      <c r="E74" s="830"/>
      <c r="F74" s="830"/>
      <c r="G74" s="830"/>
    </row>
    <row r="75" spans="1:7" ht="13.5" thickTop="1">
      <c r="B75" s="811" t="s">
        <v>311</v>
      </c>
      <c r="C75" s="812"/>
      <c r="D75" s="812"/>
      <c r="E75" s="812"/>
      <c r="F75" s="812"/>
      <c r="G75" s="825"/>
    </row>
    <row r="76" spans="1:7">
      <c r="B76" s="817" t="s">
        <v>838</v>
      </c>
      <c r="C76" s="818"/>
      <c r="D76" s="98" t="s">
        <v>842</v>
      </c>
      <c r="E76" s="98" t="s">
        <v>853</v>
      </c>
      <c r="F76" s="99" t="s">
        <v>1047</v>
      </c>
      <c r="G76" s="107" t="s">
        <v>840</v>
      </c>
    </row>
    <row r="77" spans="1:7">
      <c r="B77" s="230"/>
      <c r="C77" s="102"/>
      <c r="D77" s="100"/>
      <c r="E77" s="100" t="s">
        <v>312</v>
      </c>
      <c r="F77" s="101" t="s">
        <v>313</v>
      </c>
      <c r="G77" s="108" t="s">
        <v>314</v>
      </c>
    </row>
    <row r="78" spans="1:7">
      <c r="A78" s="95">
        <f>MATERIALES2!B13</f>
        <v>20104</v>
      </c>
      <c r="B78" s="841" t="str">
        <f>MATERIALES2!C13</f>
        <v>CEMENTO GRIS</v>
      </c>
      <c r="C78" s="842"/>
      <c r="D78" s="87" t="s">
        <v>925</v>
      </c>
      <c r="E78" s="38">
        <v>350</v>
      </c>
      <c r="F78" s="80">
        <f>MATERIALES2!E13</f>
        <v>420</v>
      </c>
      <c r="G78" s="110">
        <f>ROUND(E78*F78,0)</f>
        <v>147000</v>
      </c>
    </row>
    <row r="79" spans="1:7" ht="14.25">
      <c r="A79" s="95">
        <f>MATERIALES2!B20</f>
        <v>20201</v>
      </c>
      <c r="B79" s="835" t="str">
        <f>MATERIALES2!C20</f>
        <v xml:space="preserve">ARENA </v>
      </c>
      <c r="C79" s="836"/>
      <c r="D79" s="37" t="s">
        <v>1066</v>
      </c>
      <c r="E79" s="55">
        <v>0.55000000000000004</v>
      </c>
      <c r="F79" s="82">
        <f>MATERIALES2!E20</f>
        <v>35000</v>
      </c>
      <c r="G79" s="111">
        <f>ROUND(E79*F79,0)</f>
        <v>19250</v>
      </c>
    </row>
    <row r="80" spans="1:7" ht="14.25">
      <c r="A80" s="95">
        <f>MATERIALES2!B27</f>
        <v>20207</v>
      </c>
      <c r="B80" s="835" t="str">
        <f>MATERIALES2!C27</f>
        <v>TRITURADO 3/4 "</v>
      </c>
      <c r="C80" s="836"/>
      <c r="D80" s="37" t="s">
        <v>1066</v>
      </c>
      <c r="E80" s="55">
        <v>0.84</v>
      </c>
      <c r="F80" s="82">
        <f>MATERIALES2!E27</f>
        <v>78000</v>
      </c>
      <c r="G80" s="111">
        <f>ROUND(E80*F80,0)</f>
        <v>65520</v>
      </c>
    </row>
    <row r="81" spans="1:8">
      <c r="A81" s="95">
        <f>MATERIALES2!B28</f>
        <v>20208</v>
      </c>
      <c r="B81" s="835" t="str">
        <f>MATERIALES2!C28</f>
        <v>AGUA</v>
      </c>
      <c r="C81" s="836"/>
      <c r="D81" s="37" t="s">
        <v>1071</v>
      </c>
      <c r="E81" s="55">
        <v>210</v>
      </c>
      <c r="F81" s="82">
        <f>MATERIALES2!E28</f>
        <v>50</v>
      </c>
      <c r="G81" s="111">
        <f>ROUND(E81*F81,0)</f>
        <v>10500</v>
      </c>
    </row>
    <row r="82" spans="1:8">
      <c r="B82" s="837"/>
      <c r="C82" s="838"/>
      <c r="D82" s="37"/>
      <c r="E82" s="55"/>
      <c r="F82" s="82"/>
      <c r="G82" s="111"/>
      <c r="H82" s="505" t="s">
        <v>1670</v>
      </c>
    </row>
    <row r="83" spans="1:8">
      <c r="B83" s="837"/>
      <c r="C83" s="838"/>
      <c r="D83" s="53" t="s">
        <v>841</v>
      </c>
      <c r="E83" s="53"/>
      <c r="F83" s="82"/>
      <c r="G83" s="111"/>
    </row>
    <row r="84" spans="1:8">
      <c r="B84" s="837" t="s">
        <v>841</v>
      </c>
      <c r="C84" s="838"/>
      <c r="D84" s="53" t="s">
        <v>841</v>
      </c>
      <c r="E84" s="53"/>
      <c r="F84" s="82"/>
      <c r="G84" s="111"/>
    </row>
    <row r="85" spans="1:8">
      <c r="B85" s="837" t="s">
        <v>841</v>
      </c>
      <c r="C85" s="838"/>
      <c r="D85" s="53" t="s">
        <v>841</v>
      </c>
      <c r="E85" s="53"/>
      <c r="F85" s="82"/>
      <c r="G85" s="111"/>
    </row>
    <row r="86" spans="1:8" ht="13.5" thickBot="1">
      <c r="B86" s="839" t="s">
        <v>841</v>
      </c>
      <c r="C86" s="840"/>
      <c r="D86" s="84" t="s">
        <v>841</v>
      </c>
      <c r="E86" s="84"/>
      <c r="F86" s="85"/>
      <c r="G86" s="112"/>
    </row>
    <row r="87" spans="1:8" ht="13.5" thickTop="1">
      <c r="B87" s="808"/>
      <c r="C87" s="809"/>
      <c r="D87" s="801" t="s">
        <v>856</v>
      </c>
      <c r="E87" s="802"/>
      <c r="F87" s="9"/>
      <c r="G87" s="113">
        <f>SUM(G78:G86)</f>
        <v>242270</v>
      </c>
    </row>
    <row r="88" spans="1:8">
      <c r="B88" s="819"/>
      <c r="C88" s="820"/>
      <c r="D88" s="801" t="s">
        <v>857</v>
      </c>
      <c r="E88" s="802"/>
      <c r="F88" s="79">
        <f>'MANO DE OBRA'!D60</f>
        <v>0.05</v>
      </c>
      <c r="G88" s="113">
        <f>ROUND(G87*F88,0)</f>
        <v>12114</v>
      </c>
    </row>
    <row r="89" spans="1:8" ht="13.5" thickBot="1">
      <c r="B89" s="819"/>
      <c r="C89" s="820"/>
      <c r="D89" s="803" t="s">
        <v>320</v>
      </c>
      <c r="E89" s="804"/>
      <c r="F89" s="114"/>
      <c r="G89" s="118">
        <f>+G87+G88</f>
        <v>254384</v>
      </c>
    </row>
    <row r="90" spans="1:8" ht="14.25" thickTop="1" thickBot="1">
      <c r="B90" s="830"/>
      <c r="C90" s="830"/>
      <c r="D90" s="830"/>
      <c r="E90" s="830"/>
      <c r="F90" s="830"/>
      <c r="G90" s="830"/>
    </row>
    <row r="91" spans="1:8" ht="13.5" thickTop="1">
      <c r="B91" s="811" t="s">
        <v>858</v>
      </c>
      <c r="C91" s="812"/>
      <c r="D91" s="812"/>
      <c r="E91" s="812"/>
      <c r="F91" s="812"/>
      <c r="G91" s="825"/>
    </row>
    <row r="92" spans="1:8">
      <c r="B92" s="817"/>
      <c r="C92" s="818"/>
      <c r="D92" s="98" t="s">
        <v>301</v>
      </c>
      <c r="E92" s="98" t="s">
        <v>859</v>
      </c>
      <c r="F92" s="99" t="s">
        <v>839</v>
      </c>
      <c r="G92" s="107" t="s">
        <v>840</v>
      </c>
    </row>
    <row r="93" spans="1:8">
      <c r="B93" s="821" t="s">
        <v>838</v>
      </c>
      <c r="C93" s="822"/>
      <c r="D93" s="100" t="s">
        <v>316</v>
      </c>
      <c r="E93" s="100" t="s">
        <v>315</v>
      </c>
      <c r="F93" s="101" t="s">
        <v>306</v>
      </c>
      <c r="G93" s="108" t="s">
        <v>319</v>
      </c>
    </row>
    <row r="94" spans="1:8">
      <c r="B94" s="230"/>
      <c r="C94" s="102"/>
      <c r="D94" s="103"/>
      <c r="E94" s="103" t="s">
        <v>317</v>
      </c>
      <c r="F94" s="104" t="s">
        <v>318</v>
      </c>
      <c r="G94" s="109"/>
    </row>
    <row r="95" spans="1:8">
      <c r="A95" s="95">
        <f>'MANO DE OBRA'!A10</f>
        <v>30101</v>
      </c>
      <c r="B95" s="823" t="str">
        <f>'MANO DE OBRA'!B10</f>
        <v>AYUDANTE CUAD. TIPO AA</v>
      </c>
      <c r="C95" s="824"/>
      <c r="D95" s="87">
        <v>5</v>
      </c>
      <c r="E95" s="80">
        <f>'MANO DE OBRA'!E10</f>
        <v>34680</v>
      </c>
      <c r="F95" s="81">
        <v>3</v>
      </c>
      <c r="G95" s="110">
        <f>ROUND(D95*E95/F95,0)</f>
        <v>57800</v>
      </c>
    </row>
    <row r="96" spans="1:8">
      <c r="A96" s="95">
        <f>'MANO DE OBRA'!A15</f>
        <v>30106</v>
      </c>
      <c r="B96" s="835" t="str">
        <f>'MANO DE OBRA'!B15</f>
        <v xml:space="preserve">OFICIAL CUAD. TIPO AA </v>
      </c>
      <c r="C96" s="836"/>
      <c r="D96" s="37">
        <v>1</v>
      </c>
      <c r="E96" s="82">
        <f>'MANO DE OBRA'!E15</f>
        <v>71474</v>
      </c>
      <c r="F96" s="83">
        <v>2</v>
      </c>
      <c r="G96" s="111">
        <f>ROUND(D96*E96/F96,0)</f>
        <v>35737</v>
      </c>
    </row>
    <row r="97" spans="2:8">
      <c r="B97" s="835"/>
      <c r="C97" s="836"/>
      <c r="D97" s="89"/>
      <c r="E97" s="82"/>
      <c r="F97" s="83"/>
      <c r="G97" s="111"/>
    </row>
    <row r="98" spans="2:8">
      <c r="B98" s="835" t="s">
        <v>841</v>
      </c>
      <c r="C98" s="836"/>
      <c r="D98" s="37"/>
      <c r="E98" s="82"/>
      <c r="F98" s="83"/>
      <c r="G98" s="111"/>
    </row>
    <row r="99" spans="2:8" ht="13.5" thickBot="1">
      <c r="B99" s="828" t="s">
        <v>841</v>
      </c>
      <c r="C99" s="829"/>
      <c r="D99" s="77"/>
      <c r="E99" s="82"/>
      <c r="F99" s="86"/>
      <c r="G99" s="112"/>
    </row>
    <row r="100" spans="2:8" ht="14.25" thickTop="1" thickBot="1">
      <c r="B100" s="808"/>
      <c r="C100" s="808"/>
      <c r="D100" s="808"/>
      <c r="E100" s="809"/>
      <c r="F100" s="120" t="s">
        <v>856</v>
      </c>
      <c r="G100" s="118">
        <f>SUM(G95:G99)</f>
        <v>93537</v>
      </c>
    </row>
    <row r="101" spans="2:8" ht="14.25" thickTop="1" thickBot="1">
      <c r="B101" s="810"/>
      <c r="C101" s="810"/>
      <c r="D101" s="810"/>
      <c r="E101" s="810"/>
      <c r="F101" s="810"/>
      <c r="G101" s="810"/>
    </row>
    <row r="102" spans="2:8" ht="13.5" thickTop="1">
      <c r="B102" s="811" t="s">
        <v>321</v>
      </c>
      <c r="C102" s="812"/>
      <c r="D102" s="812"/>
      <c r="E102" s="812"/>
      <c r="F102" s="812"/>
      <c r="G102" s="825"/>
    </row>
    <row r="103" spans="2:8">
      <c r="B103" s="817" t="s">
        <v>838</v>
      </c>
      <c r="C103" s="818"/>
      <c r="D103" s="98" t="s">
        <v>301</v>
      </c>
      <c r="E103" s="98" t="s">
        <v>297</v>
      </c>
      <c r="F103" s="99" t="s">
        <v>839</v>
      </c>
      <c r="G103" s="107" t="s">
        <v>840</v>
      </c>
    </row>
    <row r="104" spans="2:8">
      <c r="B104" s="230"/>
      <c r="C104" s="102"/>
      <c r="D104" s="103" t="s">
        <v>322</v>
      </c>
      <c r="E104" s="103" t="s">
        <v>323</v>
      </c>
      <c r="F104" s="104" t="s">
        <v>324</v>
      </c>
      <c r="G104" s="109" t="s">
        <v>325</v>
      </c>
    </row>
    <row r="105" spans="2:8">
      <c r="B105" s="826"/>
      <c r="C105" s="827"/>
      <c r="D105" s="96"/>
      <c r="E105" s="96"/>
      <c r="F105" s="96"/>
      <c r="G105" s="116"/>
    </row>
    <row r="106" spans="2:8" ht="13.5" thickBot="1">
      <c r="B106" s="828" t="s">
        <v>841</v>
      </c>
      <c r="C106" s="829"/>
      <c r="D106" s="77"/>
      <c r="E106" s="82"/>
      <c r="F106" s="86"/>
      <c r="G106" s="112"/>
    </row>
    <row r="107" spans="2:8" ht="14.25" thickTop="1" thickBot="1">
      <c r="B107" s="808"/>
      <c r="C107" s="808"/>
      <c r="D107" s="808"/>
      <c r="E107" s="809"/>
      <c r="F107" s="120" t="s">
        <v>856</v>
      </c>
      <c r="G107" s="118">
        <f>SUM(G102:G106)</f>
        <v>0</v>
      </c>
    </row>
    <row r="108" spans="2:8" ht="14.25" thickTop="1" thickBot="1">
      <c r="B108" s="810"/>
      <c r="C108" s="810"/>
      <c r="D108" s="810"/>
      <c r="E108" s="810"/>
      <c r="F108" s="810"/>
      <c r="G108" s="834"/>
    </row>
    <row r="109" spans="2:8" ht="13.5" thickTop="1">
      <c r="B109" s="811" t="s">
        <v>326</v>
      </c>
      <c r="C109" s="812"/>
      <c r="D109" s="812"/>
      <c r="E109" s="812"/>
      <c r="F109" s="813"/>
      <c r="G109" s="121">
        <f>+G73+G89+G100</f>
        <v>367598</v>
      </c>
    </row>
    <row r="110" spans="2:8">
      <c r="B110" s="814" t="s">
        <v>861</v>
      </c>
      <c r="C110" s="815"/>
      <c r="D110" s="815"/>
      <c r="E110" s="816"/>
      <c r="F110" s="117">
        <v>0</v>
      </c>
      <c r="G110" s="122">
        <f>ROUND(G109*F110/100,0)</f>
        <v>0</v>
      </c>
    </row>
    <row r="111" spans="2:8" ht="13.5" thickBot="1">
      <c r="B111" s="805" t="s">
        <v>1049</v>
      </c>
      <c r="C111" s="806"/>
      <c r="D111" s="806"/>
      <c r="E111" s="806"/>
      <c r="F111" s="807"/>
      <c r="G111" s="118">
        <f>ROUND(G109+G110,-2)</f>
        <v>367600</v>
      </c>
      <c r="H111" s="505" t="s">
        <v>1670</v>
      </c>
    </row>
    <row r="112" spans="2:8" ht="15" thickTop="1">
      <c r="B112" s="225" t="s">
        <v>303</v>
      </c>
      <c r="C112" s="843"/>
      <c r="D112" s="843"/>
      <c r="E112" s="843"/>
      <c r="F112" s="92" t="s">
        <v>781</v>
      </c>
      <c r="G112" s="93" t="s">
        <v>1066</v>
      </c>
    </row>
    <row r="113" spans="1:7">
      <c r="A113" s="95" t="s">
        <v>832</v>
      </c>
      <c r="B113" s="226" t="s">
        <v>834</v>
      </c>
      <c r="C113" s="844" t="s">
        <v>1102</v>
      </c>
      <c r="D113" s="844"/>
      <c r="E113" s="844"/>
      <c r="F113" s="15" t="s">
        <v>833</v>
      </c>
      <c r="G113" s="165" t="str">
        <f>'MANO DE OBRA'!D61</f>
        <v>Agosto de 2010</v>
      </c>
    </row>
    <row r="114" spans="1:7" ht="13.5" thickBot="1">
      <c r="A114" s="95">
        <f>MATERIALES2!B38</f>
        <v>20307</v>
      </c>
      <c r="B114" s="228" t="s">
        <v>835</v>
      </c>
      <c r="C114" s="845" t="s">
        <v>1103</v>
      </c>
      <c r="D114" s="845"/>
      <c r="E114" s="845"/>
      <c r="F114" s="845"/>
      <c r="G114" s="846"/>
    </row>
    <row r="115" spans="1:7" ht="14.25" thickTop="1" thickBot="1">
      <c r="B115" s="847"/>
      <c r="C115" s="847"/>
      <c r="D115" s="847"/>
      <c r="E115" s="847"/>
      <c r="F115" s="847"/>
      <c r="G115" s="847"/>
    </row>
    <row r="116" spans="1:7" ht="13.5" thickTop="1">
      <c r="B116" s="811" t="s">
        <v>304</v>
      </c>
      <c r="C116" s="812"/>
      <c r="D116" s="812"/>
      <c r="E116" s="812"/>
      <c r="F116" s="812"/>
      <c r="G116" s="825"/>
    </row>
    <row r="117" spans="1:7">
      <c r="B117" s="229"/>
      <c r="C117" s="97"/>
      <c r="D117" s="98" t="s">
        <v>301</v>
      </c>
      <c r="E117" s="98" t="s">
        <v>1072</v>
      </c>
      <c r="F117" s="99" t="s">
        <v>839</v>
      </c>
      <c r="G117" s="107" t="s">
        <v>840</v>
      </c>
    </row>
    <row r="118" spans="1:7">
      <c r="B118" s="821" t="s">
        <v>838</v>
      </c>
      <c r="C118" s="822"/>
      <c r="D118" s="100" t="s">
        <v>308</v>
      </c>
      <c r="E118" s="100" t="s">
        <v>305</v>
      </c>
      <c r="F118" s="101" t="s">
        <v>306</v>
      </c>
      <c r="G118" s="108" t="s">
        <v>310</v>
      </c>
    </row>
    <row r="119" spans="1:7">
      <c r="B119" s="230"/>
      <c r="C119" s="102"/>
      <c r="D119" s="103"/>
      <c r="E119" s="103" t="s">
        <v>309</v>
      </c>
      <c r="F119" s="104" t="s">
        <v>307</v>
      </c>
      <c r="G119" s="109"/>
    </row>
    <row r="120" spans="1:7">
      <c r="A120" s="95">
        <f>'MAQUINARIA Y EQUIPOS'!B49</f>
        <v>10142</v>
      </c>
      <c r="B120" s="823" t="str">
        <f>'MAQUINARIA Y EQUIPOS'!C50</f>
        <v>TROMPO DE BULTO</v>
      </c>
      <c r="C120" s="824"/>
      <c r="D120" s="87">
        <v>1</v>
      </c>
      <c r="E120" s="80">
        <f>'MAQUINARIA Y EQUIPOS'!D50</f>
        <v>75000</v>
      </c>
      <c r="F120" s="81">
        <v>5</v>
      </c>
      <c r="G120" s="110">
        <f>ROUND(D120*E120/F120,0)</f>
        <v>15000</v>
      </c>
    </row>
    <row r="121" spans="1:7">
      <c r="A121" s="95">
        <f>'MAQUINARIA Y EQUIPOS'!B27</f>
        <v>10120</v>
      </c>
      <c r="B121" s="835" t="str">
        <f>'MAQUINARIA Y EQUIPOS'!C28</f>
        <v>HERRAMIENTAS MENORES</v>
      </c>
      <c r="C121" s="836"/>
      <c r="D121" s="37">
        <v>1</v>
      </c>
      <c r="E121" s="82">
        <f>ROUND(G153*0.05,0)</f>
        <v>4677</v>
      </c>
      <c r="F121" s="83">
        <v>1</v>
      </c>
      <c r="G121" s="111">
        <f>ROUND(D121*E121/F121,0)</f>
        <v>4677</v>
      </c>
    </row>
    <row r="122" spans="1:7">
      <c r="B122" s="835"/>
      <c r="C122" s="836"/>
      <c r="D122" s="89"/>
      <c r="E122" s="82"/>
      <c r="F122" s="83"/>
      <c r="G122" s="111"/>
    </row>
    <row r="123" spans="1:7">
      <c r="B123" s="835"/>
      <c r="C123" s="836"/>
      <c r="D123" s="89"/>
      <c r="E123" s="82"/>
      <c r="F123" s="83"/>
      <c r="G123" s="111"/>
    </row>
    <row r="124" spans="1:7">
      <c r="B124" s="835" t="s">
        <v>841</v>
      </c>
      <c r="C124" s="836"/>
      <c r="D124" s="37"/>
      <c r="E124" s="82"/>
      <c r="F124" s="83"/>
      <c r="G124" s="111"/>
    </row>
    <row r="125" spans="1:7" ht="13.5" thickBot="1">
      <c r="B125" s="839" t="s">
        <v>841</v>
      </c>
      <c r="C125" s="840"/>
      <c r="D125" s="77"/>
      <c r="E125" s="106"/>
      <c r="F125" s="86"/>
      <c r="G125" s="112"/>
    </row>
    <row r="126" spans="1:7" ht="14.25" thickTop="1" thickBot="1">
      <c r="B126" s="808"/>
      <c r="C126" s="808"/>
      <c r="D126" s="808"/>
      <c r="E126" s="809"/>
      <c r="F126" s="119" t="s">
        <v>856</v>
      </c>
      <c r="G126" s="118">
        <f>SUM(G120:G125)</f>
        <v>19677</v>
      </c>
    </row>
    <row r="127" spans="1:7" ht="14.25" thickTop="1" thickBot="1">
      <c r="B127" s="830"/>
      <c r="C127" s="830"/>
      <c r="D127" s="830"/>
      <c r="E127" s="830"/>
      <c r="F127" s="830"/>
      <c r="G127" s="830"/>
    </row>
    <row r="128" spans="1:7" ht="13.5" thickTop="1">
      <c r="B128" s="811" t="s">
        <v>311</v>
      </c>
      <c r="C128" s="812"/>
      <c r="D128" s="812"/>
      <c r="E128" s="812"/>
      <c r="F128" s="812"/>
      <c r="G128" s="825"/>
    </row>
    <row r="129" spans="1:8">
      <c r="B129" s="817" t="s">
        <v>838</v>
      </c>
      <c r="C129" s="818"/>
      <c r="D129" s="98" t="s">
        <v>842</v>
      </c>
      <c r="E129" s="98" t="s">
        <v>853</v>
      </c>
      <c r="F129" s="99" t="s">
        <v>1047</v>
      </c>
      <c r="G129" s="107" t="s">
        <v>840</v>
      </c>
    </row>
    <row r="130" spans="1:8">
      <c r="B130" s="230"/>
      <c r="C130" s="102"/>
      <c r="D130" s="100"/>
      <c r="E130" s="100" t="s">
        <v>312</v>
      </c>
      <c r="F130" s="101" t="s">
        <v>313</v>
      </c>
      <c r="G130" s="108" t="s">
        <v>314</v>
      </c>
    </row>
    <row r="131" spans="1:8">
      <c r="A131" s="95">
        <f>MATERIALES2!B13</f>
        <v>20104</v>
      </c>
      <c r="B131" s="841" t="str">
        <f>MATERIALES2!C13</f>
        <v>CEMENTO GRIS</v>
      </c>
      <c r="C131" s="842"/>
      <c r="D131" s="87" t="s">
        <v>925</v>
      </c>
      <c r="E131" s="38">
        <v>300</v>
      </c>
      <c r="F131" s="80">
        <f>MATERIALES2!E13</f>
        <v>420</v>
      </c>
      <c r="G131" s="110">
        <f>ROUND(E131*F131,0)</f>
        <v>126000</v>
      </c>
    </row>
    <row r="132" spans="1:8" ht="14.25">
      <c r="A132" s="95">
        <f>MATERIALES2!B20</f>
        <v>20201</v>
      </c>
      <c r="B132" s="835" t="str">
        <f>MATERIALES2!C20</f>
        <v xml:space="preserve">ARENA </v>
      </c>
      <c r="C132" s="836"/>
      <c r="D132" s="37" t="s">
        <v>1066</v>
      </c>
      <c r="E132" s="55">
        <v>0.48</v>
      </c>
      <c r="F132" s="82">
        <f>MATERIALES2!E20</f>
        <v>35000</v>
      </c>
      <c r="G132" s="111">
        <f>ROUND(E132*F132,0)</f>
        <v>16800</v>
      </c>
    </row>
    <row r="133" spans="1:8" ht="14.25">
      <c r="A133" s="95">
        <f>MATERIALES2!B27</f>
        <v>20207</v>
      </c>
      <c r="B133" s="835" t="str">
        <f>MATERIALES2!C27</f>
        <v>TRITURADO 3/4 "</v>
      </c>
      <c r="C133" s="836"/>
      <c r="D133" s="37" t="s">
        <v>1066</v>
      </c>
      <c r="E133" s="55">
        <v>0.95</v>
      </c>
      <c r="F133" s="82">
        <f>MATERIALES2!E27</f>
        <v>78000</v>
      </c>
      <c r="G133" s="111">
        <f>ROUND(E133*F133,0)</f>
        <v>74100</v>
      </c>
    </row>
    <row r="134" spans="1:8">
      <c r="A134" s="95">
        <f>MATERIALES2!B28</f>
        <v>20208</v>
      </c>
      <c r="B134" s="835" t="str">
        <f>MATERIALES2!C28</f>
        <v>AGUA</v>
      </c>
      <c r="C134" s="836"/>
      <c r="D134" s="37" t="s">
        <v>1071</v>
      </c>
      <c r="E134" s="55">
        <v>204</v>
      </c>
      <c r="F134" s="82">
        <f>MATERIALES2!E28</f>
        <v>50</v>
      </c>
      <c r="G134" s="111">
        <f>ROUND(E134*F134,0)</f>
        <v>10200</v>
      </c>
      <c r="H134" s="505" t="s">
        <v>1670</v>
      </c>
    </row>
    <row r="135" spans="1:8">
      <c r="B135" s="837"/>
      <c r="C135" s="838"/>
      <c r="D135" s="37"/>
      <c r="E135" s="55"/>
      <c r="F135" s="82"/>
      <c r="G135" s="111"/>
    </row>
    <row r="136" spans="1:8">
      <c r="B136" s="837"/>
      <c r="C136" s="838"/>
      <c r="D136" s="53" t="s">
        <v>841</v>
      </c>
      <c r="E136" s="53"/>
      <c r="F136" s="82"/>
      <c r="G136" s="111"/>
    </row>
    <row r="137" spans="1:8">
      <c r="B137" s="837" t="s">
        <v>841</v>
      </c>
      <c r="C137" s="838"/>
      <c r="D137" s="53" t="s">
        <v>841</v>
      </c>
      <c r="E137" s="53"/>
      <c r="F137" s="82"/>
      <c r="G137" s="111"/>
    </row>
    <row r="138" spans="1:8">
      <c r="B138" s="837" t="s">
        <v>841</v>
      </c>
      <c r="C138" s="838"/>
      <c r="D138" s="53" t="s">
        <v>841</v>
      </c>
      <c r="E138" s="53"/>
      <c r="F138" s="82"/>
      <c r="G138" s="111"/>
    </row>
    <row r="139" spans="1:8" ht="13.5" thickBot="1">
      <c r="B139" s="839" t="s">
        <v>841</v>
      </c>
      <c r="C139" s="840"/>
      <c r="D139" s="84" t="s">
        <v>841</v>
      </c>
      <c r="E139" s="84"/>
      <c r="F139" s="85"/>
      <c r="G139" s="112"/>
    </row>
    <row r="140" spans="1:8" ht="13.5" thickTop="1">
      <c r="B140" s="808"/>
      <c r="C140" s="809"/>
      <c r="D140" s="801" t="s">
        <v>856</v>
      </c>
      <c r="E140" s="802"/>
      <c r="F140" s="9"/>
      <c r="G140" s="113">
        <f>SUM(G131:G139)</f>
        <v>227100</v>
      </c>
    </row>
    <row r="141" spans="1:8">
      <c r="B141" s="819"/>
      <c r="C141" s="820"/>
      <c r="D141" s="801" t="s">
        <v>857</v>
      </c>
      <c r="E141" s="802"/>
      <c r="F141" s="79">
        <f>'MANO DE OBRA'!D60</f>
        <v>0.05</v>
      </c>
      <c r="G141" s="113">
        <f>ROUND(G140*F141,0)</f>
        <v>11355</v>
      </c>
    </row>
    <row r="142" spans="1:8" ht="13.5" thickBot="1">
      <c r="B142" s="819"/>
      <c r="C142" s="820"/>
      <c r="D142" s="803" t="s">
        <v>320</v>
      </c>
      <c r="E142" s="804"/>
      <c r="F142" s="114"/>
      <c r="G142" s="118">
        <f>+G140+G141</f>
        <v>238455</v>
      </c>
    </row>
    <row r="143" spans="1:8" ht="14.25" thickTop="1" thickBot="1">
      <c r="B143" s="830"/>
      <c r="C143" s="830"/>
      <c r="D143" s="830"/>
      <c r="E143" s="830"/>
      <c r="F143" s="830"/>
      <c r="G143" s="830"/>
    </row>
    <row r="144" spans="1:8" ht="13.5" thickTop="1">
      <c r="B144" s="811" t="s">
        <v>858</v>
      </c>
      <c r="C144" s="812"/>
      <c r="D144" s="812"/>
      <c r="E144" s="812"/>
      <c r="F144" s="812"/>
      <c r="G144" s="825"/>
    </row>
    <row r="145" spans="1:7">
      <c r="B145" s="817"/>
      <c r="C145" s="818"/>
      <c r="D145" s="98" t="s">
        <v>301</v>
      </c>
      <c r="E145" s="98" t="s">
        <v>859</v>
      </c>
      <c r="F145" s="99" t="s">
        <v>839</v>
      </c>
      <c r="G145" s="107" t="s">
        <v>840</v>
      </c>
    </row>
    <row r="146" spans="1:7">
      <c r="B146" s="821" t="s">
        <v>838</v>
      </c>
      <c r="C146" s="822"/>
      <c r="D146" s="100" t="s">
        <v>316</v>
      </c>
      <c r="E146" s="100" t="s">
        <v>315</v>
      </c>
      <c r="F146" s="101" t="s">
        <v>306</v>
      </c>
      <c r="G146" s="108" t="s">
        <v>319</v>
      </c>
    </row>
    <row r="147" spans="1:7">
      <c r="B147" s="230"/>
      <c r="C147" s="102"/>
      <c r="D147" s="103"/>
      <c r="E147" s="103" t="s">
        <v>317</v>
      </c>
      <c r="F147" s="104" t="s">
        <v>318</v>
      </c>
      <c r="G147" s="109"/>
    </row>
    <row r="148" spans="1:7">
      <c r="A148" s="95">
        <f>'MANO DE OBRA'!A10</f>
        <v>30101</v>
      </c>
      <c r="B148" s="823" t="str">
        <f>'MANO DE OBRA'!B10</f>
        <v>AYUDANTE CUAD. TIPO AA</v>
      </c>
      <c r="C148" s="824"/>
      <c r="D148" s="87">
        <v>5</v>
      </c>
      <c r="E148" s="80">
        <f>'MANO DE OBRA'!E10</f>
        <v>34680</v>
      </c>
      <c r="F148" s="81">
        <v>3</v>
      </c>
      <c r="G148" s="110">
        <f>ROUND(D148*E148/F148,0)</f>
        <v>57800</v>
      </c>
    </row>
    <row r="149" spans="1:7">
      <c r="A149" s="95">
        <f>'MANO DE OBRA'!A15</f>
        <v>30106</v>
      </c>
      <c r="B149" s="835" t="str">
        <f>'MANO DE OBRA'!B15</f>
        <v xml:space="preserve">OFICIAL CUAD. TIPO AA </v>
      </c>
      <c r="C149" s="836"/>
      <c r="D149" s="37">
        <v>1</v>
      </c>
      <c r="E149" s="82">
        <f>'MANO DE OBRA'!E15</f>
        <v>71474</v>
      </c>
      <c r="F149" s="83">
        <v>2</v>
      </c>
      <c r="G149" s="111">
        <f>ROUND(D149*E149/F149,0)</f>
        <v>35737</v>
      </c>
    </row>
    <row r="150" spans="1:7">
      <c r="B150" s="835"/>
      <c r="C150" s="836"/>
      <c r="D150" s="89"/>
      <c r="E150" s="82"/>
      <c r="F150" s="83"/>
      <c r="G150" s="111"/>
    </row>
    <row r="151" spans="1:7">
      <c r="B151" s="835" t="s">
        <v>841</v>
      </c>
      <c r="C151" s="836"/>
      <c r="D151" s="37"/>
      <c r="E151" s="82"/>
      <c r="F151" s="83"/>
      <c r="G151" s="111"/>
    </row>
    <row r="152" spans="1:7" ht="13.5" thickBot="1">
      <c r="B152" s="828" t="s">
        <v>841</v>
      </c>
      <c r="C152" s="829"/>
      <c r="D152" s="77"/>
      <c r="E152" s="82"/>
      <c r="F152" s="86"/>
      <c r="G152" s="112"/>
    </row>
    <row r="153" spans="1:7" ht="14.25" thickTop="1" thickBot="1">
      <c r="B153" s="808"/>
      <c r="C153" s="808"/>
      <c r="D153" s="808"/>
      <c r="E153" s="809"/>
      <c r="F153" s="120" t="s">
        <v>856</v>
      </c>
      <c r="G153" s="118">
        <f>SUM(G148:G152)</f>
        <v>93537</v>
      </c>
    </row>
    <row r="154" spans="1:7" ht="14.25" thickTop="1" thickBot="1">
      <c r="B154" s="810"/>
      <c r="C154" s="810"/>
      <c r="D154" s="810"/>
      <c r="E154" s="810"/>
      <c r="F154" s="810"/>
      <c r="G154" s="810"/>
    </row>
    <row r="155" spans="1:7" ht="13.5" thickTop="1">
      <c r="B155" s="811" t="s">
        <v>321</v>
      </c>
      <c r="C155" s="812"/>
      <c r="D155" s="812"/>
      <c r="E155" s="812"/>
      <c r="F155" s="812"/>
      <c r="G155" s="825"/>
    </row>
    <row r="156" spans="1:7">
      <c r="B156" s="817" t="s">
        <v>838</v>
      </c>
      <c r="C156" s="818"/>
      <c r="D156" s="98" t="s">
        <v>301</v>
      </c>
      <c r="E156" s="98" t="s">
        <v>297</v>
      </c>
      <c r="F156" s="99" t="s">
        <v>839</v>
      </c>
      <c r="G156" s="107" t="s">
        <v>840</v>
      </c>
    </row>
    <row r="157" spans="1:7">
      <c r="B157" s="230"/>
      <c r="C157" s="102"/>
      <c r="D157" s="103" t="s">
        <v>322</v>
      </c>
      <c r="E157" s="103" t="s">
        <v>323</v>
      </c>
      <c r="F157" s="104" t="s">
        <v>324</v>
      </c>
      <c r="G157" s="109" t="s">
        <v>325</v>
      </c>
    </row>
    <row r="158" spans="1:7">
      <c r="B158" s="826"/>
      <c r="C158" s="827"/>
      <c r="D158" s="96"/>
      <c r="E158" s="96"/>
      <c r="F158" s="96"/>
      <c r="G158" s="116"/>
    </row>
    <row r="159" spans="1:7" ht="13.5" thickBot="1">
      <c r="B159" s="828" t="s">
        <v>841</v>
      </c>
      <c r="C159" s="829"/>
      <c r="D159" s="77"/>
      <c r="E159" s="82"/>
      <c r="F159" s="86"/>
      <c r="G159" s="112"/>
    </row>
    <row r="160" spans="1:7" ht="14.25" thickTop="1" thickBot="1">
      <c r="B160" s="808"/>
      <c r="C160" s="808"/>
      <c r="D160" s="808"/>
      <c r="E160" s="809"/>
      <c r="F160" s="120" t="s">
        <v>856</v>
      </c>
      <c r="G160" s="118">
        <f>SUM(G155:G159)</f>
        <v>0</v>
      </c>
    </row>
    <row r="161" spans="1:8" ht="14.25" thickTop="1" thickBot="1">
      <c r="B161" s="810"/>
      <c r="C161" s="810"/>
      <c r="D161" s="810"/>
      <c r="E161" s="810"/>
      <c r="F161" s="810"/>
      <c r="G161" s="834"/>
    </row>
    <row r="162" spans="1:8" ht="13.5" thickTop="1">
      <c r="B162" s="811" t="s">
        <v>326</v>
      </c>
      <c r="C162" s="812"/>
      <c r="D162" s="812"/>
      <c r="E162" s="812"/>
      <c r="F162" s="813"/>
      <c r="G162" s="121">
        <f>+G126+G142+G153</f>
        <v>351669</v>
      </c>
    </row>
    <row r="163" spans="1:8">
      <c r="B163" s="814" t="s">
        <v>861</v>
      </c>
      <c r="C163" s="815"/>
      <c r="D163" s="815"/>
      <c r="E163" s="816"/>
      <c r="F163" s="117">
        <v>0</v>
      </c>
      <c r="G163" s="122">
        <f>ROUND(G162*F163/100,0)</f>
        <v>0</v>
      </c>
    </row>
    <row r="164" spans="1:8" ht="13.5" thickBot="1">
      <c r="B164" s="805" t="s">
        <v>1049</v>
      </c>
      <c r="C164" s="806"/>
      <c r="D164" s="806"/>
      <c r="E164" s="806"/>
      <c r="F164" s="807"/>
      <c r="G164" s="118">
        <f>ROUND(G162+G163,-2)</f>
        <v>351700</v>
      </c>
      <c r="H164" s="505" t="s">
        <v>1670</v>
      </c>
    </row>
    <row r="165" spans="1:8" ht="15" thickTop="1">
      <c r="B165" s="225" t="s">
        <v>303</v>
      </c>
      <c r="C165" s="843"/>
      <c r="D165" s="843"/>
      <c r="E165" s="843"/>
      <c r="F165" s="92" t="s">
        <v>781</v>
      </c>
      <c r="G165" s="93" t="s">
        <v>1066</v>
      </c>
    </row>
    <row r="166" spans="1:8">
      <c r="A166" s="95" t="s">
        <v>832</v>
      </c>
      <c r="B166" s="226" t="s">
        <v>834</v>
      </c>
      <c r="C166" s="844" t="s">
        <v>1102</v>
      </c>
      <c r="D166" s="844"/>
      <c r="E166" s="844"/>
      <c r="F166" s="15" t="s">
        <v>833</v>
      </c>
      <c r="G166" s="165" t="str">
        <f>'MANO DE OBRA'!D61</f>
        <v>Agosto de 2010</v>
      </c>
    </row>
    <row r="167" spans="1:8" ht="13.5" thickBot="1">
      <c r="A167" s="95">
        <f>MATERIALES2!B41</f>
        <v>20310</v>
      </c>
      <c r="B167" s="228" t="s">
        <v>835</v>
      </c>
      <c r="C167" s="845" t="s">
        <v>1104</v>
      </c>
      <c r="D167" s="845"/>
      <c r="E167" s="845"/>
      <c r="F167" s="845"/>
      <c r="G167" s="846"/>
    </row>
    <row r="168" spans="1:8" ht="14.25" thickTop="1" thickBot="1">
      <c r="B168" s="847"/>
      <c r="C168" s="847"/>
      <c r="D168" s="847"/>
      <c r="E168" s="847"/>
      <c r="F168" s="847"/>
      <c r="G168" s="847"/>
    </row>
    <row r="169" spans="1:8" ht="13.5" thickTop="1">
      <c r="B169" s="811" t="s">
        <v>304</v>
      </c>
      <c r="C169" s="812"/>
      <c r="D169" s="812"/>
      <c r="E169" s="812"/>
      <c r="F169" s="812"/>
      <c r="G169" s="825"/>
    </row>
    <row r="170" spans="1:8">
      <c r="B170" s="229"/>
      <c r="C170" s="97"/>
      <c r="D170" s="98" t="s">
        <v>301</v>
      </c>
      <c r="E170" s="98" t="s">
        <v>1072</v>
      </c>
      <c r="F170" s="99" t="s">
        <v>839</v>
      </c>
      <c r="G170" s="107" t="s">
        <v>840</v>
      </c>
    </row>
    <row r="171" spans="1:8">
      <c r="B171" s="821" t="s">
        <v>838</v>
      </c>
      <c r="C171" s="822"/>
      <c r="D171" s="100" t="s">
        <v>308</v>
      </c>
      <c r="E171" s="100" t="s">
        <v>305</v>
      </c>
      <c r="F171" s="101" t="s">
        <v>306</v>
      </c>
      <c r="G171" s="108" t="s">
        <v>310</v>
      </c>
    </row>
    <row r="172" spans="1:8">
      <c r="B172" s="230"/>
      <c r="C172" s="102"/>
      <c r="D172" s="103"/>
      <c r="E172" s="103" t="s">
        <v>309</v>
      </c>
      <c r="F172" s="104" t="s">
        <v>307</v>
      </c>
      <c r="G172" s="109"/>
    </row>
    <row r="173" spans="1:8">
      <c r="A173" s="95">
        <f>'MAQUINARIA Y EQUIPOS'!B49</f>
        <v>10142</v>
      </c>
      <c r="B173" s="823" t="str">
        <f>'MAQUINARIA Y EQUIPOS'!C50</f>
        <v>TROMPO DE BULTO</v>
      </c>
      <c r="C173" s="824"/>
      <c r="D173" s="87">
        <v>1</v>
      </c>
      <c r="E173" s="80">
        <f>'MAQUINARIA Y EQUIPOS'!D50</f>
        <v>75000</v>
      </c>
      <c r="F173" s="81">
        <v>5</v>
      </c>
      <c r="G173" s="110">
        <f>ROUND(D173*E173/F173,0)</f>
        <v>15000</v>
      </c>
    </row>
    <row r="174" spans="1:8">
      <c r="A174" s="95">
        <f>'MAQUINARIA Y EQUIPOS'!B27</f>
        <v>10120</v>
      </c>
      <c r="B174" s="835" t="str">
        <f>'MAQUINARIA Y EQUIPOS'!C28</f>
        <v>HERRAMIENTAS MENORES</v>
      </c>
      <c r="C174" s="836"/>
      <c r="D174" s="37">
        <v>1</v>
      </c>
      <c r="E174" s="82">
        <f>ROUND(G206*0.05,0)</f>
        <v>4677</v>
      </c>
      <c r="F174" s="83">
        <v>1</v>
      </c>
      <c r="G174" s="111">
        <f>ROUND(D174*E174/F174,0)</f>
        <v>4677</v>
      </c>
    </row>
    <row r="175" spans="1:8">
      <c r="B175" s="835"/>
      <c r="C175" s="836"/>
      <c r="D175" s="89"/>
      <c r="E175" s="82"/>
      <c r="F175" s="83"/>
      <c r="G175" s="111"/>
    </row>
    <row r="176" spans="1:8">
      <c r="B176" s="835"/>
      <c r="C176" s="836"/>
      <c r="D176" s="89"/>
      <c r="E176" s="82"/>
      <c r="F176" s="83"/>
      <c r="G176" s="111"/>
    </row>
    <row r="177" spans="1:8">
      <c r="B177" s="835" t="s">
        <v>841</v>
      </c>
      <c r="C177" s="836"/>
      <c r="D177" s="37"/>
      <c r="E177" s="82"/>
      <c r="F177" s="83"/>
      <c r="G177" s="111"/>
    </row>
    <row r="178" spans="1:8" ht="13.5" thickBot="1">
      <c r="B178" s="839" t="s">
        <v>841</v>
      </c>
      <c r="C178" s="840"/>
      <c r="D178" s="77"/>
      <c r="E178" s="106"/>
      <c r="F178" s="86"/>
      <c r="G178" s="112"/>
    </row>
    <row r="179" spans="1:8" ht="14.25" thickTop="1" thickBot="1">
      <c r="B179" s="808"/>
      <c r="C179" s="808"/>
      <c r="D179" s="808"/>
      <c r="E179" s="809"/>
      <c r="F179" s="119" t="s">
        <v>856</v>
      </c>
      <c r="G179" s="118">
        <f>SUM(G173:G178)</f>
        <v>19677</v>
      </c>
    </row>
    <row r="180" spans="1:8" ht="14.25" thickTop="1" thickBot="1">
      <c r="B180" s="830"/>
      <c r="C180" s="830"/>
      <c r="D180" s="830"/>
      <c r="E180" s="830"/>
      <c r="F180" s="830"/>
      <c r="G180" s="830"/>
    </row>
    <row r="181" spans="1:8" ht="13.5" thickTop="1">
      <c r="B181" s="811" t="s">
        <v>311</v>
      </c>
      <c r="C181" s="812"/>
      <c r="D181" s="812"/>
      <c r="E181" s="812"/>
      <c r="F181" s="812"/>
      <c r="G181" s="825"/>
    </row>
    <row r="182" spans="1:8">
      <c r="B182" s="817" t="s">
        <v>838</v>
      </c>
      <c r="C182" s="818"/>
      <c r="D182" s="98" t="s">
        <v>842</v>
      </c>
      <c r="E182" s="98" t="s">
        <v>853</v>
      </c>
      <c r="F182" s="99" t="s">
        <v>1047</v>
      </c>
      <c r="G182" s="107" t="s">
        <v>840</v>
      </c>
    </row>
    <row r="183" spans="1:8">
      <c r="B183" s="230"/>
      <c r="C183" s="102"/>
      <c r="D183" s="100"/>
      <c r="E183" s="100" t="s">
        <v>312</v>
      </c>
      <c r="F183" s="101" t="s">
        <v>313</v>
      </c>
      <c r="G183" s="108" t="s">
        <v>314</v>
      </c>
    </row>
    <row r="184" spans="1:8">
      <c r="A184" s="95">
        <f>MATERIALES2!B13</f>
        <v>20104</v>
      </c>
      <c r="B184" s="841" t="str">
        <f>MATERIALES2!C13</f>
        <v>CEMENTO GRIS</v>
      </c>
      <c r="C184" s="842"/>
      <c r="D184" s="87" t="s">
        <v>925</v>
      </c>
      <c r="E184" s="38">
        <v>230</v>
      </c>
      <c r="F184" s="80">
        <f>MATERIALES2!E13</f>
        <v>420</v>
      </c>
      <c r="G184" s="110">
        <f>ROUND(E184*F184,0)</f>
        <v>96600</v>
      </c>
    </row>
    <row r="185" spans="1:8" ht="14.25">
      <c r="A185" s="95">
        <f>MATERIALES2!B20</f>
        <v>20201</v>
      </c>
      <c r="B185" s="835" t="str">
        <f>MATERIALES2!C20</f>
        <v xml:space="preserve">ARENA </v>
      </c>
      <c r="C185" s="836"/>
      <c r="D185" s="37" t="s">
        <v>1066</v>
      </c>
      <c r="E185" s="55">
        <v>0.56000000000000005</v>
      </c>
      <c r="F185" s="82">
        <f>MATERIALES2!E20</f>
        <v>35000</v>
      </c>
      <c r="G185" s="111">
        <f>ROUND(E185*F185,0)</f>
        <v>19600</v>
      </c>
    </row>
    <row r="186" spans="1:8" ht="14.25">
      <c r="A186" s="95">
        <f>MATERIALES2!B27</f>
        <v>20207</v>
      </c>
      <c r="B186" s="835" t="str">
        <f>MATERIALES2!C27</f>
        <v>TRITURADO 3/4 "</v>
      </c>
      <c r="C186" s="836"/>
      <c r="D186" s="37" t="s">
        <v>1066</v>
      </c>
      <c r="E186" s="55">
        <v>0.92</v>
      </c>
      <c r="F186" s="82">
        <f>MATERIALES2!E27</f>
        <v>78000</v>
      </c>
      <c r="G186" s="111">
        <f>ROUND(E186*F186,0)</f>
        <v>71760</v>
      </c>
    </row>
    <row r="187" spans="1:8">
      <c r="A187" s="95">
        <f>MATERIALES2!B28</f>
        <v>20208</v>
      </c>
      <c r="B187" s="835" t="str">
        <f>MATERIALES2!C28</f>
        <v>AGUA</v>
      </c>
      <c r="C187" s="836"/>
      <c r="D187" s="37" t="s">
        <v>1071</v>
      </c>
      <c r="E187" s="55">
        <v>165</v>
      </c>
      <c r="F187" s="82">
        <f>MATERIALES2!E28</f>
        <v>50</v>
      </c>
      <c r="G187" s="111">
        <f>ROUND(E187*F187,0)</f>
        <v>8250</v>
      </c>
      <c r="H187" s="505" t="s">
        <v>1670</v>
      </c>
    </row>
    <row r="188" spans="1:8">
      <c r="B188" s="837"/>
      <c r="C188" s="838"/>
      <c r="D188" s="37"/>
      <c r="E188" s="55"/>
      <c r="F188" s="82"/>
      <c r="G188" s="111"/>
    </row>
    <row r="189" spans="1:8">
      <c r="B189" s="837"/>
      <c r="C189" s="838"/>
      <c r="D189" s="53" t="s">
        <v>841</v>
      </c>
      <c r="E189" s="53"/>
      <c r="F189" s="82"/>
      <c r="G189" s="111"/>
    </row>
    <row r="190" spans="1:8">
      <c r="B190" s="837" t="s">
        <v>841</v>
      </c>
      <c r="C190" s="838"/>
      <c r="D190" s="53" t="s">
        <v>841</v>
      </c>
      <c r="E190" s="53"/>
      <c r="F190" s="82"/>
      <c r="G190" s="111"/>
    </row>
    <row r="191" spans="1:8">
      <c r="B191" s="837" t="s">
        <v>841</v>
      </c>
      <c r="C191" s="838"/>
      <c r="D191" s="53" t="s">
        <v>841</v>
      </c>
      <c r="E191" s="53"/>
      <c r="F191" s="82"/>
      <c r="G191" s="111"/>
    </row>
    <row r="192" spans="1:8" ht="13.5" thickBot="1">
      <c r="B192" s="839" t="s">
        <v>841</v>
      </c>
      <c r="C192" s="840"/>
      <c r="D192" s="84" t="s">
        <v>841</v>
      </c>
      <c r="E192" s="84"/>
      <c r="F192" s="85"/>
      <c r="G192" s="112"/>
    </row>
    <row r="193" spans="1:9" ht="13.5" thickTop="1">
      <c r="B193" s="808"/>
      <c r="C193" s="809"/>
      <c r="D193" s="801" t="s">
        <v>856</v>
      </c>
      <c r="E193" s="802"/>
      <c r="F193" s="9"/>
      <c r="G193" s="113">
        <f>SUM(G184:G192)</f>
        <v>196210</v>
      </c>
    </row>
    <row r="194" spans="1:9">
      <c r="B194" s="819"/>
      <c r="C194" s="820"/>
      <c r="D194" s="801" t="s">
        <v>857</v>
      </c>
      <c r="E194" s="802"/>
      <c r="F194" s="79">
        <f>'MANO DE OBRA'!D60</f>
        <v>0.05</v>
      </c>
      <c r="G194" s="113">
        <f>ROUND(G193*F194,0)</f>
        <v>9811</v>
      </c>
    </row>
    <row r="195" spans="1:9" ht="13.5" thickBot="1">
      <c r="B195" s="819"/>
      <c r="C195" s="820"/>
      <c r="D195" s="803" t="s">
        <v>320</v>
      </c>
      <c r="E195" s="804"/>
      <c r="F195" s="114"/>
      <c r="G195" s="118">
        <f>+G193+G194</f>
        <v>206021</v>
      </c>
    </row>
    <row r="196" spans="1:9" ht="14.25" thickTop="1" thickBot="1">
      <c r="B196" s="830"/>
      <c r="C196" s="830"/>
      <c r="D196" s="830"/>
      <c r="E196" s="830"/>
      <c r="F196" s="830"/>
      <c r="G196" s="830"/>
    </row>
    <row r="197" spans="1:9" ht="13.5" thickTop="1">
      <c r="B197" s="811" t="s">
        <v>858</v>
      </c>
      <c r="C197" s="812"/>
      <c r="D197" s="812"/>
      <c r="E197" s="812"/>
      <c r="F197" s="812"/>
      <c r="G197" s="825"/>
    </row>
    <row r="198" spans="1:9">
      <c r="B198" s="817"/>
      <c r="C198" s="818"/>
      <c r="D198" s="98" t="s">
        <v>301</v>
      </c>
      <c r="E198" s="98" t="s">
        <v>859</v>
      </c>
      <c r="F198" s="99" t="s">
        <v>839</v>
      </c>
      <c r="G198" s="107" t="s">
        <v>840</v>
      </c>
    </row>
    <row r="199" spans="1:9">
      <c r="B199" s="821" t="s">
        <v>838</v>
      </c>
      <c r="C199" s="822"/>
      <c r="D199" s="100" t="s">
        <v>316</v>
      </c>
      <c r="E199" s="100" t="s">
        <v>315</v>
      </c>
      <c r="F199" s="101" t="s">
        <v>306</v>
      </c>
      <c r="G199" s="108" t="s">
        <v>319</v>
      </c>
    </row>
    <row r="200" spans="1:9">
      <c r="B200" s="230"/>
      <c r="C200" s="102"/>
      <c r="D200" s="103"/>
      <c r="E200" s="103" t="s">
        <v>317</v>
      </c>
      <c r="F200" s="104" t="s">
        <v>318</v>
      </c>
      <c r="G200" s="109"/>
    </row>
    <row r="201" spans="1:9">
      <c r="A201" s="95">
        <f>'MANO DE OBRA'!A10</f>
        <v>30101</v>
      </c>
      <c r="B201" s="823" t="str">
        <f>'MANO DE OBRA'!B10</f>
        <v>AYUDANTE CUAD. TIPO AA</v>
      </c>
      <c r="C201" s="824"/>
      <c r="D201" s="87">
        <v>5</v>
      </c>
      <c r="E201" s="80">
        <f>'MANO DE OBRA'!E10</f>
        <v>34680</v>
      </c>
      <c r="F201" s="81">
        <v>3</v>
      </c>
      <c r="G201" s="110">
        <f>ROUND(D201*E201/F201,0)</f>
        <v>57800</v>
      </c>
    </row>
    <row r="202" spans="1:9">
      <c r="A202" s="95">
        <f>'MANO DE OBRA'!A15</f>
        <v>30106</v>
      </c>
      <c r="B202" s="835" t="str">
        <f>'MANO DE OBRA'!B15</f>
        <v xml:space="preserve">OFICIAL CUAD. TIPO AA </v>
      </c>
      <c r="C202" s="836"/>
      <c r="D202" s="37">
        <v>1</v>
      </c>
      <c r="E202" s="82">
        <f>'MANO DE OBRA'!E15</f>
        <v>71474</v>
      </c>
      <c r="F202" s="83">
        <v>2</v>
      </c>
      <c r="G202" s="111">
        <f>ROUND(D202*E202/F202,0)</f>
        <v>35737</v>
      </c>
    </row>
    <row r="203" spans="1:9">
      <c r="B203" s="835"/>
      <c r="C203" s="836"/>
      <c r="D203" s="89"/>
      <c r="E203" s="82"/>
      <c r="F203" s="83"/>
      <c r="G203" s="111"/>
      <c r="I203" s="13"/>
    </row>
    <row r="204" spans="1:9">
      <c r="B204" s="835" t="s">
        <v>841</v>
      </c>
      <c r="C204" s="836"/>
      <c r="D204" s="37"/>
      <c r="E204" s="82"/>
      <c r="F204" s="83"/>
      <c r="G204" s="111"/>
      <c r="I204" s="13"/>
    </row>
    <row r="205" spans="1:9" ht="13.5" thickBot="1">
      <c r="B205" s="828" t="s">
        <v>841</v>
      </c>
      <c r="C205" s="829"/>
      <c r="D205" s="77"/>
      <c r="E205" s="82"/>
      <c r="F205" s="86"/>
      <c r="G205" s="112"/>
      <c r="I205" s="13"/>
    </row>
    <row r="206" spans="1:9" ht="14.25" thickTop="1" thickBot="1">
      <c r="B206" s="808"/>
      <c r="C206" s="808"/>
      <c r="D206" s="808"/>
      <c r="E206" s="809"/>
      <c r="F206" s="120" t="s">
        <v>856</v>
      </c>
      <c r="G206" s="118">
        <f>SUM(G201:G205)</f>
        <v>93537</v>
      </c>
      <c r="I206" s="13"/>
    </row>
    <row r="207" spans="1:9" ht="14.25" thickTop="1" thickBot="1">
      <c r="B207" s="810"/>
      <c r="C207" s="810"/>
      <c r="D207" s="810"/>
      <c r="E207" s="810"/>
      <c r="F207" s="810"/>
      <c r="G207" s="810"/>
    </row>
    <row r="208" spans="1:9" ht="13.5" thickTop="1">
      <c r="B208" s="811" t="s">
        <v>321</v>
      </c>
      <c r="C208" s="812"/>
      <c r="D208" s="812"/>
      <c r="E208" s="812"/>
      <c r="F208" s="812"/>
      <c r="G208" s="825"/>
    </row>
    <row r="209" spans="1:8">
      <c r="B209" s="817" t="s">
        <v>838</v>
      </c>
      <c r="C209" s="818"/>
      <c r="D209" s="98" t="s">
        <v>301</v>
      </c>
      <c r="E209" s="98" t="s">
        <v>297</v>
      </c>
      <c r="F209" s="99" t="s">
        <v>839</v>
      </c>
      <c r="G209" s="107" t="s">
        <v>840</v>
      </c>
    </row>
    <row r="210" spans="1:8">
      <c r="B210" s="230"/>
      <c r="C210" s="102"/>
      <c r="D210" s="103" t="s">
        <v>322</v>
      </c>
      <c r="E210" s="103" t="s">
        <v>323</v>
      </c>
      <c r="F210" s="104" t="s">
        <v>324</v>
      </c>
      <c r="G210" s="109" t="s">
        <v>325</v>
      </c>
    </row>
    <row r="211" spans="1:8">
      <c r="B211" s="826"/>
      <c r="C211" s="827"/>
      <c r="D211" s="96"/>
      <c r="E211" s="96"/>
      <c r="F211" s="96"/>
      <c r="G211" s="116"/>
    </row>
    <row r="212" spans="1:8" ht="13.5" thickBot="1">
      <c r="B212" s="828" t="s">
        <v>841</v>
      </c>
      <c r="C212" s="829"/>
      <c r="D212" s="77"/>
      <c r="E212" s="82"/>
      <c r="F212" s="86"/>
      <c r="G212" s="112"/>
    </row>
    <row r="213" spans="1:8" ht="14.25" thickTop="1" thickBot="1">
      <c r="B213" s="808"/>
      <c r="C213" s="808"/>
      <c r="D213" s="808"/>
      <c r="E213" s="809"/>
      <c r="F213" s="120" t="s">
        <v>856</v>
      </c>
      <c r="G213" s="118">
        <f>SUM(G208:G212)</f>
        <v>0</v>
      </c>
    </row>
    <row r="214" spans="1:8" ht="14.25" thickTop="1" thickBot="1">
      <c r="B214" s="810"/>
      <c r="C214" s="810"/>
      <c r="D214" s="810"/>
      <c r="E214" s="810"/>
      <c r="F214" s="810"/>
      <c r="G214" s="834"/>
    </row>
    <row r="215" spans="1:8" ht="13.5" thickTop="1">
      <c r="B215" s="811" t="s">
        <v>326</v>
      </c>
      <c r="C215" s="812"/>
      <c r="D215" s="812"/>
      <c r="E215" s="812"/>
      <c r="F215" s="813"/>
      <c r="G215" s="121">
        <f>+G179+G195+G206</f>
        <v>319235</v>
      </c>
    </row>
    <row r="216" spans="1:8">
      <c r="B216" s="814" t="s">
        <v>861</v>
      </c>
      <c r="C216" s="815"/>
      <c r="D216" s="815"/>
      <c r="E216" s="816"/>
      <c r="F216" s="117">
        <v>0</v>
      </c>
      <c r="G216" s="122">
        <f>ROUND(G215*F216/100,0)</f>
        <v>0</v>
      </c>
    </row>
    <row r="217" spans="1:8" ht="13.5" thickBot="1">
      <c r="B217" s="805" t="s">
        <v>1049</v>
      </c>
      <c r="C217" s="806"/>
      <c r="D217" s="806"/>
      <c r="E217" s="806"/>
      <c r="F217" s="807"/>
      <c r="G217" s="118">
        <f>ROUND(G215+G216,-2)</f>
        <v>319200</v>
      </c>
      <c r="H217" s="505" t="s">
        <v>1670</v>
      </c>
    </row>
    <row r="218" spans="1:8" ht="15" thickTop="1">
      <c r="B218" s="225" t="s">
        <v>303</v>
      </c>
      <c r="C218" s="843"/>
      <c r="D218" s="843"/>
      <c r="E218" s="843"/>
      <c r="F218" s="92" t="s">
        <v>781</v>
      </c>
      <c r="G218" s="93" t="s">
        <v>1066</v>
      </c>
    </row>
    <row r="219" spans="1:8">
      <c r="A219" s="95" t="s">
        <v>832</v>
      </c>
      <c r="B219" s="226" t="s">
        <v>834</v>
      </c>
      <c r="C219" s="844" t="s">
        <v>1102</v>
      </c>
      <c r="D219" s="844"/>
      <c r="E219" s="844"/>
      <c r="F219" s="15" t="s">
        <v>833</v>
      </c>
      <c r="G219" s="165" t="str">
        <f>'MANO DE OBRA'!D61</f>
        <v>Agosto de 2010</v>
      </c>
    </row>
    <row r="220" spans="1:8" ht="13.5" thickBot="1">
      <c r="A220" s="95">
        <f>MATERIALES2!B46</f>
        <v>20401</v>
      </c>
      <c r="B220" s="228" t="s">
        <v>835</v>
      </c>
      <c r="C220" s="845" t="s">
        <v>1106</v>
      </c>
      <c r="D220" s="845"/>
      <c r="E220" s="845"/>
      <c r="F220" s="845"/>
      <c r="G220" s="846"/>
    </row>
    <row r="221" spans="1:8" ht="14.25" thickTop="1" thickBot="1">
      <c r="B221" s="847"/>
      <c r="C221" s="847"/>
      <c r="D221" s="847"/>
      <c r="E221" s="847"/>
      <c r="F221" s="847"/>
      <c r="G221" s="847"/>
    </row>
    <row r="222" spans="1:8" ht="13.5" thickTop="1">
      <c r="B222" s="811" t="s">
        <v>304</v>
      </c>
      <c r="C222" s="812"/>
      <c r="D222" s="812"/>
      <c r="E222" s="812"/>
      <c r="F222" s="812"/>
      <c r="G222" s="825"/>
    </row>
    <row r="223" spans="1:8">
      <c r="B223" s="229"/>
      <c r="C223" s="97"/>
      <c r="D223" s="98" t="s">
        <v>301</v>
      </c>
      <c r="E223" s="98" t="s">
        <v>1072</v>
      </c>
      <c r="F223" s="99" t="s">
        <v>839</v>
      </c>
      <c r="G223" s="107" t="s">
        <v>840</v>
      </c>
    </row>
    <row r="224" spans="1:8">
      <c r="B224" s="821" t="s">
        <v>838</v>
      </c>
      <c r="C224" s="822"/>
      <c r="D224" s="100" t="s">
        <v>308</v>
      </c>
      <c r="E224" s="100" t="s">
        <v>305</v>
      </c>
      <c r="F224" s="101" t="s">
        <v>306</v>
      </c>
      <c r="G224" s="108" t="s">
        <v>310</v>
      </c>
    </row>
    <row r="225" spans="1:7">
      <c r="B225" s="230"/>
      <c r="C225" s="102"/>
      <c r="D225" s="103"/>
      <c r="E225" s="103" t="s">
        <v>309</v>
      </c>
      <c r="F225" s="104" t="s">
        <v>307</v>
      </c>
      <c r="G225" s="109"/>
    </row>
    <row r="226" spans="1:7">
      <c r="A226" s="95">
        <f>'MAQUINARIA Y EQUIPOS'!B49</f>
        <v>10142</v>
      </c>
      <c r="B226" s="823" t="str">
        <f>'MAQUINARIA Y EQUIPOS'!C50</f>
        <v>TROMPO DE BULTO</v>
      </c>
      <c r="C226" s="824"/>
      <c r="D226" s="87">
        <v>1</v>
      </c>
      <c r="E226" s="80">
        <f>'MAQUINARIA Y EQUIPOS'!D50</f>
        <v>75000</v>
      </c>
      <c r="F226" s="81">
        <v>5</v>
      </c>
      <c r="G226" s="110">
        <f>ROUND(D226*E226/F226,0)</f>
        <v>15000</v>
      </c>
    </row>
    <row r="227" spans="1:7">
      <c r="A227" s="95">
        <f>'MAQUINARIA Y EQUIPOS'!B27</f>
        <v>10120</v>
      </c>
      <c r="B227" s="835" t="str">
        <f>'MAQUINARIA Y EQUIPOS'!C28</f>
        <v>HERRAMIENTAS MENORES</v>
      </c>
      <c r="C227" s="836"/>
      <c r="D227" s="37">
        <v>1</v>
      </c>
      <c r="E227" s="82">
        <f>ROUND(G259*0.05,0)</f>
        <v>4677</v>
      </c>
      <c r="F227" s="83">
        <v>1</v>
      </c>
      <c r="G227" s="111">
        <f>ROUND(D227*E227/F227,0)</f>
        <v>4677</v>
      </c>
    </row>
    <row r="228" spans="1:7">
      <c r="B228" s="835"/>
      <c r="C228" s="836"/>
      <c r="D228" s="89"/>
      <c r="E228" s="82"/>
      <c r="F228" s="83"/>
      <c r="G228" s="111"/>
    </row>
    <row r="229" spans="1:7">
      <c r="B229" s="835"/>
      <c r="C229" s="836"/>
      <c r="D229" s="89"/>
      <c r="E229" s="82"/>
      <c r="F229" s="83"/>
      <c r="G229" s="111"/>
    </row>
    <row r="230" spans="1:7">
      <c r="B230" s="835" t="s">
        <v>841</v>
      </c>
      <c r="C230" s="836"/>
      <c r="D230" s="37"/>
      <c r="E230" s="82"/>
      <c r="F230" s="83"/>
      <c r="G230" s="111"/>
    </row>
    <row r="231" spans="1:7" ht="13.5" thickBot="1">
      <c r="B231" s="839" t="s">
        <v>841</v>
      </c>
      <c r="C231" s="840"/>
      <c r="D231" s="77"/>
      <c r="E231" s="106"/>
      <c r="F231" s="86"/>
      <c r="G231" s="112"/>
    </row>
    <row r="232" spans="1:7" ht="14.25" thickTop="1" thickBot="1">
      <c r="B232" s="808"/>
      <c r="C232" s="808"/>
      <c r="D232" s="808"/>
      <c r="E232" s="809"/>
      <c r="F232" s="119" t="s">
        <v>856</v>
      </c>
      <c r="G232" s="118">
        <f>SUM(G226:G231)</f>
        <v>19677</v>
      </c>
    </row>
    <row r="233" spans="1:7" ht="14.25" thickTop="1" thickBot="1">
      <c r="B233" s="830"/>
      <c r="C233" s="830"/>
      <c r="D233" s="830"/>
      <c r="E233" s="830"/>
      <c r="F233" s="830"/>
      <c r="G233" s="830"/>
    </row>
    <row r="234" spans="1:7" ht="13.5" thickTop="1">
      <c r="B234" s="811" t="s">
        <v>311</v>
      </c>
      <c r="C234" s="812"/>
      <c r="D234" s="812"/>
      <c r="E234" s="812"/>
      <c r="F234" s="812"/>
      <c r="G234" s="825"/>
    </row>
    <row r="235" spans="1:7">
      <c r="B235" s="817" t="s">
        <v>838</v>
      </c>
      <c r="C235" s="818"/>
      <c r="D235" s="98" t="s">
        <v>842</v>
      </c>
      <c r="E235" s="98" t="s">
        <v>853</v>
      </c>
      <c r="F235" s="99" t="s">
        <v>1047</v>
      </c>
      <c r="G235" s="107" t="s">
        <v>840</v>
      </c>
    </row>
    <row r="236" spans="1:7">
      <c r="B236" s="230"/>
      <c r="C236" s="102"/>
      <c r="D236" s="100"/>
      <c r="E236" s="100" t="s">
        <v>312</v>
      </c>
      <c r="F236" s="101" t="s">
        <v>313</v>
      </c>
      <c r="G236" s="108" t="s">
        <v>314</v>
      </c>
    </row>
    <row r="237" spans="1:7">
      <c r="A237" s="95">
        <f>MATERIALES2!B13</f>
        <v>20104</v>
      </c>
      <c r="B237" s="841" t="str">
        <f>MATERIALES2!C13</f>
        <v>CEMENTO GRIS</v>
      </c>
      <c r="C237" s="842"/>
      <c r="D237" s="87" t="s">
        <v>925</v>
      </c>
      <c r="E237" s="38">
        <v>610</v>
      </c>
      <c r="F237" s="80">
        <f>MATERIALES2!E13</f>
        <v>420</v>
      </c>
      <c r="G237" s="110">
        <f>ROUND(E237*F237,0)</f>
        <v>256200</v>
      </c>
    </row>
    <row r="238" spans="1:7" ht="14.25">
      <c r="A238" s="95">
        <f>MATERIALES2!B20</f>
        <v>20201</v>
      </c>
      <c r="B238" s="835" t="str">
        <f>MATERIALES2!C20</f>
        <v xml:space="preserve">ARENA </v>
      </c>
      <c r="C238" s="836"/>
      <c r="D238" s="37" t="s">
        <v>1066</v>
      </c>
      <c r="E238" s="55">
        <v>0.97</v>
      </c>
      <c r="F238" s="82">
        <f>MATERIALES2!E20</f>
        <v>35000</v>
      </c>
      <c r="G238" s="111">
        <f>ROUND(E238*F238,0)</f>
        <v>33950</v>
      </c>
    </row>
    <row r="239" spans="1:7">
      <c r="A239" s="95">
        <f>MATERIALES2!B28</f>
        <v>20208</v>
      </c>
      <c r="B239" s="835" t="str">
        <f>MATERIALES2!C28</f>
        <v>AGUA</v>
      </c>
      <c r="C239" s="836"/>
      <c r="D239" s="37" t="s">
        <v>1071</v>
      </c>
      <c r="E239" s="55">
        <v>250</v>
      </c>
      <c r="F239" s="82">
        <f>MATERIALES2!E28</f>
        <v>50</v>
      </c>
      <c r="G239" s="111">
        <f>ROUND(E239*F239,0)</f>
        <v>12500</v>
      </c>
    </row>
    <row r="240" spans="1:7">
      <c r="B240" s="837"/>
      <c r="C240" s="838"/>
      <c r="D240" s="37"/>
      <c r="E240" s="55"/>
      <c r="F240" s="82"/>
      <c r="G240" s="111"/>
    </row>
    <row r="241" spans="1:9">
      <c r="B241" s="837"/>
      <c r="C241" s="838"/>
      <c r="D241" s="37"/>
      <c r="E241" s="55"/>
      <c r="F241" s="82"/>
      <c r="G241" s="111"/>
      <c r="H241" s="505" t="s">
        <v>1670</v>
      </c>
    </row>
    <row r="242" spans="1:9">
      <c r="B242" s="837"/>
      <c r="C242" s="838"/>
      <c r="D242" s="53" t="s">
        <v>841</v>
      </c>
      <c r="E242" s="53"/>
      <c r="F242" s="82"/>
      <c r="G242" s="111"/>
    </row>
    <row r="243" spans="1:9">
      <c r="B243" s="837" t="s">
        <v>841</v>
      </c>
      <c r="C243" s="838"/>
      <c r="D243" s="53" t="s">
        <v>841</v>
      </c>
      <c r="E243" s="53"/>
      <c r="F243" s="82"/>
      <c r="G243" s="111"/>
    </row>
    <row r="244" spans="1:9">
      <c r="B244" s="837" t="s">
        <v>841</v>
      </c>
      <c r="C244" s="838"/>
      <c r="D244" s="53" t="s">
        <v>841</v>
      </c>
      <c r="E244" s="53"/>
      <c r="F244" s="82"/>
      <c r="G244" s="111"/>
      <c r="I244" s="13"/>
    </row>
    <row r="245" spans="1:9" ht="13.5" thickBot="1">
      <c r="B245" s="839" t="s">
        <v>841</v>
      </c>
      <c r="C245" s="840"/>
      <c r="D245" s="84" t="s">
        <v>841</v>
      </c>
      <c r="E245" s="84"/>
      <c r="F245" s="85"/>
      <c r="G245" s="112"/>
      <c r="I245" s="13"/>
    </row>
    <row r="246" spans="1:9" ht="13.5" thickTop="1">
      <c r="B246" s="808"/>
      <c r="C246" s="809"/>
      <c r="D246" s="801" t="s">
        <v>856</v>
      </c>
      <c r="E246" s="802"/>
      <c r="F246" s="9"/>
      <c r="G246" s="113">
        <f>SUM(G237:G245)</f>
        <v>302650</v>
      </c>
      <c r="I246" s="13"/>
    </row>
    <row r="247" spans="1:9">
      <c r="B247" s="819"/>
      <c r="C247" s="820"/>
      <c r="D247" s="801" t="s">
        <v>857</v>
      </c>
      <c r="E247" s="802"/>
      <c r="F247" s="79">
        <f>'MANO DE OBRA'!D60</f>
        <v>0.05</v>
      </c>
      <c r="G247" s="113">
        <f>ROUND(G246*F247,0)</f>
        <v>15133</v>
      </c>
      <c r="I247" s="13"/>
    </row>
    <row r="248" spans="1:9" ht="13.5" thickBot="1">
      <c r="B248" s="819"/>
      <c r="C248" s="820"/>
      <c r="D248" s="803" t="s">
        <v>320</v>
      </c>
      <c r="E248" s="804"/>
      <c r="F248" s="114"/>
      <c r="G248" s="118">
        <f>+G246+G247</f>
        <v>317783</v>
      </c>
    </row>
    <row r="249" spans="1:9" ht="14.25" thickTop="1" thickBot="1">
      <c r="B249" s="830"/>
      <c r="C249" s="830"/>
      <c r="D249" s="830"/>
      <c r="E249" s="830"/>
      <c r="F249" s="830"/>
      <c r="G249" s="830"/>
    </row>
    <row r="250" spans="1:9" ht="13.5" thickTop="1">
      <c r="B250" s="811" t="s">
        <v>858</v>
      </c>
      <c r="C250" s="812"/>
      <c r="D250" s="812"/>
      <c r="E250" s="812"/>
      <c r="F250" s="812"/>
      <c r="G250" s="825"/>
    </row>
    <row r="251" spans="1:9">
      <c r="B251" s="817"/>
      <c r="C251" s="818"/>
      <c r="D251" s="98" t="s">
        <v>301</v>
      </c>
      <c r="E251" s="98" t="s">
        <v>859</v>
      </c>
      <c r="F251" s="99" t="s">
        <v>839</v>
      </c>
      <c r="G251" s="107" t="s">
        <v>840</v>
      </c>
    </row>
    <row r="252" spans="1:9">
      <c r="B252" s="821" t="s">
        <v>838</v>
      </c>
      <c r="C252" s="822"/>
      <c r="D252" s="100" t="s">
        <v>316</v>
      </c>
      <c r="E252" s="100" t="s">
        <v>315</v>
      </c>
      <c r="F252" s="101" t="s">
        <v>306</v>
      </c>
      <c r="G252" s="108" t="s">
        <v>319</v>
      </c>
    </row>
    <row r="253" spans="1:9">
      <c r="B253" s="230"/>
      <c r="C253" s="102"/>
      <c r="D253" s="103"/>
      <c r="E253" s="103" t="s">
        <v>317</v>
      </c>
      <c r="F253" s="104" t="s">
        <v>318</v>
      </c>
      <c r="G253" s="109"/>
    </row>
    <row r="254" spans="1:9">
      <c r="A254" s="95">
        <f>'MANO DE OBRA'!A10</f>
        <v>30101</v>
      </c>
      <c r="B254" s="823" t="str">
        <f>'MANO DE OBRA'!B10</f>
        <v>AYUDANTE CUAD. TIPO AA</v>
      </c>
      <c r="C254" s="824"/>
      <c r="D254" s="87">
        <v>5</v>
      </c>
      <c r="E254" s="80">
        <f>'MANO DE OBRA'!E10</f>
        <v>34680</v>
      </c>
      <c r="F254" s="81">
        <v>3</v>
      </c>
      <c r="G254" s="110">
        <f>ROUND(D254*E254/F254,0)</f>
        <v>57800</v>
      </c>
    </row>
    <row r="255" spans="1:9">
      <c r="A255" s="95">
        <f>'MANO DE OBRA'!A15</f>
        <v>30106</v>
      </c>
      <c r="B255" s="835" t="str">
        <f>'MANO DE OBRA'!B15</f>
        <v xml:space="preserve">OFICIAL CUAD. TIPO AA </v>
      </c>
      <c r="C255" s="836"/>
      <c r="D255" s="37">
        <v>1</v>
      </c>
      <c r="E255" s="82">
        <f>'MANO DE OBRA'!E15</f>
        <v>71474</v>
      </c>
      <c r="F255" s="83">
        <v>2</v>
      </c>
      <c r="G255" s="111">
        <f>ROUND(D255*E255/F255,0)</f>
        <v>35737</v>
      </c>
    </row>
    <row r="256" spans="1:9">
      <c r="B256" s="835"/>
      <c r="C256" s="836"/>
      <c r="D256" s="89"/>
      <c r="E256" s="82"/>
      <c r="F256" s="83"/>
      <c r="G256" s="111"/>
    </row>
    <row r="257" spans="1:8">
      <c r="B257" s="835" t="s">
        <v>841</v>
      </c>
      <c r="C257" s="836"/>
      <c r="D257" s="37"/>
      <c r="E257" s="82"/>
      <c r="F257" s="83"/>
      <c r="G257" s="111"/>
    </row>
    <row r="258" spans="1:8" ht="13.5" thickBot="1">
      <c r="B258" s="828" t="s">
        <v>841</v>
      </c>
      <c r="C258" s="829"/>
      <c r="D258" s="77"/>
      <c r="E258" s="82"/>
      <c r="F258" s="86"/>
      <c r="G258" s="112"/>
    </row>
    <row r="259" spans="1:8" ht="14.25" thickTop="1" thickBot="1">
      <c r="B259" s="808"/>
      <c r="C259" s="808"/>
      <c r="D259" s="808"/>
      <c r="E259" s="809"/>
      <c r="F259" s="120" t="s">
        <v>856</v>
      </c>
      <c r="G259" s="118">
        <f>SUM(G254:G258)</f>
        <v>93537</v>
      </c>
    </row>
    <row r="260" spans="1:8" ht="14.25" thickTop="1" thickBot="1">
      <c r="B260" s="810"/>
      <c r="C260" s="810"/>
      <c r="D260" s="810"/>
      <c r="E260" s="810"/>
      <c r="F260" s="810"/>
      <c r="G260" s="810"/>
    </row>
    <row r="261" spans="1:8" ht="13.5" thickTop="1">
      <c r="B261" s="811" t="s">
        <v>321</v>
      </c>
      <c r="C261" s="812"/>
      <c r="D261" s="812"/>
      <c r="E261" s="812"/>
      <c r="F261" s="812"/>
      <c r="G261" s="825"/>
    </row>
    <row r="262" spans="1:8">
      <c r="B262" s="817" t="s">
        <v>838</v>
      </c>
      <c r="C262" s="818"/>
      <c r="D262" s="98" t="s">
        <v>301</v>
      </c>
      <c r="E262" s="98" t="s">
        <v>297</v>
      </c>
      <c r="F262" s="99" t="s">
        <v>839</v>
      </c>
      <c r="G262" s="107" t="s">
        <v>840</v>
      </c>
    </row>
    <row r="263" spans="1:8">
      <c r="B263" s="230"/>
      <c r="C263" s="102"/>
      <c r="D263" s="103" t="s">
        <v>322</v>
      </c>
      <c r="E263" s="103" t="s">
        <v>323</v>
      </c>
      <c r="F263" s="104" t="s">
        <v>324</v>
      </c>
      <c r="G263" s="109" t="s">
        <v>325</v>
      </c>
    </row>
    <row r="264" spans="1:8">
      <c r="B264" s="826"/>
      <c r="C264" s="827"/>
      <c r="D264" s="96"/>
      <c r="E264" s="96"/>
      <c r="F264" s="96"/>
      <c r="G264" s="116"/>
    </row>
    <row r="265" spans="1:8" ht="13.5" thickBot="1">
      <c r="B265" s="828" t="s">
        <v>841</v>
      </c>
      <c r="C265" s="829"/>
      <c r="D265" s="77"/>
      <c r="E265" s="82"/>
      <c r="F265" s="86"/>
      <c r="G265" s="112"/>
    </row>
    <row r="266" spans="1:8" ht="14.25" thickTop="1" thickBot="1">
      <c r="B266" s="808"/>
      <c r="C266" s="808"/>
      <c r="D266" s="808"/>
      <c r="E266" s="809"/>
      <c r="F266" s="120" t="s">
        <v>856</v>
      </c>
      <c r="G266" s="118">
        <f>SUM(G261:G265)</f>
        <v>0</v>
      </c>
    </row>
    <row r="267" spans="1:8" ht="14.25" thickTop="1" thickBot="1">
      <c r="B267" s="810"/>
      <c r="C267" s="810"/>
      <c r="D267" s="810"/>
      <c r="E267" s="810"/>
      <c r="F267" s="810"/>
      <c r="G267" s="834"/>
    </row>
    <row r="268" spans="1:8" ht="13.5" thickTop="1">
      <c r="B268" s="811" t="s">
        <v>326</v>
      </c>
      <c r="C268" s="812"/>
      <c r="D268" s="812"/>
      <c r="E268" s="812"/>
      <c r="F268" s="813"/>
      <c r="G268" s="121">
        <f>+G232+G248+G259</f>
        <v>430997</v>
      </c>
    </row>
    <row r="269" spans="1:8">
      <c r="B269" s="814" t="s">
        <v>861</v>
      </c>
      <c r="C269" s="815"/>
      <c r="D269" s="815"/>
      <c r="E269" s="816"/>
      <c r="F269" s="117">
        <v>0</v>
      </c>
      <c r="G269" s="122">
        <f>ROUND(G268*F269/100,0)</f>
        <v>0</v>
      </c>
    </row>
    <row r="270" spans="1:8" ht="13.5" thickBot="1">
      <c r="B270" s="805" t="s">
        <v>1049</v>
      </c>
      <c r="C270" s="806"/>
      <c r="D270" s="806"/>
      <c r="E270" s="806"/>
      <c r="F270" s="807"/>
      <c r="G270" s="118">
        <f>ROUND(G268+G269,-2)</f>
        <v>431000</v>
      </c>
      <c r="H270" s="505" t="s">
        <v>1670</v>
      </c>
    </row>
    <row r="271" spans="1:8" ht="15" thickTop="1">
      <c r="B271" s="225" t="s">
        <v>303</v>
      </c>
      <c r="C271" s="843"/>
      <c r="D271" s="843"/>
      <c r="E271" s="843"/>
      <c r="F271" s="92" t="s">
        <v>781</v>
      </c>
      <c r="G271" s="93" t="s">
        <v>1066</v>
      </c>
    </row>
    <row r="272" spans="1:8">
      <c r="A272" s="95" t="s">
        <v>832</v>
      </c>
      <c r="B272" s="226" t="s">
        <v>834</v>
      </c>
      <c r="C272" s="844" t="s">
        <v>1102</v>
      </c>
      <c r="D272" s="844"/>
      <c r="E272" s="844"/>
      <c r="F272" s="15" t="s">
        <v>833</v>
      </c>
      <c r="G272" s="165" t="str">
        <f>'MANO DE OBRA'!D61</f>
        <v>Agosto de 2010</v>
      </c>
    </row>
    <row r="273" spans="1:7" ht="13.5" thickBot="1">
      <c r="A273" s="95">
        <f>MATERIALES2!B48</f>
        <v>20403</v>
      </c>
      <c r="B273" s="228" t="s">
        <v>835</v>
      </c>
      <c r="C273" s="845" t="s">
        <v>444</v>
      </c>
      <c r="D273" s="845"/>
      <c r="E273" s="845"/>
      <c r="F273" s="845"/>
      <c r="G273" s="846"/>
    </row>
    <row r="274" spans="1:7" ht="14.25" thickTop="1" thickBot="1">
      <c r="B274" s="847"/>
      <c r="C274" s="847"/>
      <c r="D274" s="847"/>
      <c r="E274" s="847"/>
      <c r="F274" s="847"/>
      <c r="G274" s="847"/>
    </row>
    <row r="275" spans="1:7" ht="13.5" thickTop="1">
      <c r="B275" s="811" t="s">
        <v>304</v>
      </c>
      <c r="C275" s="812"/>
      <c r="D275" s="812"/>
      <c r="E275" s="812"/>
      <c r="F275" s="812"/>
      <c r="G275" s="825"/>
    </row>
    <row r="276" spans="1:7">
      <c r="B276" s="229"/>
      <c r="C276" s="97"/>
      <c r="D276" s="98" t="s">
        <v>301</v>
      </c>
      <c r="E276" s="98" t="s">
        <v>1072</v>
      </c>
      <c r="F276" s="99" t="s">
        <v>839</v>
      </c>
      <c r="G276" s="107" t="s">
        <v>840</v>
      </c>
    </row>
    <row r="277" spans="1:7">
      <c r="B277" s="821" t="s">
        <v>838</v>
      </c>
      <c r="C277" s="822"/>
      <c r="D277" s="100" t="s">
        <v>308</v>
      </c>
      <c r="E277" s="100" t="s">
        <v>305</v>
      </c>
      <c r="F277" s="101" t="s">
        <v>306</v>
      </c>
      <c r="G277" s="108" t="s">
        <v>310</v>
      </c>
    </row>
    <row r="278" spans="1:7">
      <c r="B278" s="230"/>
      <c r="C278" s="102"/>
      <c r="D278" s="103"/>
      <c r="E278" s="103" t="s">
        <v>309</v>
      </c>
      <c r="F278" s="104" t="s">
        <v>307</v>
      </c>
      <c r="G278" s="109"/>
    </row>
    <row r="279" spans="1:7">
      <c r="A279" s="95">
        <f>'MAQUINARIA Y EQUIPOS'!B49</f>
        <v>10142</v>
      </c>
      <c r="B279" s="823" t="str">
        <f>'MAQUINARIA Y EQUIPOS'!C50</f>
        <v>TROMPO DE BULTO</v>
      </c>
      <c r="C279" s="824"/>
      <c r="D279" s="87">
        <v>1</v>
      </c>
      <c r="E279" s="80">
        <f>'MAQUINARIA Y EQUIPOS'!D50</f>
        <v>75000</v>
      </c>
      <c r="F279" s="81">
        <v>5</v>
      </c>
      <c r="G279" s="110">
        <f>ROUND(D279*E279/F279,0)</f>
        <v>15000</v>
      </c>
    </row>
    <row r="280" spans="1:7">
      <c r="A280" s="95">
        <f>'MAQUINARIA Y EQUIPOS'!B27</f>
        <v>10120</v>
      </c>
      <c r="B280" s="835" t="str">
        <f>'MAQUINARIA Y EQUIPOS'!C28</f>
        <v>HERRAMIENTAS MENORES</v>
      </c>
      <c r="C280" s="836"/>
      <c r="D280" s="37">
        <v>1</v>
      </c>
      <c r="E280" s="82">
        <f>ROUND(G312*0.05,0)</f>
        <v>4677</v>
      </c>
      <c r="F280" s="83">
        <v>1</v>
      </c>
      <c r="G280" s="111">
        <f>ROUND(D280*E280/F280,0)</f>
        <v>4677</v>
      </c>
    </row>
    <row r="281" spans="1:7">
      <c r="B281" s="835"/>
      <c r="C281" s="836"/>
      <c r="D281" s="89"/>
      <c r="E281" s="82"/>
      <c r="F281" s="83"/>
      <c r="G281" s="111"/>
    </row>
    <row r="282" spans="1:7">
      <c r="B282" s="835"/>
      <c r="C282" s="836"/>
      <c r="D282" s="89"/>
      <c r="E282" s="82"/>
      <c r="F282" s="83"/>
      <c r="G282" s="111"/>
    </row>
    <row r="283" spans="1:7">
      <c r="B283" s="835" t="s">
        <v>841</v>
      </c>
      <c r="C283" s="836"/>
      <c r="D283" s="37"/>
      <c r="E283" s="82"/>
      <c r="F283" s="83"/>
      <c r="G283" s="111"/>
    </row>
    <row r="284" spans="1:7" ht="13.5" thickBot="1">
      <c r="B284" s="839" t="s">
        <v>841</v>
      </c>
      <c r="C284" s="840"/>
      <c r="D284" s="77"/>
      <c r="E284" s="106"/>
      <c r="F284" s="86"/>
      <c r="G284" s="112"/>
    </row>
    <row r="285" spans="1:7" ht="14.25" thickTop="1" thickBot="1">
      <c r="B285" s="808"/>
      <c r="C285" s="808"/>
      <c r="D285" s="808"/>
      <c r="E285" s="809"/>
      <c r="F285" s="119" t="s">
        <v>856</v>
      </c>
      <c r="G285" s="118">
        <f>SUM(G279:G284)</f>
        <v>19677</v>
      </c>
    </row>
    <row r="286" spans="1:7" ht="14.25" thickTop="1" thickBot="1">
      <c r="B286" s="830"/>
      <c r="C286" s="830"/>
      <c r="D286" s="830"/>
      <c r="E286" s="830"/>
      <c r="F286" s="830"/>
      <c r="G286" s="830"/>
    </row>
    <row r="287" spans="1:7" ht="13.5" thickTop="1">
      <c r="B287" s="811" t="s">
        <v>311</v>
      </c>
      <c r="C287" s="812"/>
      <c r="D287" s="812"/>
      <c r="E287" s="812"/>
      <c r="F287" s="812"/>
      <c r="G287" s="825"/>
    </row>
    <row r="288" spans="1:7">
      <c r="B288" s="817" t="s">
        <v>838</v>
      </c>
      <c r="C288" s="818"/>
      <c r="D288" s="98" t="s">
        <v>842</v>
      </c>
      <c r="E288" s="98" t="s">
        <v>853</v>
      </c>
      <c r="F288" s="99" t="s">
        <v>1047</v>
      </c>
      <c r="G288" s="107" t="s">
        <v>840</v>
      </c>
    </row>
    <row r="289" spans="1:8">
      <c r="B289" s="230"/>
      <c r="C289" s="102"/>
      <c r="D289" s="100"/>
      <c r="E289" s="100" t="s">
        <v>312</v>
      </c>
      <c r="F289" s="101" t="s">
        <v>313</v>
      </c>
      <c r="G289" s="108" t="s">
        <v>314</v>
      </c>
    </row>
    <row r="290" spans="1:8">
      <c r="A290" s="95">
        <f>MATERIALES2!B13</f>
        <v>20104</v>
      </c>
      <c r="B290" s="841" t="str">
        <f>MATERIALES2!C13</f>
        <v>CEMENTO GRIS</v>
      </c>
      <c r="C290" s="842"/>
      <c r="D290" s="87" t="s">
        <v>925</v>
      </c>
      <c r="E290" s="38">
        <v>610</v>
      </c>
      <c r="F290" s="80">
        <f>MATERIALES2!E13</f>
        <v>420</v>
      </c>
      <c r="G290" s="110">
        <f>ROUND(E290*F290,0)</f>
        <v>256200</v>
      </c>
    </row>
    <row r="291" spans="1:8" ht="14.25">
      <c r="A291" s="95">
        <f>MATERIALES2!B20</f>
        <v>20201</v>
      </c>
      <c r="B291" s="835" t="str">
        <f>MATERIALES2!C20</f>
        <v xml:space="preserve">ARENA </v>
      </c>
      <c r="C291" s="836"/>
      <c r="D291" s="37" t="s">
        <v>1066</v>
      </c>
      <c r="E291" s="55">
        <v>0.97</v>
      </c>
      <c r="F291" s="82">
        <f>MATERIALES2!E20</f>
        <v>35000</v>
      </c>
      <c r="G291" s="111">
        <f>ROUND(E291*F291,0)</f>
        <v>33950</v>
      </c>
    </row>
    <row r="292" spans="1:8">
      <c r="A292" s="95">
        <f>MATERIALES2!B28</f>
        <v>20208</v>
      </c>
      <c r="B292" s="835" t="str">
        <f>MATERIALES2!C28</f>
        <v>AGUA</v>
      </c>
      <c r="C292" s="836"/>
      <c r="D292" s="37" t="s">
        <v>1071</v>
      </c>
      <c r="E292" s="55">
        <v>250</v>
      </c>
      <c r="F292" s="82">
        <f>MATERIALES2!E28</f>
        <v>50</v>
      </c>
      <c r="G292" s="111">
        <f>ROUND(E292*F292,0)</f>
        <v>12500</v>
      </c>
    </row>
    <row r="293" spans="1:8">
      <c r="A293" s="95">
        <f>MATERIALES2!B318</f>
        <v>21116</v>
      </c>
      <c r="B293" s="835" t="str">
        <f>MATERIALES2!C303</f>
        <v>TOKENET 1  IMPERMEABIL.1 KILO</v>
      </c>
      <c r="C293" s="836"/>
      <c r="D293" s="37" t="s">
        <v>925</v>
      </c>
      <c r="E293" s="147">
        <v>4.45</v>
      </c>
      <c r="F293" s="82">
        <f>MATERIALES2!E303</f>
        <v>4142.5</v>
      </c>
      <c r="G293" s="111">
        <f>ROUND(E293*F293,0)</f>
        <v>18434</v>
      </c>
      <c r="H293" s="505" t="s">
        <v>1670</v>
      </c>
    </row>
    <row r="294" spans="1:8">
      <c r="B294" s="837"/>
      <c r="C294" s="838"/>
      <c r="D294" s="37"/>
      <c r="E294" s="55"/>
      <c r="F294" s="82"/>
      <c r="G294" s="111"/>
    </row>
    <row r="295" spans="1:8">
      <c r="B295" s="837"/>
      <c r="C295" s="838"/>
      <c r="D295" s="53" t="s">
        <v>841</v>
      </c>
      <c r="E295" s="53"/>
      <c r="F295" s="82"/>
      <c r="G295" s="111"/>
    </row>
    <row r="296" spans="1:8">
      <c r="B296" s="837" t="s">
        <v>841</v>
      </c>
      <c r="C296" s="838"/>
      <c r="D296" s="53" t="s">
        <v>841</v>
      </c>
      <c r="E296" s="53"/>
      <c r="F296" s="82"/>
      <c r="G296" s="111"/>
    </row>
    <row r="297" spans="1:8">
      <c r="B297" s="837" t="s">
        <v>841</v>
      </c>
      <c r="C297" s="838"/>
      <c r="D297" s="53" t="s">
        <v>841</v>
      </c>
      <c r="E297" s="53"/>
      <c r="F297" s="82"/>
      <c r="G297" s="111"/>
    </row>
    <row r="298" spans="1:8" ht="13.5" thickBot="1">
      <c r="B298" s="839" t="s">
        <v>841</v>
      </c>
      <c r="C298" s="840"/>
      <c r="D298" s="84" t="s">
        <v>841</v>
      </c>
      <c r="E298" s="84"/>
      <c r="F298" s="85"/>
      <c r="G298" s="112"/>
    </row>
    <row r="299" spans="1:8" ht="13.5" thickTop="1">
      <c r="B299" s="808"/>
      <c r="C299" s="809"/>
      <c r="D299" s="801" t="s">
        <v>856</v>
      </c>
      <c r="E299" s="802"/>
      <c r="F299" s="9"/>
      <c r="G299" s="113">
        <f>SUM(G290:G298)</f>
        <v>321084</v>
      </c>
    </row>
    <row r="300" spans="1:8">
      <c r="B300" s="819"/>
      <c r="C300" s="820"/>
      <c r="D300" s="801" t="s">
        <v>857</v>
      </c>
      <c r="E300" s="802"/>
      <c r="F300" s="79">
        <f>'MANO DE OBRA'!D60</f>
        <v>0.05</v>
      </c>
      <c r="G300" s="113">
        <f>ROUND(G299*F300,0)</f>
        <v>16054</v>
      </c>
    </row>
    <row r="301" spans="1:8" ht="13.5" thickBot="1">
      <c r="B301" s="819"/>
      <c r="C301" s="820"/>
      <c r="D301" s="803" t="s">
        <v>320</v>
      </c>
      <c r="E301" s="804"/>
      <c r="F301" s="114"/>
      <c r="G301" s="118">
        <f>+G299+G300</f>
        <v>337138</v>
      </c>
    </row>
    <row r="302" spans="1:8" ht="14.25" thickTop="1" thickBot="1">
      <c r="B302" s="830"/>
      <c r="C302" s="830"/>
      <c r="D302" s="830"/>
      <c r="E302" s="830"/>
      <c r="F302" s="830"/>
      <c r="G302" s="830"/>
    </row>
    <row r="303" spans="1:8" ht="13.5" thickTop="1">
      <c r="B303" s="811" t="s">
        <v>858</v>
      </c>
      <c r="C303" s="812"/>
      <c r="D303" s="812"/>
      <c r="E303" s="812"/>
      <c r="F303" s="812"/>
      <c r="G303" s="825"/>
    </row>
    <row r="304" spans="1:8">
      <c r="B304" s="817"/>
      <c r="C304" s="818"/>
      <c r="D304" s="98" t="s">
        <v>301</v>
      </c>
      <c r="E304" s="98" t="s">
        <v>859</v>
      </c>
      <c r="F304" s="99" t="s">
        <v>839</v>
      </c>
      <c r="G304" s="107" t="s">
        <v>840</v>
      </c>
    </row>
    <row r="305" spans="1:7">
      <c r="B305" s="821" t="s">
        <v>838</v>
      </c>
      <c r="C305" s="822"/>
      <c r="D305" s="100" t="s">
        <v>316</v>
      </c>
      <c r="E305" s="100" t="s">
        <v>315</v>
      </c>
      <c r="F305" s="101" t="s">
        <v>306</v>
      </c>
      <c r="G305" s="108" t="s">
        <v>319</v>
      </c>
    </row>
    <row r="306" spans="1:7">
      <c r="B306" s="230"/>
      <c r="C306" s="102"/>
      <c r="D306" s="103"/>
      <c r="E306" s="103" t="s">
        <v>317</v>
      </c>
      <c r="F306" s="104" t="s">
        <v>318</v>
      </c>
      <c r="G306" s="109"/>
    </row>
    <row r="307" spans="1:7">
      <c r="A307" s="95">
        <f>'MANO DE OBRA'!A10</f>
        <v>30101</v>
      </c>
      <c r="B307" s="823" t="str">
        <f>'MANO DE OBRA'!B10</f>
        <v>AYUDANTE CUAD. TIPO AA</v>
      </c>
      <c r="C307" s="824"/>
      <c r="D307" s="87">
        <v>5</v>
      </c>
      <c r="E307" s="80">
        <f>'MANO DE OBRA'!E10</f>
        <v>34680</v>
      </c>
      <c r="F307" s="81">
        <v>3</v>
      </c>
      <c r="G307" s="110">
        <f>ROUND(D307*E307/F307,0)</f>
        <v>57800</v>
      </c>
    </row>
    <row r="308" spans="1:7">
      <c r="A308" s="95">
        <f>'MANO DE OBRA'!A15</f>
        <v>30106</v>
      </c>
      <c r="B308" s="835" t="str">
        <f>'MANO DE OBRA'!B15</f>
        <v xml:space="preserve">OFICIAL CUAD. TIPO AA </v>
      </c>
      <c r="C308" s="836"/>
      <c r="D308" s="37">
        <v>1</v>
      </c>
      <c r="E308" s="82">
        <f>'MANO DE OBRA'!E15</f>
        <v>71474</v>
      </c>
      <c r="F308" s="83">
        <v>2</v>
      </c>
      <c r="G308" s="111">
        <f>ROUND(D308*E308/F308,0)</f>
        <v>35737</v>
      </c>
    </row>
    <row r="309" spans="1:7">
      <c r="B309" s="835"/>
      <c r="C309" s="836"/>
      <c r="D309" s="89"/>
      <c r="E309" s="82"/>
      <c r="F309" s="83"/>
      <c r="G309" s="111"/>
    </row>
    <row r="310" spans="1:7">
      <c r="B310" s="835" t="s">
        <v>841</v>
      </c>
      <c r="C310" s="836"/>
      <c r="D310" s="37"/>
      <c r="E310" s="82"/>
      <c r="F310" s="83"/>
      <c r="G310" s="111"/>
    </row>
    <row r="311" spans="1:7" ht="13.5" thickBot="1">
      <c r="B311" s="828" t="s">
        <v>841</v>
      </c>
      <c r="C311" s="829"/>
      <c r="D311" s="77"/>
      <c r="E311" s="82"/>
      <c r="F311" s="86"/>
      <c r="G311" s="112"/>
    </row>
    <row r="312" spans="1:7" ht="14.25" thickTop="1" thickBot="1">
      <c r="B312" s="808"/>
      <c r="C312" s="808"/>
      <c r="D312" s="808"/>
      <c r="E312" s="809"/>
      <c r="F312" s="120" t="s">
        <v>856</v>
      </c>
      <c r="G312" s="118">
        <f>SUM(G307:G311)</f>
        <v>93537</v>
      </c>
    </row>
    <row r="313" spans="1:7" ht="14.25" thickTop="1" thickBot="1">
      <c r="B313" s="810"/>
      <c r="C313" s="810"/>
      <c r="D313" s="810"/>
      <c r="E313" s="810"/>
      <c r="F313" s="810"/>
      <c r="G313" s="810"/>
    </row>
    <row r="314" spans="1:7" ht="13.5" thickTop="1">
      <c r="B314" s="811" t="s">
        <v>321</v>
      </c>
      <c r="C314" s="812"/>
      <c r="D314" s="812"/>
      <c r="E314" s="812"/>
      <c r="F314" s="812"/>
      <c r="G314" s="825"/>
    </row>
    <row r="315" spans="1:7">
      <c r="B315" s="817" t="s">
        <v>838</v>
      </c>
      <c r="C315" s="818"/>
      <c r="D315" s="98" t="s">
        <v>301</v>
      </c>
      <c r="E315" s="98" t="s">
        <v>297</v>
      </c>
      <c r="F315" s="99" t="s">
        <v>839</v>
      </c>
      <c r="G315" s="107" t="s">
        <v>840</v>
      </c>
    </row>
    <row r="316" spans="1:7">
      <c r="B316" s="230"/>
      <c r="C316" s="102"/>
      <c r="D316" s="103" t="s">
        <v>322</v>
      </c>
      <c r="E316" s="103" t="s">
        <v>323</v>
      </c>
      <c r="F316" s="104" t="s">
        <v>324</v>
      </c>
      <c r="G316" s="109" t="s">
        <v>325</v>
      </c>
    </row>
    <row r="317" spans="1:7">
      <c r="B317" s="826"/>
      <c r="C317" s="827"/>
      <c r="D317" s="96"/>
      <c r="E317" s="96"/>
      <c r="F317" s="96"/>
      <c r="G317" s="116"/>
    </row>
    <row r="318" spans="1:7" ht="13.5" thickBot="1">
      <c r="B318" s="828" t="s">
        <v>841</v>
      </c>
      <c r="C318" s="829"/>
      <c r="D318" s="77"/>
      <c r="E318" s="82"/>
      <c r="F318" s="86"/>
      <c r="G318" s="112"/>
    </row>
    <row r="319" spans="1:7" ht="14.25" thickTop="1" thickBot="1">
      <c r="B319" s="808"/>
      <c r="C319" s="808"/>
      <c r="D319" s="808"/>
      <c r="E319" s="809"/>
      <c r="F319" s="120" t="s">
        <v>856</v>
      </c>
      <c r="G319" s="118">
        <f>SUM(G314:G318)</f>
        <v>0</v>
      </c>
    </row>
    <row r="320" spans="1:7" ht="14.25" thickTop="1" thickBot="1">
      <c r="B320" s="810"/>
      <c r="C320" s="810"/>
      <c r="D320" s="810"/>
      <c r="E320" s="810"/>
      <c r="F320" s="810"/>
      <c r="G320" s="834"/>
    </row>
    <row r="321" spans="1:8" ht="13.5" thickTop="1">
      <c r="B321" s="811" t="s">
        <v>326</v>
      </c>
      <c r="C321" s="812"/>
      <c r="D321" s="812"/>
      <c r="E321" s="812"/>
      <c r="F321" s="813"/>
      <c r="G321" s="121">
        <f>+G285+G301+G312</f>
        <v>450352</v>
      </c>
    </row>
    <row r="322" spans="1:8">
      <c r="B322" s="814" t="s">
        <v>861</v>
      </c>
      <c r="C322" s="815"/>
      <c r="D322" s="815"/>
      <c r="E322" s="816"/>
      <c r="F322" s="117">
        <v>0</v>
      </c>
      <c r="G322" s="122">
        <f>ROUND(G321*F322/100,0)</f>
        <v>0</v>
      </c>
    </row>
    <row r="323" spans="1:8" ht="13.5" thickBot="1">
      <c r="B323" s="805" t="s">
        <v>1049</v>
      </c>
      <c r="C323" s="806"/>
      <c r="D323" s="806"/>
      <c r="E323" s="806"/>
      <c r="F323" s="807"/>
      <c r="G323" s="118">
        <f>ROUND(G321+G322,-2)</f>
        <v>450400</v>
      </c>
      <c r="H323" s="505" t="s">
        <v>1670</v>
      </c>
    </row>
    <row r="324" spans="1:8" ht="15" thickTop="1">
      <c r="B324" s="225" t="s">
        <v>303</v>
      </c>
      <c r="C324" s="843"/>
      <c r="D324" s="843"/>
      <c r="E324" s="843"/>
      <c r="F324" s="92" t="s">
        <v>781</v>
      </c>
      <c r="G324" s="93" t="s">
        <v>1066</v>
      </c>
    </row>
    <row r="325" spans="1:8">
      <c r="A325" s="95" t="s">
        <v>832</v>
      </c>
      <c r="B325" s="226" t="s">
        <v>834</v>
      </c>
      <c r="C325" s="844" t="s">
        <v>1102</v>
      </c>
      <c r="D325" s="844"/>
      <c r="E325" s="844"/>
      <c r="F325" s="15" t="s">
        <v>833</v>
      </c>
      <c r="G325" s="165" t="str">
        <f>'MANO DE OBRA'!D61</f>
        <v>Agosto de 2010</v>
      </c>
    </row>
    <row r="326" spans="1:8" ht="13.5" thickBot="1">
      <c r="A326" s="95">
        <f>MATERIALES2!B49</f>
        <v>20404</v>
      </c>
      <c r="B326" s="228" t="s">
        <v>835</v>
      </c>
      <c r="C326" s="845" t="s">
        <v>1109</v>
      </c>
      <c r="D326" s="845"/>
      <c r="E326" s="845"/>
      <c r="F326" s="845"/>
      <c r="G326" s="846"/>
    </row>
    <row r="327" spans="1:8" ht="14.25" thickTop="1" thickBot="1">
      <c r="B327" s="847"/>
      <c r="C327" s="847"/>
      <c r="D327" s="847"/>
      <c r="E327" s="847"/>
      <c r="F327" s="847"/>
      <c r="G327" s="847"/>
    </row>
    <row r="328" spans="1:8" ht="13.5" thickTop="1">
      <c r="B328" s="811" t="s">
        <v>304</v>
      </c>
      <c r="C328" s="812"/>
      <c r="D328" s="812"/>
      <c r="E328" s="812"/>
      <c r="F328" s="812"/>
      <c r="G328" s="825"/>
    </row>
    <row r="329" spans="1:8">
      <c r="B329" s="229"/>
      <c r="C329" s="97"/>
      <c r="D329" s="98" t="s">
        <v>301</v>
      </c>
      <c r="E329" s="98" t="s">
        <v>1072</v>
      </c>
      <c r="F329" s="99" t="s">
        <v>839</v>
      </c>
      <c r="G329" s="107" t="s">
        <v>840</v>
      </c>
    </row>
    <row r="330" spans="1:8">
      <c r="B330" s="821" t="s">
        <v>838</v>
      </c>
      <c r="C330" s="822"/>
      <c r="D330" s="100" t="s">
        <v>308</v>
      </c>
      <c r="E330" s="100" t="s">
        <v>305</v>
      </c>
      <c r="F330" s="101" t="s">
        <v>306</v>
      </c>
      <c r="G330" s="108" t="s">
        <v>310</v>
      </c>
    </row>
    <row r="331" spans="1:8">
      <c r="B331" s="230"/>
      <c r="C331" s="102"/>
      <c r="D331" s="103"/>
      <c r="E331" s="103" t="s">
        <v>309</v>
      </c>
      <c r="F331" s="104" t="s">
        <v>307</v>
      </c>
      <c r="G331" s="109"/>
    </row>
    <row r="332" spans="1:8">
      <c r="A332" s="95">
        <f>'MAQUINARIA Y EQUIPOS'!B49</f>
        <v>10142</v>
      </c>
      <c r="B332" s="823" t="str">
        <f>'MAQUINARIA Y EQUIPOS'!C50</f>
        <v>TROMPO DE BULTO</v>
      </c>
      <c r="C332" s="824"/>
      <c r="D332" s="87">
        <v>1</v>
      </c>
      <c r="E332" s="80">
        <f>'MAQUINARIA Y EQUIPOS'!D50</f>
        <v>75000</v>
      </c>
      <c r="F332" s="81">
        <v>5</v>
      </c>
      <c r="G332" s="110">
        <f>ROUND(D332*E332/F332,0)</f>
        <v>15000</v>
      </c>
    </row>
    <row r="333" spans="1:8">
      <c r="A333" s="95">
        <f>'MAQUINARIA Y EQUIPOS'!B27</f>
        <v>10120</v>
      </c>
      <c r="B333" s="835" t="str">
        <f>'MAQUINARIA Y EQUIPOS'!C28</f>
        <v>HERRAMIENTAS MENORES</v>
      </c>
      <c r="C333" s="836"/>
      <c r="D333" s="37">
        <v>1</v>
      </c>
      <c r="E333" s="82">
        <f>ROUND(G365*0.05,0)</f>
        <v>4677</v>
      </c>
      <c r="F333" s="83">
        <v>1</v>
      </c>
      <c r="G333" s="111">
        <f>ROUND(D333*E333/F333,0)</f>
        <v>4677</v>
      </c>
    </row>
    <row r="334" spans="1:8">
      <c r="B334" s="835"/>
      <c r="C334" s="836"/>
      <c r="D334" s="89"/>
      <c r="E334" s="82"/>
      <c r="F334" s="83"/>
      <c r="G334" s="111"/>
    </row>
    <row r="335" spans="1:8">
      <c r="B335" s="835"/>
      <c r="C335" s="836"/>
      <c r="D335" s="89"/>
      <c r="E335" s="82"/>
      <c r="F335" s="83"/>
      <c r="G335" s="111"/>
    </row>
    <row r="336" spans="1:8">
      <c r="B336" s="835" t="s">
        <v>841</v>
      </c>
      <c r="C336" s="836"/>
      <c r="D336" s="37"/>
      <c r="E336" s="82"/>
      <c r="F336" s="83"/>
      <c r="G336" s="111"/>
    </row>
    <row r="337" spans="1:9" ht="13.5" thickBot="1">
      <c r="B337" s="839" t="s">
        <v>841</v>
      </c>
      <c r="C337" s="840"/>
      <c r="D337" s="77"/>
      <c r="E337" s="106"/>
      <c r="F337" s="86"/>
      <c r="G337" s="112"/>
    </row>
    <row r="338" spans="1:9" ht="14.25" thickTop="1" thickBot="1">
      <c r="B338" s="808"/>
      <c r="C338" s="808"/>
      <c r="D338" s="808"/>
      <c r="E338" s="809"/>
      <c r="F338" s="119" t="s">
        <v>856</v>
      </c>
      <c r="G338" s="118">
        <f>SUM(G332:G337)</f>
        <v>19677</v>
      </c>
      <c r="I338" s="13"/>
    </row>
    <row r="339" spans="1:9" ht="14.25" thickTop="1" thickBot="1">
      <c r="B339" s="830"/>
      <c r="C339" s="830"/>
      <c r="D339" s="830"/>
      <c r="E339" s="830"/>
      <c r="F339" s="830"/>
      <c r="G339" s="830"/>
      <c r="I339" s="13"/>
    </row>
    <row r="340" spans="1:9" ht="13.5" thickTop="1">
      <c r="B340" s="811" t="s">
        <v>311</v>
      </c>
      <c r="C340" s="812"/>
      <c r="D340" s="812"/>
      <c r="E340" s="812"/>
      <c r="F340" s="812"/>
      <c r="G340" s="825"/>
      <c r="I340" s="13"/>
    </row>
    <row r="341" spans="1:9">
      <c r="B341" s="817" t="s">
        <v>838</v>
      </c>
      <c r="C341" s="818"/>
      <c r="D341" s="98" t="s">
        <v>842</v>
      </c>
      <c r="E341" s="98" t="s">
        <v>853</v>
      </c>
      <c r="F341" s="99" t="s">
        <v>1047</v>
      </c>
      <c r="G341" s="107" t="s">
        <v>840</v>
      </c>
      <c r="I341" s="13"/>
    </row>
    <row r="342" spans="1:9">
      <c r="B342" s="230"/>
      <c r="C342" s="102"/>
      <c r="D342" s="100"/>
      <c r="E342" s="100" t="s">
        <v>312</v>
      </c>
      <c r="F342" s="101" t="s">
        <v>313</v>
      </c>
      <c r="G342" s="108" t="s">
        <v>314</v>
      </c>
    </row>
    <row r="343" spans="1:9">
      <c r="A343" s="95">
        <f>MATERIALES2!B13</f>
        <v>20104</v>
      </c>
      <c r="B343" s="841" t="str">
        <f>MATERIALES2!C13</f>
        <v>CEMENTO GRIS</v>
      </c>
      <c r="C343" s="842"/>
      <c r="D343" s="87" t="s">
        <v>925</v>
      </c>
      <c r="E343" s="38">
        <v>454</v>
      </c>
      <c r="F343" s="80">
        <f>MATERIALES2!E13</f>
        <v>420</v>
      </c>
      <c r="G343" s="110">
        <f>ROUND(E343*F343,0)</f>
        <v>190680</v>
      </c>
    </row>
    <row r="344" spans="1:9" ht="14.25">
      <c r="A344" s="95">
        <f>MATERIALES2!B20</f>
        <v>20201</v>
      </c>
      <c r="B344" s="835" t="str">
        <f>MATERIALES2!C20</f>
        <v xml:space="preserve">ARENA </v>
      </c>
      <c r="C344" s="836"/>
      <c r="D344" s="37" t="s">
        <v>1066</v>
      </c>
      <c r="E344" s="55">
        <v>1.0900000000000001</v>
      </c>
      <c r="F344" s="82">
        <f>MATERIALES2!E20</f>
        <v>35000</v>
      </c>
      <c r="G344" s="111">
        <f>ROUND(E344*F344,0)</f>
        <v>38150</v>
      </c>
    </row>
    <row r="345" spans="1:9">
      <c r="A345" s="95">
        <f>MATERIALES2!B28</f>
        <v>20208</v>
      </c>
      <c r="B345" s="835" t="str">
        <f>MATERIALES2!C28</f>
        <v>AGUA</v>
      </c>
      <c r="C345" s="836"/>
      <c r="D345" s="37" t="s">
        <v>1071</v>
      </c>
      <c r="E345" s="55">
        <v>220</v>
      </c>
      <c r="F345" s="82">
        <f>MATERIALES2!E28</f>
        <v>50</v>
      </c>
      <c r="G345" s="111">
        <f>ROUND(E345*F345,0)</f>
        <v>11000</v>
      </c>
    </row>
    <row r="346" spans="1:9">
      <c r="B346" s="837"/>
      <c r="C346" s="838"/>
      <c r="D346" s="37"/>
      <c r="E346" s="55"/>
      <c r="F346" s="82"/>
      <c r="G346" s="111"/>
    </row>
    <row r="347" spans="1:9">
      <c r="B347" s="837"/>
      <c r="C347" s="838"/>
      <c r="D347" s="37"/>
      <c r="E347" s="55"/>
      <c r="F347" s="82"/>
      <c r="G347" s="111"/>
    </row>
    <row r="348" spans="1:9">
      <c r="B348" s="837"/>
      <c r="C348" s="838"/>
      <c r="D348" s="53" t="s">
        <v>841</v>
      </c>
      <c r="E348" s="53"/>
      <c r="F348" s="82"/>
      <c r="G348" s="111"/>
    </row>
    <row r="349" spans="1:9">
      <c r="B349" s="837" t="s">
        <v>841</v>
      </c>
      <c r="C349" s="838"/>
      <c r="D349" s="53" t="s">
        <v>841</v>
      </c>
      <c r="E349" s="53"/>
      <c r="F349" s="82"/>
      <c r="G349" s="111"/>
      <c r="H349" s="505" t="s">
        <v>1670</v>
      </c>
    </row>
    <row r="350" spans="1:9">
      <c r="B350" s="837" t="s">
        <v>841</v>
      </c>
      <c r="C350" s="838"/>
      <c r="D350" s="53" t="s">
        <v>841</v>
      </c>
      <c r="E350" s="53"/>
      <c r="F350" s="82"/>
      <c r="G350" s="111"/>
    </row>
    <row r="351" spans="1:9" ht="13.5" thickBot="1">
      <c r="B351" s="839" t="s">
        <v>841</v>
      </c>
      <c r="C351" s="840"/>
      <c r="D351" s="84" t="s">
        <v>841</v>
      </c>
      <c r="E351" s="84"/>
      <c r="F351" s="85"/>
      <c r="G351" s="112"/>
    </row>
    <row r="352" spans="1:9" ht="13.5" thickTop="1">
      <c r="B352" s="808"/>
      <c r="C352" s="809"/>
      <c r="D352" s="801" t="s">
        <v>856</v>
      </c>
      <c r="E352" s="802"/>
      <c r="F352" s="9"/>
      <c r="G352" s="113">
        <f>SUM(G343:G351)</f>
        <v>239830</v>
      </c>
    </row>
    <row r="353" spans="1:7">
      <c r="B353" s="819"/>
      <c r="C353" s="820"/>
      <c r="D353" s="801" t="s">
        <v>857</v>
      </c>
      <c r="E353" s="802"/>
      <c r="F353" s="79">
        <f>'MANO DE OBRA'!D60</f>
        <v>0.05</v>
      </c>
      <c r="G353" s="113">
        <f>ROUND(G352*F353,0)</f>
        <v>11992</v>
      </c>
    </row>
    <row r="354" spans="1:7" ht="13.5" thickBot="1">
      <c r="B354" s="819"/>
      <c r="C354" s="820"/>
      <c r="D354" s="803" t="s">
        <v>320</v>
      </c>
      <c r="E354" s="804"/>
      <c r="F354" s="114"/>
      <c r="G354" s="118">
        <f>+G352+G353</f>
        <v>251822</v>
      </c>
    </row>
    <row r="355" spans="1:7" ht="14.25" thickTop="1" thickBot="1">
      <c r="B355" s="830"/>
      <c r="C355" s="830"/>
      <c r="D355" s="830"/>
      <c r="E355" s="830"/>
      <c r="F355" s="830"/>
      <c r="G355" s="830"/>
    </row>
    <row r="356" spans="1:7" ht="13.5" thickTop="1">
      <c r="B356" s="811" t="s">
        <v>858</v>
      </c>
      <c r="C356" s="812"/>
      <c r="D356" s="812"/>
      <c r="E356" s="812"/>
      <c r="F356" s="812"/>
      <c r="G356" s="825"/>
    </row>
    <row r="357" spans="1:7">
      <c r="B357" s="817"/>
      <c r="C357" s="818"/>
      <c r="D357" s="98" t="s">
        <v>301</v>
      </c>
      <c r="E357" s="98" t="s">
        <v>859</v>
      </c>
      <c r="F357" s="99" t="s">
        <v>839</v>
      </c>
      <c r="G357" s="107" t="s">
        <v>840</v>
      </c>
    </row>
    <row r="358" spans="1:7">
      <c r="B358" s="821" t="s">
        <v>838</v>
      </c>
      <c r="C358" s="822"/>
      <c r="D358" s="100" t="s">
        <v>316</v>
      </c>
      <c r="E358" s="100" t="s">
        <v>315</v>
      </c>
      <c r="F358" s="101" t="s">
        <v>306</v>
      </c>
      <c r="G358" s="108" t="s">
        <v>319</v>
      </c>
    </row>
    <row r="359" spans="1:7">
      <c r="B359" s="230"/>
      <c r="C359" s="102"/>
      <c r="D359" s="103"/>
      <c r="E359" s="103" t="s">
        <v>317</v>
      </c>
      <c r="F359" s="104" t="s">
        <v>318</v>
      </c>
      <c r="G359" s="109"/>
    </row>
    <row r="360" spans="1:7">
      <c r="A360" s="95">
        <f>'MANO DE OBRA'!A10</f>
        <v>30101</v>
      </c>
      <c r="B360" s="823" t="str">
        <f>'MANO DE OBRA'!B10</f>
        <v>AYUDANTE CUAD. TIPO AA</v>
      </c>
      <c r="C360" s="824"/>
      <c r="D360" s="87">
        <v>5</v>
      </c>
      <c r="E360" s="80">
        <f>'MANO DE OBRA'!E10</f>
        <v>34680</v>
      </c>
      <c r="F360" s="81">
        <v>3</v>
      </c>
      <c r="G360" s="110">
        <f>ROUND(D360*E360/F360,0)</f>
        <v>57800</v>
      </c>
    </row>
    <row r="361" spans="1:7">
      <c r="A361" s="95">
        <f>'MANO DE OBRA'!A15</f>
        <v>30106</v>
      </c>
      <c r="B361" s="835" t="str">
        <f>'MANO DE OBRA'!B15</f>
        <v xml:space="preserve">OFICIAL CUAD. TIPO AA </v>
      </c>
      <c r="C361" s="836"/>
      <c r="D361" s="37">
        <v>1</v>
      </c>
      <c r="E361" s="82">
        <f>'MANO DE OBRA'!E15</f>
        <v>71474</v>
      </c>
      <c r="F361" s="83">
        <v>2</v>
      </c>
      <c r="G361" s="111">
        <f>ROUND(D361*E361/F361,0)</f>
        <v>35737</v>
      </c>
    </row>
    <row r="362" spans="1:7">
      <c r="B362" s="835"/>
      <c r="C362" s="836"/>
      <c r="D362" s="89"/>
      <c r="E362" s="82"/>
      <c r="F362" s="83"/>
      <c r="G362" s="111"/>
    </row>
    <row r="363" spans="1:7">
      <c r="B363" s="835" t="s">
        <v>841</v>
      </c>
      <c r="C363" s="836"/>
      <c r="D363" s="37"/>
      <c r="E363" s="82"/>
      <c r="F363" s="83"/>
      <c r="G363" s="111"/>
    </row>
    <row r="364" spans="1:7" ht="13.5" thickBot="1">
      <c r="B364" s="828" t="s">
        <v>841</v>
      </c>
      <c r="C364" s="829"/>
      <c r="D364" s="77"/>
      <c r="E364" s="82"/>
      <c r="F364" s="86"/>
      <c r="G364" s="112"/>
    </row>
    <row r="365" spans="1:7" ht="14.25" thickTop="1" thickBot="1">
      <c r="B365" s="808"/>
      <c r="C365" s="808"/>
      <c r="D365" s="808"/>
      <c r="E365" s="809"/>
      <c r="F365" s="120" t="s">
        <v>856</v>
      </c>
      <c r="G365" s="118">
        <f>SUM(G360:G364)</f>
        <v>93537</v>
      </c>
    </row>
    <row r="366" spans="1:7" ht="14.25" thickTop="1" thickBot="1">
      <c r="B366" s="810"/>
      <c r="C366" s="810"/>
      <c r="D366" s="810"/>
      <c r="E366" s="810"/>
      <c r="F366" s="810"/>
      <c r="G366" s="810"/>
    </row>
    <row r="367" spans="1:7" ht="13.5" thickTop="1">
      <c r="B367" s="811" t="s">
        <v>321</v>
      </c>
      <c r="C367" s="812"/>
      <c r="D367" s="812"/>
      <c r="E367" s="812"/>
      <c r="F367" s="812"/>
      <c r="G367" s="825"/>
    </row>
    <row r="368" spans="1:7">
      <c r="B368" s="817" t="s">
        <v>838</v>
      </c>
      <c r="C368" s="818"/>
      <c r="D368" s="98" t="s">
        <v>301</v>
      </c>
      <c r="E368" s="98" t="s">
        <v>297</v>
      </c>
      <c r="F368" s="99" t="s">
        <v>839</v>
      </c>
      <c r="G368" s="107" t="s">
        <v>840</v>
      </c>
    </row>
    <row r="369" spans="1:8">
      <c r="B369" s="230"/>
      <c r="C369" s="102"/>
      <c r="D369" s="103" t="s">
        <v>322</v>
      </c>
      <c r="E369" s="103" t="s">
        <v>323</v>
      </c>
      <c r="F369" s="104" t="s">
        <v>324</v>
      </c>
      <c r="G369" s="109" t="s">
        <v>325</v>
      </c>
    </row>
    <row r="370" spans="1:8">
      <c r="B370" s="826"/>
      <c r="C370" s="827"/>
      <c r="D370" s="96"/>
      <c r="E370" s="96"/>
      <c r="F370" s="96"/>
      <c r="G370" s="116"/>
    </row>
    <row r="371" spans="1:8" ht="13.5" thickBot="1">
      <c r="B371" s="828" t="s">
        <v>841</v>
      </c>
      <c r="C371" s="829"/>
      <c r="D371" s="77"/>
      <c r="E371" s="82"/>
      <c r="F371" s="86"/>
      <c r="G371" s="112"/>
    </row>
    <row r="372" spans="1:8" ht="14.25" thickTop="1" thickBot="1">
      <c r="B372" s="808"/>
      <c r="C372" s="808"/>
      <c r="D372" s="808"/>
      <c r="E372" s="809"/>
      <c r="F372" s="120" t="s">
        <v>856</v>
      </c>
      <c r="G372" s="118">
        <f>SUM(G367:G371)</f>
        <v>0</v>
      </c>
    </row>
    <row r="373" spans="1:8" ht="14.25" thickTop="1" thickBot="1">
      <c r="B373" s="810"/>
      <c r="C373" s="810"/>
      <c r="D373" s="810"/>
      <c r="E373" s="810"/>
      <c r="F373" s="810"/>
      <c r="G373" s="834"/>
    </row>
    <row r="374" spans="1:8" ht="13.5" thickTop="1">
      <c r="B374" s="811" t="s">
        <v>326</v>
      </c>
      <c r="C374" s="812"/>
      <c r="D374" s="812"/>
      <c r="E374" s="812"/>
      <c r="F374" s="813"/>
      <c r="G374" s="121">
        <f>+G338+G354+G365</f>
        <v>365036</v>
      </c>
    </row>
    <row r="375" spans="1:8">
      <c r="B375" s="814" t="s">
        <v>861</v>
      </c>
      <c r="C375" s="815"/>
      <c r="D375" s="815"/>
      <c r="E375" s="816"/>
      <c r="F375" s="117">
        <v>0</v>
      </c>
      <c r="G375" s="122">
        <f>ROUND(G374*F375/100,0)</f>
        <v>0</v>
      </c>
    </row>
    <row r="376" spans="1:8" ht="13.5" thickBot="1">
      <c r="B376" s="805" t="s">
        <v>1049</v>
      </c>
      <c r="C376" s="806"/>
      <c r="D376" s="806"/>
      <c r="E376" s="806"/>
      <c r="F376" s="807"/>
      <c r="G376" s="118">
        <f>ROUND(G374+G375,-2)</f>
        <v>365000</v>
      </c>
      <c r="H376" s="505" t="s">
        <v>1670</v>
      </c>
    </row>
    <row r="377" spans="1:8" ht="15" thickTop="1">
      <c r="B377" s="225" t="s">
        <v>303</v>
      </c>
      <c r="C377" s="843"/>
      <c r="D377" s="843"/>
      <c r="E377" s="843"/>
      <c r="F377" s="92" t="s">
        <v>781</v>
      </c>
      <c r="G377" s="93" t="s">
        <v>1066</v>
      </c>
    </row>
    <row r="378" spans="1:8">
      <c r="A378" s="95" t="s">
        <v>832</v>
      </c>
      <c r="B378" s="226" t="s">
        <v>834</v>
      </c>
      <c r="C378" s="844" t="s">
        <v>1102</v>
      </c>
      <c r="D378" s="844"/>
      <c r="E378" s="844"/>
      <c r="F378" s="15" t="s">
        <v>833</v>
      </c>
      <c r="G378" s="165" t="str">
        <f>'MANO DE OBRA'!D61</f>
        <v>Agosto de 2010</v>
      </c>
    </row>
    <row r="379" spans="1:8" ht="13.5" thickBot="1">
      <c r="A379" s="95">
        <f>MATERIALES2!B51</f>
        <v>20406</v>
      </c>
      <c r="B379" s="228" t="s">
        <v>835</v>
      </c>
      <c r="C379" s="845" t="s">
        <v>460</v>
      </c>
      <c r="D379" s="845"/>
      <c r="E379" s="845"/>
      <c r="F379" s="845"/>
      <c r="G379" s="846"/>
    </row>
    <row r="380" spans="1:8" ht="14.25" thickTop="1" thickBot="1">
      <c r="B380" s="847"/>
      <c r="C380" s="847"/>
      <c r="D380" s="847"/>
      <c r="E380" s="847"/>
      <c r="F380" s="847"/>
      <c r="G380" s="847"/>
    </row>
    <row r="381" spans="1:8" ht="13.5" thickTop="1">
      <c r="B381" s="811" t="s">
        <v>304</v>
      </c>
      <c r="C381" s="812"/>
      <c r="D381" s="812"/>
      <c r="E381" s="812"/>
      <c r="F381" s="812"/>
      <c r="G381" s="825"/>
    </row>
    <row r="382" spans="1:8">
      <c r="B382" s="229"/>
      <c r="C382" s="97"/>
      <c r="D382" s="98" t="s">
        <v>301</v>
      </c>
      <c r="E382" s="98" t="s">
        <v>1072</v>
      </c>
      <c r="F382" s="99" t="s">
        <v>839</v>
      </c>
      <c r="G382" s="107" t="s">
        <v>840</v>
      </c>
    </row>
    <row r="383" spans="1:8">
      <c r="B383" s="821" t="s">
        <v>838</v>
      </c>
      <c r="C383" s="822"/>
      <c r="D383" s="100" t="s">
        <v>308</v>
      </c>
      <c r="E383" s="100" t="s">
        <v>305</v>
      </c>
      <c r="F383" s="101" t="s">
        <v>306</v>
      </c>
      <c r="G383" s="108" t="s">
        <v>310</v>
      </c>
    </row>
    <row r="384" spans="1:8">
      <c r="B384" s="230"/>
      <c r="C384" s="102"/>
      <c r="D384" s="103"/>
      <c r="E384" s="103" t="s">
        <v>309</v>
      </c>
      <c r="F384" s="104" t="s">
        <v>307</v>
      </c>
      <c r="G384" s="109"/>
    </row>
    <row r="385" spans="1:7">
      <c r="A385" s="95">
        <f>'MAQUINARIA Y EQUIPOS'!B49</f>
        <v>10142</v>
      </c>
      <c r="B385" s="823" t="str">
        <f>'MAQUINARIA Y EQUIPOS'!$C$50</f>
        <v>TROMPO DE BULTO</v>
      </c>
      <c r="C385" s="824"/>
      <c r="D385" s="87">
        <v>1</v>
      </c>
      <c r="E385" s="80">
        <f>'MAQUINARIA Y EQUIPOS'!$D$50</f>
        <v>75000</v>
      </c>
      <c r="F385" s="81">
        <v>5</v>
      </c>
      <c r="G385" s="110">
        <f>ROUND(D385*E385/F385,0)</f>
        <v>15000</v>
      </c>
    </row>
    <row r="386" spans="1:7">
      <c r="A386" s="95">
        <f>'MAQUINARIA Y EQUIPOS'!B27</f>
        <v>10120</v>
      </c>
      <c r="B386" s="835" t="str">
        <f>'MAQUINARIA Y EQUIPOS'!$C$28</f>
        <v>HERRAMIENTAS MENORES</v>
      </c>
      <c r="C386" s="836"/>
      <c r="D386" s="37">
        <v>1</v>
      </c>
      <c r="E386" s="82">
        <f>ROUND(G418*0.05,0)</f>
        <v>4677</v>
      </c>
      <c r="F386" s="83">
        <v>1</v>
      </c>
      <c r="G386" s="111">
        <f>ROUND(D386*E386/F386,0)</f>
        <v>4677</v>
      </c>
    </row>
    <row r="387" spans="1:7">
      <c r="B387" s="835"/>
      <c r="C387" s="836"/>
      <c r="D387" s="89"/>
      <c r="E387" s="82"/>
      <c r="F387" s="83"/>
      <c r="G387" s="111"/>
    </row>
    <row r="388" spans="1:7">
      <c r="B388" s="835"/>
      <c r="C388" s="836"/>
      <c r="D388" s="89"/>
      <c r="E388" s="82"/>
      <c r="F388" s="83"/>
      <c r="G388" s="111"/>
    </row>
    <row r="389" spans="1:7">
      <c r="B389" s="835" t="s">
        <v>841</v>
      </c>
      <c r="C389" s="836"/>
      <c r="D389" s="37"/>
      <c r="E389" s="82"/>
      <c r="F389" s="83"/>
      <c r="G389" s="111"/>
    </row>
    <row r="390" spans="1:7" ht="13.5" thickBot="1">
      <c r="B390" s="839" t="s">
        <v>841</v>
      </c>
      <c r="C390" s="840"/>
      <c r="D390" s="77"/>
      <c r="E390" s="106"/>
      <c r="F390" s="86"/>
      <c r="G390" s="112"/>
    </row>
    <row r="391" spans="1:7" ht="14.25" thickTop="1" thickBot="1">
      <c r="B391" s="808"/>
      <c r="C391" s="808"/>
      <c r="D391" s="808"/>
      <c r="E391" s="809"/>
      <c r="F391" s="119" t="s">
        <v>856</v>
      </c>
      <c r="G391" s="118">
        <f>SUM(G385:G390)</f>
        <v>19677</v>
      </c>
    </row>
    <row r="392" spans="1:7" ht="14.25" thickTop="1" thickBot="1">
      <c r="B392" s="830"/>
      <c r="C392" s="830"/>
      <c r="D392" s="830"/>
      <c r="E392" s="830"/>
      <c r="F392" s="830"/>
      <c r="G392" s="830"/>
    </row>
    <row r="393" spans="1:7" ht="13.5" thickTop="1">
      <c r="B393" s="811" t="s">
        <v>311</v>
      </c>
      <c r="C393" s="812"/>
      <c r="D393" s="812"/>
      <c r="E393" s="812"/>
      <c r="F393" s="812"/>
      <c r="G393" s="825"/>
    </row>
    <row r="394" spans="1:7">
      <c r="B394" s="817" t="s">
        <v>838</v>
      </c>
      <c r="C394" s="818"/>
      <c r="D394" s="98" t="s">
        <v>842</v>
      </c>
      <c r="E394" s="98" t="s">
        <v>853</v>
      </c>
      <c r="F394" s="99" t="s">
        <v>1047</v>
      </c>
      <c r="G394" s="107" t="s">
        <v>840</v>
      </c>
    </row>
    <row r="395" spans="1:7">
      <c r="B395" s="230"/>
      <c r="C395" s="102"/>
      <c r="D395" s="100"/>
      <c r="E395" s="100" t="s">
        <v>312</v>
      </c>
      <c r="F395" s="101" t="s">
        <v>313</v>
      </c>
      <c r="G395" s="108" t="s">
        <v>314</v>
      </c>
    </row>
    <row r="396" spans="1:7">
      <c r="A396" s="95">
        <f>MATERIALES2!B13</f>
        <v>20104</v>
      </c>
      <c r="B396" s="841" t="str">
        <f>MATERIALES2!$C$13</f>
        <v>CEMENTO GRIS</v>
      </c>
      <c r="C396" s="842"/>
      <c r="D396" s="87" t="s">
        <v>925</v>
      </c>
      <c r="E396" s="38">
        <v>454</v>
      </c>
      <c r="F396" s="80">
        <f>MATERIALES2!$E$13</f>
        <v>420</v>
      </c>
      <c r="G396" s="110">
        <f>ROUND(E396*F396,0)</f>
        <v>190680</v>
      </c>
    </row>
    <row r="397" spans="1:7" ht="14.25">
      <c r="A397" s="95">
        <f>MATERIALES2!B20</f>
        <v>20201</v>
      </c>
      <c r="B397" s="835" t="str">
        <f>MATERIALES2!$C$20</f>
        <v xml:space="preserve">ARENA </v>
      </c>
      <c r="C397" s="836"/>
      <c r="D397" s="37" t="s">
        <v>1066</v>
      </c>
      <c r="E397" s="55">
        <v>1.0900000000000001</v>
      </c>
      <c r="F397" s="82">
        <f>MATERIALES2!$E$20</f>
        <v>35000</v>
      </c>
      <c r="G397" s="111">
        <f>ROUND(E397*F397,0)</f>
        <v>38150</v>
      </c>
    </row>
    <row r="398" spans="1:7">
      <c r="A398" s="95">
        <f>MATERIALES2!B28</f>
        <v>20208</v>
      </c>
      <c r="B398" s="835" t="str">
        <f>MATERIALES2!$C$28</f>
        <v>AGUA</v>
      </c>
      <c r="C398" s="836"/>
      <c r="D398" s="37" t="s">
        <v>1071</v>
      </c>
      <c r="E398" s="55">
        <v>220</v>
      </c>
      <c r="F398" s="82">
        <f>MATERIALES2!$E$28</f>
        <v>50</v>
      </c>
      <c r="G398" s="111">
        <f>ROUND(E398*F398,0)</f>
        <v>11000</v>
      </c>
    </row>
    <row r="399" spans="1:7">
      <c r="A399" s="95">
        <f>MATERIALES2!B318</f>
        <v>21116</v>
      </c>
      <c r="B399" s="835" t="str">
        <f>MATERIALES2!$C$303</f>
        <v>TOKENET 1  IMPERMEABIL.1 KILO</v>
      </c>
      <c r="C399" s="836"/>
      <c r="D399" s="37" t="s">
        <v>865</v>
      </c>
      <c r="E399" s="147">
        <v>3.4049999999999998</v>
      </c>
      <c r="F399" s="82">
        <f>MATERIALES2!$E$303</f>
        <v>4142.5</v>
      </c>
      <c r="G399" s="111">
        <f>ROUND(E399*F399,0)</f>
        <v>14105</v>
      </c>
    </row>
    <row r="400" spans="1:7">
      <c r="B400" s="837"/>
      <c r="C400" s="838"/>
      <c r="D400" s="37"/>
      <c r="E400" s="55"/>
      <c r="F400" s="82"/>
      <c r="G400" s="111"/>
    </row>
    <row r="401" spans="1:8">
      <c r="B401" s="837"/>
      <c r="C401" s="838"/>
      <c r="D401" s="53" t="s">
        <v>841</v>
      </c>
      <c r="E401" s="53"/>
      <c r="F401" s="82"/>
      <c r="G401" s="111"/>
    </row>
    <row r="402" spans="1:8">
      <c r="B402" s="837" t="s">
        <v>841</v>
      </c>
      <c r="C402" s="838"/>
      <c r="D402" s="53" t="s">
        <v>841</v>
      </c>
      <c r="E402" s="53"/>
      <c r="F402" s="82"/>
      <c r="G402" s="111"/>
      <c r="H402" s="505" t="s">
        <v>1670</v>
      </c>
    </row>
    <row r="403" spans="1:8">
      <c r="B403" s="837" t="s">
        <v>841</v>
      </c>
      <c r="C403" s="838"/>
      <c r="D403" s="53" t="s">
        <v>841</v>
      </c>
      <c r="E403" s="53"/>
      <c r="F403" s="82"/>
      <c r="G403" s="111"/>
    </row>
    <row r="404" spans="1:8" ht="13.5" thickBot="1">
      <c r="B404" s="839" t="s">
        <v>841</v>
      </c>
      <c r="C404" s="840"/>
      <c r="D404" s="84" t="s">
        <v>841</v>
      </c>
      <c r="E404" s="84"/>
      <c r="F404" s="85"/>
      <c r="G404" s="112"/>
    </row>
    <row r="405" spans="1:8" ht="13.5" thickTop="1">
      <c r="B405" s="808"/>
      <c r="C405" s="809"/>
      <c r="D405" s="801" t="s">
        <v>856</v>
      </c>
      <c r="E405" s="802"/>
      <c r="F405" s="9"/>
      <c r="G405" s="113">
        <f>SUM(G396:G404)</f>
        <v>253935</v>
      </c>
    </row>
    <row r="406" spans="1:8">
      <c r="B406" s="819"/>
      <c r="C406" s="820"/>
      <c r="D406" s="801" t="s">
        <v>857</v>
      </c>
      <c r="E406" s="802"/>
      <c r="F406" s="79">
        <f>'MANO DE OBRA'!$D$60</f>
        <v>0.05</v>
      </c>
      <c r="G406" s="113">
        <f>ROUND(G405*F406,0)</f>
        <v>12697</v>
      </c>
    </row>
    <row r="407" spans="1:8" ht="13.5" thickBot="1">
      <c r="B407" s="819"/>
      <c r="C407" s="820"/>
      <c r="D407" s="803" t="s">
        <v>320</v>
      </c>
      <c r="E407" s="804"/>
      <c r="F407" s="114"/>
      <c r="G407" s="118">
        <f>+G405+G406</f>
        <v>266632</v>
      </c>
    </row>
    <row r="408" spans="1:8" ht="14.25" thickTop="1" thickBot="1">
      <c r="B408" s="830"/>
      <c r="C408" s="830"/>
      <c r="D408" s="830"/>
      <c r="E408" s="830"/>
      <c r="F408" s="830"/>
      <c r="G408" s="830"/>
    </row>
    <row r="409" spans="1:8" ht="13.5" thickTop="1">
      <c r="B409" s="811" t="s">
        <v>858</v>
      </c>
      <c r="C409" s="812"/>
      <c r="D409" s="812"/>
      <c r="E409" s="812"/>
      <c r="F409" s="812"/>
      <c r="G409" s="825"/>
    </row>
    <row r="410" spans="1:8">
      <c r="B410" s="817"/>
      <c r="C410" s="818"/>
      <c r="D410" s="98" t="s">
        <v>301</v>
      </c>
      <c r="E410" s="98" t="s">
        <v>859</v>
      </c>
      <c r="F410" s="99" t="s">
        <v>839</v>
      </c>
      <c r="G410" s="107" t="s">
        <v>840</v>
      </c>
    </row>
    <row r="411" spans="1:8">
      <c r="B411" s="821" t="s">
        <v>838</v>
      </c>
      <c r="C411" s="822"/>
      <c r="D411" s="100" t="s">
        <v>316</v>
      </c>
      <c r="E411" s="100" t="s">
        <v>315</v>
      </c>
      <c r="F411" s="101" t="s">
        <v>306</v>
      </c>
      <c r="G411" s="108" t="s">
        <v>319</v>
      </c>
    </row>
    <row r="412" spans="1:8">
      <c r="B412" s="230"/>
      <c r="C412" s="102"/>
      <c r="D412" s="103"/>
      <c r="E412" s="103" t="s">
        <v>317</v>
      </c>
      <c r="F412" s="104" t="s">
        <v>318</v>
      </c>
      <c r="G412" s="109"/>
    </row>
    <row r="413" spans="1:8">
      <c r="A413" s="95">
        <f>'MANO DE OBRA'!A10</f>
        <v>30101</v>
      </c>
      <c r="B413" s="823" t="str">
        <f>'MANO DE OBRA'!$B$10</f>
        <v>AYUDANTE CUAD. TIPO AA</v>
      </c>
      <c r="C413" s="824"/>
      <c r="D413" s="87">
        <v>5</v>
      </c>
      <c r="E413" s="80">
        <f>'MANO DE OBRA'!$E$10</f>
        <v>34680</v>
      </c>
      <c r="F413" s="81">
        <v>3</v>
      </c>
      <c r="G413" s="110">
        <f>ROUND(D413*E413/F413,0)</f>
        <v>57800</v>
      </c>
    </row>
    <row r="414" spans="1:8">
      <c r="A414" s="95">
        <f>'MANO DE OBRA'!A15</f>
        <v>30106</v>
      </c>
      <c r="B414" s="835" t="str">
        <f>'MANO DE OBRA'!$B$15</f>
        <v xml:space="preserve">OFICIAL CUAD. TIPO AA </v>
      </c>
      <c r="C414" s="836"/>
      <c r="D414" s="37">
        <v>1</v>
      </c>
      <c r="E414" s="82">
        <f>'MANO DE OBRA'!$E$15</f>
        <v>71474</v>
      </c>
      <c r="F414" s="83">
        <v>2</v>
      </c>
      <c r="G414" s="111">
        <f>ROUND(D414*E414/F414,0)</f>
        <v>35737</v>
      </c>
    </row>
    <row r="415" spans="1:8">
      <c r="B415" s="835"/>
      <c r="C415" s="836"/>
      <c r="D415" s="89"/>
      <c r="E415" s="82"/>
      <c r="F415" s="83"/>
      <c r="G415" s="111"/>
    </row>
    <row r="416" spans="1:8">
      <c r="B416" s="835" t="s">
        <v>841</v>
      </c>
      <c r="C416" s="836"/>
      <c r="D416" s="37"/>
      <c r="E416" s="82"/>
      <c r="F416" s="83"/>
      <c r="G416" s="111"/>
    </row>
    <row r="417" spans="1:9" ht="13.5" thickBot="1">
      <c r="B417" s="828" t="s">
        <v>841</v>
      </c>
      <c r="C417" s="829"/>
      <c r="D417" s="77"/>
      <c r="E417" s="82"/>
      <c r="F417" s="86"/>
      <c r="G417" s="112"/>
    </row>
    <row r="418" spans="1:9" ht="14.25" thickTop="1" thickBot="1">
      <c r="B418" s="808"/>
      <c r="C418" s="808"/>
      <c r="D418" s="808"/>
      <c r="E418" s="809"/>
      <c r="F418" s="120" t="s">
        <v>856</v>
      </c>
      <c r="G418" s="118">
        <f>SUM(G413:G417)</f>
        <v>93537</v>
      </c>
    </row>
    <row r="419" spans="1:9" ht="14.25" thickTop="1" thickBot="1">
      <c r="B419" s="810"/>
      <c r="C419" s="810"/>
      <c r="D419" s="810"/>
      <c r="E419" s="810"/>
      <c r="F419" s="810"/>
      <c r="G419" s="810"/>
    </row>
    <row r="420" spans="1:9" ht="13.5" thickTop="1">
      <c r="B420" s="811" t="s">
        <v>321</v>
      </c>
      <c r="C420" s="812"/>
      <c r="D420" s="812"/>
      <c r="E420" s="812"/>
      <c r="F420" s="812"/>
      <c r="G420" s="825"/>
    </row>
    <row r="421" spans="1:9">
      <c r="B421" s="817" t="s">
        <v>838</v>
      </c>
      <c r="C421" s="818"/>
      <c r="D421" s="98" t="s">
        <v>301</v>
      </c>
      <c r="E421" s="98" t="s">
        <v>297</v>
      </c>
      <c r="F421" s="99" t="s">
        <v>839</v>
      </c>
      <c r="G421" s="107" t="s">
        <v>840</v>
      </c>
    </row>
    <row r="422" spans="1:9">
      <c r="B422" s="230"/>
      <c r="C422" s="102"/>
      <c r="D422" s="103" t="s">
        <v>322</v>
      </c>
      <c r="E422" s="103" t="s">
        <v>323</v>
      </c>
      <c r="F422" s="104" t="s">
        <v>324</v>
      </c>
      <c r="G422" s="109" t="s">
        <v>325</v>
      </c>
    </row>
    <row r="423" spans="1:9">
      <c r="B423" s="826"/>
      <c r="C423" s="827"/>
      <c r="D423" s="96"/>
      <c r="E423" s="96"/>
      <c r="F423" s="96"/>
      <c r="G423" s="116"/>
    </row>
    <row r="424" spans="1:9" ht="13.5" thickBot="1">
      <c r="B424" s="828" t="s">
        <v>841</v>
      </c>
      <c r="C424" s="829"/>
      <c r="D424" s="77"/>
      <c r="E424" s="82"/>
      <c r="F424" s="86"/>
      <c r="G424" s="112"/>
    </row>
    <row r="425" spans="1:9" ht="14.25" thickTop="1" thickBot="1">
      <c r="B425" s="808"/>
      <c r="C425" s="808"/>
      <c r="D425" s="808"/>
      <c r="E425" s="809"/>
      <c r="F425" s="120" t="s">
        <v>856</v>
      </c>
      <c r="G425" s="118">
        <f>SUM(G420:G424)</f>
        <v>0</v>
      </c>
    </row>
    <row r="426" spans="1:9" ht="14.25" thickTop="1" thickBot="1">
      <c r="B426" s="810"/>
      <c r="C426" s="810"/>
      <c r="D426" s="810"/>
      <c r="E426" s="810"/>
      <c r="F426" s="810"/>
      <c r="G426" s="834"/>
    </row>
    <row r="427" spans="1:9" ht="13.5" thickTop="1">
      <c r="B427" s="811" t="s">
        <v>326</v>
      </c>
      <c r="C427" s="812"/>
      <c r="D427" s="812"/>
      <c r="E427" s="812"/>
      <c r="F427" s="813"/>
      <c r="G427" s="121">
        <f>+G391+G407+G418</f>
        <v>379846</v>
      </c>
    </row>
    <row r="428" spans="1:9">
      <c r="B428" s="814" t="s">
        <v>861</v>
      </c>
      <c r="C428" s="815"/>
      <c r="D428" s="815"/>
      <c r="E428" s="816"/>
      <c r="F428" s="117">
        <v>0</v>
      </c>
      <c r="G428" s="122">
        <f>ROUND(G427*F428/100,0)</f>
        <v>0</v>
      </c>
    </row>
    <row r="429" spans="1:9" ht="13.5" thickBot="1">
      <c r="B429" s="805" t="s">
        <v>1049</v>
      </c>
      <c r="C429" s="806"/>
      <c r="D429" s="806"/>
      <c r="E429" s="806"/>
      <c r="F429" s="807"/>
      <c r="G429" s="118">
        <f>ROUND(G427+G428,-2)</f>
        <v>379800</v>
      </c>
      <c r="H429" s="505" t="s">
        <v>1670</v>
      </c>
    </row>
    <row r="430" spans="1:9" ht="15" thickTop="1">
      <c r="B430" s="225" t="s">
        <v>303</v>
      </c>
      <c r="C430" s="843"/>
      <c r="D430" s="843"/>
      <c r="E430" s="843"/>
      <c r="F430" s="92" t="s">
        <v>781</v>
      </c>
      <c r="G430" s="93" t="s">
        <v>1066</v>
      </c>
    </row>
    <row r="431" spans="1:9">
      <c r="A431" s="95" t="s">
        <v>832</v>
      </c>
      <c r="B431" s="226" t="s">
        <v>834</v>
      </c>
      <c r="C431" s="844" t="s">
        <v>1102</v>
      </c>
      <c r="D431" s="844"/>
      <c r="E431" s="844"/>
      <c r="F431" s="15" t="s">
        <v>833</v>
      </c>
      <c r="G431" s="165" t="str">
        <f>'MANO DE OBRA'!D61</f>
        <v>Agosto de 2010</v>
      </c>
    </row>
    <row r="432" spans="1:9" ht="13.5" thickBot="1">
      <c r="A432" s="95">
        <f>MATERIALES2!B52</f>
        <v>20407</v>
      </c>
      <c r="B432" s="228" t="s">
        <v>835</v>
      </c>
      <c r="C432" s="845" t="s">
        <v>1110</v>
      </c>
      <c r="D432" s="845"/>
      <c r="E432" s="845"/>
      <c r="F432" s="845"/>
      <c r="G432" s="846"/>
      <c r="I432" s="13"/>
    </row>
    <row r="433" spans="1:9" ht="14.25" thickTop="1" thickBot="1">
      <c r="B433" s="847"/>
      <c r="C433" s="847"/>
      <c r="D433" s="847"/>
      <c r="E433" s="847"/>
      <c r="F433" s="847"/>
      <c r="G433" s="847"/>
      <c r="I433" s="13"/>
    </row>
    <row r="434" spans="1:9" ht="13.5" thickTop="1">
      <c r="B434" s="811" t="s">
        <v>304</v>
      </c>
      <c r="C434" s="812"/>
      <c r="D434" s="812"/>
      <c r="E434" s="812"/>
      <c r="F434" s="812"/>
      <c r="G434" s="825"/>
    </row>
    <row r="435" spans="1:9">
      <c r="B435" s="229"/>
      <c r="C435" s="97"/>
      <c r="D435" s="98" t="s">
        <v>301</v>
      </c>
      <c r="E435" s="98" t="s">
        <v>1072</v>
      </c>
      <c r="F435" s="99" t="s">
        <v>839</v>
      </c>
      <c r="G435" s="107" t="s">
        <v>840</v>
      </c>
    </row>
    <row r="436" spans="1:9">
      <c r="B436" s="821" t="s">
        <v>838</v>
      </c>
      <c r="C436" s="822"/>
      <c r="D436" s="100" t="s">
        <v>308</v>
      </c>
      <c r="E436" s="100" t="s">
        <v>305</v>
      </c>
      <c r="F436" s="101" t="s">
        <v>306</v>
      </c>
      <c r="G436" s="108" t="s">
        <v>310</v>
      </c>
    </row>
    <row r="437" spans="1:9">
      <c r="B437" s="230"/>
      <c r="C437" s="102"/>
      <c r="D437" s="103"/>
      <c r="E437" s="103" t="s">
        <v>309</v>
      </c>
      <c r="F437" s="104" t="s">
        <v>307</v>
      </c>
      <c r="G437" s="109"/>
    </row>
    <row r="438" spans="1:9">
      <c r="A438" s="95">
        <f>'MAQUINARIA Y EQUIPOS'!B49</f>
        <v>10142</v>
      </c>
      <c r="B438" s="823" t="str">
        <f>'MAQUINARIA Y EQUIPOS'!C50</f>
        <v>TROMPO DE BULTO</v>
      </c>
      <c r="C438" s="824"/>
      <c r="D438" s="87">
        <v>1</v>
      </c>
      <c r="E438" s="80">
        <f>'MAQUINARIA Y EQUIPOS'!D50</f>
        <v>75000</v>
      </c>
      <c r="F438" s="81">
        <v>5</v>
      </c>
      <c r="G438" s="110">
        <f>ROUND(D438*E438/F438,0)</f>
        <v>15000</v>
      </c>
    </row>
    <row r="439" spans="1:9">
      <c r="A439" s="95">
        <f>'MAQUINARIA Y EQUIPOS'!B27</f>
        <v>10120</v>
      </c>
      <c r="B439" s="835" t="str">
        <f>'MAQUINARIA Y EQUIPOS'!C28</f>
        <v>HERRAMIENTAS MENORES</v>
      </c>
      <c r="C439" s="836"/>
      <c r="D439" s="37">
        <v>1</v>
      </c>
      <c r="E439" s="82">
        <f>ROUND(G471*0.05,0)</f>
        <v>4677</v>
      </c>
      <c r="F439" s="83">
        <v>1</v>
      </c>
      <c r="G439" s="111">
        <f>ROUND(D439*E439/F439,0)</f>
        <v>4677</v>
      </c>
    </row>
    <row r="440" spans="1:9">
      <c r="B440" s="835"/>
      <c r="C440" s="836"/>
      <c r="D440" s="89"/>
      <c r="E440" s="82"/>
      <c r="F440" s="83"/>
      <c r="G440" s="111"/>
    </row>
    <row r="441" spans="1:9">
      <c r="B441" s="835"/>
      <c r="C441" s="836"/>
      <c r="D441" s="89"/>
      <c r="E441" s="82"/>
      <c r="F441" s="83"/>
      <c r="G441" s="111"/>
    </row>
    <row r="442" spans="1:9">
      <c r="B442" s="835" t="s">
        <v>841</v>
      </c>
      <c r="C442" s="836"/>
      <c r="D442" s="37"/>
      <c r="E442" s="82"/>
      <c r="F442" s="83"/>
      <c r="G442" s="111"/>
    </row>
    <row r="443" spans="1:9" ht="13.5" thickBot="1">
      <c r="B443" s="839" t="s">
        <v>841</v>
      </c>
      <c r="C443" s="840"/>
      <c r="D443" s="77"/>
      <c r="E443" s="106"/>
      <c r="F443" s="86"/>
      <c r="G443" s="112"/>
    </row>
    <row r="444" spans="1:9" ht="14.25" thickTop="1" thickBot="1">
      <c r="B444" s="808"/>
      <c r="C444" s="808"/>
      <c r="D444" s="808"/>
      <c r="E444" s="809"/>
      <c r="F444" s="119" t="s">
        <v>856</v>
      </c>
      <c r="G444" s="118">
        <f>SUM(G438:G443)</f>
        <v>19677</v>
      </c>
    </row>
    <row r="445" spans="1:9" ht="14.25" thickTop="1" thickBot="1">
      <c r="B445" s="830"/>
      <c r="C445" s="830"/>
      <c r="D445" s="830"/>
      <c r="E445" s="830"/>
      <c r="F445" s="830"/>
      <c r="G445" s="830"/>
    </row>
    <row r="446" spans="1:9" ht="13.5" thickTop="1">
      <c r="B446" s="811" t="s">
        <v>311</v>
      </c>
      <c r="C446" s="812"/>
      <c r="D446" s="812"/>
      <c r="E446" s="812"/>
      <c r="F446" s="812"/>
      <c r="G446" s="825"/>
    </row>
    <row r="447" spans="1:9">
      <c r="B447" s="817" t="s">
        <v>838</v>
      </c>
      <c r="C447" s="818"/>
      <c r="D447" s="98" t="s">
        <v>842</v>
      </c>
      <c r="E447" s="98" t="s">
        <v>853</v>
      </c>
      <c r="F447" s="99" t="s">
        <v>1047</v>
      </c>
      <c r="G447" s="107" t="s">
        <v>840</v>
      </c>
    </row>
    <row r="448" spans="1:9">
      <c r="B448" s="230"/>
      <c r="C448" s="102"/>
      <c r="D448" s="100"/>
      <c r="E448" s="100" t="s">
        <v>312</v>
      </c>
      <c r="F448" s="101" t="s">
        <v>313</v>
      </c>
      <c r="G448" s="108" t="s">
        <v>314</v>
      </c>
    </row>
    <row r="449" spans="1:8">
      <c r="A449" s="95">
        <f>MATERIALES2!B13</f>
        <v>20104</v>
      </c>
      <c r="B449" s="841" t="str">
        <f>MATERIALES2!C13</f>
        <v>CEMENTO GRIS</v>
      </c>
      <c r="C449" s="842"/>
      <c r="D449" s="87" t="s">
        <v>925</v>
      </c>
      <c r="E449" s="38">
        <v>365</v>
      </c>
      <c r="F449" s="80">
        <f>MATERIALES2!E13</f>
        <v>420</v>
      </c>
      <c r="G449" s="110">
        <f>ROUND(E449*F449,0)</f>
        <v>153300</v>
      </c>
    </row>
    <row r="450" spans="1:8" ht="14.25">
      <c r="A450" s="95">
        <f>MATERIALES2!B20</f>
        <v>20201</v>
      </c>
      <c r="B450" s="835" t="str">
        <f>MATERIALES2!C20</f>
        <v xml:space="preserve">ARENA </v>
      </c>
      <c r="C450" s="836"/>
      <c r="D450" s="37" t="s">
        <v>1066</v>
      </c>
      <c r="E450" s="55">
        <v>1.1599999999999999</v>
      </c>
      <c r="F450" s="82">
        <f>MATERIALES2!E20</f>
        <v>35000</v>
      </c>
      <c r="G450" s="111">
        <f>ROUND(E450*F450,0)</f>
        <v>40600</v>
      </c>
    </row>
    <row r="451" spans="1:8">
      <c r="A451" s="95">
        <f>MATERIALES2!B28</f>
        <v>20208</v>
      </c>
      <c r="B451" s="835" t="str">
        <f>MATERIALES2!C28</f>
        <v>AGUA</v>
      </c>
      <c r="C451" s="836"/>
      <c r="D451" s="37" t="s">
        <v>1071</v>
      </c>
      <c r="E451" s="55">
        <v>185</v>
      </c>
      <c r="F451" s="82">
        <f>MATERIALES2!E28</f>
        <v>50</v>
      </c>
      <c r="G451" s="111">
        <f>ROUND(E451*F451,0)</f>
        <v>9250</v>
      </c>
    </row>
    <row r="452" spans="1:8">
      <c r="B452" s="837"/>
      <c r="C452" s="838"/>
      <c r="D452" s="37"/>
      <c r="E452" s="55"/>
      <c r="F452" s="82"/>
      <c r="G452" s="111"/>
    </row>
    <row r="453" spans="1:8">
      <c r="B453" s="837"/>
      <c r="C453" s="838"/>
      <c r="D453" s="37"/>
      <c r="E453" s="55"/>
      <c r="F453" s="82"/>
      <c r="G453" s="111"/>
    </row>
    <row r="454" spans="1:8">
      <c r="B454" s="837"/>
      <c r="C454" s="838"/>
      <c r="D454" s="53" t="s">
        <v>841</v>
      </c>
      <c r="E454" s="53"/>
      <c r="F454" s="82"/>
      <c r="G454" s="111"/>
    </row>
    <row r="455" spans="1:8">
      <c r="B455" s="837" t="s">
        <v>841</v>
      </c>
      <c r="C455" s="838"/>
      <c r="D455" s="53" t="s">
        <v>841</v>
      </c>
      <c r="E455" s="53"/>
      <c r="F455" s="82"/>
      <c r="G455" s="111"/>
      <c r="H455" s="505" t="s">
        <v>1670</v>
      </c>
    </row>
    <row r="456" spans="1:8">
      <c r="B456" s="837" t="s">
        <v>841</v>
      </c>
      <c r="C456" s="838"/>
      <c r="D456" s="53" t="s">
        <v>841</v>
      </c>
      <c r="E456" s="53"/>
      <c r="F456" s="82"/>
      <c r="G456" s="111"/>
    </row>
    <row r="457" spans="1:8" ht="13.5" thickBot="1">
      <c r="B457" s="839" t="s">
        <v>841</v>
      </c>
      <c r="C457" s="840"/>
      <c r="D457" s="84" t="s">
        <v>841</v>
      </c>
      <c r="E457" s="84"/>
      <c r="F457" s="85"/>
      <c r="G457" s="112"/>
    </row>
    <row r="458" spans="1:8" ht="13.5" thickTop="1">
      <c r="B458" s="808"/>
      <c r="C458" s="809"/>
      <c r="D458" s="801" t="s">
        <v>856</v>
      </c>
      <c r="E458" s="802"/>
      <c r="F458" s="9"/>
      <c r="G458" s="113">
        <f>SUM(G449:G457)</f>
        <v>203150</v>
      </c>
    </row>
    <row r="459" spans="1:8">
      <c r="B459" s="819"/>
      <c r="C459" s="820"/>
      <c r="D459" s="801" t="s">
        <v>857</v>
      </c>
      <c r="E459" s="802"/>
      <c r="F459" s="79">
        <f>'MANO DE OBRA'!D60</f>
        <v>0.05</v>
      </c>
      <c r="G459" s="113">
        <f>ROUND(G458*F459,0)</f>
        <v>10158</v>
      </c>
    </row>
    <row r="460" spans="1:8" ht="13.5" thickBot="1">
      <c r="B460" s="819"/>
      <c r="C460" s="820"/>
      <c r="D460" s="803" t="s">
        <v>320</v>
      </c>
      <c r="E460" s="804"/>
      <c r="F460" s="114"/>
      <c r="G460" s="118">
        <f>+G458+G459</f>
        <v>213308</v>
      </c>
    </row>
    <row r="461" spans="1:8" ht="14.25" thickTop="1" thickBot="1">
      <c r="B461" s="830"/>
      <c r="C461" s="830"/>
      <c r="D461" s="830"/>
      <c r="E461" s="830"/>
      <c r="F461" s="830"/>
      <c r="G461" s="830"/>
    </row>
    <row r="462" spans="1:8" ht="13.5" thickTop="1">
      <c r="B462" s="811" t="s">
        <v>858</v>
      </c>
      <c r="C462" s="812"/>
      <c r="D462" s="812"/>
      <c r="E462" s="812"/>
      <c r="F462" s="812"/>
      <c r="G462" s="825"/>
    </row>
    <row r="463" spans="1:8">
      <c r="B463" s="817"/>
      <c r="C463" s="818"/>
      <c r="D463" s="98" t="s">
        <v>301</v>
      </c>
      <c r="E463" s="98" t="s">
        <v>859</v>
      </c>
      <c r="F463" s="99" t="s">
        <v>839</v>
      </c>
      <c r="G463" s="107" t="s">
        <v>840</v>
      </c>
    </row>
    <row r="464" spans="1:8">
      <c r="B464" s="821" t="s">
        <v>838</v>
      </c>
      <c r="C464" s="822"/>
      <c r="D464" s="100" t="s">
        <v>316</v>
      </c>
      <c r="E464" s="100" t="s">
        <v>315</v>
      </c>
      <c r="F464" s="101" t="s">
        <v>306</v>
      </c>
      <c r="G464" s="108" t="s">
        <v>319</v>
      </c>
    </row>
    <row r="465" spans="1:9">
      <c r="B465" s="230"/>
      <c r="C465" s="102"/>
      <c r="D465" s="103"/>
      <c r="E465" s="103" t="s">
        <v>317</v>
      </c>
      <c r="F465" s="104" t="s">
        <v>318</v>
      </c>
      <c r="G465" s="109"/>
    </row>
    <row r="466" spans="1:9">
      <c r="A466" s="95">
        <f>'MANO DE OBRA'!A10</f>
        <v>30101</v>
      </c>
      <c r="B466" s="823" t="str">
        <f>'MANO DE OBRA'!B10</f>
        <v>AYUDANTE CUAD. TIPO AA</v>
      </c>
      <c r="C466" s="824"/>
      <c r="D466" s="87">
        <v>5</v>
      </c>
      <c r="E466" s="80">
        <f>'MANO DE OBRA'!E10</f>
        <v>34680</v>
      </c>
      <c r="F466" s="81">
        <v>3</v>
      </c>
      <c r="G466" s="110">
        <f>ROUND(D466*E466/F466,0)</f>
        <v>57800</v>
      </c>
    </row>
    <row r="467" spans="1:9">
      <c r="A467" s="95">
        <f>'MANO DE OBRA'!A15</f>
        <v>30106</v>
      </c>
      <c r="B467" s="835" t="str">
        <f>'MANO DE OBRA'!B15</f>
        <v xml:space="preserve">OFICIAL CUAD. TIPO AA </v>
      </c>
      <c r="C467" s="836"/>
      <c r="D467" s="37">
        <v>1</v>
      </c>
      <c r="E467" s="82">
        <f>'MANO DE OBRA'!E15</f>
        <v>71474</v>
      </c>
      <c r="F467" s="83">
        <v>2</v>
      </c>
      <c r="G467" s="111">
        <f>ROUND(D467*E467/F467,0)</f>
        <v>35737</v>
      </c>
    </row>
    <row r="468" spans="1:9">
      <c r="B468" s="835"/>
      <c r="C468" s="836"/>
      <c r="D468" s="89"/>
      <c r="E468" s="82"/>
      <c r="F468" s="83"/>
      <c r="G468" s="111"/>
    </row>
    <row r="469" spans="1:9">
      <c r="B469" s="835" t="s">
        <v>841</v>
      </c>
      <c r="C469" s="836"/>
      <c r="D469" s="37"/>
      <c r="E469" s="82"/>
      <c r="F469" s="83"/>
      <c r="G469" s="111"/>
    </row>
    <row r="470" spans="1:9" ht="13.5" thickBot="1">
      <c r="B470" s="828" t="s">
        <v>841</v>
      </c>
      <c r="C470" s="829"/>
      <c r="D470" s="77"/>
      <c r="E470" s="82"/>
      <c r="F470" s="86"/>
      <c r="G470" s="112"/>
    </row>
    <row r="471" spans="1:9" ht="14.25" thickTop="1" thickBot="1">
      <c r="B471" s="808"/>
      <c r="C471" s="808"/>
      <c r="D471" s="808"/>
      <c r="E471" s="809"/>
      <c r="F471" s="120" t="s">
        <v>856</v>
      </c>
      <c r="G471" s="118">
        <f>SUM(G466:G470)</f>
        <v>93537</v>
      </c>
    </row>
    <row r="472" spans="1:9" ht="14.25" thickTop="1" thickBot="1">
      <c r="B472" s="810"/>
      <c r="C472" s="810"/>
      <c r="D472" s="810"/>
      <c r="E472" s="810"/>
      <c r="F472" s="810"/>
      <c r="G472" s="810"/>
    </row>
    <row r="473" spans="1:9" ht="13.5" thickTop="1">
      <c r="B473" s="811" t="s">
        <v>321</v>
      </c>
      <c r="C473" s="812"/>
      <c r="D473" s="812"/>
      <c r="E473" s="812"/>
      <c r="F473" s="812"/>
      <c r="G473" s="825"/>
      <c r="I473" s="13"/>
    </row>
    <row r="474" spans="1:9">
      <c r="B474" s="817" t="s">
        <v>838</v>
      </c>
      <c r="C474" s="818"/>
      <c r="D474" s="98" t="s">
        <v>301</v>
      </c>
      <c r="E474" s="98" t="s">
        <v>297</v>
      </c>
      <c r="F474" s="99" t="s">
        <v>839</v>
      </c>
      <c r="G474" s="107" t="s">
        <v>840</v>
      </c>
      <c r="I474" s="13"/>
    </row>
    <row r="475" spans="1:9">
      <c r="B475" s="230"/>
      <c r="C475" s="102"/>
      <c r="D475" s="103" t="s">
        <v>322</v>
      </c>
      <c r="E475" s="103" t="s">
        <v>323</v>
      </c>
      <c r="F475" s="104" t="s">
        <v>324</v>
      </c>
      <c r="G475" s="109" t="s">
        <v>325</v>
      </c>
    </row>
    <row r="476" spans="1:9">
      <c r="B476" s="826"/>
      <c r="C476" s="827"/>
      <c r="D476" s="96"/>
      <c r="E476" s="96"/>
      <c r="F476" s="96"/>
      <c r="G476" s="116"/>
    </row>
    <row r="477" spans="1:9" ht="13.5" thickBot="1">
      <c r="B477" s="828" t="s">
        <v>841</v>
      </c>
      <c r="C477" s="829"/>
      <c r="D477" s="77"/>
      <c r="E477" s="82"/>
      <c r="F477" s="86"/>
      <c r="G477" s="112"/>
    </row>
    <row r="478" spans="1:9" ht="14.25" thickTop="1" thickBot="1">
      <c r="B478" s="808"/>
      <c r="C478" s="808"/>
      <c r="D478" s="808"/>
      <c r="E478" s="809"/>
      <c r="F478" s="120" t="s">
        <v>856</v>
      </c>
      <c r="G478" s="118">
        <f>SUM(G473:G477)</f>
        <v>0</v>
      </c>
    </row>
    <row r="479" spans="1:9" ht="14.25" thickTop="1" thickBot="1">
      <c r="B479" s="810"/>
      <c r="C479" s="810"/>
      <c r="D479" s="810"/>
      <c r="E479" s="810"/>
      <c r="F479" s="810"/>
      <c r="G479" s="834"/>
    </row>
    <row r="480" spans="1:9" ht="13.5" thickTop="1">
      <c r="B480" s="811" t="s">
        <v>326</v>
      </c>
      <c r="C480" s="812"/>
      <c r="D480" s="812"/>
      <c r="E480" s="812"/>
      <c r="F480" s="813"/>
      <c r="G480" s="121">
        <f>+G444+G460+G471</f>
        <v>326522</v>
      </c>
    </row>
    <row r="481" spans="1:8">
      <c r="B481" s="814" t="s">
        <v>861</v>
      </c>
      <c r="C481" s="815"/>
      <c r="D481" s="815"/>
      <c r="E481" s="816"/>
      <c r="F481" s="117">
        <v>0</v>
      </c>
      <c r="G481" s="122">
        <f>ROUND(G480*F481/100,0)</f>
        <v>0</v>
      </c>
    </row>
    <row r="482" spans="1:8" ht="13.5" thickBot="1">
      <c r="B482" s="805" t="s">
        <v>1049</v>
      </c>
      <c r="C482" s="806"/>
      <c r="D482" s="806"/>
      <c r="E482" s="806"/>
      <c r="F482" s="807"/>
      <c r="G482" s="118">
        <f>ROUND(G480+G481,-2)</f>
        <v>326500</v>
      </c>
      <c r="H482" s="505" t="s">
        <v>1670</v>
      </c>
    </row>
    <row r="483" spans="1:8" ht="15" thickTop="1">
      <c r="B483" s="225" t="s">
        <v>303</v>
      </c>
      <c r="C483" s="843"/>
      <c r="D483" s="843"/>
      <c r="E483" s="843"/>
      <c r="F483" s="92" t="s">
        <v>781</v>
      </c>
      <c r="G483" s="93" t="s">
        <v>1066</v>
      </c>
    </row>
    <row r="484" spans="1:8">
      <c r="A484" s="95" t="s">
        <v>832</v>
      </c>
      <c r="B484" s="226" t="s">
        <v>834</v>
      </c>
      <c r="C484" s="844" t="s">
        <v>1102</v>
      </c>
      <c r="D484" s="844"/>
      <c r="E484" s="844"/>
      <c r="F484" s="15" t="s">
        <v>833</v>
      </c>
      <c r="G484" s="165" t="str">
        <f>'MANO DE OBRA'!D61</f>
        <v>Agosto de 2010</v>
      </c>
    </row>
    <row r="485" spans="1:8" ht="13.5" thickBot="1">
      <c r="A485" s="95">
        <f>MATERIALES2!B54</f>
        <v>20409</v>
      </c>
      <c r="B485" s="228" t="s">
        <v>835</v>
      </c>
      <c r="C485" s="845" t="s">
        <v>1112</v>
      </c>
      <c r="D485" s="845"/>
      <c r="E485" s="845"/>
      <c r="F485" s="845"/>
      <c r="G485" s="846"/>
    </row>
    <row r="486" spans="1:8" ht="14.25" thickTop="1" thickBot="1">
      <c r="B486" s="847"/>
      <c r="C486" s="847"/>
      <c r="D486" s="847"/>
      <c r="E486" s="847"/>
      <c r="F486" s="847"/>
      <c r="G486" s="847"/>
    </row>
    <row r="487" spans="1:8" ht="13.5" thickTop="1">
      <c r="B487" s="811" t="s">
        <v>304</v>
      </c>
      <c r="C487" s="812"/>
      <c r="D487" s="812"/>
      <c r="E487" s="812"/>
      <c r="F487" s="812"/>
      <c r="G487" s="825"/>
    </row>
    <row r="488" spans="1:8">
      <c r="B488" s="229"/>
      <c r="C488" s="97"/>
      <c r="D488" s="98" t="s">
        <v>301</v>
      </c>
      <c r="E488" s="98" t="s">
        <v>1072</v>
      </c>
      <c r="F488" s="99" t="s">
        <v>839</v>
      </c>
      <c r="G488" s="107" t="s">
        <v>840</v>
      </c>
    </row>
    <row r="489" spans="1:8">
      <c r="B489" s="821" t="s">
        <v>838</v>
      </c>
      <c r="C489" s="822"/>
      <c r="D489" s="100" t="s">
        <v>308</v>
      </c>
      <c r="E489" s="100" t="s">
        <v>305</v>
      </c>
      <c r="F489" s="101" t="s">
        <v>306</v>
      </c>
      <c r="G489" s="108" t="s">
        <v>310</v>
      </c>
    </row>
    <row r="490" spans="1:8">
      <c r="B490" s="230"/>
      <c r="C490" s="102"/>
      <c r="D490" s="103"/>
      <c r="E490" s="103" t="s">
        <v>309</v>
      </c>
      <c r="F490" s="104" t="s">
        <v>307</v>
      </c>
      <c r="G490" s="109"/>
    </row>
    <row r="491" spans="1:8">
      <c r="A491" s="95">
        <f>'MAQUINARIA Y EQUIPOS'!B49</f>
        <v>10142</v>
      </c>
      <c r="B491" s="823" t="str">
        <f>'MAQUINARIA Y EQUIPOS'!C50</f>
        <v>TROMPO DE BULTO</v>
      </c>
      <c r="C491" s="824"/>
      <c r="D491" s="87">
        <v>1</v>
      </c>
      <c r="E491" s="80">
        <f>'MAQUINARIA Y EQUIPOS'!D50</f>
        <v>75000</v>
      </c>
      <c r="F491" s="81">
        <v>5</v>
      </c>
      <c r="G491" s="110">
        <f>ROUND(D491*E491/F491,0)</f>
        <v>15000</v>
      </c>
    </row>
    <row r="492" spans="1:8">
      <c r="A492" s="95">
        <f>'MAQUINARIA Y EQUIPOS'!B27</f>
        <v>10120</v>
      </c>
      <c r="B492" s="835" t="str">
        <f>'MAQUINARIA Y EQUIPOS'!C28</f>
        <v>HERRAMIENTAS MENORES</v>
      </c>
      <c r="C492" s="836"/>
      <c r="D492" s="37">
        <v>1</v>
      </c>
      <c r="E492" s="82">
        <f>ROUND(G524*0.05,0)</f>
        <v>4677</v>
      </c>
      <c r="F492" s="83">
        <v>1</v>
      </c>
      <c r="G492" s="111">
        <f>ROUND(D492*E492/F492,0)</f>
        <v>4677</v>
      </c>
    </row>
    <row r="493" spans="1:8">
      <c r="B493" s="835"/>
      <c r="C493" s="836"/>
      <c r="D493" s="89"/>
      <c r="E493" s="82"/>
      <c r="F493" s="83"/>
      <c r="G493" s="111"/>
    </row>
    <row r="494" spans="1:8">
      <c r="B494" s="835"/>
      <c r="C494" s="836"/>
      <c r="D494" s="89"/>
      <c r="E494" s="82"/>
      <c r="F494" s="83"/>
      <c r="G494" s="111"/>
    </row>
    <row r="495" spans="1:8">
      <c r="B495" s="835" t="s">
        <v>841</v>
      </c>
      <c r="C495" s="836"/>
      <c r="D495" s="37"/>
      <c r="E495" s="82"/>
      <c r="F495" s="83"/>
      <c r="G495" s="111"/>
      <c r="H495" s="505" t="s">
        <v>1670</v>
      </c>
    </row>
    <row r="496" spans="1:8" ht="13.5" thickBot="1">
      <c r="B496" s="839" t="s">
        <v>841</v>
      </c>
      <c r="C496" s="840"/>
      <c r="D496" s="77"/>
      <c r="E496" s="106"/>
      <c r="F496" s="86"/>
      <c r="G496" s="112"/>
    </row>
    <row r="497" spans="1:7" ht="14.25" thickTop="1" thickBot="1">
      <c r="B497" s="808"/>
      <c r="C497" s="808"/>
      <c r="D497" s="808"/>
      <c r="E497" s="809"/>
      <c r="F497" s="119" t="s">
        <v>856</v>
      </c>
      <c r="G497" s="118">
        <f>SUM(G491:G496)</f>
        <v>19677</v>
      </c>
    </row>
    <row r="498" spans="1:7" ht="14.25" thickTop="1" thickBot="1">
      <c r="B498" s="830"/>
      <c r="C498" s="830"/>
      <c r="D498" s="830"/>
      <c r="E498" s="830"/>
      <c r="F498" s="830"/>
      <c r="G498" s="830"/>
    </row>
    <row r="499" spans="1:7" ht="13.5" thickTop="1">
      <c r="B499" s="811" t="s">
        <v>311</v>
      </c>
      <c r="C499" s="812"/>
      <c r="D499" s="812"/>
      <c r="E499" s="812"/>
      <c r="F499" s="812"/>
      <c r="G499" s="825"/>
    </row>
    <row r="500" spans="1:7">
      <c r="B500" s="817" t="s">
        <v>838</v>
      </c>
      <c r="C500" s="818"/>
      <c r="D500" s="98" t="s">
        <v>842</v>
      </c>
      <c r="E500" s="98" t="s">
        <v>853</v>
      </c>
      <c r="F500" s="99" t="s">
        <v>1047</v>
      </c>
      <c r="G500" s="107" t="s">
        <v>840</v>
      </c>
    </row>
    <row r="501" spans="1:7">
      <c r="B501" s="230"/>
      <c r="C501" s="102"/>
      <c r="D501" s="100"/>
      <c r="E501" s="100" t="s">
        <v>312</v>
      </c>
      <c r="F501" s="101" t="s">
        <v>313</v>
      </c>
      <c r="G501" s="108" t="s">
        <v>314</v>
      </c>
    </row>
    <row r="502" spans="1:7">
      <c r="A502" s="95">
        <f>MATERIALES2!B13</f>
        <v>20104</v>
      </c>
      <c r="B502" s="841" t="str">
        <f>MATERIALES2!C13</f>
        <v>CEMENTO GRIS</v>
      </c>
      <c r="C502" s="842"/>
      <c r="D502" s="87" t="s">
        <v>925</v>
      </c>
      <c r="E502" s="38">
        <v>302</v>
      </c>
      <c r="F502" s="80">
        <f>MATERIALES2!E13</f>
        <v>420</v>
      </c>
      <c r="G502" s="110">
        <f>ROUND(E502*F502,0)</f>
        <v>126840</v>
      </c>
    </row>
    <row r="503" spans="1:7" ht="14.25">
      <c r="A503" s="95">
        <f>MATERIALES2!B20</f>
        <v>20201</v>
      </c>
      <c r="B503" s="835" t="str">
        <f>MATERIALES2!C20</f>
        <v xml:space="preserve">ARENA </v>
      </c>
      <c r="C503" s="836"/>
      <c r="D503" s="37" t="s">
        <v>1066</v>
      </c>
      <c r="E503" s="55">
        <v>1.2</v>
      </c>
      <c r="F503" s="82">
        <f>MATERIALES2!E20</f>
        <v>35000</v>
      </c>
      <c r="G503" s="111">
        <f>ROUND(E503*F503,0)</f>
        <v>42000</v>
      </c>
    </row>
    <row r="504" spans="1:7">
      <c r="A504" s="95">
        <f>MATERIALES2!B28</f>
        <v>20208</v>
      </c>
      <c r="B504" s="835" t="str">
        <f>MATERIALES2!C28</f>
        <v>AGUA</v>
      </c>
      <c r="C504" s="836"/>
      <c r="D504" s="37" t="s">
        <v>1071</v>
      </c>
      <c r="E504" s="55">
        <v>170</v>
      </c>
      <c r="F504" s="82">
        <f>MATERIALES2!E28</f>
        <v>50</v>
      </c>
      <c r="G504" s="111">
        <f>ROUND(E504*F504,0)</f>
        <v>8500</v>
      </c>
    </row>
    <row r="505" spans="1:7">
      <c r="B505" s="837"/>
      <c r="C505" s="838"/>
      <c r="D505" s="37"/>
      <c r="E505" s="55"/>
      <c r="F505" s="82"/>
      <c r="G505" s="111"/>
    </row>
    <row r="506" spans="1:7">
      <c r="B506" s="837"/>
      <c r="C506" s="838"/>
      <c r="D506" s="37"/>
      <c r="E506" s="55"/>
      <c r="F506" s="82"/>
      <c r="G506" s="111"/>
    </row>
    <row r="507" spans="1:7">
      <c r="B507" s="837"/>
      <c r="C507" s="838"/>
      <c r="D507" s="53" t="s">
        <v>841</v>
      </c>
      <c r="E507" s="53"/>
      <c r="F507" s="82"/>
      <c r="G507" s="111"/>
    </row>
    <row r="508" spans="1:7">
      <c r="B508" s="837" t="s">
        <v>841</v>
      </c>
      <c r="C508" s="838"/>
      <c r="D508" s="53" t="s">
        <v>841</v>
      </c>
      <c r="E508" s="53"/>
      <c r="F508" s="82"/>
      <c r="G508" s="111"/>
    </row>
    <row r="509" spans="1:7">
      <c r="B509" s="837" t="s">
        <v>841</v>
      </c>
      <c r="C509" s="838"/>
      <c r="D509" s="53" t="s">
        <v>841</v>
      </c>
      <c r="E509" s="53"/>
      <c r="F509" s="82"/>
      <c r="G509" s="111"/>
    </row>
    <row r="510" spans="1:7" ht="13.5" thickBot="1">
      <c r="B510" s="839" t="s">
        <v>841</v>
      </c>
      <c r="C510" s="840"/>
      <c r="D510" s="84" t="s">
        <v>841</v>
      </c>
      <c r="E510" s="84"/>
      <c r="F510" s="85"/>
      <c r="G510" s="112"/>
    </row>
    <row r="511" spans="1:7" ht="13.5" thickTop="1">
      <c r="B511" s="808"/>
      <c r="C511" s="809"/>
      <c r="D511" s="801" t="s">
        <v>856</v>
      </c>
      <c r="E511" s="802"/>
      <c r="F511" s="9"/>
      <c r="G511" s="113">
        <f>SUM(G502:G510)</f>
        <v>177340</v>
      </c>
    </row>
    <row r="512" spans="1:7">
      <c r="B512" s="819"/>
      <c r="C512" s="820"/>
      <c r="D512" s="801" t="s">
        <v>857</v>
      </c>
      <c r="E512" s="802"/>
      <c r="F512" s="79">
        <f>'MANO DE OBRA'!D60</f>
        <v>0.05</v>
      </c>
      <c r="G512" s="113">
        <f>ROUND(G511*F512,0)</f>
        <v>8867</v>
      </c>
    </row>
    <row r="513" spans="1:7" ht="13.5" thickBot="1">
      <c r="B513" s="819"/>
      <c r="C513" s="820"/>
      <c r="D513" s="803" t="s">
        <v>320</v>
      </c>
      <c r="E513" s="804"/>
      <c r="F513" s="114"/>
      <c r="G513" s="118">
        <f>+G511+G512</f>
        <v>186207</v>
      </c>
    </row>
    <row r="514" spans="1:7" ht="14.25" thickTop="1" thickBot="1">
      <c r="B514" s="830"/>
      <c r="C514" s="830"/>
      <c r="D514" s="830"/>
      <c r="E514" s="830"/>
      <c r="F514" s="830"/>
      <c r="G514" s="830"/>
    </row>
    <row r="515" spans="1:7" ht="13.5" thickTop="1">
      <c r="B515" s="811" t="s">
        <v>858</v>
      </c>
      <c r="C515" s="812"/>
      <c r="D515" s="812"/>
      <c r="E515" s="812"/>
      <c r="F515" s="812"/>
      <c r="G515" s="825"/>
    </row>
    <row r="516" spans="1:7">
      <c r="B516" s="817"/>
      <c r="C516" s="818"/>
      <c r="D516" s="98" t="s">
        <v>301</v>
      </c>
      <c r="E516" s="98" t="s">
        <v>859</v>
      </c>
      <c r="F516" s="99" t="s">
        <v>839</v>
      </c>
      <c r="G516" s="107" t="s">
        <v>840</v>
      </c>
    </row>
    <row r="517" spans="1:7">
      <c r="B517" s="821" t="s">
        <v>838</v>
      </c>
      <c r="C517" s="822"/>
      <c r="D517" s="100" t="s">
        <v>316</v>
      </c>
      <c r="E517" s="100" t="s">
        <v>315</v>
      </c>
      <c r="F517" s="101" t="s">
        <v>306</v>
      </c>
      <c r="G517" s="108" t="s">
        <v>319</v>
      </c>
    </row>
    <row r="518" spans="1:7">
      <c r="B518" s="230"/>
      <c r="C518" s="102"/>
      <c r="D518" s="103"/>
      <c r="E518" s="103" t="s">
        <v>317</v>
      </c>
      <c r="F518" s="104" t="s">
        <v>318</v>
      </c>
      <c r="G518" s="109"/>
    </row>
    <row r="519" spans="1:7">
      <c r="A519" s="95">
        <f>'MANO DE OBRA'!A10</f>
        <v>30101</v>
      </c>
      <c r="B519" s="823" t="str">
        <f>'MANO DE OBRA'!B10</f>
        <v>AYUDANTE CUAD. TIPO AA</v>
      </c>
      <c r="C519" s="824"/>
      <c r="D519" s="87">
        <v>5</v>
      </c>
      <c r="E519" s="80">
        <f>'MANO DE OBRA'!E10</f>
        <v>34680</v>
      </c>
      <c r="F519" s="81">
        <v>3</v>
      </c>
      <c r="G519" s="110">
        <f>ROUND(D519*E519/F519,0)</f>
        <v>57800</v>
      </c>
    </row>
    <row r="520" spans="1:7">
      <c r="A520" s="95">
        <f>'MANO DE OBRA'!A15</f>
        <v>30106</v>
      </c>
      <c r="B520" s="835" t="str">
        <f>'MANO DE OBRA'!B15</f>
        <v xml:space="preserve">OFICIAL CUAD. TIPO AA </v>
      </c>
      <c r="C520" s="836"/>
      <c r="D520" s="37">
        <v>1</v>
      </c>
      <c r="E520" s="82">
        <f>'MANO DE OBRA'!E15</f>
        <v>71474</v>
      </c>
      <c r="F520" s="83">
        <v>2</v>
      </c>
      <c r="G520" s="111">
        <f>ROUND(D520*E520/F520,0)</f>
        <v>35737</v>
      </c>
    </row>
    <row r="521" spans="1:7">
      <c r="B521" s="835"/>
      <c r="C521" s="836"/>
      <c r="D521" s="89"/>
      <c r="E521" s="82"/>
      <c r="F521" s="83"/>
      <c r="G521" s="111"/>
    </row>
    <row r="522" spans="1:7">
      <c r="B522" s="835" t="s">
        <v>841</v>
      </c>
      <c r="C522" s="836"/>
      <c r="D522" s="37"/>
      <c r="E522" s="82"/>
      <c r="F522" s="83"/>
      <c r="G522" s="111"/>
    </row>
    <row r="523" spans="1:7" ht="13.5" thickBot="1">
      <c r="B523" s="828" t="s">
        <v>841</v>
      </c>
      <c r="C523" s="829"/>
      <c r="D523" s="77"/>
      <c r="E523" s="82"/>
      <c r="F523" s="86"/>
      <c r="G523" s="112"/>
    </row>
    <row r="524" spans="1:7" ht="14.25" thickTop="1" thickBot="1">
      <c r="B524" s="808"/>
      <c r="C524" s="808"/>
      <c r="D524" s="808"/>
      <c r="E524" s="809"/>
      <c r="F524" s="120" t="s">
        <v>856</v>
      </c>
      <c r="G524" s="118">
        <f>SUM(G519:G523)</f>
        <v>93537</v>
      </c>
    </row>
    <row r="525" spans="1:7" ht="14.25" thickTop="1" thickBot="1">
      <c r="B525" s="810"/>
      <c r="C525" s="810"/>
      <c r="D525" s="810"/>
      <c r="E525" s="810"/>
      <c r="F525" s="810"/>
      <c r="G525" s="810"/>
    </row>
    <row r="526" spans="1:7" ht="13.5" thickTop="1">
      <c r="B526" s="811" t="s">
        <v>321</v>
      </c>
      <c r="C526" s="812"/>
      <c r="D526" s="812"/>
      <c r="E526" s="812"/>
      <c r="F526" s="812"/>
      <c r="G526" s="825"/>
    </row>
    <row r="527" spans="1:7">
      <c r="B527" s="817" t="s">
        <v>838</v>
      </c>
      <c r="C527" s="818"/>
      <c r="D527" s="98" t="s">
        <v>301</v>
      </c>
      <c r="E527" s="98" t="s">
        <v>297</v>
      </c>
      <c r="F527" s="99" t="s">
        <v>839</v>
      </c>
      <c r="G527" s="107" t="s">
        <v>840</v>
      </c>
    </row>
    <row r="528" spans="1:7">
      <c r="B528" s="230"/>
      <c r="C528" s="102"/>
      <c r="D528" s="103" t="s">
        <v>322</v>
      </c>
      <c r="E528" s="103" t="s">
        <v>323</v>
      </c>
      <c r="F528" s="104" t="s">
        <v>324</v>
      </c>
      <c r="G528" s="109" t="s">
        <v>325</v>
      </c>
    </row>
    <row r="529" spans="1:8">
      <c r="B529" s="826"/>
      <c r="C529" s="827"/>
      <c r="D529" s="96"/>
      <c r="E529" s="96"/>
      <c r="F529" s="96"/>
      <c r="G529" s="116"/>
    </row>
    <row r="530" spans="1:8" ht="13.5" thickBot="1">
      <c r="B530" s="828" t="s">
        <v>841</v>
      </c>
      <c r="C530" s="829"/>
      <c r="D530" s="77"/>
      <c r="E530" s="82"/>
      <c r="F530" s="86"/>
      <c r="G530" s="112"/>
    </row>
    <row r="531" spans="1:8" ht="14.25" thickTop="1" thickBot="1">
      <c r="B531" s="808"/>
      <c r="C531" s="808"/>
      <c r="D531" s="808"/>
      <c r="E531" s="809"/>
      <c r="F531" s="120" t="s">
        <v>856</v>
      </c>
      <c r="G531" s="118">
        <f>SUM(G526:G530)</f>
        <v>0</v>
      </c>
    </row>
    <row r="532" spans="1:8" ht="14.25" thickTop="1" thickBot="1">
      <c r="B532" s="810"/>
      <c r="C532" s="810"/>
      <c r="D532" s="810"/>
      <c r="E532" s="810"/>
      <c r="F532" s="810"/>
      <c r="G532" s="834"/>
    </row>
    <row r="533" spans="1:8" ht="13.5" thickTop="1">
      <c r="B533" s="811" t="s">
        <v>326</v>
      </c>
      <c r="C533" s="812"/>
      <c r="D533" s="812"/>
      <c r="E533" s="812"/>
      <c r="F533" s="813"/>
      <c r="G533" s="121">
        <f>+G497+G513+G524</f>
        <v>299421</v>
      </c>
    </row>
    <row r="534" spans="1:8">
      <c r="B534" s="814" t="s">
        <v>861</v>
      </c>
      <c r="C534" s="815"/>
      <c r="D534" s="815"/>
      <c r="E534" s="816"/>
      <c r="F534" s="117">
        <v>0</v>
      </c>
      <c r="G534" s="122">
        <f>ROUND(G533*F534/100,0)</f>
        <v>0</v>
      </c>
    </row>
    <row r="535" spans="1:8" ht="13.5" thickBot="1">
      <c r="B535" s="805" t="s">
        <v>1049</v>
      </c>
      <c r="C535" s="806"/>
      <c r="D535" s="806"/>
      <c r="E535" s="806"/>
      <c r="F535" s="807"/>
      <c r="G535" s="118">
        <f>ROUND(G533+G534,-2)</f>
        <v>299400</v>
      </c>
      <c r="H535" s="505" t="s">
        <v>1670</v>
      </c>
    </row>
    <row r="536" spans="1:8" ht="15" thickTop="1">
      <c r="B536" s="225" t="s">
        <v>303</v>
      </c>
      <c r="C536" s="843"/>
      <c r="D536" s="843"/>
      <c r="E536" s="843"/>
      <c r="F536" s="92" t="s">
        <v>781</v>
      </c>
      <c r="G536" s="93" t="s">
        <v>1066</v>
      </c>
    </row>
    <row r="537" spans="1:8">
      <c r="A537" s="95" t="s">
        <v>832</v>
      </c>
      <c r="B537" s="226" t="s">
        <v>834</v>
      </c>
      <c r="C537" s="844" t="s">
        <v>1102</v>
      </c>
      <c r="D537" s="844"/>
      <c r="E537" s="844"/>
      <c r="F537" s="15" t="s">
        <v>833</v>
      </c>
      <c r="G537" s="165" t="str">
        <f>'MANO DE OBRA'!D61</f>
        <v>Agosto de 2010</v>
      </c>
    </row>
    <row r="538" spans="1:8" ht="13.5" thickBot="1">
      <c r="A538" s="95">
        <f>MATERIALES2!B56</f>
        <v>20411</v>
      </c>
      <c r="B538" s="228" t="s">
        <v>835</v>
      </c>
      <c r="C538" s="397" t="s">
        <v>1111</v>
      </c>
      <c r="D538" s="397"/>
      <c r="E538" s="397"/>
      <c r="F538" s="397"/>
      <c r="G538" s="398"/>
    </row>
    <row r="539" spans="1:8" ht="14.25" thickTop="1" thickBot="1">
      <c r="B539" s="847"/>
      <c r="C539" s="847"/>
      <c r="D539" s="847"/>
      <c r="E539" s="847"/>
      <c r="F539" s="847"/>
      <c r="G539" s="847"/>
    </row>
    <row r="540" spans="1:8" ht="13.5" thickTop="1">
      <c r="B540" s="811" t="s">
        <v>304</v>
      </c>
      <c r="C540" s="812"/>
      <c r="D540" s="812"/>
      <c r="E540" s="812"/>
      <c r="F540" s="812"/>
      <c r="G540" s="825"/>
    </row>
    <row r="541" spans="1:8">
      <c r="B541" s="229"/>
      <c r="C541" s="97"/>
      <c r="D541" s="98" t="s">
        <v>301</v>
      </c>
      <c r="E541" s="98" t="s">
        <v>1072</v>
      </c>
      <c r="F541" s="99" t="s">
        <v>839</v>
      </c>
      <c r="G541" s="107" t="s">
        <v>840</v>
      </c>
    </row>
    <row r="542" spans="1:8">
      <c r="B542" s="821" t="s">
        <v>838</v>
      </c>
      <c r="C542" s="822"/>
      <c r="D542" s="100" t="s">
        <v>308</v>
      </c>
      <c r="E542" s="100" t="s">
        <v>305</v>
      </c>
      <c r="F542" s="101" t="s">
        <v>306</v>
      </c>
      <c r="G542" s="108" t="s">
        <v>310</v>
      </c>
    </row>
    <row r="543" spans="1:8">
      <c r="B543" s="230"/>
      <c r="C543" s="102"/>
      <c r="D543" s="103"/>
      <c r="E543" s="103" t="s">
        <v>309</v>
      </c>
      <c r="F543" s="104" t="s">
        <v>307</v>
      </c>
      <c r="G543" s="109"/>
    </row>
    <row r="544" spans="1:8">
      <c r="A544" s="95">
        <f>'MAQUINARIA Y EQUIPOS'!B49</f>
        <v>10142</v>
      </c>
      <c r="B544" s="823" t="str">
        <f>'MAQUINARIA Y EQUIPOS'!C50</f>
        <v>TROMPO DE BULTO</v>
      </c>
      <c r="C544" s="824"/>
      <c r="D544" s="87">
        <v>1</v>
      </c>
      <c r="E544" s="80">
        <f>'MAQUINARIA Y EQUIPOS'!D50</f>
        <v>75000</v>
      </c>
      <c r="F544" s="81">
        <v>5</v>
      </c>
      <c r="G544" s="110">
        <f>ROUND(D544*E544/F544,0)</f>
        <v>15000</v>
      </c>
    </row>
    <row r="545" spans="1:7">
      <c r="A545" s="95">
        <f>'MAQUINARIA Y EQUIPOS'!B27</f>
        <v>10120</v>
      </c>
      <c r="B545" s="835" t="str">
        <f>'MAQUINARIA Y EQUIPOS'!C28</f>
        <v>HERRAMIENTAS MENORES</v>
      </c>
      <c r="C545" s="836"/>
      <c r="D545" s="37">
        <v>1</v>
      </c>
      <c r="E545" s="82">
        <f>ROUND(G577*0.05,0)</f>
        <v>4677</v>
      </c>
      <c r="F545" s="83">
        <v>1</v>
      </c>
      <c r="G545" s="111">
        <f>ROUND(D545*E545/F545,0)</f>
        <v>4677</v>
      </c>
    </row>
    <row r="546" spans="1:7">
      <c r="B546" s="835"/>
      <c r="C546" s="836"/>
      <c r="D546" s="89"/>
      <c r="E546" s="82"/>
      <c r="F546" s="83"/>
      <c r="G546" s="111"/>
    </row>
    <row r="547" spans="1:7">
      <c r="B547" s="835"/>
      <c r="C547" s="836"/>
      <c r="D547" s="89"/>
      <c r="E547" s="82"/>
      <c r="F547" s="83"/>
      <c r="G547" s="111"/>
    </row>
    <row r="548" spans="1:7">
      <c r="B548" s="835" t="s">
        <v>841</v>
      </c>
      <c r="C548" s="836"/>
      <c r="D548" s="37"/>
      <c r="E548" s="82"/>
      <c r="F548" s="83"/>
      <c r="G548" s="111"/>
    </row>
    <row r="549" spans="1:7" ht="13.5" thickBot="1">
      <c r="B549" s="839" t="s">
        <v>841</v>
      </c>
      <c r="C549" s="840"/>
      <c r="D549" s="77"/>
      <c r="E549" s="106"/>
      <c r="F549" s="86"/>
      <c r="G549" s="112"/>
    </row>
    <row r="550" spans="1:7" ht="14.25" thickTop="1" thickBot="1">
      <c r="B550" s="808"/>
      <c r="C550" s="808"/>
      <c r="D550" s="808"/>
      <c r="E550" s="809"/>
      <c r="F550" s="119" t="s">
        <v>856</v>
      </c>
      <c r="G550" s="118">
        <f>SUM(G544:G549)</f>
        <v>19677</v>
      </c>
    </row>
    <row r="551" spans="1:7" ht="14.25" thickTop="1" thickBot="1">
      <c r="B551" s="830"/>
      <c r="C551" s="830"/>
      <c r="D551" s="830"/>
      <c r="E551" s="830"/>
      <c r="F551" s="830"/>
      <c r="G551" s="830"/>
    </row>
    <row r="552" spans="1:7" ht="13.5" thickTop="1">
      <c r="B552" s="811" t="s">
        <v>311</v>
      </c>
      <c r="C552" s="812"/>
      <c r="D552" s="812"/>
      <c r="E552" s="812"/>
      <c r="F552" s="812"/>
      <c r="G552" s="825"/>
    </row>
    <row r="553" spans="1:7">
      <c r="B553" s="817" t="s">
        <v>838</v>
      </c>
      <c r="C553" s="818"/>
      <c r="D553" s="98" t="s">
        <v>842</v>
      </c>
      <c r="E553" s="98" t="s">
        <v>853</v>
      </c>
      <c r="F553" s="99" t="s">
        <v>1047</v>
      </c>
      <c r="G553" s="107" t="s">
        <v>840</v>
      </c>
    </row>
    <row r="554" spans="1:7">
      <c r="B554" s="230"/>
      <c r="C554" s="102"/>
      <c r="D554" s="100"/>
      <c r="E554" s="100" t="s">
        <v>312</v>
      </c>
      <c r="F554" s="101" t="s">
        <v>313</v>
      </c>
      <c r="G554" s="108" t="s">
        <v>314</v>
      </c>
    </row>
    <row r="555" spans="1:7">
      <c r="A555" s="95">
        <f>MATERIALES2!B13</f>
        <v>20104</v>
      </c>
      <c r="B555" s="841" t="str">
        <f>MATERIALES2!C13</f>
        <v>CEMENTO GRIS</v>
      </c>
      <c r="C555" s="842"/>
      <c r="D555" s="87" t="s">
        <v>925</v>
      </c>
      <c r="E555" s="38">
        <v>265</v>
      </c>
      <c r="F555" s="80">
        <f>MATERIALES2!E13</f>
        <v>420</v>
      </c>
      <c r="G555" s="110">
        <f>ROUND(E555*F555,0)</f>
        <v>111300</v>
      </c>
    </row>
    <row r="556" spans="1:7" ht="14.25">
      <c r="A556" s="95">
        <f>MATERIALES2!B20</f>
        <v>20201</v>
      </c>
      <c r="B556" s="835" t="str">
        <f>MATERIALES2!C20</f>
        <v xml:space="preserve">ARENA </v>
      </c>
      <c r="C556" s="836"/>
      <c r="D556" s="37" t="s">
        <v>1066</v>
      </c>
      <c r="E556" s="55">
        <v>1.22</v>
      </c>
      <c r="F556" s="82">
        <f>MATERIALES2!E20</f>
        <v>35000</v>
      </c>
      <c r="G556" s="111">
        <f>ROUND(E556*F556,0)</f>
        <v>42700</v>
      </c>
    </row>
    <row r="557" spans="1:7">
      <c r="A557" s="95">
        <f>MATERIALES2!B28</f>
        <v>20208</v>
      </c>
      <c r="B557" s="835" t="str">
        <f>MATERIALES2!C28</f>
        <v>AGUA</v>
      </c>
      <c r="C557" s="836"/>
      <c r="D557" s="37" t="s">
        <v>1071</v>
      </c>
      <c r="E557" s="55">
        <v>155</v>
      </c>
      <c r="F557" s="82">
        <f>MATERIALES2!E28</f>
        <v>50</v>
      </c>
      <c r="G557" s="111">
        <f>ROUND(E557*F557,0)</f>
        <v>7750</v>
      </c>
    </row>
    <row r="558" spans="1:7">
      <c r="B558" s="837"/>
      <c r="C558" s="838"/>
      <c r="D558" s="37"/>
      <c r="E558" s="55"/>
      <c r="F558" s="82"/>
      <c r="G558" s="111"/>
    </row>
    <row r="559" spans="1:7">
      <c r="B559" s="837"/>
      <c r="C559" s="838"/>
      <c r="D559" s="37"/>
      <c r="E559" s="55"/>
      <c r="F559" s="82"/>
      <c r="G559" s="111"/>
    </row>
    <row r="560" spans="1:7">
      <c r="B560" s="837"/>
      <c r="C560" s="838"/>
      <c r="D560" s="53" t="s">
        <v>841</v>
      </c>
      <c r="E560" s="53"/>
      <c r="F560" s="82"/>
      <c r="G560" s="111"/>
    </row>
    <row r="561" spans="1:9">
      <c r="B561" s="837" t="s">
        <v>841</v>
      </c>
      <c r="C561" s="838"/>
      <c r="D561" s="53" t="s">
        <v>841</v>
      </c>
      <c r="E561" s="53"/>
      <c r="F561" s="82"/>
      <c r="G561" s="111"/>
      <c r="H561" s="505" t="s">
        <v>1670</v>
      </c>
    </row>
    <row r="562" spans="1:9">
      <c r="B562" s="837" t="s">
        <v>841</v>
      </c>
      <c r="C562" s="838"/>
      <c r="D562" s="53" t="s">
        <v>841</v>
      </c>
      <c r="E562" s="53"/>
      <c r="F562" s="82"/>
      <c r="G562" s="111"/>
    </row>
    <row r="563" spans="1:9" ht="13.5" thickBot="1">
      <c r="B563" s="839" t="s">
        <v>841</v>
      </c>
      <c r="C563" s="840"/>
      <c r="D563" s="84" t="s">
        <v>841</v>
      </c>
      <c r="E563" s="84"/>
      <c r="F563" s="85"/>
      <c r="G563" s="112"/>
    </row>
    <row r="564" spans="1:9" ht="13.5" thickTop="1">
      <c r="B564" s="808"/>
      <c r="C564" s="809"/>
      <c r="D564" s="801" t="s">
        <v>856</v>
      </c>
      <c r="E564" s="802"/>
      <c r="F564" s="9"/>
      <c r="G564" s="113">
        <f>SUM(G555:G563)</f>
        <v>161750</v>
      </c>
    </row>
    <row r="565" spans="1:9">
      <c r="B565" s="819"/>
      <c r="C565" s="820"/>
      <c r="D565" s="801" t="s">
        <v>857</v>
      </c>
      <c r="E565" s="802"/>
      <c r="F565" s="79">
        <f>'MANO DE OBRA'!D60</f>
        <v>0.05</v>
      </c>
      <c r="G565" s="113">
        <f>ROUND(G564*F565,0)</f>
        <v>8088</v>
      </c>
    </row>
    <row r="566" spans="1:9" ht="13.5" thickBot="1">
      <c r="B566" s="819"/>
      <c r="C566" s="820"/>
      <c r="D566" s="803" t="s">
        <v>320</v>
      </c>
      <c r="E566" s="804"/>
      <c r="F566" s="114"/>
      <c r="G566" s="118">
        <f>+G564+G565</f>
        <v>169838</v>
      </c>
    </row>
    <row r="567" spans="1:9" ht="14.25" thickTop="1" thickBot="1">
      <c r="B567" s="830"/>
      <c r="C567" s="830"/>
      <c r="D567" s="830"/>
      <c r="E567" s="830"/>
      <c r="F567" s="830"/>
      <c r="G567" s="830"/>
    </row>
    <row r="568" spans="1:9" ht="13.5" thickTop="1">
      <c r="B568" s="811" t="s">
        <v>858</v>
      </c>
      <c r="C568" s="812"/>
      <c r="D568" s="812"/>
      <c r="E568" s="812"/>
      <c r="F568" s="812"/>
      <c r="G568" s="825"/>
    </row>
    <row r="569" spans="1:9">
      <c r="B569" s="817"/>
      <c r="C569" s="818"/>
      <c r="D569" s="98" t="s">
        <v>301</v>
      </c>
      <c r="E569" s="98" t="s">
        <v>859</v>
      </c>
      <c r="F569" s="99" t="s">
        <v>839</v>
      </c>
      <c r="G569" s="107" t="s">
        <v>840</v>
      </c>
      <c r="I569" s="13"/>
    </row>
    <row r="570" spans="1:9">
      <c r="B570" s="821" t="s">
        <v>838</v>
      </c>
      <c r="C570" s="822"/>
      <c r="D570" s="100" t="s">
        <v>316</v>
      </c>
      <c r="E570" s="100" t="s">
        <v>315</v>
      </c>
      <c r="F570" s="101" t="s">
        <v>306</v>
      </c>
      <c r="G570" s="108" t="s">
        <v>319</v>
      </c>
      <c r="I570" s="13"/>
    </row>
    <row r="571" spans="1:9">
      <c r="B571" s="230"/>
      <c r="C571" s="102"/>
      <c r="D571" s="103"/>
      <c r="E571" s="103" t="s">
        <v>317</v>
      </c>
      <c r="F571" s="104" t="s">
        <v>318</v>
      </c>
      <c r="G571" s="109"/>
    </row>
    <row r="572" spans="1:9">
      <c r="A572" s="95">
        <f>'MANO DE OBRA'!A10</f>
        <v>30101</v>
      </c>
      <c r="B572" s="823" t="str">
        <f>'MANO DE OBRA'!B10</f>
        <v>AYUDANTE CUAD. TIPO AA</v>
      </c>
      <c r="C572" s="824"/>
      <c r="D572" s="87">
        <v>5</v>
      </c>
      <c r="E572" s="80">
        <f>'MANO DE OBRA'!E10</f>
        <v>34680</v>
      </c>
      <c r="F572" s="81">
        <v>3</v>
      </c>
      <c r="G572" s="110">
        <f>ROUND(D572*E572/F572,0)</f>
        <v>57800</v>
      </c>
    </row>
    <row r="573" spans="1:9">
      <c r="A573" s="95">
        <f>'MANO DE OBRA'!A15</f>
        <v>30106</v>
      </c>
      <c r="B573" s="835" t="str">
        <f>'MANO DE OBRA'!B15</f>
        <v xml:space="preserve">OFICIAL CUAD. TIPO AA </v>
      </c>
      <c r="C573" s="836"/>
      <c r="D573" s="37">
        <v>1</v>
      </c>
      <c r="E573" s="82">
        <f>'MANO DE OBRA'!E15</f>
        <v>71474</v>
      </c>
      <c r="F573" s="83">
        <v>2</v>
      </c>
      <c r="G573" s="111">
        <f>ROUND(D573*E573/F573,0)</f>
        <v>35737</v>
      </c>
    </row>
    <row r="574" spans="1:9">
      <c r="B574" s="835"/>
      <c r="C574" s="836"/>
      <c r="D574" s="89"/>
      <c r="E574" s="82"/>
      <c r="F574" s="83"/>
      <c r="G574" s="111"/>
    </row>
    <row r="575" spans="1:9">
      <c r="B575" s="835" t="s">
        <v>841</v>
      </c>
      <c r="C575" s="836"/>
      <c r="D575" s="37"/>
      <c r="E575" s="82"/>
      <c r="F575" s="83"/>
      <c r="G575" s="111"/>
    </row>
    <row r="576" spans="1:9" ht="13.5" thickBot="1">
      <c r="B576" s="828" t="s">
        <v>841</v>
      </c>
      <c r="C576" s="829"/>
      <c r="D576" s="77"/>
      <c r="E576" s="82"/>
      <c r="F576" s="86"/>
      <c r="G576" s="112"/>
    </row>
    <row r="577" spans="1:8" ht="14.25" thickTop="1" thickBot="1">
      <c r="B577" s="808"/>
      <c r="C577" s="808"/>
      <c r="D577" s="808"/>
      <c r="E577" s="809"/>
      <c r="F577" s="120" t="s">
        <v>856</v>
      </c>
      <c r="G577" s="118">
        <f>SUM(G572:G576)</f>
        <v>93537</v>
      </c>
    </row>
    <row r="578" spans="1:8" ht="14.25" thickTop="1" thickBot="1">
      <c r="B578" s="810"/>
      <c r="C578" s="810"/>
      <c r="D578" s="810"/>
      <c r="E578" s="810"/>
      <c r="F578" s="810"/>
      <c r="G578" s="810"/>
    </row>
    <row r="579" spans="1:8" ht="13.5" thickTop="1">
      <c r="B579" s="811" t="s">
        <v>321</v>
      </c>
      <c r="C579" s="812"/>
      <c r="D579" s="812"/>
      <c r="E579" s="812"/>
      <c r="F579" s="812"/>
      <c r="G579" s="825"/>
    </row>
    <row r="580" spans="1:8">
      <c r="B580" s="817" t="s">
        <v>838</v>
      </c>
      <c r="C580" s="818"/>
      <c r="D580" s="98" t="s">
        <v>301</v>
      </c>
      <c r="E580" s="98" t="s">
        <v>297</v>
      </c>
      <c r="F580" s="99" t="s">
        <v>839</v>
      </c>
      <c r="G580" s="107" t="s">
        <v>840</v>
      </c>
    </row>
    <row r="581" spans="1:8">
      <c r="B581" s="230"/>
      <c r="C581" s="102"/>
      <c r="D581" s="103" t="s">
        <v>322</v>
      </c>
      <c r="E581" s="103" t="s">
        <v>323</v>
      </c>
      <c r="F581" s="104" t="s">
        <v>324</v>
      </c>
      <c r="G581" s="109" t="s">
        <v>325</v>
      </c>
    </row>
    <row r="582" spans="1:8">
      <c r="B582" s="826"/>
      <c r="C582" s="827"/>
      <c r="D582" s="96"/>
      <c r="E582" s="96"/>
      <c r="F582" s="96"/>
      <c r="G582" s="116"/>
    </row>
    <row r="583" spans="1:8" ht="13.5" thickBot="1">
      <c r="B583" s="828" t="s">
        <v>841</v>
      </c>
      <c r="C583" s="829"/>
      <c r="D583" s="77"/>
      <c r="E583" s="82"/>
      <c r="F583" s="86"/>
      <c r="G583" s="112"/>
    </row>
    <row r="584" spans="1:8" ht="14.25" thickTop="1" thickBot="1">
      <c r="B584" s="808"/>
      <c r="C584" s="808"/>
      <c r="D584" s="808"/>
      <c r="E584" s="809"/>
      <c r="F584" s="120" t="s">
        <v>856</v>
      </c>
      <c r="G584" s="118">
        <f>SUM(G579:G583)</f>
        <v>0</v>
      </c>
    </row>
    <row r="585" spans="1:8" ht="14.25" thickTop="1" thickBot="1">
      <c r="B585" s="810"/>
      <c r="C585" s="810"/>
      <c r="D585" s="810"/>
      <c r="E585" s="810"/>
      <c r="F585" s="810"/>
      <c r="G585" s="834"/>
    </row>
    <row r="586" spans="1:8" ht="13.5" thickTop="1">
      <c r="B586" s="811" t="s">
        <v>326</v>
      </c>
      <c r="C586" s="812"/>
      <c r="D586" s="812"/>
      <c r="E586" s="812"/>
      <c r="F586" s="813"/>
      <c r="G586" s="121">
        <f>+G550+G566+G577</f>
        <v>283052</v>
      </c>
    </row>
    <row r="587" spans="1:8">
      <c r="B587" s="814" t="s">
        <v>861</v>
      </c>
      <c r="C587" s="815"/>
      <c r="D587" s="815"/>
      <c r="E587" s="816"/>
      <c r="F587" s="117">
        <v>0</v>
      </c>
      <c r="G587" s="122">
        <f>ROUND(G586*F587/100,0)</f>
        <v>0</v>
      </c>
    </row>
    <row r="588" spans="1:8" ht="13.5" thickBot="1">
      <c r="B588" s="805" t="s">
        <v>1049</v>
      </c>
      <c r="C588" s="806"/>
      <c r="D588" s="806"/>
      <c r="E588" s="806"/>
      <c r="F588" s="807"/>
      <c r="G588" s="118">
        <f>ROUND(G586+G587,-2)</f>
        <v>283100</v>
      </c>
      <c r="H588" s="505" t="s">
        <v>1670</v>
      </c>
    </row>
    <row r="589" spans="1:8" ht="13.5" thickTop="1">
      <c r="B589" s="225" t="s">
        <v>303</v>
      </c>
      <c r="C589" s="843"/>
      <c r="D589" s="843"/>
      <c r="E589" s="843"/>
      <c r="F589" s="92" t="s">
        <v>781</v>
      </c>
      <c r="G589" s="93" t="s">
        <v>925</v>
      </c>
    </row>
    <row r="590" spans="1:8">
      <c r="A590" s="95" t="s">
        <v>832</v>
      </c>
      <c r="B590" s="226" t="s">
        <v>834</v>
      </c>
      <c r="C590" s="844" t="s">
        <v>1102</v>
      </c>
      <c r="D590" s="844"/>
      <c r="E590" s="844"/>
      <c r="F590" s="15" t="s">
        <v>833</v>
      </c>
      <c r="G590" s="165" t="str">
        <f>'MANO DE OBRA'!D61</f>
        <v>Agosto de 2010</v>
      </c>
    </row>
    <row r="591" spans="1:8" ht="13.5" thickBot="1">
      <c r="A591" s="95">
        <f>MATERIALES2!B82</f>
        <v>20521</v>
      </c>
      <c r="B591" s="228" t="s">
        <v>835</v>
      </c>
      <c r="C591" s="845" t="s">
        <v>1293</v>
      </c>
      <c r="D591" s="845"/>
      <c r="E591" s="845"/>
      <c r="F591" s="845"/>
      <c r="G591" s="846"/>
    </row>
    <row r="592" spans="1:8" ht="14.25" thickTop="1" thickBot="1">
      <c r="B592" s="847"/>
      <c r="C592" s="847"/>
      <c r="D592" s="847"/>
      <c r="E592" s="847"/>
      <c r="F592" s="847"/>
      <c r="G592" s="847"/>
    </row>
    <row r="593" spans="1:7" ht="13.5" thickTop="1">
      <c r="B593" s="811" t="s">
        <v>304</v>
      </c>
      <c r="C593" s="812"/>
      <c r="D593" s="812"/>
      <c r="E593" s="812"/>
      <c r="F593" s="812"/>
      <c r="G593" s="825"/>
    </row>
    <row r="594" spans="1:7">
      <c r="B594" s="229"/>
      <c r="C594" s="97"/>
      <c r="D594" s="98" t="s">
        <v>301</v>
      </c>
      <c r="E594" s="98" t="s">
        <v>1072</v>
      </c>
      <c r="F594" s="99" t="s">
        <v>839</v>
      </c>
      <c r="G594" s="107" t="s">
        <v>840</v>
      </c>
    </row>
    <row r="595" spans="1:7">
      <c r="B595" s="821" t="s">
        <v>838</v>
      </c>
      <c r="C595" s="822"/>
      <c r="D595" s="100" t="s">
        <v>308</v>
      </c>
      <c r="E595" s="100" t="s">
        <v>305</v>
      </c>
      <c r="F595" s="101" t="s">
        <v>306</v>
      </c>
      <c r="G595" s="108" t="s">
        <v>310</v>
      </c>
    </row>
    <row r="596" spans="1:7">
      <c r="B596" s="230"/>
      <c r="C596" s="102"/>
      <c r="D596" s="103"/>
      <c r="E596" s="103" t="s">
        <v>309</v>
      </c>
      <c r="F596" s="104" t="s">
        <v>307</v>
      </c>
      <c r="G596" s="109"/>
    </row>
    <row r="597" spans="1:7">
      <c r="A597" s="95">
        <f>'MAQUINARIA Y EQUIPOS'!B27</f>
        <v>10120</v>
      </c>
      <c r="B597" s="823" t="str">
        <f>'MAQUINARIA Y EQUIPOS'!C28</f>
        <v>HERRAMIENTAS MENORES</v>
      </c>
      <c r="C597" s="824"/>
      <c r="D597" s="87">
        <v>1</v>
      </c>
      <c r="E597" s="82">
        <f>ROUND(G630*5,0)</f>
        <v>2345</v>
      </c>
      <c r="F597" s="81">
        <v>30</v>
      </c>
      <c r="G597" s="110">
        <f>ROUND(D597*E597/F597,0)</f>
        <v>78</v>
      </c>
    </row>
    <row r="598" spans="1:7">
      <c r="B598" s="835"/>
      <c r="C598" s="836"/>
      <c r="D598" s="37"/>
      <c r="E598" s="82"/>
      <c r="F598" s="83"/>
      <c r="G598" s="111"/>
    </row>
    <row r="599" spans="1:7">
      <c r="B599" s="835"/>
      <c r="C599" s="836"/>
      <c r="D599" s="89"/>
      <c r="E599" s="82"/>
      <c r="F599" s="83"/>
      <c r="G599" s="111"/>
    </row>
    <row r="600" spans="1:7">
      <c r="B600" s="835"/>
      <c r="C600" s="836"/>
      <c r="D600" s="89"/>
      <c r="E600" s="82"/>
      <c r="F600" s="83"/>
      <c r="G600" s="111"/>
    </row>
    <row r="601" spans="1:7">
      <c r="B601" s="835" t="s">
        <v>841</v>
      </c>
      <c r="C601" s="836"/>
      <c r="D601" s="37"/>
      <c r="E601" s="82"/>
      <c r="F601" s="83"/>
      <c r="G601" s="111"/>
    </row>
    <row r="602" spans="1:7" ht="13.5" thickBot="1">
      <c r="B602" s="839" t="s">
        <v>841</v>
      </c>
      <c r="C602" s="840"/>
      <c r="D602" s="77"/>
      <c r="E602" s="106"/>
      <c r="F602" s="86"/>
      <c r="G602" s="112"/>
    </row>
    <row r="603" spans="1:7" ht="14.25" thickTop="1" thickBot="1">
      <c r="B603" s="808"/>
      <c r="C603" s="808"/>
      <c r="D603" s="808"/>
      <c r="E603" s="809"/>
      <c r="F603" s="119" t="s">
        <v>856</v>
      </c>
      <c r="G603" s="118">
        <f>SUM(G597:G602)</f>
        <v>78</v>
      </c>
    </row>
    <row r="604" spans="1:7" ht="14.25" thickTop="1" thickBot="1">
      <c r="B604" s="830"/>
      <c r="C604" s="830"/>
      <c r="D604" s="830"/>
      <c r="E604" s="830"/>
      <c r="F604" s="830"/>
      <c r="G604" s="830"/>
    </row>
    <row r="605" spans="1:7" ht="13.5" thickTop="1">
      <c r="B605" s="831" t="s">
        <v>311</v>
      </c>
      <c r="C605" s="832"/>
      <c r="D605" s="832"/>
      <c r="E605" s="832"/>
      <c r="F605" s="832"/>
      <c r="G605" s="833"/>
    </row>
    <row r="606" spans="1:7">
      <c r="B606" s="817" t="s">
        <v>838</v>
      </c>
      <c r="C606" s="818"/>
      <c r="D606" s="98" t="s">
        <v>842</v>
      </c>
      <c r="E606" s="98" t="s">
        <v>853</v>
      </c>
      <c r="F606" s="99" t="s">
        <v>1047</v>
      </c>
      <c r="G606" s="107" t="s">
        <v>840</v>
      </c>
    </row>
    <row r="607" spans="1:7">
      <c r="B607" s="230"/>
      <c r="C607" s="102"/>
      <c r="D607" s="100"/>
      <c r="E607" s="100" t="s">
        <v>312</v>
      </c>
      <c r="F607" s="101" t="s">
        <v>313</v>
      </c>
      <c r="G607" s="108" t="s">
        <v>314</v>
      </c>
    </row>
    <row r="608" spans="1:7">
      <c r="A608" s="95">
        <f>MATERIALES2!B61</f>
        <v>20501</v>
      </c>
      <c r="B608" s="841" t="str">
        <f>MATERIALES2!C61</f>
        <v>HIERRO CHIPA ¼"</v>
      </c>
      <c r="C608" s="842"/>
      <c r="D608" s="87" t="s">
        <v>925</v>
      </c>
      <c r="E608" s="38">
        <v>1</v>
      </c>
      <c r="F608" s="80">
        <f>MATERIALES2!E61</f>
        <v>2100</v>
      </c>
      <c r="G608" s="110">
        <f>ROUND(E608*F608,0)</f>
        <v>2100</v>
      </c>
    </row>
    <row r="609" spans="2:9">
      <c r="B609" s="835"/>
      <c r="C609" s="836"/>
      <c r="D609" s="37"/>
      <c r="E609" s="55"/>
      <c r="F609" s="82"/>
      <c r="G609" s="111"/>
    </row>
    <row r="610" spans="2:9">
      <c r="B610" s="837"/>
      <c r="C610" s="838"/>
      <c r="D610" s="37"/>
      <c r="E610" s="55"/>
      <c r="F610" s="82"/>
      <c r="G610" s="111"/>
      <c r="I610" s="13"/>
    </row>
    <row r="611" spans="2:9">
      <c r="B611" s="837"/>
      <c r="C611" s="838"/>
      <c r="D611" s="37"/>
      <c r="E611" s="55"/>
      <c r="F611" s="82"/>
      <c r="G611" s="111"/>
      <c r="I611" s="13"/>
    </row>
    <row r="612" spans="2:9">
      <c r="B612" s="837"/>
      <c r="C612" s="838"/>
      <c r="D612" s="37"/>
      <c r="E612" s="55"/>
      <c r="F612" s="82"/>
      <c r="G612" s="111"/>
    </row>
    <row r="613" spans="2:9">
      <c r="B613" s="837"/>
      <c r="C613" s="838"/>
      <c r="D613" s="53" t="s">
        <v>841</v>
      </c>
      <c r="E613" s="53"/>
      <c r="F613" s="82"/>
      <c r="G613" s="111"/>
    </row>
    <row r="614" spans="2:9">
      <c r="B614" s="837" t="s">
        <v>841</v>
      </c>
      <c r="C614" s="838"/>
      <c r="D614" s="53" t="s">
        <v>841</v>
      </c>
      <c r="E614" s="53"/>
      <c r="F614" s="82"/>
      <c r="G614" s="111"/>
    </row>
    <row r="615" spans="2:9">
      <c r="B615" s="837" t="s">
        <v>841</v>
      </c>
      <c r="C615" s="838"/>
      <c r="D615" s="53" t="s">
        <v>841</v>
      </c>
      <c r="E615" s="53"/>
      <c r="F615" s="82"/>
      <c r="G615" s="111"/>
    </row>
    <row r="616" spans="2:9" ht="13.5" thickBot="1">
      <c r="B616" s="839" t="s">
        <v>841</v>
      </c>
      <c r="C616" s="840"/>
      <c r="D616" s="84" t="s">
        <v>841</v>
      </c>
      <c r="E616" s="84"/>
      <c r="F616" s="85"/>
      <c r="G616" s="112"/>
      <c r="H616" s="505" t="s">
        <v>1670</v>
      </c>
    </row>
    <row r="617" spans="2:9" ht="13.5" thickTop="1">
      <c r="B617" s="808"/>
      <c r="C617" s="809"/>
      <c r="D617" s="801" t="s">
        <v>856</v>
      </c>
      <c r="E617" s="802"/>
      <c r="F617" s="9"/>
      <c r="G617" s="113">
        <f>SUM(G608:G616)</f>
        <v>2100</v>
      </c>
    </row>
    <row r="618" spans="2:9">
      <c r="B618" s="819"/>
      <c r="C618" s="820"/>
      <c r="D618" s="801" t="s">
        <v>857</v>
      </c>
      <c r="E618" s="802"/>
      <c r="F618" s="79">
        <f>'MANO DE OBRA'!D60</f>
        <v>0.05</v>
      </c>
      <c r="G618" s="113">
        <f>ROUND(G617*F618,0)</f>
        <v>105</v>
      </c>
    </row>
    <row r="619" spans="2:9" ht="13.5" thickBot="1">
      <c r="B619" s="819"/>
      <c r="C619" s="820"/>
      <c r="D619" s="803" t="s">
        <v>320</v>
      </c>
      <c r="E619" s="804"/>
      <c r="F619" s="114"/>
      <c r="G619" s="118">
        <f>+G617+G618</f>
        <v>2205</v>
      </c>
    </row>
    <row r="620" spans="2:9" ht="14.25" thickTop="1" thickBot="1">
      <c r="B620" s="830"/>
      <c r="C620" s="830"/>
      <c r="D620" s="830"/>
      <c r="E620" s="830"/>
      <c r="F620" s="830"/>
      <c r="G620" s="830"/>
    </row>
    <row r="621" spans="2:9" ht="13.5" thickTop="1">
      <c r="B621" s="831" t="s">
        <v>858</v>
      </c>
      <c r="C621" s="832"/>
      <c r="D621" s="832"/>
      <c r="E621" s="832"/>
      <c r="F621" s="832"/>
      <c r="G621" s="833"/>
    </row>
    <row r="622" spans="2:9">
      <c r="B622" s="817"/>
      <c r="C622" s="818"/>
      <c r="D622" s="98" t="s">
        <v>301</v>
      </c>
      <c r="E622" s="98" t="s">
        <v>859</v>
      </c>
      <c r="F622" s="99" t="s">
        <v>839</v>
      </c>
      <c r="G622" s="107" t="s">
        <v>840</v>
      </c>
    </row>
    <row r="623" spans="2:9">
      <c r="B623" s="821" t="s">
        <v>838</v>
      </c>
      <c r="C623" s="822"/>
      <c r="D623" s="100" t="s">
        <v>316</v>
      </c>
      <c r="E623" s="100" t="s">
        <v>315</v>
      </c>
      <c r="F623" s="101" t="s">
        <v>306</v>
      </c>
      <c r="G623" s="108" t="s">
        <v>319</v>
      </c>
    </row>
    <row r="624" spans="2:9">
      <c r="B624" s="230"/>
      <c r="C624" s="102"/>
      <c r="D624" s="103"/>
      <c r="E624" s="103" t="s">
        <v>317</v>
      </c>
      <c r="F624" s="104" t="s">
        <v>318</v>
      </c>
      <c r="G624" s="109"/>
    </row>
    <row r="625" spans="1:7">
      <c r="A625" s="95">
        <f>'MANO DE OBRA'!A10</f>
        <v>30101</v>
      </c>
      <c r="B625" s="823" t="str">
        <f>'MANO DE OBRA'!B10</f>
        <v>AYUDANTE CUAD. TIPO AA</v>
      </c>
      <c r="C625" s="824"/>
      <c r="D625" s="87">
        <v>2</v>
      </c>
      <c r="E625" s="80">
        <f>'MANO DE OBRA'!E10</f>
        <v>34680</v>
      </c>
      <c r="F625" s="81">
        <v>300</v>
      </c>
      <c r="G625" s="110">
        <f>ROUND(D625*E625/F625,0)</f>
        <v>231</v>
      </c>
    </row>
    <row r="626" spans="1:7">
      <c r="A626" s="95">
        <f>'MANO DE OBRA'!A15</f>
        <v>30106</v>
      </c>
      <c r="B626" s="835" t="str">
        <f>'MANO DE OBRA'!B15</f>
        <v xml:space="preserve">OFICIAL CUAD. TIPO AA </v>
      </c>
      <c r="C626" s="836"/>
      <c r="D626" s="37">
        <v>1</v>
      </c>
      <c r="E626" s="82">
        <f>'MANO DE OBRA'!E15</f>
        <v>71474</v>
      </c>
      <c r="F626" s="83">
        <v>300</v>
      </c>
      <c r="G626" s="111">
        <f>ROUND(D626*E626/F626,0)</f>
        <v>238</v>
      </c>
    </row>
    <row r="627" spans="1:7">
      <c r="B627" s="835"/>
      <c r="C627" s="836"/>
      <c r="D627" s="89"/>
      <c r="E627" s="82"/>
      <c r="F627" s="83"/>
      <c r="G627" s="111"/>
    </row>
    <row r="628" spans="1:7">
      <c r="B628" s="835" t="s">
        <v>841</v>
      </c>
      <c r="C628" s="836"/>
      <c r="D628" s="37"/>
      <c r="E628" s="82"/>
      <c r="F628" s="83"/>
      <c r="G628" s="111"/>
    </row>
    <row r="629" spans="1:7" ht="13.5" thickBot="1">
      <c r="B629" s="828" t="s">
        <v>841</v>
      </c>
      <c r="C629" s="829"/>
      <c r="D629" s="77"/>
      <c r="E629" s="82"/>
      <c r="F629" s="86"/>
      <c r="G629" s="112"/>
    </row>
    <row r="630" spans="1:7" ht="14.25" thickTop="1" thickBot="1">
      <c r="B630" s="808"/>
      <c r="C630" s="808"/>
      <c r="D630" s="808"/>
      <c r="E630" s="809"/>
      <c r="F630" s="120" t="s">
        <v>856</v>
      </c>
      <c r="G630" s="118">
        <f>SUM(G625:G629)</f>
        <v>469</v>
      </c>
    </row>
    <row r="631" spans="1:7" ht="14.25" thickTop="1" thickBot="1">
      <c r="B631" s="810"/>
      <c r="C631" s="810"/>
      <c r="D631" s="810"/>
      <c r="E631" s="810"/>
      <c r="F631" s="810"/>
      <c r="G631" s="810"/>
    </row>
    <row r="632" spans="1:7" ht="13.5" thickTop="1">
      <c r="B632" s="811" t="s">
        <v>321</v>
      </c>
      <c r="C632" s="812"/>
      <c r="D632" s="812"/>
      <c r="E632" s="812"/>
      <c r="F632" s="812"/>
      <c r="G632" s="825"/>
    </row>
    <row r="633" spans="1:7">
      <c r="B633" s="817" t="s">
        <v>838</v>
      </c>
      <c r="C633" s="818"/>
      <c r="D633" s="98" t="s">
        <v>301</v>
      </c>
      <c r="E633" s="98" t="s">
        <v>297</v>
      </c>
      <c r="F633" s="99" t="s">
        <v>839</v>
      </c>
      <c r="G633" s="107" t="s">
        <v>840</v>
      </c>
    </row>
    <row r="634" spans="1:7">
      <c r="B634" s="230"/>
      <c r="C634" s="102"/>
      <c r="D634" s="103" t="s">
        <v>322</v>
      </c>
      <c r="E634" s="103" t="s">
        <v>323</v>
      </c>
      <c r="F634" s="104" t="s">
        <v>324</v>
      </c>
      <c r="G634" s="109" t="s">
        <v>325</v>
      </c>
    </row>
    <row r="635" spans="1:7">
      <c r="B635" s="826"/>
      <c r="C635" s="827"/>
      <c r="D635" s="96"/>
      <c r="E635" s="96"/>
      <c r="F635" s="96"/>
      <c r="G635" s="116"/>
    </row>
    <row r="636" spans="1:7" ht="13.5" thickBot="1">
      <c r="B636" s="828" t="s">
        <v>841</v>
      </c>
      <c r="C636" s="829"/>
      <c r="D636" s="77"/>
      <c r="E636" s="82"/>
      <c r="F636" s="86"/>
      <c r="G636" s="112"/>
    </row>
    <row r="637" spans="1:7" ht="14.25" thickTop="1" thickBot="1">
      <c r="B637" s="808"/>
      <c r="C637" s="808"/>
      <c r="D637" s="808"/>
      <c r="E637" s="809"/>
      <c r="F637" s="120" t="s">
        <v>856</v>
      </c>
      <c r="G637" s="118">
        <f>SUM(G632:G636)</f>
        <v>0</v>
      </c>
    </row>
    <row r="638" spans="1:7" ht="14.25" thickTop="1" thickBot="1">
      <c r="B638" s="810"/>
      <c r="C638" s="810"/>
      <c r="D638" s="810"/>
      <c r="E638" s="810"/>
      <c r="F638" s="810"/>
      <c r="G638" s="810"/>
    </row>
    <row r="639" spans="1:7" ht="13.5" thickTop="1">
      <c r="B639" s="811" t="s">
        <v>326</v>
      </c>
      <c r="C639" s="812"/>
      <c r="D639" s="812"/>
      <c r="E639" s="812"/>
      <c r="F639" s="813"/>
      <c r="G639" s="121">
        <f>+G603+G619+G630</f>
        <v>2752</v>
      </c>
    </row>
    <row r="640" spans="1:7">
      <c r="B640" s="814" t="s">
        <v>861</v>
      </c>
      <c r="C640" s="815"/>
      <c r="D640" s="815"/>
      <c r="E640" s="816"/>
      <c r="F640" s="117">
        <v>0</v>
      </c>
      <c r="G640" s="122">
        <f>ROUND(G639*F640/100,0)</f>
        <v>0</v>
      </c>
    </row>
    <row r="641" spans="1:9" ht="13.5" thickBot="1">
      <c r="B641" s="805" t="s">
        <v>1049</v>
      </c>
      <c r="C641" s="806"/>
      <c r="D641" s="806"/>
      <c r="E641" s="806"/>
      <c r="F641" s="807"/>
      <c r="G641" s="118">
        <f>ROUND(G639+G640,-2)</f>
        <v>2800</v>
      </c>
      <c r="H641" s="505" t="s">
        <v>1670</v>
      </c>
    </row>
    <row r="642" spans="1:9" ht="13.5" thickTop="1">
      <c r="B642" s="225" t="s">
        <v>303</v>
      </c>
      <c r="C642" s="843"/>
      <c r="D642" s="843"/>
      <c r="E642" s="843"/>
      <c r="F642" s="92" t="s">
        <v>781</v>
      </c>
      <c r="G642" s="93" t="s">
        <v>925</v>
      </c>
    </row>
    <row r="643" spans="1:9">
      <c r="A643" s="95" t="s">
        <v>832</v>
      </c>
      <c r="B643" s="226" t="s">
        <v>834</v>
      </c>
      <c r="C643" s="844" t="s">
        <v>1102</v>
      </c>
      <c r="D643" s="844"/>
      <c r="E643" s="844"/>
      <c r="F643" s="15" t="s">
        <v>833</v>
      </c>
      <c r="G643" s="165" t="str">
        <f>'MANO DE OBRA'!D61</f>
        <v>Agosto de 2010</v>
      </c>
    </row>
    <row r="644" spans="1:9" ht="13.5" thickBot="1">
      <c r="A644" s="95">
        <f>MATERIALES2!B83</f>
        <v>20522</v>
      </c>
      <c r="B644" s="228" t="s">
        <v>835</v>
      </c>
      <c r="C644" s="845" t="s">
        <v>1292</v>
      </c>
      <c r="D644" s="845"/>
      <c r="E644" s="845"/>
      <c r="F644" s="845"/>
      <c r="G644" s="846"/>
    </row>
    <row r="645" spans="1:9" ht="14.25" thickTop="1" thickBot="1">
      <c r="B645" s="847"/>
      <c r="C645" s="847"/>
      <c r="D645" s="847"/>
      <c r="E645" s="847"/>
      <c r="F645" s="847"/>
      <c r="G645" s="847"/>
      <c r="I645" s="13"/>
    </row>
    <row r="646" spans="1:9" ht="13.5" thickTop="1">
      <c r="B646" s="811" t="s">
        <v>304</v>
      </c>
      <c r="C646" s="812"/>
      <c r="D646" s="812"/>
      <c r="E646" s="812"/>
      <c r="F646" s="812"/>
      <c r="G646" s="825"/>
      <c r="I646" s="13"/>
    </row>
    <row r="647" spans="1:9">
      <c r="B647" s="229"/>
      <c r="C647" s="97"/>
      <c r="D647" s="98" t="s">
        <v>301</v>
      </c>
      <c r="E647" s="98" t="s">
        <v>1072</v>
      </c>
      <c r="F647" s="99" t="s">
        <v>839</v>
      </c>
      <c r="G647" s="107" t="s">
        <v>840</v>
      </c>
    </row>
    <row r="648" spans="1:9">
      <c r="B648" s="821" t="s">
        <v>838</v>
      </c>
      <c r="C648" s="822"/>
      <c r="D648" s="100" t="s">
        <v>308</v>
      </c>
      <c r="E648" s="100" t="s">
        <v>305</v>
      </c>
      <c r="F648" s="101" t="s">
        <v>306</v>
      </c>
      <c r="G648" s="108" t="s">
        <v>310</v>
      </c>
    </row>
    <row r="649" spans="1:9">
      <c r="B649" s="230"/>
      <c r="C649" s="102"/>
      <c r="D649" s="103"/>
      <c r="E649" s="103" t="s">
        <v>309</v>
      </c>
      <c r="F649" s="104" t="s">
        <v>307</v>
      </c>
      <c r="G649" s="109"/>
    </row>
    <row r="650" spans="1:9">
      <c r="A650" s="95">
        <f>'MAQUINARIA Y EQUIPOS'!B27</f>
        <v>10120</v>
      </c>
      <c r="B650" s="823" t="str">
        <f>'MAQUINARIA Y EQUIPOS'!C28</f>
        <v>HERRAMIENTAS MENORES</v>
      </c>
      <c r="C650" s="824"/>
      <c r="D650" s="87">
        <v>1</v>
      </c>
      <c r="E650" s="82">
        <f>ROUND(G683*5,0)</f>
        <v>2345</v>
      </c>
      <c r="F650" s="81">
        <v>30</v>
      </c>
      <c r="G650" s="110">
        <f>ROUND(D650*E650/F650,0)</f>
        <v>78</v>
      </c>
    </row>
    <row r="651" spans="1:9">
      <c r="B651" s="835"/>
      <c r="C651" s="836"/>
      <c r="D651" s="37"/>
      <c r="E651" s="82"/>
      <c r="F651" s="83"/>
      <c r="G651" s="111"/>
    </row>
    <row r="652" spans="1:9">
      <c r="B652" s="835"/>
      <c r="C652" s="836"/>
      <c r="D652" s="89"/>
      <c r="E652" s="82"/>
      <c r="F652" s="83"/>
      <c r="G652" s="111"/>
    </row>
    <row r="653" spans="1:9">
      <c r="B653" s="835"/>
      <c r="C653" s="836"/>
      <c r="D653" s="89"/>
      <c r="E653" s="82"/>
      <c r="F653" s="83"/>
      <c r="G653" s="111"/>
    </row>
    <row r="654" spans="1:9">
      <c r="B654" s="835" t="s">
        <v>841</v>
      </c>
      <c r="C654" s="836"/>
      <c r="D654" s="37"/>
      <c r="E654" s="82"/>
      <c r="F654" s="83"/>
      <c r="G654" s="111"/>
    </row>
    <row r="655" spans="1:9" ht="13.5" thickBot="1">
      <c r="B655" s="839" t="s">
        <v>841</v>
      </c>
      <c r="C655" s="840"/>
      <c r="D655" s="77"/>
      <c r="E655" s="106"/>
      <c r="F655" s="86"/>
      <c r="G655" s="112"/>
    </row>
    <row r="656" spans="1:9" ht="14.25" thickTop="1" thickBot="1">
      <c r="B656" s="808"/>
      <c r="C656" s="808"/>
      <c r="D656" s="808"/>
      <c r="E656" s="809"/>
      <c r="F656" s="119" t="s">
        <v>856</v>
      </c>
      <c r="G656" s="118">
        <f>SUM(G650:G655)</f>
        <v>78</v>
      </c>
    </row>
    <row r="657" spans="1:8" ht="14.25" thickTop="1" thickBot="1">
      <c r="B657" s="830"/>
      <c r="C657" s="830"/>
      <c r="D657" s="830"/>
      <c r="E657" s="830"/>
      <c r="F657" s="830"/>
      <c r="G657" s="830"/>
    </row>
    <row r="658" spans="1:8" ht="13.5" thickTop="1">
      <c r="B658" s="831" t="s">
        <v>311</v>
      </c>
      <c r="C658" s="832"/>
      <c r="D658" s="832"/>
      <c r="E658" s="832"/>
      <c r="F658" s="832"/>
      <c r="G658" s="833"/>
    </row>
    <row r="659" spans="1:8">
      <c r="B659" s="817" t="s">
        <v>838</v>
      </c>
      <c r="C659" s="818"/>
      <c r="D659" s="98" t="s">
        <v>842</v>
      </c>
      <c r="E659" s="98" t="s">
        <v>853</v>
      </c>
      <c r="F659" s="99" t="s">
        <v>1047</v>
      </c>
      <c r="G659" s="107" t="s">
        <v>840</v>
      </c>
    </row>
    <row r="660" spans="1:8">
      <c r="B660" s="230"/>
      <c r="C660" s="102"/>
      <c r="D660" s="100"/>
      <c r="E660" s="100" t="s">
        <v>312</v>
      </c>
      <c r="F660" s="101" t="s">
        <v>313</v>
      </c>
      <c r="G660" s="108" t="s">
        <v>314</v>
      </c>
    </row>
    <row r="661" spans="1:8">
      <c r="A661" s="95">
        <f>MATERIALES2!B62</f>
        <v>20502</v>
      </c>
      <c r="B661" s="841" t="str">
        <f>MATERIALES2!C62</f>
        <v>HIERRO CHIPA 3/8"</v>
      </c>
      <c r="C661" s="842"/>
      <c r="D661" s="87" t="s">
        <v>925</v>
      </c>
      <c r="E661" s="38">
        <v>1</v>
      </c>
      <c r="F661" s="80">
        <f>MATERIALES2!E62</f>
        <v>2100</v>
      </c>
      <c r="G661" s="110">
        <f>ROUND(E661*F661,0)</f>
        <v>2100</v>
      </c>
    </row>
    <row r="662" spans="1:8">
      <c r="B662" s="835"/>
      <c r="C662" s="836"/>
      <c r="D662" s="37"/>
      <c r="E662" s="55"/>
      <c r="F662" s="82"/>
      <c r="G662" s="111"/>
    </row>
    <row r="663" spans="1:8">
      <c r="B663" s="837"/>
      <c r="C663" s="838"/>
      <c r="D663" s="37"/>
      <c r="E663" s="55"/>
      <c r="F663" s="82"/>
      <c r="G663" s="111"/>
    </row>
    <row r="664" spans="1:8">
      <c r="B664" s="837"/>
      <c r="C664" s="838"/>
      <c r="D664" s="37"/>
      <c r="E664" s="55"/>
      <c r="F664" s="82"/>
      <c r="G664" s="111"/>
    </row>
    <row r="665" spans="1:8">
      <c r="B665" s="837"/>
      <c r="C665" s="838"/>
      <c r="D665" s="37"/>
      <c r="E665" s="55"/>
      <c r="F665" s="82"/>
      <c r="G665" s="111"/>
    </row>
    <row r="666" spans="1:8">
      <c r="B666" s="837"/>
      <c r="C666" s="838"/>
      <c r="D666" s="53" t="s">
        <v>841</v>
      </c>
      <c r="E666" s="53"/>
      <c r="F666" s="82"/>
      <c r="G666" s="111"/>
    </row>
    <row r="667" spans="1:8">
      <c r="B667" s="837" t="s">
        <v>841</v>
      </c>
      <c r="C667" s="838"/>
      <c r="D667" s="53" t="s">
        <v>841</v>
      </c>
      <c r="E667" s="53"/>
      <c r="F667" s="82"/>
      <c r="G667" s="111"/>
    </row>
    <row r="668" spans="1:8">
      <c r="B668" s="837" t="s">
        <v>841</v>
      </c>
      <c r="C668" s="838"/>
      <c r="D668" s="53" t="s">
        <v>841</v>
      </c>
      <c r="E668" s="53"/>
      <c r="F668" s="82"/>
      <c r="G668" s="111"/>
      <c r="H668" s="505" t="s">
        <v>1670</v>
      </c>
    </row>
    <row r="669" spans="1:8" ht="13.5" thickBot="1">
      <c r="B669" s="839" t="s">
        <v>841</v>
      </c>
      <c r="C669" s="840"/>
      <c r="D669" s="84" t="s">
        <v>841</v>
      </c>
      <c r="E669" s="84"/>
      <c r="F669" s="85"/>
      <c r="G669" s="112"/>
    </row>
    <row r="670" spans="1:8" ht="13.5" thickTop="1">
      <c r="B670" s="808"/>
      <c r="C670" s="809"/>
      <c r="D670" s="801" t="s">
        <v>856</v>
      </c>
      <c r="E670" s="802"/>
      <c r="F670" s="9"/>
      <c r="G670" s="113">
        <f>SUM(G661:G669)</f>
        <v>2100</v>
      </c>
    </row>
    <row r="671" spans="1:8">
      <c r="B671" s="819"/>
      <c r="C671" s="820"/>
      <c r="D671" s="801" t="s">
        <v>857</v>
      </c>
      <c r="E671" s="802"/>
      <c r="F671" s="79">
        <f>'MANO DE OBRA'!D60</f>
        <v>0.05</v>
      </c>
      <c r="G671" s="113">
        <f>ROUND(G670*F671,0)</f>
        <v>105</v>
      </c>
    </row>
    <row r="672" spans="1:8" ht="13.5" thickBot="1">
      <c r="B672" s="819"/>
      <c r="C672" s="820"/>
      <c r="D672" s="803" t="s">
        <v>320</v>
      </c>
      <c r="E672" s="804"/>
      <c r="F672" s="114"/>
      <c r="G672" s="118">
        <f>+G670+G671</f>
        <v>2205</v>
      </c>
    </row>
    <row r="673" spans="1:7" ht="14.25" thickTop="1" thickBot="1">
      <c r="B673" s="830"/>
      <c r="C673" s="830"/>
      <c r="D673" s="830"/>
      <c r="E673" s="830"/>
      <c r="F673" s="830"/>
      <c r="G673" s="830"/>
    </row>
    <row r="674" spans="1:7" ht="13.5" thickTop="1">
      <c r="B674" s="831" t="s">
        <v>858</v>
      </c>
      <c r="C674" s="832"/>
      <c r="D674" s="832"/>
      <c r="E674" s="832"/>
      <c r="F674" s="832"/>
      <c r="G674" s="833"/>
    </row>
    <row r="675" spans="1:7">
      <c r="B675" s="817"/>
      <c r="C675" s="818"/>
      <c r="D675" s="98" t="s">
        <v>301</v>
      </c>
      <c r="E675" s="98" t="s">
        <v>859</v>
      </c>
      <c r="F675" s="99" t="s">
        <v>839</v>
      </c>
      <c r="G675" s="107" t="s">
        <v>840</v>
      </c>
    </row>
    <row r="676" spans="1:7">
      <c r="B676" s="821" t="s">
        <v>838</v>
      </c>
      <c r="C676" s="822"/>
      <c r="D676" s="100" t="s">
        <v>316</v>
      </c>
      <c r="E676" s="100" t="s">
        <v>315</v>
      </c>
      <c r="F676" s="101" t="s">
        <v>306</v>
      </c>
      <c r="G676" s="108" t="s">
        <v>319</v>
      </c>
    </row>
    <row r="677" spans="1:7">
      <c r="B677" s="230"/>
      <c r="C677" s="102"/>
      <c r="D677" s="103"/>
      <c r="E677" s="103" t="s">
        <v>317</v>
      </c>
      <c r="F677" s="104" t="s">
        <v>318</v>
      </c>
      <c r="G677" s="109"/>
    </row>
    <row r="678" spans="1:7">
      <c r="A678" s="95">
        <f>'MANO DE OBRA'!A10</f>
        <v>30101</v>
      </c>
      <c r="B678" s="823" t="str">
        <f>'MANO DE OBRA'!B10</f>
        <v>AYUDANTE CUAD. TIPO AA</v>
      </c>
      <c r="C678" s="824"/>
      <c r="D678" s="87">
        <v>2</v>
      </c>
      <c r="E678" s="80">
        <f>'MANO DE OBRA'!E10</f>
        <v>34680</v>
      </c>
      <c r="F678" s="81">
        <v>300</v>
      </c>
      <c r="G678" s="110">
        <f>ROUND(D678*E678/F678,0)</f>
        <v>231</v>
      </c>
    </row>
    <row r="679" spans="1:7">
      <c r="A679" s="95">
        <f>'MANO DE OBRA'!A15</f>
        <v>30106</v>
      </c>
      <c r="B679" s="835" t="str">
        <f>'MANO DE OBRA'!B15</f>
        <v xml:space="preserve">OFICIAL CUAD. TIPO AA </v>
      </c>
      <c r="C679" s="836"/>
      <c r="D679" s="37">
        <v>1</v>
      </c>
      <c r="E679" s="82">
        <f>'MANO DE OBRA'!E15</f>
        <v>71474</v>
      </c>
      <c r="F679" s="83">
        <v>300</v>
      </c>
      <c r="G679" s="111">
        <f>ROUND(D679*E679/F679,0)</f>
        <v>238</v>
      </c>
    </row>
    <row r="680" spans="1:7">
      <c r="B680" s="835"/>
      <c r="C680" s="836"/>
      <c r="D680" s="89"/>
      <c r="E680" s="82"/>
      <c r="F680" s="83"/>
      <c r="G680" s="111"/>
    </row>
    <row r="681" spans="1:7">
      <c r="B681" s="835" t="s">
        <v>841</v>
      </c>
      <c r="C681" s="836"/>
      <c r="D681" s="37"/>
      <c r="E681" s="82"/>
      <c r="F681" s="83"/>
      <c r="G681" s="111"/>
    </row>
    <row r="682" spans="1:7" ht="13.5" thickBot="1">
      <c r="B682" s="828" t="s">
        <v>841</v>
      </c>
      <c r="C682" s="829"/>
      <c r="D682" s="77"/>
      <c r="E682" s="82"/>
      <c r="F682" s="86"/>
      <c r="G682" s="112"/>
    </row>
    <row r="683" spans="1:7" ht="14.25" thickTop="1" thickBot="1">
      <c r="B683" s="808"/>
      <c r="C683" s="808"/>
      <c r="D683" s="808"/>
      <c r="E683" s="809"/>
      <c r="F683" s="120" t="s">
        <v>856</v>
      </c>
      <c r="G683" s="118">
        <f>SUM(G678:G682)</f>
        <v>469</v>
      </c>
    </row>
    <row r="684" spans="1:7" ht="14.25" thickTop="1" thickBot="1">
      <c r="B684" s="810"/>
      <c r="C684" s="810"/>
      <c r="D684" s="810"/>
      <c r="E684" s="810"/>
      <c r="F684" s="810"/>
      <c r="G684" s="810"/>
    </row>
    <row r="685" spans="1:7" ht="13.5" thickTop="1">
      <c r="B685" s="811" t="s">
        <v>321</v>
      </c>
      <c r="C685" s="812"/>
      <c r="D685" s="812"/>
      <c r="E685" s="812"/>
      <c r="F685" s="812"/>
      <c r="G685" s="825"/>
    </row>
    <row r="686" spans="1:7">
      <c r="B686" s="817" t="s">
        <v>838</v>
      </c>
      <c r="C686" s="818"/>
      <c r="D686" s="98" t="s">
        <v>301</v>
      </c>
      <c r="E686" s="98" t="s">
        <v>297</v>
      </c>
      <c r="F686" s="99" t="s">
        <v>839</v>
      </c>
      <c r="G686" s="107" t="s">
        <v>840</v>
      </c>
    </row>
    <row r="687" spans="1:7">
      <c r="B687" s="230"/>
      <c r="C687" s="102"/>
      <c r="D687" s="103" t="s">
        <v>322</v>
      </c>
      <c r="E687" s="103" t="s">
        <v>323</v>
      </c>
      <c r="F687" s="104" t="s">
        <v>324</v>
      </c>
      <c r="G687" s="109" t="s">
        <v>325</v>
      </c>
    </row>
    <row r="688" spans="1:7">
      <c r="B688" s="826"/>
      <c r="C688" s="827"/>
      <c r="D688" s="96"/>
      <c r="E688" s="96"/>
      <c r="F688" s="96"/>
      <c r="G688" s="116"/>
    </row>
    <row r="689" spans="2:8" ht="13.5" thickBot="1">
      <c r="B689" s="828" t="s">
        <v>841</v>
      </c>
      <c r="C689" s="829"/>
      <c r="D689" s="77"/>
      <c r="E689" s="82"/>
      <c r="F689" s="86"/>
      <c r="G689" s="112"/>
    </row>
    <row r="690" spans="2:8" ht="14.25" thickTop="1" thickBot="1">
      <c r="B690" s="808"/>
      <c r="C690" s="808"/>
      <c r="D690" s="808"/>
      <c r="E690" s="809"/>
      <c r="F690" s="120" t="s">
        <v>856</v>
      </c>
      <c r="G690" s="118">
        <f>SUM(G685:G689)</f>
        <v>0</v>
      </c>
    </row>
    <row r="691" spans="2:8" ht="14.25" thickTop="1" thickBot="1">
      <c r="B691" s="810"/>
      <c r="C691" s="810"/>
      <c r="D691" s="810"/>
      <c r="E691" s="810"/>
      <c r="F691" s="810"/>
      <c r="G691" s="810"/>
    </row>
    <row r="692" spans="2:8" ht="13.5" thickTop="1">
      <c r="B692" s="811" t="s">
        <v>326</v>
      </c>
      <c r="C692" s="812"/>
      <c r="D692" s="812"/>
      <c r="E692" s="812"/>
      <c r="F692" s="813"/>
      <c r="G692" s="121">
        <f>+G656+G672+G683</f>
        <v>2752</v>
      </c>
    </row>
    <row r="693" spans="2:8">
      <c r="B693" s="814" t="s">
        <v>861</v>
      </c>
      <c r="C693" s="815"/>
      <c r="D693" s="815"/>
      <c r="E693" s="816"/>
      <c r="F693" s="117">
        <v>0</v>
      </c>
      <c r="G693" s="122">
        <f>ROUND(G692*F693/100,0)</f>
        <v>0</v>
      </c>
    </row>
    <row r="694" spans="2:8" ht="13.5" thickBot="1">
      <c r="B694" s="805" t="s">
        <v>1049</v>
      </c>
      <c r="C694" s="806"/>
      <c r="D694" s="806"/>
      <c r="E694" s="806"/>
      <c r="F694" s="807"/>
      <c r="G694" s="118">
        <f>ROUND(G692+G693,-2)</f>
        <v>2800</v>
      </c>
      <c r="H694" s="505" t="s">
        <v>1670</v>
      </c>
    </row>
    <row r="695" spans="2:8" ht="13.5" thickTop="1"/>
  </sheetData>
  <mergeCells count="641">
    <mergeCell ref="B410:C410"/>
    <mergeCell ref="B411:C411"/>
    <mergeCell ref="B403:C403"/>
    <mergeCell ref="B404:C404"/>
    <mergeCell ref="B405:C407"/>
    <mergeCell ref="D405:E405"/>
    <mergeCell ref="D406:E406"/>
    <mergeCell ref="D407:E407"/>
    <mergeCell ref="B429:F429"/>
    <mergeCell ref="B421:C421"/>
    <mergeCell ref="B423:C423"/>
    <mergeCell ref="B424:C424"/>
    <mergeCell ref="B425:E425"/>
    <mergeCell ref="B426:G426"/>
    <mergeCell ref="B427:F427"/>
    <mergeCell ref="B417:C417"/>
    <mergeCell ref="B418:E418"/>
    <mergeCell ref="B419:G419"/>
    <mergeCell ref="B420:G420"/>
    <mergeCell ref="D354:E354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4"/>
    <mergeCell ref="C220:G220"/>
    <mergeCell ref="B221:G221"/>
    <mergeCell ref="D247:E247"/>
    <mergeCell ref="B238:C238"/>
    <mergeCell ref="B239:C239"/>
    <mergeCell ref="B280:C280"/>
    <mergeCell ref="B309:C309"/>
    <mergeCell ref="B281:C281"/>
    <mergeCell ref="B282:C282"/>
    <mergeCell ref="B286:G286"/>
    <mergeCell ref="B292:C292"/>
    <mergeCell ref="B294:C294"/>
    <mergeCell ref="B295:C295"/>
    <mergeCell ref="B287:G287"/>
    <mergeCell ref="B288:C288"/>
    <mergeCell ref="B305:C305"/>
    <mergeCell ref="B307:C307"/>
    <mergeCell ref="B308:C308"/>
    <mergeCell ref="B293:C293"/>
    <mergeCell ref="B290:C290"/>
    <mergeCell ref="B296:C296"/>
    <mergeCell ref="B297:C297"/>
    <mergeCell ref="B298:C298"/>
    <mergeCell ref="C271:E271"/>
    <mergeCell ref="B255:C255"/>
    <mergeCell ref="B242:C242"/>
    <mergeCell ref="B243:C243"/>
    <mergeCell ref="B244:C244"/>
    <mergeCell ref="B245:C245"/>
    <mergeCell ref="B266:E266"/>
    <mergeCell ref="B267:G267"/>
    <mergeCell ref="B260:G260"/>
    <mergeCell ref="B261:G261"/>
    <mergeCell ref="B262:C262"/>
    <mergeCell ref="B264:C264"/>
    <mergeCell ref="B265:C265"/>
    <mergeCell ref="B500:C500"/>
    <mergeCell ref="D511:E511"/>
    <mergeCell ref="D512:E512"/>
    <mergeCell ref="B502:C502"/>
    <mergeCell ref="C536:E536"/>
    <mergeCell ref="B160:E160"/>
    <mergeCell ref="B161:G161"/>
    <mergeCell ref="B683:E683"/>
    <mergeCell ref="B364:C364"/>
    <mergeCell ref="B365:E365"/>
    <mergeCell ref="B178:C178"/>
    <mergeCell ref="B179:E179"/>
    <mergeCell ref="B180:G180"/>
    <mergeCell ref="B181:G181"/>
    <mergeCell ref="B679:C679"/>
    <mergeCell ref="B680:C680"/>
    <mergeCell ref="B681:C681"/>
    <mergeCell ref="B682:C682"/>
    <mergeCell ref="B164:F164"/>
    <mergeCell ref="B162:F162"/>
    <mergeCell ref="B163:E163"/>
    <mergeCell ref="B362:C362"/>
    <mergeCell ref="B363:C363"/>
    <mergeCell ref="C272:E272"/>
    <mergeCell ref="B436:C436"/>
    <mergeCell ref="B376:F376"/>
    <mergeCell ref="C430:E430"/>
    <mergeCell ref="C431:E431"/>
    <mergeCell ref="C432:G432"/>
    <mergeCell ref="B433:G433"/>
    <mergeCell ref="B434:G434"/>
    <mergeCell ref="C377:E377"/>
    <mergeCell ref="C378:E378"/>
    <mergeCell ref="C379:G379"/>
    <mergeCell ref="B380:G380"/>
    <mergeCell ref="B390:C390"/>
    <mergeCell ref="B391:E391"/>
    <mergeCell ref="B392:G392"/>
    <mergeCell ref="B386:C386"/>
    <mergeCell ref="B387:C387"/>
    <mergeCell ref="B388:C388"/>
    <mergeCell ref="B389:C389"/>
    <mergeCell ref="B413:C413"/>
    <mergeCell ref="B414:C414"/>
    <mergeCell ref="B415:C415"/>
    <mergeCell ref="B416:C416"/>
    <mergeCell ref="B428:E428"/>
    <mergeCell ref="B409:G409"/>
    <mergeCell ref="C326:G326"/>
    <mergeCell ref="B327:G327"/>
    <mergeCell ref="D300:E300"/>
    <mergeCell ref="D301:E301"/>
    <mergeCell ref="B321:F321"/>
    <mergeCell ref="B302:G302"/>
    <mergeCell ref="B303:G303"/>
    <mergeCell ref="B304:C304"/>
    <mergeCell ref="D353:E353"/>
    <mergeCell ref="D352:E352"/>
    <mergeCell ref="B330:C330"/>
    <mergeCell ref="B328:G328"/>
    <mergeCell ref="B320:G320"/>
    <mergeCell ref="B315:C315"/>
    <mergeCell ref="B310:C310"/>
    <mergeCell ref="B311:C311"/>
    <mergeCell ref="B314:G314"/>
    <mergeCell ref="B317:C317"/>
    <mergeCell ref="B318:C318"/>
    <mergeCell ref="B319:E319"/>
    <mergeCell ref="B312:E312"/>
    <mergeCell ref="B313:G313"/>
    <mergeCell ref="B322:E322"/>
    <mergeCell ref="B323:F323"/>
    <mergeCell ref="B118:C118"/>
    <mergeCell ref="C112:E112"/>
    <mergeCell ref="C113:E113"/>
    <mergeCell ref="C114:G114"/>
    <mergeCell ref="B222:G222"/>
    <mergeCell ref="B268:F268"/>
    <mergeCell ref="D246:E246"/>
    <mergeCell ref="C324:E324"/>
    <mergeCell ref="C325:E325"/>
    <mergeCell ref="B283:C283"/>
    <mergeCell ref="B284:C284"/>
    <mergeCell ref="B285:E285"/>
    <mergeCell ref="B291:C291"/>
    <mergeCell ref="D299:E299"/>
    <mergeCell ref="B232:E232"/>
    <mergeCell ref="B237:C237"/>
    <mergeCell ref="B277:C277"/>
    <mergeCell ref="B279:C279"/>
    <mergeCell ref="C273:G273"/>
    <mergeCell ref="B269:E269"/>
    <mergeCell ref="B270:F270"/>
    <mergeCell ref="B274:G274"/>
    <mergeCell ref="B250:G250"/>
    <mergeCell ref="B254:C254"/>
    <mergeCell ref="B467:C467"/>
    <mergeCell ref="B468:C468"/>
    <mergeCell ref="B469:C469"/>
    <mergeCell ref="B470:C470"/>
    <mergeCell ref="B56:F56"/>
    <mergeCell ref="D87:E87"/>
    <mergeCell ref="C59:E59"/>
    <mergeCell ref="C60:E60"/>
    <mergeCell ref="B462:G462"/>
    <mergeCell ref="B115:G115"/>
    <mergeCell ref="B116:G116"/>
    <mergeCell ref="C218:E218"/>
    <mergeCell ref="C219:E219"/>
    <mergeCell ref="D248:E248"/>
    <mergeCell ref="B251:C251"/>
    <mergeCell ref="B107:E107"/>
    <mergeCell ref="B224:C224"/>
    <mergeCell ref="D140:E140"/>
    <mergeCell ref="B57:E57"/>
    <mergeCell ref="B58:F58"/>
    <mergeCell ref="B216:E216"/>
    <mergeCell ref="B217:F217"/>
    <mergeCell ref="B275:G275"/>
    <mergeCell ref="B299:C301"/>
    <mergeCell ref="B550:E550"/>
    <mergeCell ref="B551:G551"/>
    <mergeCell ref="B544:C544"/>
    <mergeCell ref="B545:C545"/>
    <mergeCell ref="B546:C546"/>
    <mergeCell ref="B547:C547"/>
    <mergeCell ref="B548:C548"/>
    <mergeCell ref="B503:C503"/>
    <mergeCell ref="B471:E471"/>
    <mergeCell ref="B472:G472"/>
    <mergeCell ref="B473:G473"/>
    <mergeCell ref="B474:C474"/>
    <mergeCell ref="B482:F482"/>
    <mergeCell ref="B487:G487"/>
    <mergeCell ref="B489:C489"/>
    <mergeCell ref="B499:G499"/>
    <mergeCell ref="B481:E481"/>
    <mergeCell ref="D513:E513"/>
    <mergeCell ref="B519:C519"/>
    <mergeCell ref="B520:C520"/>
    <mergeCell ref="B521:C521"/>
    <mergeCell ref="B534:E534"/>
    <mergeCell ref="C483:E483"/>
    <mergeCell ref="C484:E484"/>
    <mergeCell ref="B622:C622"/>
    <mergeCell ref="B617:C619"/>
    <mergeCell ref="B620:G620"/>
    <mergeCell ref="B621:G621"/>
    <mergeCell ref="D618:E618"/>
    <mergeCell ref="D619:E619"/>
    <mergeCell ref="B588:F588"/>
    <mergeCell ref="B595:C595"/>
    <mergeCell ref="B606:C606"/>
    <mergeCell ref="B592:G592"/>
    <mergeCell ref="B601:C601"/>
    <mergeCell ref="D617:E617"/>
    <mergeCell ref="B611:C611"/>
    <mergeCell ref="B612:C612"/>
    <mergeCell ref="C589:E589"/>
    <mergeCell ref="C590:E590"/>
    <mergeCell ref="B602:C602"/>
    <mergeCell ref="B613:C613"/>
    <mergeCell ref="B605:G605"/>
    <mergeCell ref="B630:E630"/>
    <mergeCell ref="B631:G631"/>
    <mergeCell ref="B623:C623"/>
    <mergeCell ref="B633:C633"/>
    <mergeCell ref="B639:F639"/>
    <mergeCell ref="B625:C625"/>
    <mergeCell ref="B626:C626"/>
    <mergeCell ref="B627:C627"/>
    <mergeCell ref="B628:C628"/>
    <mergeCell ref="B629:C629"/>
    <mergeCell ref="B637:E637"/>
    <mergeCell ref="B638:G638"/>
    <mergeCell ref="B636:C636"/>
    <mergeCell ref="B632:G632"/>
    <mergeCell ref="B658:G658"/>
    <mergeCell ref="B659:C659"/>
    <mergeCell ref="B661:C661"/>
    <mergeCell ref="B640:E640"/>
    <mergeCell ref="B641:F641"/>
    <mergeCell ref="C642:E642"/>
    <mergeCell ref="C643:E643"/>
    <mergeCell ref="C644:G644"/>
    <mergeCell ref="B653:C653"/>
    <mergeCell ref="B656:E656"/>
    <mergeCell ref="B657:G657"/>
    <mergeCell ref="B23:C23"/>
    <mergeCell ref="B25:C25"/>
    <mergeCell ref="B26:C26"/>
    <mergeCell ref="B27:C27"/>
    <mergeCell ref="B28:C28"/>
    <mergeCell ref="B668:C668"/>
    <mergeCell ref="B669:C669"/>
    <mergeCell ref="C5:G5"/>
    <mergeCell ref="C6:E6"/>
    <mergeCell ref="B663:C663"/>
    <mergeCell ref="B664:C664"/>
    <mergeCell ref="B665:C665"/>
    <mergeCell ref="B650:C650"/>
    <mergeCell ref="B654:C654"/>
    <mergeCell ref="B645:G645"/>
    <mergeCell ref="B646:G646"/>
    <mergeCell ref="B648:C648"/>
    <mergeCell ref="B666:C666"/>
    <mergeCell ref="B667:C667"/>
    <mergeCell ref="B651:C651"/>
    <mergeCell ref="B652:C652"/>
    <mergeCell ref="B662:C662"/>
    <mergeCell ref="B655:C655"/>
    <mergeCell ref="B635:C635"/>
    <mergeCell ref="B91:G91"/>
    <mergeCell ref="B92:C92"/>
    <mergeCell ref="B95:C95"/>
    <mergeCell ref="B96:C96"/>
    <mergeCell ref="B97:C97"/>
    <mergeCell ref="C1:G1"/>
    <mergeCell ref="C2:G2"/>
    <mergeCell ref="C3:G3"/>
    <mergeCell ref="C4:G4"/>
    <mergeCell ref="C61:G61"/>
    <mergeCell ref="B62:G62"/>
    <mergeCell ref="B10:G10"/>
    <mergeCell ref="B12:C12"/>
    <mergeCell ref="B14:C14"/>
    <mergeCell ref="B15:C15"/>
    <mergeCell ref="C7:E7"/>
    <mergeCell ref="C8:G8"/>
    <mergeCell ref="B9:G9"/>
    <mergeCell ref="B50:C50"/>
    <mergeCell ref="B33:C33"/>
    <mergeCell ref="B34:C36"/>
    <mergeCell ref="D34:E34"/>
    <mergeCell ref="D35:E35"/>
    <mergeCell ref="D36:E36"/>
    <mergeCell ref="B580:C580"/>
    <mergeCell ref="B586:F586"/>
    <mergeCell ref="B587:E587"/>
    <mergeCell ref="B584:E584"/>
    <mergeCell ref="B585:G585"/>
    <mergeCell ref="B582:C582"/>
    <mergeCell ref="B583:C583"/>
    <mergeCell ref="B573:C573"/>
    <mergeCell ref="B574:C574"/>
    <mergeCell ref="B555:C555"/>
    <mergeCell ref="B556:C556"/>
    <mergeCell ref="B576:C576"/>
    <mergeCell ref="B572:C572"/>
    <mergeCell ref="B558:C558"/>
    <mergeCell ref="B562:C562"/>
    <mergeCell ref="B614:C614"/>
    <mergeCell ref="B615:C615"/>
    <mergeCell ref="B616:C616"/>
    <mergeCell ref="B609:C609"/>
    <mergeCell ref="B610:C610"/>
    <mergeCell ref="B597:C597"/>
    <mergeCell ref="B598:C598"/>
    <mergeCell ref="B599:C599"/>
    <mergeCell ref="B600:C600"/>
    <mergeCell ref="B608:C608"/>
    <mergeCell ref="C591:G591"/>
    <mergeCell ref="B593:G593"/>
    <mergeCell ref="B603:E603"/>
    <mergeCell ref="B604:G604"/>
    <mergeCell ref="B579:G579"/>
    <mergeCell ref="B568:G568"/>
    <mergeCell ref="B559:C559"/>
    <mergeCell ref="B560:C560"/>
    <mergeCell ref="C485:G485"/>
    <mergeCell ref="B486:G486"/>
    <mergeCell ref="B507:C507"/>
    <mergeCell ref="B491:C491"/>
    <mergeCell ref="B542:C542"/>
    <mergeCell ref="B492:C492"/>
    <mergeCell ref="B493:C493"/>
    <mergeCell ref="B510:C510"/>
    <mergeCell ref="B511:C513"/>
    <mergeCell ref="B539:G539"/>
    <mergeCell ref="C537:E537"/>
    <mergeCell ref="B496:C496"/>
    <mergeCell ref="B497:E497"/>
    <mergeCell ref="B498:G498"/>
    <mergeCell ref="B530:C530"/>
    <mergeCell ref="B531:E531"/>
    <mergeCell ref="B535:F535"/>
    <mergeCell ref="B540:G540"/>
    <mergeCell ref="B514:G514"/>
    <mergeCell ref="B515:G515"/>
    <mergeCell ref="B516:C516"/>
    <mergeCell ref="B517:C517"/>
    <mergeCell ref="B506:C506"/>
    <mergeCell ref="B504:C504"/>
    <mergeCell ref="B561:C561"/>
    <mergeCell ref="B577:E577"/>
    <mergeCell ref="B578:G578"/>
    <mergeCell ref="D564:E564"/>
    <mergeCell ref="B575:C575"/>
    <mergeCell ref="B570:C570"/>
    <mergeCell ref="B569:C569"/>
    <mergeCell ref="B564:C566"/>
    <mergeCell ref="D565:E565"/>
    <mergeCell ref="D566:E566"/>
    <mergeCell ref="B563:C563"/>
    <mergeCell ref="B567:G567"/>
    <mergeCell ref="B557:C557"/>
    <mergeCell ref="B549:C549"/>
    <mergeCell ref="B553:C553"/>
    <mergeCell ref="B552:G552"/>
    <mergeCell ref="B532:G532"/>
    <mergeCell ref="B533:F533"/>
    <mergeCell ref="B440:C440"/>
    <mergeCell ref="B441:C441"/>
    <mergeCell ref="B442:C442"/>
    <mergeCell ref="B443:C443"/>
    <mergeCell ref="B444:E444"/>
    <mergeCell ref="B445:G445"/>
    <mergeCell ref="B446:G446"/>
    <mergeCell ref="B449:C449"/>
    <mergeCell ref="B525:G525"/>
    <mergeCell ref="B526:G526"/>
    <mergeCell ref="B527:C527"/>
    <mergeCell ref="B529:C529"/>
    <mergeCell ref="B522:C522"/>
    <mergeCell ref="B523:C523"/>
    <mergeCell ref="B524:E524"/>
    <mergeCell ref="B508:C508"/>
    <mergeCell ref="B509:C509"/>
    <mergeCell ref="B505:C505"/>
    <mergeCell ref="B494:C494"/>
    <mergeCell ref="B495:C495"/>
    <mergeCell ref="B479:G479"/>
    <mergeCell ref="B480:F480"/>
    <mergeCell ref="B332:C332"/>
    <mergeCell ref="B333:C333"/>
    <mergeCell ref="B334:C334"/>
    <mergeCell ref="B335:C335"/>
    <mergeCell ref="B336:C336"/>
    <mergeCell ref="B455:C455"/>
    <mergeCell ref="B456:C456"/>
    <mergeCell ref="B457:C457"/>
    <mergeCell ref="B476:C476"/>
    <mergeCell ref="B477:C477"/>
    <mergeCell ref="B478:E478"/>
    <mergeCell ref="B458:C460"/>
    <mergeCell ref="D458:E458"/>
    <mergeCell ref="D459:E459"/>
    <mergeCell ref="D460:E460"/>
    <mergeCell ref="B447:C447"/>
    <mergeCell ref="B450:C450"/>
    <mergeCell ref="B451:C451"/>
    <mergeCell ref="B452:C452"/>
    <mergeCell ref="B453:C453"/>
    <mergeCell ref="B454:C454"/>
    <mergeCell ref="B466:C466"/>
    <mergeCell ref="B337:C337"/>
    <mergeCell ref="B338:E338"/>
    <mergeCell ref="B339:G339"/>
    <mergeCell ref="B340:G340"/>
    <mergeCell ref="B341:C341"/>
    <mergeCell ref="B343:C343"/>
    <mergeCell ref="B464:C464"/>
    <mergeCell ref="B463:C463"/>
    <mergeCell ref="B461:G461"/>
    <mergeCell ref="B438:C438"/>
    <mergeCell ref="B439:C439"/>
    <mergeCell ref="B381:G381"/>
    <mergeCell ref="B383:C383"/>
    <mergeCell ref="B385:C385"/>
    <mergeCell ref="B393:G393"/>
    <mergeCell ref="B399:C399"/>
    <mergeCell ref="B400:C400"/>
    <mergeCell ref="B401:C401"/>
    <mergeCell ref="B402:C402"/>
    <mergeCell ref="B394:C394"/>
    <mergeCell ref="B396:C396"/>
    <mergeCell ref="B397:C397"/>
    <mergeCell ref="B398:C398"/>
    <mergeCell ref="B408:G408"/>
    <mergeCell ref="B357:C357"/>
    <mergeCell ref="B355:G355"/>
    <mergeCell ref="B374:F374"/>
    <mergeCell ref="B366:G366"/>
    <mergeCell ref="B367:G367"/>
    <mergeCell ref="B368:C368"/>
    <mergeCell ref="B370:C370"/>
    <mergeCell ref="B371:C371"/>
    <mergeCell ref="B372:E372"/>
    <mergeCell ref="B373:G373"/>
    <mergeCell ref="B356:G356"/>
    <mergeCell ref="B358:C358"/>
    <mergeCell ref="B375:E375"/>
    <mergeCell ref="B360:C360"/>
    <mergeCell ref="B361:C361"/>
    <mergeCell ref="B226:C226"/>
    <mergeCell ref="B227:C227"/>
    <mergeCell ref="B228:C228"/>
    <mergeCell ref="B229:C229"/>
    <mergeCell ref="B230:C230"/>
    <mergeCell ref="B231:C231"/>
    <mergeCell ref="B233:G233"/>
    <mergeCell ref="B234:G234"/>
    <mergeCell ref="B235:C235"/>
    <mergeCell ref="C165:E165"/>
    <mergeCell ref="C166:E166"/>
    <mergeCell ref="C167:G167"/>
    <mergeCell ref="B168:G168"/>
    <mergeCell ref="B169:G169"/>
    <mergeCell ref="B171:C171"/>
    <mergeCell ref="B173:C173"/>
    <mergeCell ref="B174:C174"/>
    <mergeCell ref="B259:E259"/>
    <mergeCell ref="B246:C248"/>
    <mergeCell ref="B256:C256"/>
    <mergeCell ref="B257:C257"/>
    <mergeCell ref="B258:C258"/>
    <mergeCell ref="B252:C252"/>
    <mergeCell ref="B249:G249"/>
    <mergeCell ref="B240:C240"/>
    <mergeCell ref="B241:C241"/>
    <mergeCell ref="D193:E193"/>
    <mergeCell ref="D194:E194"/>
    <mergeCell ref="D195:E195"/>
    <mergeCell ref="B175:C175"/>
    <mergeCell ref="B176:C176"/>
    <mergeCell ref="B177:C177"/>
    <mergeCell ref="B189:C189"/>
    <mergeCell ref="B190:C190"/>
    <mergeCell ref="B182:C182"/>
    <mergeCell ref="B184:C184"/>
    <mergeCell ref="B185:C185"/>
    <mergeCell ref="B186:C186"/>
    <mergeCell ref="B187:C187"/>
    <mergeCell ref="B213:E213"/>
    <mergeCell ref="B214:G214"/>
    <mergeCell ref="B215:F215"/>
    <mergeCell ref="B196:G196"/>
    <mergeCell ref="B197:G197"/>
    <mergeCell ref="B198:C198"/>
    <mergeCell ref="B199:C199"/>
    <mergeCell ref="B207:G207"/>
    <mergeCell ref="B208:G208"/>
    <mergeCell ref="B203:C203"/>
    <mergeCell ref="B204:C204"/>
    <mergeCell ref="B201:C201"/>
    <mergeCell ref="B202:C202"/>
    <mergeCell ref="B205:C205"/>
    <mergeCell ref="B206:E206"/>
    <mergeCell ref="B120:C120"/>
    <mergeCell ref="B121:C121"/>
    <mergeCell ref="B122:C122"/>
    <mergeCell ref="B123:C123"/>
    <mergeCell ref="B124:C124"/>
    <mergeCell ref="B125:C125"/>
    <mergeCell ref="B209:C209"/>
    <mergeCell ref="B211:C211"/>
    <mergeCell ref="B212:C212"/>
    <mergeCell ref="B188:C188"/>
    <mergeCell ref="B191:C191"/>
    <mergeCell ref="B192:C192"/>
    <mergeCell ref="B193:C195"/>
    <mergeCell ref="B156:C156"/>
    <mergeCell ref="B158:C158"/>
    <mergeCell ref="B159:C159"/>
    <mergeCell ref="B154:G154"/>
    <mergeCell ref="B155:G155"/>
    <mergeCell ref="B148:C148"/>
    <mergeCell ref="B149:C149"/>
    <mergeCell ref="B150:C150"/>
    <mergeCell ref="B151:C151"/>
    <mergeCell ref="B152:C152"/>
    <mergeCell ref="B153:E153"/>
    <mergeCell ref="D142:E142"/>
    <mergeCell ref="B140:C142"/>
    <mergeCell ref="B143:G143"/>
    <mergeCell ref="B144:G144"/>
    <mergeCell ref="B145:C145"/>
    <mergeCell ref="B146:C146"/>
    <mergeCell ref="B67:C67"/>
    <mergeCell ref="B68:C68"/>
    <mergeCell ref="B69:C69"/>
    <mergeCell ref="B70:C70"/>
    <mergeCell ref="B79:C79"/>
    <mergeCell ref="B71:C71"/>
    <mergeCell ref="D141:E141"/>
    <mergeCell ref="B133:C133"/>
    <mergeCell ref="B134:C134"/>
    <mergeCell ref="B135:C135"/>
    <mergeCell ref="B136:C136"/>
    <mergeCell ref="B137:C137"/>
    <mergeCell ref="B138:C138"/>
    <mergeCell ref="B139:C139"/>
    <mergeCell ref="B126:E126"/>
    <mergeCell ref="B127:G127"/>
    <mergeCell ref="B128:G128"/>
    <mergeCell ref="B129:C129"/>
    <mergeCell ref="B131:C131"/>
    <mergeCell ref="B132:C132"/>
    <mergeCell ref="B16:C16"/>
    <mergeCell ref="B17:C17"/>
    <mergeCell ref="B18:C18"/>
    <mergeCell ref="B76:C76"/>
    <mergeCell ref="B78:C78"/>
    <mergeCell ref="B101:G101"/>
    <mergeCell ref="B84:C84"/>
    <mergeCell ref="D88:E88"/>
    <mergeCell ref="B109:F109"/>
    <mergeCell ref="B19:C19"/>
    <mergeCell ref="B20:E20"/>
    <mergeCell ref="B21:G21"/>
    <mergeCell ref="B22:G22"/>
    <mergeCell ref="B72:C72"/>
    <mergeCell ref="B73:E73"/>
    <mergeCell ref="B74:G74"/>
    <mergeCell ref="B99:C99"/>
    <mergeCell ref="B100:E100"/>
    <mergeCell ref="B80:C80"/>
    <mergeCell ref="B30:C30"/>
    <mergeCell ref="B31:C31"/>
    <mergeCell ref="B32:C32"/>
    <mergeCell ref="B29:C29"/>
    <mergeCell ref="B44:C44"/>
    <mergeCell ref="B45:C45"/>
    <mergeCell ref="B46:C46"/>
    <mergeCell ref="B47:E47"/>
    <mergeCell ref="B48:G48"/>
    <mergeCell ref="B49:G49"/>
    <mergeCell ref="B37:G37"/>
    <mergeCell ref="B38:G38"/>
    <mergeCell ref="B39:C39"/>
    <mergeCell ref="B40:C40"/>
    <mergeCell ref="B42:C42"/>
    <mergeCell ref="B43:C43"/>
    <mergeCell ref="B52:C52"/>
    <mergeCell ref="B53:C53"/>
    <mergeCell ref="B54:E54"/>
    <mergeCell ref="B55:G55"/>
    <mergeCell ref="B111:F111"/>
    <mergeCell ref="B81:C81"/>
    <mergeCell ref="B82:C82"/>
    <mergeCell ref="B83:C83"/>
    <mergeCell ref="B75:G75"/>
    <mergeCell ref="B110:E110"/>
    <mergeCell ref="B85:C85"/>
    <mergeCell ref="B86:C86"/>
    <mergeCell ref="B87:C89"/>
    <mergeCell ref="B102:G102"/>
    <mergeCell ref="B103:C103"/>
    <mergeCell ref="B105:C105"/>
    <mergeCell ref="D89:E89"/>
    <mergeCell ref="B108:G108"/>
    <mergeCell ref="B98:C98"/>
    <mergeCell ref="B63:G63"/>
    <mergeCell ref="B65:C65"/>
    <mergeCell ref="B106:C106"/>
    <mergeCell ref="B93:C93"/>
    <mergeCell ref="B90:G90"/>
    <mergeCell ref="D670:E670"/>
    <mergeCell ref="D671:E671"/>
    <mergeCell ref="D672:E672"/>
    <mergeCell ref="B694:F694"/>
    <mergeCell ref="B690:E690"/>
    <mergeCell ref="B691:G691"/>
    <mergeCell ref="B692:F692"/>
    <mergeCell ref="B693:E693"/>
    <mergeCell ref="B675:C675"/>
    <mergeCell ref="B670:C672"/>
    <mergeCell ref="B676:C676"/>
    <mergeCell ref="B678:C678"/>
    <mergeCell ref="B684:G684"/>
    <mergeCell ref="B685:G685"/>
    <mergeCell ref="B686:C686"/>
    <mergeCell ref="B688:C688"/>
    <mergeCell ref="B689:C689"/>
    <mergeCell ref="B673:G673"/>
    <mergeCell ref="B674:G674"/>
  </mergeCells>
  <phoneticPr fontId="0" type="noConversion"/>
  <hyperlinks>
    <hyperlink ref="H6" location="'ITEMS RESUMEN'!CONCRETOS_Y_MORTEROS" display="volver"/>
    <hyperlink ref="H58" location="'ITEMS RESUMEN'!CONCRETOS_Y_MORTEROS" display="volver"/>
    <hyperlink ref="H111" location="'ITEMS RESUMEN'!CONCRETOS_Y_MORTEROS" display="volver"/>
    <hyperlink ref="H164" location="'ITEMS RESUMEN'!CONCRETOS_Y_MORTEROS" display="volver"/>
    <hyperlink ref="H217" location="'ITEMS RESUMEN'!CONCRETOS_Y_MORTEROS" display="volver"/>
    <hyperlink ref="H270" location="'ITEMS RESUMEN'!CONCRETOS_Y_MORTEROS" display="volver"/>
    <hyperlink ref="H323" location="'ITEMS RESUMEN'!CONCRETOS_Y_MORTEROS" display="volver"/>
    <hyperlink ref="H376" location="'ITEMS RESUMEN'!CONCRETOS_Y_MORTEROS" display="volver"/>
    <hyperlink ref="H429" location="'ITEMS RESUMEN'!CONCRETOS_Y_MORTEROS" display="volver"/>
    <hyperlink ref="H482" location="'ITEMS RESUMEN'!CONCRETOS_Y_MORTEROS" display="volver"/>
    <hyperlink ref="H535" location="'ITEMS RESUMEN'!CONCRETOS_Y_MORTEROS" display="volver"/>
    <hyperlink ref="H588" location="'ITEMS RESUMEN'!CONCRETOS_Y_MORTEROS" display="volver"/>
    <hyperlink ref="H641" location="'ITEMS RESUMEN'!CONCRETOS_Y_MORTEROS" display="volver"/>
    <hyperlink ref="H694" location="'ITEMS RESUMEN'!CONCRETOS_Y_MORTEROS" display="volver"/>
    <hyperlink ref="H28" location="'ITEMS RESUMEN'!CONCRETOS_Y_MORTEROS" display="volver"/>
    <hyperlink ref="H82" location="'ITEMS RESUMEN'!CONCRETOS_Y_MORTEROS" display="volver"/>
    <hyperlink ref="H134" location="'ITEMS RESUMEN'!CONCRETOS_Y_MORTEROS" display="volver"/>
    <hyperlink ref="H187" location="'ITEMS RESUMEN'!CONCRETOS_Y_MORTEROS" display="volver"/>
    <hyperlink ref="H241" location="'ITEMS RESUMEN'!CONCRETOS_Y_MORTEROS" display="volver"/>
    <hyperlink ref="H293" location="'ITEMS RESUMEN'!CONCRETOS_Y_MORTEROS" display="volver"/>
    <hyperlink ref="H349" location="'ITEMS RESUMEN'!CONCRETOS_Y_MORTEROS" display="volver"/>
    <hyperlink ref="H402" location="'ITEMS RESUMEN'!CONCRETOS_Y_MORTEROS" display="volver"/>
    <hyperlink ref="H455" location="'ITEMS RESUMEN'!CONCRETOS_Y_MORTEROS" display="volver"/>
    <hyperlink ref="H495" location="'ITEMS RESUMEN'!CONCRETOS_Y_MORTEROS" display="volver"/>
    <hyperlink ref="H561" location="'ITEMS RESUMEN'!CONCRETOS_Y_MORTEROS" display="volver"/>
    <hyperlink ref="H616" location="'ITEMS RESUMEN'!CONCRETOS_Y_MORTEROS" display="volver"/>
    <hyperlink ref="H668" location="'ITEMS RESUMEN'!CONCRETOS_Y_MORTEROS" display="volver"/>
  </hyperlinks>
  <pageMargins left="0.98425196850393704" right="0.78740157480314965" top="0.59055118110236227" bottom="0.39370078740157483" header="0" footer="0.19685039370078741"/>
  <pageSetup scale="90" orientation="portrait" r:id="rId1"/>
  <headerFooter alignWithMargins="0">
    <oddFooter>&amp;RPag.: &amp;P de &amp;N</oddFooter>
  </headerFooter>
  <rowBreaks count="12" manualBreakCount="12">
    <brk id="58" min="1" max="6" man="1"/>
    <brk id="111" min="1" max="6" man="1"/>
    <brk id="164" min="1" max="6" man="1"/>
    <brk id="217" min="1" max="6" man="1"/>
    <brk id="270" min="1" max="6" man="1"/>
    <brk id="323" min="1" max="6" man="1"/>
    <brk id="376" min="1" max="6" man="1"/>
    <brk id="429" min="1" max="6" man="1"/>
    <brk id="482" min="1" max="6" man="1"/>
    <brk id="535" min="1" max="6" man="1"/>
    <brk id="588" min="1" max="6" man="1"/>
    <brk id="641" min="1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7">
    <tabColor indexed="17"/>
  </sheetPr>
  <dimension ref="A1:Q2171"/>
  <sheetViews>
    <sheetView topLeftCell="A736" zoomScaleNormal="100" zoomScaleSheetLayoutView="100" workbookViewId="0">
      <selection activeCell="H744" sqref="H744"/>
    </sheetView>
  </sheetViews>
  <sheetFormatPr baseColWidth="10" defaultRowHeight="12.75"/>
  <cols>
    <col min="1" max="1" width="12.28515625" style="95" bestFit="1" customWidth="1"/>
    <col min="2" max="2" width="23.7109375" style="231" bestFit="1" customWidth="1"/>
    <col min="3" max="3" width="25.7109375" customWidth="1"/>
    <col min="4" max="4" width="12.7109375" customWidth="1"/>
    <col min="5" max="5" width="13.7109375" customWidth="1"/>
    <col min="6" max="6" width="14.7109375" customWidth="1"/>
    <col min="7" max="8" width="16.7109375" customWidth="1"/>
    <col min="9" max="9" width="6.140625" customWidth="1"/>
  </cols>
  <sheetData>
    <row r="1" spans="1:16" ht="20.25" customHeight="1" thickTop="1">
      <c r="B1" s="225"/>
      <c r="C1" s="848" t="s">
        <v>1054</v>
      </c>
      <c r="D1" s="848"/>
      <c r="E1" s="848"/>
      <c r="F1" s="848"/>
      <c r="G1" s="849"/>
    </row>
    <row r="2" spans="1:16" ht="18.75">
      <c r="B2" s="226"/>
      <c r="C2" s="780" t="s">
        <v>1381</v>
      </c>
      <c r="D2" s="780"/>
      <c r="E2" s="780"/>
      <c r="F2" s="780"/>
      <c r="G2" s="850"/>
    </row>
    <row r="3" spans="1:16" ht="9" customHeight="1">
      <c r="B3" s="226"/>
      <c r="C3" s="781"/>
      <c r="D3" s="781"/>
      <c r="E3" s="781"/>
      <c r="F3" s="781"/>
      <c r="G3" s="851"/>
    </row>
    <row r="4" spans="1:16" ht="15.75">
      <c r="B4" s="881" t="s">
        <v>780</v>
      </c>
      <c r="C4" s="852"/>
      <c r="D4" s="852"/>
      <c r="E4" s="852"/>
      <c r="F4" s="852"/>
      <c r="G4" s="853"/>
    </row>
    <row r="5" spans="1:16" ht="15.75" thickBot="1">
      <c r="B5" s="227"/>
      <c r="C5" s="856"/>
      <c r="D5" s="856"/>
      <c r="E5" s="856"/>
      <c r="F5" s="856"/>
      <c r="G5" s="857"/>
    </row>
    <row r="6" spans="1:16" ht="15" thickTop="1">
      <c r="B6" s="225" t="s">
        <v>303</v>
      </c>
      <c r="C6" s="843"/>
      <c r="D6" s="843"/>
      <c r="E6" s="843"/>
      <c r="F6" s="92" t="s">
        <v>781</v>
      </c>
      <c r="G6" s="93" t="s">
        <v>1067</v>
      </c>
      <c r="H6" s="506" t="s">
        <v>1670</v>
      </c>
    </row>
    <row r="7" spans="1:16">
      <c r="B7" s="226" t="s">
        <v>834</v>
      </c>
      <c r="C7" s="844" t="s">
        <v>343</v>
      </c>
      <c r="D7" s="844"/>
      <c r="E7" s="844"/>
      <c r="F7" s="15" t="s">
        <v>833</v>
      </c>
      <c r="G7" s="165" t="str">
        <f>'MANO DE OBRA'!D61</f>
        <v>Agosto de 2010</v>
      </c>
      <c r="J7" s="380"/>
      <c r="K7" s="380"/>
      <c r="L7" s="380"/>
      <c r="M7" s="380"/>
      <c r="N7" s="380"/>
      <c r="O7" s="380"/>
      <c r="P7" s="380"/>
    </row>
    <row r="8" spans="1:16" ht="13.5" thickBot="1">
      <c r="A8" s="127"/>
      <c r="B8" s="228" t="s">
        <v>835</v>
      </c>
      <c r="C8" s="845" t="s">
        <v>1255</v>
      </c>
      <c r="D8" s="845"/>
      <c r="E8" s="845"/>
      <c r="F8" s="845"/>
      <c r="G8" s="846"/>
      <c r="J8" s="377"/>
      <c r="K8" s="377"/>
      <c r="L8" s="377"/>
      <c r="M8" s="377"/>
      <c r="N8" s="377"/>
      <c r="O8" s="380"/>
      <c r="P8" s="380"/>
    </row>
    <row r="9" spans="1:16" ht="14.25" thickTop="1" thickBot="1">
      <c r="B9" s="847"/>
      <c r="C9" s="847"/>
      <c r="D9" s="847"/>
      <c r="E9" s="847"/>
      <c r="F9" s="847"/>
      <c r="G9" s="847"/>
      <c r="J9" s="377"/>
      <c r="K9" s="377"/>
      <c r="L9" s="377"/>
      <c r="M9" s="377"/>
      <c r="N9" s="377"/>
      <c r="O9" s="380"/>
      <c r="P9" s="380"/>
    </row>
    <row r="10" spans="1:16" ht="13.5" thickTop="1">
      <c r="B10" s="811" t="s">
        <v>304</v>
      </c>
      <c r="C10" s="812"/>
      <c r="D10" s="812"/>
      <c r="E10" s="812"/>
      <c r="F10" s="812"/>
      <c r="G10" s="825"/>
      <c r="J10" s="377"/>
      <c r="K10" s="377"/>
      <c r="L10" s="377"/>
      <c r="M10" s="377"/>
      <c r="N10" s="377"/>
      <c r="O10" s="380"/>
      <c r="P10" s="380"/>
    </row>
    <row r="11" spans="1:16">
      <c r="B11" s="229"/>
      <c r="C11" s="97"/>
      <c r="D11" s="98" t="s">
        <v>301</v>
      </c>
      <c r="E11" s="98" t="s">
        <v>1072</v>
      </c>
      <c r="F11" s="99" t="s">
        <v>839</v>
      </c>
      <c r="G11" s="107" t="s">
        <v>840</v>
      </c>
      <c r="J11" s="377"/>
      <c r="K11" s="377"/>
      <c r="L11" s="377"/>
      <c r="M11" s="377"/>
      <c r="N11" s="377"/>
      <c r="O11" s="380"/>
      <c r="P11" s="380"/>
    </row>
    <row r="12" spans="1:16">
      <c r="B12" s="821" t="s">
        <v>838</v>
      </c>
      <c r="C12" s="822"/>
      <c r="D12" s="100" t="s">
        <v>308</v>
      </c>
      <c r="E12" s="100" t="s">
        <v>305</v>
      </c>
      <c r="F12" s="101" t="s">
        <v>306</v>
      </c>
      <c r="G12" s="108" t="s">
        <v>310</v>
      </c>
      <c r="J12" s="377"/>
      <c r="K12" s="377"/>
      <c r="L12" s="377"/>
      <c r="M12" s="377"/>
      <c r="N12" s="377"/>
      <c r="O12" s="380"/>
      <c r="P12" s="380"/>
    </row>
    <row r="13" spans="1:16">
      <c r="B13" s="230"/>
      <c r="C13" s="102"/>
      <c r="D13" s="103"/>
      <c r="E13" s="103" t="s">
        <v>309</v>
      </c>
      <c r="F13" s="104" t="s">
        <v>307</v>
      </c>
      <c r="G13" s="109"/>
      <c r="J13" s="377"/>
      <c r="K13" s="377"/>
      <c r="L13" s="377"/>
      <c r="M13" s="377"/>
      <c r="N13" s="377"/>
      <c r="O13" s="380"/>
      <c r="P13" s="380"/>
    </row>
    <row r="14" spans="1:16">
      <c r="A14" s="127"/>
      <c r="B14" s="823" t="str">
        <f>'MAQUINARIA Y EQUIPOS'!C28</f>
        <v>HERRAMIENTAS MENORES</v>
      </c>
      <c r="C14" s="824"/>
      <c r="D14" s="87">
        <v>1</v>
      </c>
      <c r="E14" s="82">
        <f>ROUND(G47*0.05,0)</f>
        <v>175</v>
      </c>
      <c r="F14" s="81">
        <v>1</v>
      </c>
      <c r="G14" s="110">
        <f>ROUND(D14*E14/F14,0)</f>
        <v>175</v>
      </c>
      <c r="J14" s="377"/>
      <c r="K14" s="377"/>
      <c r="L14" s="377"/>
      <c r="M14" s="377"/>
      <c r="N14" s="377"/>
      <c r="O14" s="380"/>
      <c r="P14" s="380"/>
    </row>
    <row r="15" spans="1:16">
      <c r="B15" s="835" t="str">
        <f>'MAQUINARIA Y EQUIPOS'!C24</f>
        <v>EQUIPO TOPOGRAFIA</v>
      </c>
      <c r="C15" s="836"/>
      <c r="D15" s="37">
        <v>1</v>
      </c>
      <c r="E15" s="129">
        <f>'MAQUINARIA Y EQUIPOS'!D24</f>
        <v>52200</v>
      </c>
      <c r="F15" s="83">
        <f>F42</f>
        <v>57.14</v>
      </c>
      <c r="G15" s="111">
        <f>ROUND(D15*E15/F15,0)</f>
        <v>914</v>
      </c>
      <c r="J15" s="377"/>
      <c r="K15" s="377"/>
      <c r="L15" s="377"/>
      <c r="M15" s="377"/>
      <c r="N15" s="377"/>
      <c r="O15" s="380"/>
      <c r="P15" s="380"/>
    </row>
    <row r="16" spans="1:16">
      <c r="B16" s="835"/>
      <c r="C16" s="836"/>
      <c r="D16" s="89"/>
      <c r="E16" s="82"/>
      <c r="F16" s="83"/>
      <c r="G16" s="111"/>
      <c r="J16" s="377"/>
      <c r="K16" s="377"/>
      <c r="L16" s="377"/>
      <c r="M16" s="377"/>
      <c r="N16" s="377"/>
      <c r="O16" s="380"/>
      <c r="P16" s="380"/>
    </row>
    <row r="17" spans="1:16">
      <c r="B17" s="835"/>
      <c r="C17" s="836"/>
      <c r="D17" s="89"/>
      <c r="E17" s="82"/>
      <c r="F17" s="83"/>
      <c r="G17" s="111"/>
      <c r="J17" s="377"/>
      <c r="K17" s="377"/>
      <c r="L17" s="377"/>
      <c r="M17" s="377"/>
      <c r="N17" s="377"/>
      <c r="O17" s="380"/>
      <c r="P17" s="380"/>
    </row>
    <row r="18" spans="1:16">
      <c r="B18" s="835" t="s">
        <v>841</v>
      </c>
      <c r="C18" s="836"/>
      <c r="D18" s="37"/>
      <c r="E18" s="82"/>
      <c r="F18" s="83"/>
      <c r="G18" s="111"/>
      <c r="J18" s="377"/>
      <c r="K18" s="377"/>
      <c r="L18" s="377"/>
      <c r="M18" s="377"/>
      <c r="N18" s="377"/>
      <c r="O18" s="380"/>
      <c r="P18" s="380"/>
    </row>
    <row r="19" spans="1:16" ht="13.5" thickBot="1">
      <c r="B19" s="839" t="s">
        <v>841</v>
      </c>
      <c r="C19" s="840"/>
      <c r="D19" s="77"/>
      <c r="E19" s="106"/>
      <c r="F19" s="86"/>
      <c r="G19" s="112"/>
      <c r="J19" s="377"/>
      <c r="K19" s="377"/>
      <c r="L19" s="377"/>
      <c r="M19" s="377"/>
      <c r="N19" s="377"/>
      <c r="O19" s="380"/>
      <c r="P19" s="380"/>
    </row>
    <row r="20" spans="1:16" ht="14.25" thickTop="1" thickBot="1">
      <c r="B20" s="808"/>
      <c r="C20" s="808"/>
      <c r="D20" s="808"/>
      <c r="E20" s="809"/>
      <c r="F20" s="119" t="s">
        <v>856</v>
      </c>
      <c r="G20" s="118">
        <f>SUM(G14:G19)</f>
        <v>1089</v>
      </c>
      <c r="J20" s="377"/>
      <c r="K20" s="377"/>
      <c r="L20" s="377"/>
      <c r="M20" s="377"/>
      <c r="N20" s="377"/>
      <c r="O20" s="380"/>
      <c r="P20" s="380"/>
    </row>
    <row r="21" spans="1:16" ht="14.25" thickTop="1" thickBot="1">
      <c r="B21" s="830"/>
      <c r="C21" s="830"/>
      <c r="D21" s="830"/>
      <c r="E21" s="830"/>
      <c r="F21" s="830"/>
      <c r="G21" s="830"/>
      <c r="J21" s="377"/>
      <c r="K21" s="377"/>
      <c r="L21" s="377"/>
      <c r="M21" s="377"/>
      <c r="N21" s="377"/>
      <c r="O21" s="380"/>
      <c r="P21" s="380"/>
    </row>
    <row r="22" spans="1:16" ht="13.5" thickTop="1">
      <c r="B22" s="811" t="s">
        <v>311</v>
      </c>
      <c r="C22" s="812"/>
      <c r="D22" s="812"/>
      <c r="E22" s="812"/>
      <c r="F22" s="812"/>
      <c r="G22" s="825"/>
      <c r="J22" s="377"/>
      <c r="K22" s="377"/>
      <c r="L22" s="377"/>
      <c r="M22" s="377"/>
      <c r="N22" s="377"/>
      <c r="O22" s="380"/>
      <c r="P22" s="380"/>
    </row>
    <row r="23" spans="1:16">
      <c r="B23" s="817" t="s">
        <v>838</v>
      </c>
      <c r="C23" s="818"/>
      <c r="D23" s="98" t="s">
        <v>842</v>
      </c>
      <c r="E23" s="98" t="s">
        <v>853</v>
      </c>
      <c r="F23" s="99" t="s">
        <v>1047</v>
      </c>
      <c r="G23" s="107" t="s">
        <v>840</v>
      </c>
      <c r="J23" s="377"/>
      <c r="K23" s="377"/>
      <c r="L23" s="377"/>
      <c r="M23" s="377"/>
      <c r="N23" s="377"/>
      <c r="O23" s="380"/>
      <c r="P23" s="380"/>
    </row>
    <row r="24" spans="1:16">
      <c r="B24" s="230"/>
      <c r="C24" s="102"/>
      <c r="D24" s="100"/>
      <c r="E24" s="100" t="s">
        <v>312</v>
      </c>
      <c r="F24" s="101" t="s">
        <v>313</v>
      </c>
      <c r="G24" s="108" t="s">
        <v>314</v>
      </c>
      <c r="J24" s="377"/>
      <c r="K24" s="377"/>
      <c r="L24" s="377"/>
      <c r="M24" s="377"/>
      <c r="N24" s="377"/>
      <c r="O24" s="380"/>
      <c r="P24" s="380"/>
    </row>
    <row r="25" spans="1:16">
      <c r="A25" s="125"/>
      <c r="B25" s="232" t="str">
        <f>MATERIALES2!C911</f>
        <v>ESTACAS 2"x2"x0.50 M</v>
      </c>
      <c r="C25" s="126"/>
      <c r="D25" s="87" t="str">
        <f>MATERIALES2!D911</f>
        <v>UND</v>
      </c>
      <c r="E25" s="10">
        <v>2</v>
      </c>
      <c r="F25" s="80">
        <f>MATERIALES2!E911</f>
        <v>319</v>
      </c>
      <c r="G25" s="110">
        <f>ROUND(E25*F25,0)</f>
        <v>638</v>
      </c>
      <c r="J25" s="377"/>
      <c r="K25" s="377"/>
      <c r="L25" s="377"/>
      <c r="M25" s="377"/>
      <c r="N25" s="377"/>
      <c r="O25" s="380"/>
      <c r="P25" s="380"/>
    </row>
    <row r="26" spans="1:16">
      <c r="A26" s="123"/>
      <c r="B26" s="233" t="str">
        <f>MATERIALES2!C918</f>
        <v>PUNTILLAS DE 2"</v>
      </c>
      <c r="C26" s="124"/>
      <c r="D26" s="88" t="str">
        <f>MATERIALES2!D918</f>
        <v>LB</v>
      </c>
      <c r="E26" s="53">
        <v>0.02</v>
      </c>
      <c r="F26" s="82">
        <f>MATERIALES2!E918</f>
        <v>1500</v>
      </c>
      <c r="G26" s="111">
        <f>ROUND(E26*F26,0)</f>
        <v>30</v>
      </c>
      <c r="J26" s="377"/>
      <c r="K26" s="377"/>
      <c r="L26" s="377"/>
      <c r="M26" s="377"/>
      <c r="N26" s="377"/>
      <c r="O26" s="380"/>
      <c r="P26" s="380"/>
    </row>
    <row r="27" spans="1:16">
      <c r="B27" s="835"/>
      <c r="C27" s="836"/>
      <c r="D27" s="37"/>
      <c r="E27" s="55"/>
      <c r="F27" s="82"/>
      <c r="G27" s="111"/>
      <c r="J27" s="377"/>
      <c r="K27" s="377"/>
      <c r="L27" s="377"/>
      <c r="M27" s="377"/>
      <c r="N27" s="377"/>
      <c r="O27" s="380"/>
      <c r="P27" s="380"/>
    </row>
    <row r="28" spans="1:16">
      <c r="B28" s="835"/>
      <c r="C28" s="836"/>
      <c r="D28" s="37"/>
      <c r="E28" s="55"/>
      <c r="F28" s="82"/>
      <c r="G28" s="111"/>
      <c r="J28" s="377"/>
      <c r="K28" s="377"/>
      <c r="L28" s="377"/>
      <c r="M28" s="377"/>
      <c r="N28" s="377"/>
      <c r="O28" s="380"/>
      <c r="P28" s="380"/>
    </row>
    <row r="29" spans="1:16">
      <c r="B29" s="837"/>
      <c r="C29" s="838"/>
      <c r="D29" s="37"/>
      <c r="E29" s="55"/>
      <c r="F29" s="82"/>
      <c r="G29" s="111"/>
      <c r="H29" s="506" t="s">
        <v>1670</v>
      </c>
      <c r="J29" s="377"/>
      <c r="K29" s="377"/>
      <c r="L29" s="377"/>
      <c r="M29" s="377"/>
      <c r="N29" s="377"/>
      <c r="O29" s="380"/>
      <c r="P29" s="380"/>
    </row>
    <row r="30" spans="1:16">
      <c r="B30" s="837"/>
      <c r="C30" s="838"/>
      <c r="D30" s="53" t="s">
        <v>841</v>
      </c>
      <c r="E30" s="53"/>
      <c r="F30" s="82"/>
      <c r="G30" s="111"/>
      <c r="J30" s="377"/>
      <c r="K30" s="377"/>
      <c r="L30" s="377"/>
      <c r="M30" s="377"/>
      <c r="N30" s="377"/>
      <c r="O30" s="380"/>
      <c r="P30" s="380"/>
    </row>
    <row r="31" spans="1:16">
      <c r="B31" s="837" t="s">
        <v>841</v>
      </c>
      <c r="C31" s="838"/>
      <c r="D31" s="53" t="s">
        <v>841</v>
      </c>
      <c r="E31" s="53"/>
      <c r="F31" s="82"/>
      <c r="G31" s="111"/>
      <c r="J31" s="377"/>
      <c r="K31" s="377"/>
      <c r="L31" s="377"/>
      <c r="M31" s="377"/>
      <c r="N31" s="377"/>
      <c r="O31" s="380"/>
      <c r="P31" s="380"/>
    </row>
    <row r="32" spans="1:16">
      <c r="B32" s="837" t="s">
        <v>841</v>
      </c>
      <c r="C32" s="838"/>
      <c r="D32" s="53" t="s">
        <v>841</v>
      </c>
      <c r="E32" s="53"/>
      <c r="F32" s="82"/>
      <c r="G32" s="111"/>
      <c r="J32" s="377"/>
      <c r="K32" s="377"/>
      <c r="L32" s="377"/>
      <c r="M32" s="377"/>
      <c r="N32" s="377"/>
      <c r="O32" s="380"/>
      <c r="P32" s="380"/>
    </row>
    <row r="33" spans="2:17" ht="13.5" thickBot="1">
      <c r="B33" s="839" t="s">
        <v>841</v>
      </c>
      <c r="C33" s="840"/>
      <c r="D33" s="84" t="s">
        <v>841</v>
      </c>
      <c r="E33" s="84"/>
      <c r="F33" s="85"/>
      <c r="G33" s="112"/>
      <c r="J33" s="377"/>
      <c r="K33" s="377"/>
      <c r="L33" s="377"/>
      <c r="M33" s="377"/>
      <c r="N33" s="377"/>
      <c r="O33" s="380"/>
      <c r="P33" s="380"/>
    </row>
    <row r="34" spans="2:17" ht="13.5" thickTop="1">
      <c r="B34" s="808"/>
      <c r="C34" s="809"/>
      <c r="D34" s="801" t="s">
        <v>856</v>
      </c>
      <c r="E34" s="802"/>
      <c r="F34" s="9"/>
      <c r="G34" s="113">
        <f>SUM(G25:G33)</f>
        <v>668</v>
      </c>
      <c r="J34" s="377"/>
      <c r="K34" s="377"/>
      <c r="L34" s="377"/>
      <c r="M34" s="377"/>
      <c r="N34" s="377"/>
      <c r="O34" s="380"/>
      <c r="P34" s="380"/>
    </row>
    <row r="35" spans="2:17">
      <c r="B35" s="819"/>
      <c r="C35" s="820"/>
      <c r="D35" s="801" t="s">
        <v>857</v>
      </c>
      <c r="E35" s="802"/>
      <c r="F35" s="79">
        <f>'MANO DE OBRA'!D60</f>
        <v>0.05</v>
      </c>
      <c r="G35" s="113">
        <f>ROUND(G34*F35,0)</f>
        <v>33</v>
      </c>
      <c r="J35" s="377"/>
      <c r="K35" s="377"/>
      <c r="L35" s="377"/>
      <c r="M35" s="377"/>
      <c r="N35" s="377"/>
      <c r="O35" s="380"/>
      <c r="P35" s="380"/>
    </row>
    <row r="36" spans="2:17" ht="13.5" thickBot="1">
      <c r="B36" s="819"/>
      <c r="C36" s="820"/>
      <c r="D36" s="803" t="s">
        <v>320</v>
      </c>
      <c r="E36" s="804"/>
      <c r="F36" s="114"/>
      <c r="G36" s="118">
        <f>+G34+G35</f>
        <v>701</v>
      </c>
      <c r="J36" s="377"/>
      <c r="K36" s="377"/>
      <c r="L36" s="377"/>
      <c r="M36" s="377"/>
      <c r="N36" s="377"/>
      <c r="O36" s="380"/>
      <c r="P36" s="380"/>
    </row>
    <row r="37" spans="2:17" ht="14.25" thickTop="1" thickBot="1">
      <c r="B37" s="830"/>
      <c r="C37" s="830"/>
      <c r="D37" s="830"/>
      <c r="E37" s="830"/>
      <c r="F37" s="830"/>
      <c r="G37" s="830"/>
      <c r="J37" s="377"/>
      <c r="K37" s="377"/>
      <c r="L37" s="377"/>
      <c r="M37" s="377"/>
      <c r="N37" s="377"/>
      <c r="O37" s="380"/>
      <c r="P37" s="380"/>
    </row>
    <row r="38" spans="2:17" ht="13.5" thickTop="1">
      <c r="B38" s="811" t="s">
        <v>858</v>
      </c>
      <c r="C38" s="812"/>
      <c r="D38" s="812"/>
      <c r="E38" s="812"/>
      <c r="F38" s="812"/>
      <c r="G38" s="825"/>
      <c r="J38" s="377"/>
      <c r="K38" s="377"/>
      <c r="L38" s="377"/>
      <c r="M38" s="377"/>
      <c r="N38" s="377"/>
      <c r="O38" s="380"/>
      <c r="P38" s="380"/>
    </row>
    <row r="39" spans="2:17">
      <c r="B39" s="817"/>
      <c r="C39" s="818"/>
      <c r="D39" s="98" t="s">
        <v>301</v>
      </c>
      <c r="E39" s="98" t="s">
        <v>859</v>
      </c>
      <c r="F39" s="99" t="s">
        <v>839</v>
      </c>
      <c r="G39" s="107" t="s">
        <v>840</v>
      </c>
      <c r="J39" s="377"/>
      <c r="K39" s="377"/>
      <c r="L39" s="377"/>
      <c r="M39" s="377"/>
      <c r="N39" s="377"/>
      <c r="O39" s="380"/>
      <c r="P39" s="380"/>
    </row>
    <row r="40" spans="2:17">
      <c r="B40" s="821" t="s">
        <v>838</v>
      </c>
      <c r="C40" s="822"/>
      <c r="D40" s="100" t="s">
        <v>316</v>
      </c>
      <c r="E40" s="100" t="s">
        <v>315</v>
      </c>
      <c r="F40" s="101" t="s">
        <v>306</v>
      </c>
      <c r="G40" s="108" t="s">
        <v>319</v>
      </c>
      <c r="J40" s="377"/>
      <c r="K40" s="377"/>
      <c r="L40" s="377"/>
      <c r="M40" s="377"/>
      <c r="N40" s="377"/>
      <c r="O40" s="380"/>
      <c r="P40" s="380"/>
    </row>
    <row r="41" spans="2:17">
      <c r="B41" s="230"/>
      <c r="C41" s="102"/>
      <c r="D41" s="103"/>
      <c r="E41" s="103" t="s">
        <v>317</v>
      </c>
      <c r="F41" s="104" t="s">
        <v>318</v>
      </c>
      <c r="G41" s="109"/>
      <c r="J41" s="377"/>
      <c r="K41" s="377"/>
      <c r="L41" s="377"/>
      <c r="M41" s="377"/>
      <c r="N41" s="377"/>
      <c r="O41" s="380"/>
      <c r="P41" s="380"/>
    </row>
    <row r="42" spans="2:17">
      <c r="B42" s="823" t="str">
        <f>'MANO DE OBRA'!B22</f>
        <v>TOPOGRAFO</v>
      </c>
      <c r="C42" s="824"/>
      <c r="D42" s="87">
        <v>1</v>
      </c>
      <c r="E42" s="80">
        <f>'MANO DE OBRA'!E22</f>
        <v>103732</v>
      </c>
      <c r="F42" s="81">
        <v>57.14</v>
      </c>
      <c r="G42" s="110">
        <f>ROUND(D42*E42/F42,0)</f>
        <v>1815</v>
      </c>
      <c r="J42" s="377"/>
      <c r="K42" s="377"/>
      <c r="L42" s="377"/>
      <c r="M42" s="377"/>
      <c r="N42" s="377"/>
      <c r="O42" s="380"/>
      <c r="P42" s="380"/>
    </row>
    <row r="43" spans="2:17">
      <c r="B43" s="835" t="str">
        <f>'MANO DE OBRA'!B23</f>
        <v>CADENERO</v>
      </c>
      <c r="C43" s="836"/>
      <c r="D43" s="37">
        <v>1</v>
      </c>
      <c r="E43" s="82">
        <f>'MANO DE OBRA'!E23</f>
        <v>61701</v>
      </c>
      <c r="F43" s="83">
        <v>57.14</v>
      </c>
      <c r="G43" s="111">
        <f>ROUND(D43*E43/F43,0)</f>
        <v>1080</v>
      </c>
      <c r="J43" s="374"/>
      <c r="K43" s="374"/>
      <c r="L43" s="374"/>
      <c r="M43" s="374"/>
      <c r="N43" s="374"/>
      <c r="O43" s="380"/>
      <c r="P43" s="380"/>
    </row>
    <row r="44" spans="2:17" ht="14.25" customHeight="1">
      <c r="B44" s="835" t="str">
        <f>'MANO DE OBRA'!B10</f>
        <v>AYUDANTE CUAD. TIPO AA</v>
      </c>
      <c r="C44" s="836"/>
      <c r="D44" s="37">
        <v>1</v>
      </c>
      <c r="E44" s="82">
        <f>'MANO DE OBRA'!E10</f>
        <v>34680</v>
      </c>
      <c r="F44" s="83">
        <v>57.14</v>
      </c>
      <c r="G44" s="111">
        <f>ROUND(D44*E44/F44,0)</f>
        <v>607</v>
      </c>
      <c r="J44" s="374"/>
      <c r="K44" s="374"/>
      <c r="L44" s="374"/>
      <c r="M44" s="374"/>
      <c r="N44" s="374"/>
      <c r="O44" s="374"/>
      <c r="P44" s="374"/>
      <c r="Q44" s="374"/>
    </row>
    <row r="45" spans="2:17">
      <c r="B45" s="835" t="s">
        <v>841</v>
      </c>
      <c r="C45" s="836"/>
      <c r="D45" s="37"/>
      <c r="E45" s="82"/>
      <c r="F45" s="83"/>
      <c r="G45" s="111"/>
      <c r="J45" s="377"/>
      <c r="K45" s="377"/>
      <c r="L45" s="377"/>
      <c r="M45" s="377"/>
      <c r="N45" s="377"/>
      <c r="O45" s="380"/>
      <c r="P45" s="380"/>
    </row>
    <row r="46" spans="2:17" ht="13.5" thickBot="1">
      <c r="B46" s="828" t="s">
        <v>841</v>
      </c>
      <c r="C46" s="829"/>
      <c r="D46" s="77"/>
      <c r="E46" s="82"/>
      <c r="F46" s="86"/>
      <c r="G46" s="112"/>
      <c r="J46" s="380"/>
      <c r="K46" s="380"/>
      <c r="L46" s="380"/>
      <c r="M46" s="380"/>
      <c r="N46" s="380"/>
      <c r="O46" s="380"/>
      <c r="P46" s="380"/>
    </row>
    <row r="47" spans="2:17" ht="14.25" thickTop="1" thickBot="1">
      <c r="B47" s="808"/>
      <c r="C47" s="808"/>
      <c r="D47" s="808"/>
      <c r="E47" s="809"/>
      <c r="F47" s="120" t="s">
        <v>856</v>
      </c>
      <c r="G47" s="118">
        <f>SUM(G42:G46)</f>
        <v>3502</v>
      </c>
    </row>
    <row r="48" spans="2:17" ht="14.25" thickTop="1" thickBot="1">
      <c r="B48" s="810"/>
      <c r="C48" s="810"/>
      <c r="D48" s="810"/>
      <c r="E48" s="810"/>
      <c r="F48" s="810"/>
      <c r="G48" s="810"/>
    </row>
    <row r="49" spans="1:8" ht="13.5" thickTop="1">
      <c r="B49" s="811" t="s">
        <v>321</v>
      </c>
      <c r="C49" s="812"/>
      <c r="D49" s="812"/>
      <c r="E49" s="812"/>
      <c r="F49" s="812"/>
      <c r="G49" s="825"/>
    </row>
    <row r="50" spans="1:8">
      <c r="B50" s="817" t="s">
        <v>838</v>
      </c>
      <c r="C50" s="818"/>
      <c r="D50" s="98" t="s">
        <v>301</v>
      </c>
      <c r="E50" s="98" t="s">
        <v>297</v>
      </c>
      <c r="F50" s="99" t="s">
        <v>839</v>
      </c>
      <c r="G50" s="107" t="s">
        <v>840</v>
      </c>
    </row>
    <row r="51" spans="1:8">
      <c r="B51" s="230"/>
      <c r="C51" s="102"/>
      <c r="D51" s="103" t="s">
        <v>322</v>
      </c>
      <c r="E51" s="103" t="s">
        <v>323</v>
      </c>
      <c r="F51" s="104" t="s">
        <v>324</v>
      </c>
      <c r="G51" s="109" t="s">
        <v>325</v>
      </c>
    </row>
    <row r="52" spans="1:8">
      <c r="B52" s="826"/>
      <c r="C52" s="827"/>
      <c r="D52" s="96"/>
      <c r="E52" s="96"/>
      <c r="F52" s="96"/>
      <c r="G52" s="116"/>
    </row>
    <row r="53" spans="1:8" ht="13.5" thickBot="1">
      <c r="B53" s="828" t="s">
        <v>841</v>
      </c>
      <c r="C53" s="829"/>
      <c r="D53" s="77"/>
      <c r="E53" s="82"/>
      <c r="F53" s="86"/>
      <c r="G53" s="112"/>
    </row>
    <row r="54" spans="1:8" ht="14.25" thickTop="1" thickBot="1">
      <c r="B54" s="808"/>
      <c r="C54" s="808"/>
      <c r="D54" s="808"/>
      <c r="E54" s="809"/>
      <c r="F54" s="120" t="s">
        <v>856</v>
      </c>
      <c r="G54" s="118">
        <f>SUM(G49:G53)</f>
        <v>0</v>
      </c>
    </row>
    <row r="55" spans="1:8" ht="14.25" thickTop="1" thickBot="1">
      <c r="B55" s="810"/>
      <c r="C55" s="810"/>
      <c r="D55" s="810"/>
      <c r="E55" s="810"/>
      <c r="F55" s="810"/>
      <c r="G55" s="834"/>
    </row>
    <row r="56" spans="1:8" ht="13.5" thickTop="1">
      <c r="B56" s="811" t="s">
        <v>326</v>
      </c>
      <c r="C56" s="812"/>
      <c r="D56" s="812"/>
      <c r="E56" s="812"/>
      <c r="F56" s="813"/>
      <c r="G56" s="121">
        <f>+G20+G36+G47</f>
        <v>5292</v>
      </c>
    </row>
    <row r="57" spans="1:8">
      <c r="B57" s="814" t="s">
        <v>861</v>
      </c>
      <c r="C57" s="815"/>
      <c r="D57" s="815"/>
      <c r="E57" s="816"/>
      <c r="F57" s="128">
        <f>'MANO DE OBRA'!D59</f>
        <v>0</v>
      </c>
      <c r="G57" s="122">
        <f>ROUND(G56*F57,0)</f>
        <v>0</v>
      </c>
    </row>
    <row r="58" spans="1:8" ht="13.5" thickBot="1">
      <c r="B58" s="805" t="s">
        <v>1049</v>
      </c>
      <c r="C58" s="806"/>
      <c r="D58" s="806"/>
      <c r="E58" s="806"/>
      <c r="F58" s="807"/>
      <c r="G58" s="118">
        <f>ROUND(G56+G57,-2)</f>
        <v>5300</v>
      </c>
      <c r="H58" s="506" t="s">
        <v>1670</v>
      </c>
    </row>
    <row r="59" spans="1:8" ht="15" thickTop="1">
      <c r="B59" s="225" t="s">
        <v>303</v>
      </c>
      <c r="C59" s="843"/>
      <c r="D59" s="843"/>
      <c r="E59" s="843"/>
      <c r="F59" s="92" t="s">
        <v>781</v>
      </c>
      <c r="G59" s="93" t="s">
        <v>1067</v>
      </c>
    </row>
    <row r="60" spans="1:8">
      <c r="B60" s="226" t="s">
        <v>834</v>
      </c>
      <c r="C60" s="844" t="s">
        <v>343</v>
      </c>
      <c r="D60" s="844"/>
      <c r="E60" s="844"/>
      <c r="F60" s="15" t="s">
        <v>833</v>
      </c>
      <c r="G60" s="165" t="str">
        <f>'MANO DE OBRA'!D61</f>
        <v>Agosto de 2010</v>
      </c>
    </row>
    <row r="61" spans="1:8" ht="13.5" thickBot="1">
      <c r="A61" s="127"/>
      <c r="B61" s="228" t="s">
        <v>835</v>
      </c>
      <c r="C61" s="845" t="s">
        <v>129</v>
      </c>
      <c r="D61" s="845"/>
      <c r="E61" s="845"/>
      <c r="F61" s="845"/>
      <c r="G61" s="846"/>
    </row>
    <row r="62" spans="1:8" ht="14.25" thickTop="1" thickBot="1">
      <c r="B62" s="847"/>
      <c r="C62" s="847"/>
      <c r="D62" s="847"/>
      <c r="E62" s="847"/>
      <c r="F62" s="847"/>
      <c r="G62" s="847"/>
    </row>
    <row r="63" spans="1:8" ht="13.5" thickTop="1">
      <c r="B63" s="811" t="s">
        <v>304</v>
      </c>
      <c r="C63" s="812"/>
      <c r="D63" s="812"/>
      <c r="E63" s="812"/>
      <c r="F63" s="812"/>
      <c r="G63" s="825"/>
    </row>
    <row r="64" spans="1:8">
      <c r="B64" s="229"/>
      <c r="C64" s="97"/>
      <c r="D64" s="98" t="s">
        <v>301</v>
      </c>
      <c r="E64" s="98" t="s">
        <v>1072</v>
      </c>
      <c r="F64" s="99" t="s">
        <v>839</v>
      </c>
      <c r="G64" s="107" t="s">
        <v>840</v>
      </c>
    </row>
    <row r="65" spans="1:7">
      <c r="B65" s="821" t="s">
        <v>838</v>
      </c>
      <c r="C65" s="822"/>
      <c r="D65" s="100" t="s">
        <v>308</v>
      </c>
      <c r="E65" s="100" t="s">
        <v>305</v>
      </c>
      <c r="F65" s="101" t="s">
        <v>306</v>
      </c>
      <c r="G65" s="108" t="s">
        <v>310</v>
      </c>
    </row>
    <row r="66" spans="1:7">
      <c r="B66" s="230"/>
      <c r="C66" s="102"/>
      <c r="D66" s="103"/>
      <c r="E66" s="103" t="s">
        <v>309</v>
      </c>
      <c r="F66" s="104" t="s">
        <v>307</v>
      </c>
      <c r="G66" s="109"/>
    </row>
    <row r="67" spans="1:7">
      <c r="A67" s="127"/>
      <c r="B67" s="823" t="str">
        <f>'MAQUINARIA Y EQUIPOS'!C56</f>
        <v>BULLDOZER D-6 C</v>
      </c>
      <c r="C67" s="824"/>
      <c r="D67" s="87">
        <v>1</v>
      </c>
      <c r="E67" s="82">
        <f>'MAQUINARIA Y EQUIPOS'!D56</f>
        <v>603200</v>
      </c>
      <c r="F67" s="81">
        <v>266.67</v>
      </c>
      <c r="G67" s="110">
        <f>ROUND(D67*E67/F67,0)</f>
        <v>2262</v>
      </c>
    </row>
    <row r="68" spans="1:7">
      <c r="B68" s="835" t="str">
        <f>'MAQUINARIA Y EQUIPOS'!C57</f>
        <v>CARGADOR 950 81J</v>
      </c>
      <c r="C68" s="836"/>
      <c r="D68" s="37">
        <v>1</v>
      </c>
      <c r="E68" s="129">
        <f>'MAQUINARIA Y EQUIPOS'!D57</f>
        <v>649600</v>
      </c>
      <c r="F68" s="83">
        <v>266.67</v>
      </c>
      <c r="G68" s="111">
        <f>ROUND(D68*E68/F68,0)</f>
        <v>2436</v>
      </c>
    </row>
    <row r="69" spans="1:7">
      <c r="B69" s="835" t="str">
        <f>'MAQUINARIA Y EQUIPOS'!C60</f>
        <v>VOLQUETA</v>
      </c>
      <c r="C69" s="836"/>
      <c r="D69" s="37">
        <v>1</v>
      </c>
      <c r="E69" s="129">
        <f>'MAQUINARIA Y EQUIPOS'!D60</f>
        <v>57800</v>
      </c>
      <c r="F69" s="83">
        <v>60</v>
      </c>
      <c r="G69" s="111">
        <f>ROUND(D69*E69/F69,0)</f>
        <v>963</v>
      </c>
    </row>
    <row r="70" spans="1:7">
      <c r="B70" s="835"/>
      <c r="C70" s="836"/>
      <c r="D70" s="89"/>
      <c r="E70" s="82"/>
      <c r="F70" s="83"/>
      <c r="G70" s="111"/>
    </row>
    <row r="71" spans="1:7">
      <c r="B71" s="835" t="s">
        <v>841</v>
      </c>
      <c r="C71" s="836"/>
      <c r="D71" s="37"/>
      <c r="E71" s="82"/>
      <c r="F71" s="83"/>
      <c r="G71" s="111"/>
    </row>
    <row r="72" spans="1:7" ht="13.5" thickBot="1">
      <c r="B72" s="839" t="s">
        <v>841</v>
      </c>
      <c r="C72" s="840"/>
      <c r="D72" s="77"/>
      <c r="E72" s="106"/>
      <c r="F72" s="86"/>
      <c r="G72" s="112"/>
    </row>
    <row r="73" spans="1:7" ht="14.25" thickTop="1" thickBot="1">
      <c r="B73" s="808"/>
      <c r="C73" s="808"/>
      <c r="D73" s="808"/>
      <c r="E73" s="809"/>
      <c r="F73" s="119" t="s">
        <v>856</v>
      </c>
      <c r="G73" s="118">
        <f>SUM(G67:G72)</f>
        <v>5661</v>
      </c>
    </row>
    <row r="74" spans="1:7" ht="14.25" thickTop="1" thickBot="1">
      <c r="B74" s="830"/>
      <c r="C74" s="830"/>
      <c r="D74" s="830"/>
      <c r="E74" s="830"/>
      <c r="F74" s="830"/>
      <c r="G74" s="830"/>
    </row>
    <row r="75" spans="1:7" ht="13.5" thickTop="1">
      <c r="B75" s="811" t="s">
        <v>311</v>
      </c>
      <c r="C75" s="812"/>
      <c r="D75" s="812"/>
      <c r="E75" s="812"/>
      <c r="F75" s="812"/>
      <c r="G75" s="825"/>
    </row>
    <row r="76" spans="1:7">
      <c r="B76" s="817" t="s">
        <v>838</v>
      </c>
      <c r="C76" s="818"/>
      <c r="D76" s="98" t="s">
        <v>842</v>
      </c>
      <c r="E76" s="98" t="s">
        <v>853</v>
      </c>
      <c r="F76" s="99" t="s">
        <v>1047</v>
      </c>
      <c r="G76" s="107" t="s">
        <v>840</v>
      </c>
    </row>
    <row r="77" spans="1:7">
      <c r="B77" s="230"/>
      <c r="C77" s="102"/>
      <c r="D77" s="100"/>
      <c r="E77" s="100" t="s">
        <v>312</v>
      </c>
      <c r="F77" s="101" t="s">
        <v>313</v>
      </c>
      <c r="G77" s="108" t="s">
        <v>314</v>
      </c>
    </row>
    <row r="78" spans="1:7">
      <c r="A78" s="125"/>
      <c r="B78" s="875"/>
      <c r="C78" s="876"/>
      <c r="D78" s="87"/>
      <c r="E78" s="10"/>
      <c r="F78" s="80"/>
      <c r="G78" s="110"/>
    </row>
    <row r="79" spans="1:7">
      <c r="A79" s="123"/>
      <c r="B79" s="877"/>
      <c r="C79" s="878"/>
      <c r="D79" s="88"/>
      <c r="E79" s="53"/>
      <c r="F79" s="82"/>
      <c r="G79" s="111"/>
    </row>
    <row r="80" spans="1:7">
      <c r="B80" s="835"/>
      <c r="C80" s="836"/>
      <c r="D80" s="37"/>
      <c r="E80" s="55"/>
      <c r="F80" s="82"/>
      <c r="G80" s="111"/>
    </row>
    <row r="81" spans="2:8">
      <c r="B81" s="835"/>
      <c r="C81" s="836"/>
      <c r="D81" s="37"/>
      <c r="E81" s="55"/>
      <c r="F81" s="82"/>
      <c r="G81" s="111"/>
    </row>
    <row r="82" spans="2:8">
      <c r="B82" s="837"/>
      <c r="C82" s="838"/>
      <c r="D82" s="37"/>
      <c r="E82" s="55"/>
      <c r="F82" s="82"/>
      <c r="G82" s="111"/>
      <c r="H82" s="506" t="s">
        <v>1670</v>
      </c>
    </row>
    <row r="83" spans="2:8">
      <c r="B83" s="837"/>
      <c r="C83" s="838"/>
      <c r="D83" s="53" t="s">
        <v>841</v>
      </c>
      <c r="E83" s="53"/>
      <c r="F83" s="82"/>
      <c r="G83" s="111"/>
    </row>
    <row r="84" spans="2:8">
      <c r="B84" s="837" t="s">
        <v>841</v>
      </c>
      <c r="C84" s="838"/>
      <c r="D84" s="53" t="s">
        <v>841</v>
      </c>
      <c r="E84" s="53"/>
      <c r="F84" s="82"/>
      <c r="G84" s="111"/>
    </row>
    <row r="85" spans="2:8">
      <c r="B85" s="837" t="s">
        <v>841</v>
      </c>
      <c r="C85" s="838"/>
      <c r="D85" s="53" t="s">
        <v>841</v>
      </c>
      <c r="E85" s="53"/>
      <c r="F85" s="82"/>
      <c r="G85" s="111"/>
    </row>
    <row r="86" spans="2:8" ht="13.5" thickBot="1">
      <c r="B86" s="839" t="s">
        <v>841</v>
      </c>
      <c r="C86" s="840"/>
      <c r="D86" s="84" t="s">
        <v>841</v>
      </c>
      <c r="E86" s="84"/>
      <c r="F86" s="85"/>
      <c r="G86" s="112"/>
    </row>
    <row r="87" spans="2:8" ht="13.5" thickTop="1">
      <c r="B87" s="808"/>
      <c r="C87" s="809"/>
      <c r="D87" s="801" t="s">
        <v>856</v>
      </c>
      <c r="E87" s="802"/>
      <c r="F87" s="9"/>
      <c r="G87" s="113">
        <f>SUM(G78:G86)</f>
        <v>0</v>
      </c>
    </row>
    <row r="88" spans="2:8">
      <c r="B88" s="819"/>
      <c r="C88" s="820"/>
      <c r="D88" s="801" t="s">
        <v>857</v>
      </c>
      <c r="E88" s="802"/>
      <c r="F88" s="79">
        <f>'MANO DE OBRA'!D60</f>
        <v>0.05</v>
      </c>
      <c r="G88" s="113">
        <f>ROUND(G87*F88,0)</f>
        <v>0</v>
      </c>
    </row>
    <row r="89" spans="2:8" ht="13.5" thickBot="1">
      <c r="B89" s="819"/>
      <c r="C89" s="820"/>
      <c r="D89" s="803" t="s">
        <v>320</v>
      </c>
      <c r="E89" s="804"/>
      <c r="F89" s="114"/>
      <c r="G89" s="118">
        <f>+G87+G88</f>
        <v>0</v>
      </c>
    </row>
    <row r="90" spans="2:8" ht="14.25" thickTop="1" thickBot="1">
      <c r="B90" s="830"/>
      <c r="C90" s="830"/>
      <c r="D90" s="830"/>
      <c r="E90" s="830"/>
      <c r="F90" s="830"/>
      <c r="G90" s="830"/>
    </row>
    <row r="91" spans="2:8" ht="13.5" thickTop="1">
      <c r="B91" s="811" t="s">
        <v>858</v>
      </c>
      <c r="C91" s="812"/>
      <c r="D91" s="812"/>
      <c r="E91" s="812"/>
      <c r="F91" s="812"/>
      <c r="G91" s="825"/>
    </row>
    <row r="92" spans="2:8">
      <c r="B92" s="817"/>
      <c r="C92" s="818"/>
      <c r="D92" s="98" t="s">
        <v>301</v>
      </c>
      <c r="E92" s="98" t="s">
        <v>859</v>
      </c>
      <c r="F92" s="99" t="s">
        <v>839</v>
      </c>
      <c r="G92" s="107" t="s">
        <v>840</v>
      </c>
    </row>
    <row r="93" spans="2:8">
      <c r="B93" s="821" t="s">
        <v>838</v>
      </c>
      <c r="C93" s="822"/>
      <c r="D93" s="100" t="s">
        <v>316</v>
      </c>
      <c r="E93" s="100" t="s">
        <v>315</v>
      </c>
      <c r="F93" s="101" t="s">
        <v>306</v>
      </c>
      <c r="G93" s="108" t="s">
        <v>319</v>
      </c>
    </row>
    <row r="94" spans="2:8">
      <c r="B94" s="230"/>
      <c r="C94" s="102"/>
      <c r="D94" s="103"/>
      <c r="E94" s="103" t="s">
        <v>317</v>
      </c>
      <c r="F94" s="104" t="s">
        <v>318</v>
      </c>
      <c r="G94" s="109"/>
    </row>
    <row r="95" spans="2:8">
      <c r="B95" s="823"/>
      <c r="C95" s="824"/>
      <c r="D95" s="87"/>
      <c r="E95" s="80"/>
      <c r="F95" s="81"/>
      <c r="G95" s="110"/>
    </row>
    <row r="96" spans="2:8">
      <c r="B96" s="835"/>
      <c r="C96" s="836"/>
      <c r="D96" s="37"/>
      <c r="E96" s="82"/>
      <c r="F96" s="83"/>
      <c r="G96" s="111"/>
    </row>
    <row r="97" spans="2:8">
      <c r="B97" s="835"/>
      <c r="C97" s="836"/>
      <c r="D97" s="37"/>
      <c r="E97" s="82"/>
      <c r="F97" s="83"/>
      <c r="G97" s="111"/>
    </row>
    <row r="98" spans="2:8">
      <c r="B98" s="835" t="s">
        <v>841</v>
      </c>
      <c r="C98" s="836"/>
      <c r="D98" s="37"/>
      <c r="E98" s="82"/>
      <c r="F98" s="83"/>
      <c r="G98" s="111"/>
    </row>
    <row r="99" spans="2:8" ht="13.5" thickBot="1">
      <c r="B99" s="828" t="s">
        <v>841</v>
      </c>
      <c r="C99" s="829"/>
      <c r="D99" s="77"/>
      <c r="E99" s="82"/>
      <c r="F99" s="86"/>
      <c r="G99" s="112"/>
    </row>
    <row r="100" spans="2:8" ht="14.25" thickTop="1" thickBot="1">
      <c r="B100" s="808"/>
      <c r="C100" s="808"/>
      <c r="D100" s="808"/>
      <c r="E100" s="809"/>
      <c r="F100" s="120" t="s">
        <v>856</v>
      </c>
      <c r="G100" s="118">
        <f>SUM(G95:G99)</f>
        <v>0</v>
      </c>
    </row>
    <row r="101" spans="2:8" ht="14.25" thickTop="1" thickBot="1">
      <c r="B101" s="810"/>
      <c r="C101" s="810"/>
      <c r="D101" s="810"/>
      <c r="E101" s="810"/>
      <c r="F101" s="810"/>
      <c r="G101" s="810"/>
    </row>
    <row r="102" spans="2:8" ht="13.5" thickTop="1">
      <c r="B102" s="811" t="s">
        <v>321</v>
      </c>
      <c r="C102" s="812"/>
      <c r="D102" s="812"/>
      <c r="E102" s="812"/>
      <c r="F102" s="812"/>
      <c r="G102" s="825"/>
    </row>
    <row r="103" spans="2:8">
      <c r="B103" s="817" t="s">
        <v>838</v>
      </c>
      <c r="C103" s="818"/>
      <c r="D103" s="98" t="s">
        <v>301</v>
      </c>
      <c r="E103" s="98" t="s">
        <v>297</v>
      </c>
      <c r="F103" s="99" t="s">
        <v>839</v>
      </c>
      <c r="G103" s="107" t="s">
        <v>840</v>
      </c>
    </row>
    <row r="104" spans="2:8">
      <c r="B104" s="230"/>
      <c r="C104" s="102"/>
      <c r="D104" s="103" t="s">
        <v>322</v>
      </c>
      <c r="E104" s="103" t="s">
        <v>323</v>
      </c>
      <c r="F104" s="104" t="s">
        <v>324</v>
      </c>
      <c r="G104" s="109" t="s">
        <v>325</v>
      </c>
    </row>
    <row r="105" spans="2:8">
      <c r="B105" s="826"/>
      <c r="C105" s="827"/>
      <c r="D105" s="96"/>
      <c r="E105" s="96"/>
      <c r="F105" s="96"/>
      <c r="G105" s="116"/>
    </row>
    <row r="106" spans="2:8" ht="13.5" thickBot="1">
      <c r="B106" s="828" t="s">
        <v>841</v>
      </c>
      <c r="C106" s="829"/>
      <c r="D106" s="77"/>
      <c r="E106" s="82"/>
      <c r="F106" s="86"/>
      <c r="G106" s="112"/>
    </row>
    <row r="107" spans="2:8" ht="14.25" thickTop="1" thickBot="1">
      <c r="B107" s="808"/>
      <c r="C107" s="808"/>
      <c r="D107" s="808"/>
      <c r="E107" s="809"/>
      <c r="F107" s="120" t="s">
        <v>856</v>
      </c>
      <c r="G107" s="118">
        <f>SUM(G102:G106)</f>
        <v>0</v>
      </c>
    </row>
    <row r="108" spans="2:8" ht="14.25" thickTop="1" thickBot="1">
      <c r="B108" s="810"/>
      <c r="C108" s="810"/>
      <c r="D108" s="810"/>
      <c r="E108" s="810"/>
      <c r="F108" s="810"/>
      <c r="G108" s="834"/>
    </row>
    <row r="109" spans="2:8" ht="13.5" thickTop="1">
      <c r="B109" s="811" t="s">
        <v>326</v>
      </c>
      <c r="C109" s="812"/>
      <c r="D109" s="812"/>
      <c r="E109" s="812"/>
      <c r="F109" s="813"/>
      <c r="G109" s="121">
        <f>+G73+G89+G100</f>
        <v>5661</v>
      </c>
    </row>
    <row r="110" spans="2:8">
      <c r="B110" s="814" t="s">
        <v>861</v>
      </c>
      <c r="C110" s="815"/>
      <c r="D110" s="815"/>
      <c r="E110" s="816"/>
      <c r="F110" s="128">
        <f>'MANO DE OBRA'!D59</f>
        <v>0</v>
      </c>
      <c r="G110" s="122">
        <f>ROUND(G109*F110,0)</f>
        <v>0</v>
      </c>
    </row>
    <row r="111" spans="2:8" ht="13.5" thickBot="1">
      <c r="B111" s="805" t="s">
        <v>1049</v>
      </c>
      <c r="C111" s="806"/>
      <c r="D111" s="806"/>
      <c r="E111" s="806"/>
      <c r="F111" s="807"/>
      <c r="G111" s="118">
        <f>ROUND(G109+G110,-2)</f>
        <v>5700</v>
      </c>
      <c r="H111" s="506" t="s">
        <v>1670</v>
      </c>
    </row>
    <row r="112" spans="2:8" ht="15" thickTop="1">
      <c r="B112" s="225" t="s">
        <v>303</v>
      </c>
      <c r="C112" s="843"/>
      <c r="D112" s="843"/>
      <c r="E112" s="843"/>
      <c r="F112" s="92" t="s">
        <v>781</v>
      </c>
      <c r="G112" s="93" t="s">
        <v>1067</v>
      </c>
    </row>
    <row r="113" spans="1:7">
      <c r="B113" s="226" t="s">
        <v>834</v>
      </c>
      <c r="C113" s="844" t="s">
        <v>343</v>
      </c>
      <c r="D113" s="844"/>
      <c r="E113" s="844"/>
      <c r="F113" s="15" t="s">
        <v>833</v>
      </c>
      <c r="G113" s="165" t="str">
        <f>'MANO DE OBRA'!D61</f>
        <v>Agosto de 2010</v>
      </c>
    </row>
    <row r="114" spans="1:7" ht="13.5" thickBot="1">
      <c r="A114" s="127"/>
      <c r="B114" s="228" t="s">
        <v>835</v>
      </c>
      <c r="C114" s="845" t="s">
        <v>130</v>
      </c>
      <c r="D114" s="845"/>
      <c r="E114" s="845"/>
      <c r="F114" s="845"/>
      <c r="G114" s="846"/>
    </row>
    <row r="115" spans="1:7" ht="14.25" thickTop="1" thickBot="1">
      <c r="B115" s="847"/>
      <c r="C115" s="847"/>
      <c r="D115" s="847"/>
      <c r="E115" s="847"/>
      <c r="F115" s="847"/>
      <c r="G115" s="847"/>
    </row>
    <row r="116" spans="1:7" ht="13.5" thickTop="1">
      <c r="B116" s="811" t="s">
        <v>304</v>
      </c>
      <c r="C116" s="812"/>
      <c r="D116" s="812"/>
      <c r="E116" s="812"/>
      <c r="F116" s="812"/>
      <c r="G116" s="825"/>
    </row>
    <row r="117" spans="1:7">
      <c r="B117" s="229"/>
      <c r="C117" s="97"/>
      <c r="D117" s="98" t="s">
        <v>301</v>
      </c>
      <c r="E117" s="98" t="s">
        <v>1072</v>
      </c>
      <c r="F117" s="99" t="s">
        <v>839</v>
      </c>
      <c r="G117" s="107" t="s">
        <v>840</v>
      </c>
    </row>
    <row r="118" spans="1:7">
      <c r="B118" s="821" t="s">
        <v>838</v>
      </c>
      <c r="C118" s="822"/>
      <c r="D118" s="100" t="s">
        <v>308</v>
      </c>
      <c r="E118" s="100" t="s">
        <v>305</v>
      </c>
      <c r="F118" s="101" t="s">
        <v>306</v>
      </c>
      <c r="G118" s="108" t="s">
        <v>310</v>
      </c>
    </row>
    <row r="119" spans="1:7">
      <c r="B119" s="230"/>
      <c r="C119" s="102"/>
      <c r="D119" s="103"/>
      <c r="E119" s="103" t="s">
        <v>309</v>
      </c>
      <c r="F119" s="104" t="s">
        <v>307</v>
      </c>
      <c r="G119" s="109"/>
    </row>
    <row r="120" spans="1:7">
      <c r="A120" s="127"/>
      <c r="B120" s="823" t="str">
        <f>'MAQUINARIA Y EQUIPOS'!C28</f>
        <v>HERRAMIENTAS MENORES</v>
      </c>
      <c r="C120" s="824"/>
      <c r="D120" s="87">
        <v>1</v>
      </c>
      <c r="E120" s="82">
        <f>ROUND(G153*0.05,0)</f>
        <v>173</v>
      </c>
      <c r="F120" s="81">
        <v>1</v>
      </c>
      <c r="G120" s="110">
        <f>ROUND(D120*E120/F120,0)</f>
        <v>173</v>
      </c>
    </row>
    <row r="121" spans="1:7">
      <c r="B121" s="835" t="str">
        <f>'MAQUINARIA Y EQUIPOS'!C60</f>
        <v>VOLQUETA</v>
      </c>
      <c r="C121" s="836"/>
      <c r="D121" s="37">
        <v>1</v>
      </c>
      <c r="E121" s="129">
        <f>'MAQUINARIA Y EQUIPOS'!D60</f>
        <v>57800</v>
      </c>
      <c r="F121" s="83">
        <v>200</v>
      </c>
      <c r="G121" s="111">
        <f>ROUND(D121*E121/F121,0)</f>
        <v>289</v>
      </c>
    </row>
    <row r="122" spans="1:7">
      <c r="B122" s="835"/>
      <c r="C122" s="836"/>
      <c r="D122" s="89"/>
      <c r="E122" s="82"/>
      <c r="F122" s="83"/>
      <c r="G122" s="111"/>
    </row>
    <row r="123" spans="1:7">
      <c r="B123" s="835"/>
      <c r="C123" s="836"/>
      <c r="D123" s="89"/>
      <c r="E123" s="82"/>
      <c r="F123" s="83"/>
      <c r="G123" s="111"/>
    </row>
    <row r="124" spans="1:7">
      <c r="B124" s="835" t="s">
        <v>841</v>
      </c>
      <c r="C124" s="836"/>
      <c r="D124" s="37"/>
      <c r="E124" s="82"/>
      <c r="F124" s="83"/>
      <c r="G124" s="111"/>
    </row>
    <row r="125" spans="1:7" ht="13.5" thickBot="1">
      <c r="B125" s="839" t="s">
        <v>841</v>
      </c>
      <c r="C125" s="840"/>
      <c r="D125" s="77"/>
      <c r="E125" s="106"/>
      <c r="F125" s="86"/>
      <c r="G125" s="112"/>
    </row>
    <row r="126" spans="1:7" ht="14.25" thickTop="1" thickBot="1">
      <c r="B126" s="808"/>
      <c r="C126" s="808"/>
      <c r="D126" s="808"/>
      <c r="E126" s="809"/>
      <c r="F126" s="119" t="s">
        <v>856</v>
      </c>
      <c r="G126" s="118">
        <f>SUM(G120:G125)</f>
        <v>462</v>
      </c>
    </row>
    <row r="127" spans="1:7" ht="14.25" thickTop="1" thickBot="1">
      <c r="B127" s="830"/>
      <c r="C127" s="830"/>
      <c r="D127" s="830"/>
      <c r="E127" s="830"/>
      <c r="F127" s="830"/>
      <c r="G127" s="830"/>
    </row>
    <row r="128" spans="1:7" ht="13.5" thickTop="1">
      <c r="B128" s="811" t="s">
        <v>311</v>
      </c>
      <c r="C128" s="812"/>
      <c r="D128" s="812"/>
      <c r="E128" s="812"/>
      <c r="F128" s="812"/>
      <c r="G128" s="825"/>
    </row>
    <row r="129" spans="1:8">
      <c r="B129" s="817" t="s">
        <v>838</v>
      </c>
      <c r="C129" s="818"/>
      <c r="D129" s="98" t="s">
        <v>842</v>
      </c>
      <c r="E129" s="98" t="s">
        <v>853</v>
      </c>
      <c r="F129" s="99" t="s">
        <v>1047</v>
      </c>
      <c r="G129" s="107" t="s">
        <v>840</v>
      </c>
    </row>
    <row r="130" spans="1:8">
      <c r="B130" s="230"/>
      <c r="C130" s="102"/>
      <c r="D130" s="100"/>
      <c r="E130" s="100" t="s">
        <v>312</v>
      </c>
      <c r="F130" s="101" t="s">
        <v>313</v>
      </c>
      <c r="G130" s="108" t="s">
        <v>314</v>
      </c>
    </row>
    <row r="131" spans="1:8">
      <c r="A131" s="125"/>
      <c r="B131" s="875"/>
      <c r="C131" s="876"/>
      <c r="D131" s="87"/>
      <c r="E131" s="10"/>
      <c r="F131" s="80"/>
      <c r="G131" s="110"/>
    </row>
    <row r="132" spans="1:8">
      <c r="A132" s="123"/>
      <c r="B132" s="877"/>
      <c r="C132" s="878"/>
      <c r="D132" s="88"/>
      <c r="E132" s="53"/>
      <c r="F132" s="82"/>
      <c r="G132" s="111"/>
    </row>
    <row r="133" spans="1:8">
      <c r="B133" s="835"/>
      <c r="C133" s="836"/>
      <c r="D133" s="37"/>
      <c r="E133" s="55"/>
      <c r="F133" s="82"/>
      <c r="G133" s="111"/>
    </row>
    <row r="134" spans="1:8">
      <c r="B134" s="835"/>
      <c r="C134" s="836"/>
      <c r="D134" s="37"/>
      <c r="E134" s="55"/>
      <c r="F134" s="82"/>
      <c r="G134" s="111"/>
    </row>
    <row r="135" spans="1:8">
      <c r="B135" s="837"/>
      <c r="C135" s="838"/>
      <c r="D135" s="37"/>
      <c r="E135" s="55"/>
      <c r="F135" s="82"/>
      <c r="G135" s="111"/>
      <c r="H135" s="506" t="s">
        <v>1670</v>
      </c>
    </row>
    <row r="136" spans="1:8">
      <c r="B136" s="837"/>
      <c r="C136" s="838"/>
      <c r="D136" s="53" t="s">
        <v>841</v>
      </c>
      <c r="E136" s="53"/>
      <c r="F136" s="82"/>
      <c r="G136" s="111"/>
    </row>
    <row r="137" spans="1:8">
      <c r="B137" s="837" t="s">
        <v>841</v>
      </c>
      <c r="C137" s="838"/>
      <c r="D137" s="53" t="s">
        <v>841</v>
      </c>
      <c r="E137" s="53"/>
      <c r="F137" s="82"/>
      <c r="G137" s="111"/>
    </row>
    <row r="138" spans="1:8">
      <c r="B138" s="837" t="s">
        <v>841</v>
      </c>
      <c r="C138" s="838"/>
      <c r="D138" s="53" t="s">
        <v>841</v>
      </c>
      <c r="E138" s="53"/>
      <c r="F138" s="82"/>
      <c r="G138" s="111"/>
    </row>
    <row r="139" spans="1:8" ht="13.5" thickBot="1">
      <c r="B139" s="839" t="s">
        <v>841</v>
      </c>
      <c r="C139" s="840"/>
      <c r="D139" s="84" t="s">
        <v>841</v>
      </c>
      <c r="E139" s="84"/>
      <c r="F139" s="85"/>
      <c r="G139" s="112"/>
    </row>
    <row r="140" spans="1:8" ht="13.5" thickTop="1">
      <c r="B140" s="808"/>
      <c r="C140" s="809"/>
      <c r="D140" s="801" t="s">
        <v>856</v>
      </c>
      <c r="E140" s="802"/>
      <c r="F140" s="9"/>
      <c r="G140" s="113">
        <f>SUM(G131:G139)</f>
        <v>0</v>
      </c>
    </row>
    <row r="141" spans="1:8">
      <c r="B141" s="819"/>
      <c r="C141" s="820"/>
      <c r="D141" s="801" t="s">
        <v>857</v>
      </c>
      <c r="E141" s="802"/>
      <c r="F141" s="79">
        <f>'MANO DE OBRA'!D60</f>
        <v>0.05</v>
      </c>
      <c r="G141" s="113">
        <f>ROUND(G140*F141,0)</f>
        <v>0</v>
      </c>
    </row>
    <row r="142" spans="1:8" ht="13.5" thickBot="1">
      <c r="B142" s="819"/>
      <c r="C142" s="820"/>
      <c r="D142" s="803" t="s">
        <v>320</v>
      </c>
      <c r="E142" s="804"/>
      <c r="F142" s="114"/>
      <c r="G142" s="118">
        <f>+G140+G141</f>
        <v>0</v>
      </c>
    </row>
    <row r="143" spans="1:8" ht="14.25" thickTop="1" thickBot="1">
      <c r="B143" s="830"/>
      <c r="C143" s="830"/>
      <c r="D143" s="830"/>
      <c r="E143" s="830"/>
      <c r="F143" s="830"/>
      <c r="G143" s="830"/>
    </row>
    <row r="144" spans="1:8" ht="13.5" thickTop="1">
      <c r="B144" s="811" t="s">
        <v>858</v>
      </c>
      <c r="C144" s="812"/>
      <c r="D144" s="812"/>
      <c r="E144" s="812"/>
      <c r="F144" s="812"/>
      <c r="G144" s="825"/>
    </row>
    <row r="145" spans="2:7">
      <c r="B145" s="817"/>
      <c r="C145" s="818"/>
      <c r="D145" s="98" t="s">
        <v>301</v>
      </c>
      <c r="E145" s="98" t="s">
        <v>859</v>
      </c>
      <c r="F145" s="99" t="s">
        <v>839</v>
      </c>
      <c r="G145" s="107" t="s">
        <v>840</v>
      </c>
    </row>
    <row r="146" spans="2:7">
      <c r="B146" s="821" t="s">
        <v>838</v>
      </c>
      <c r="C146" s="822"/>
      <c r="D146" s="100" t="s">
        <v>316</v>
      </c>
      <c r="E146" s="100" t="s">
        <v>315</v>
      </c>
      <c r="F146" s="101" t="s">
        <v>306</v>
      </c>
      <c r="G146" s="108" t="s">
        <v>319</v>
      </c>
    </row>
    <row r="147" spans="2:7">
      <c r="B147" s="230"/>
      <c r="C147" s="102"/>
      <c r="D147" s="103"/>
      <c r="E147" s="103" t="s">
        <v>317</v>
      </c>
      <c r="F147" s="104" t="s">
        <v>318</v>
      </c>
      <c r="G147" s="109"/>
    </row>
    <row r="148" spans="2:7">
      <c r="B148" s="823" t="str">
        <f>'MANO DE OBRA'!B10</f>
        <v>AYUDANTE CUAD. TIPO AA</v>
      </c>
      <c r="C148" s="824"/>
      <c r="D148" s="87">
        <v>1</v>
      </c>
      <c r="E148" s="80">
        <f>'MANO DE OBRA'!E10</f>
        <v>34680</v>
      </c>
      <c r="F148" s="81">
        <v>30.77</v>
      </c>
      <c r="G148" s="110">
        <f>ROUND(D148*E148/F148,0)</f>
        <v>1127</v>
      </c>
    </row>
    <row r="149" spans="2:7">
      <c r="B149" s="835" t="str">
        <f>'MANO DE OBRA'!B15</f>
        <v xml:space="preserve">OFICIAL CUAD. TIPO AA </v>
      </c>
      <c r="C149" s="836"/>
      <c r="D149" s="37">
        <v>1</v>
      </c>
      <c r="E149" s="82">
        <f>'MANO DE OBRA'!E15</f>
        <v>71474</v>
      </c>
      <c r="F149" s="83">
        <v>30.77</v>
      </c>
      <c r="G149" s="111">
        <f>ROUND(D149*E149/F149,0)</f>
        <v>2323</v>
      </c>
    </row>
    <row r="150" spans="2:7">
      <c r="B150" s="835"/>
      <c r="C150" s="836"/>
      <c r="D150" s="37"/>
      <c r="E150" s="82"/>
      <c r="F150" s="83"/>
      <c r="G150" s="111"/>
    </row>
    <row r="151" spans="2:7">
      <c r="B151" s="835" t="s">
        <v>841</v>
      </c>
      <c r="C151" s="836"/>
      <c r="D151" s="37"/>
      <c r="E151" s="82"/>
      <c r="F151" s="83"/>
      <c r="G151" s="111"/>
    </row>
    <row r="152" spans="2:7" ht="13.5" thickBot="1">
      <c r="B152" s="828" t="s">
        <v>841</v>
      </c>
      <c r="C152" s="829"/>
      <c r="D152" s="77"/>
      <c r="E152" s="82"/>
      <c r="F152" s="86"/>
      <c r="G152" s="112"/>
    </row>
    <row r="153" spans="2:7" ht="14.25" thickTop="1" thickBot="1">
      <c r="B153" s="808"/>
      <c r="C153" s="808"/>
      <c r="D153" s="808"/>
      <c r="E153" s="809"/>
      <c r="F153" s="120" t="s">
        <v>856</v>
      </c>
      <c r="G153" s="118">
        <f>SUM(G148:G152)</f>
        <v>3450</v>
      </c>
    </row>
    <row r="154" spans="2:7" ht="14.25" thickTop="1" thickBot="1">
      <c r="B154" s="810"/>
      <c r="C154" s="810"/>
      <c r="D154" s="810"/>
      <c r="E154" s="810"/>
      <c r="F154" s="810"/>
      <c r="G154" s="810"/>
    </row>
    <row r="155" spans="2:7" ht="13.5" thickTop="1">
      <c r="B155" s="811" t="s">
        <v>321</v>
      </c>
      <c r="C155" s="812"/>
      <c r="D155" s="812"/>
      <c r="E155" s="812"/>
      <c r="F155" s="812"/>
      <c r="G155" s="825"/>
    </row>
    <row r="156" spans="2:7">
      <c r="B156" s="817" t="s">
        <v>838</v>
      </c>
      <c r="C156" s="818"/>
      <c r="D156" s="98" t="s">
        <v>301</v>
      </c>
      <c r="E156" s="98" t="s">
        <v>297</v>
      </c>
      <c r="F156" s="99" t="s">
        <v>839</v>
      </c>
      <c r="G156" s="107" t="s">
        <v>840</v>
      </c>
    </row>
    <row r="157" spans="2:7">
      <c r="B157" s="230"/>
      <c r="C157" s="102"/>
      <c r="D157" s="103" t="s">
        <v>322</v>
      </c>
      <c r="E157" s="103" t="s">
        <v>323</v>
      </c>
      <c r="F157" s="104" t="s">
        <v>324</v>
      </c>
      <c r="G157" s="109" t="s">
        <v>325</v>
      </c>
    </row>
    <row r="158" spans="2:7">
      <c r="B158" s="826"/>
      <c r="C158" s="827"/>
      <c r="D158" s="96"/>
      <c r="E158" s="96"/>
      <c r="F158" s="96"/>
      <c r="G158" s="116"/>
    </row>
    <row r="159" spans="2:7" ht="13.5" thickBot="1">
      <c r="B159" s="828" t="s">
        <v>841</v>
      </c>
      <c r="C159" s="829"/>
      <c r="D159" s="77"/>
      <c r="E159" s="82"/>
      <c r="F159" s="86"/>
      <c r="G159" s="112"/>
    </row>
    <row r="160" spans="2:7" ht="14.25" thickTop="1" thickBot="1">
      <c r="B160" s="808"/>
      <c r="C160" s="808"/>
      <c r="D160" s="808"/>
      <c r="E160" s="809"/>
      <c r="F160" s="120" t="s">
        <v>856</v>
      </c>
      <c r="G160" s="118">
        <f>SUM(G155:G159)</f>
        <v>0</v>
      </c>
    </row>
    <row r="161" spans="1:8" ht="14.25" thickTop="1" thickBot="1">
      <c r="B161" s="810"/>
      <c r="C161" s="810"/>
      <c r="D161" s="810"/>
      <c r="E161" s="810"/>
      <c r="F161" s="810"/>
      <c r="G161" s="834"/>
    </row>
    <row r="162" spans="1:8" ht="13.5" thickTop="1">
      <c r="B162" s="811" t="s">
        <v>326</v>
      </c>
      <c r="C162" s="812"/>
      <c r="D162" s="812"/>
      <c r="E162" s="812"/>
      <c r="F162" s="813"/>
      <c r="G162" s="121">
        <f>+G126+G142+G153</f>
        <v>3912</v>
      </c>
    </row>
    <row r="163" spans="1:8">
      <c r="B163" s="814" t="s">
        <v>861</v>
      </c>
      <c r="C163" s="815"/>
      <c r="D163" s="815"/>
      <c r="E163" s="816"/>
      <c r="F163" s="128">
        <f>'MANO DE OBRA'!D59</f>
        <v>0</v>
      </c>
      <c r="G163" s="122">
        <f>ROUND(G162*F163,0)</f>
        <v>0</v>
      </c>
    </row>
    <row r="164" spans="1:8" ht="13.5" thickBot="1">
      <c r="B164" s="805" t="s">
        <v>1049</v>
      </c>
      <c r="C164" s="806"/>
      <c r="D164" s="806"/>
      <c r="E164" s="806"/>
      <c r="F164" s="807"/>
      <c r="G164" s="118">
        <f>ROUND(G162+G163,-2)</f>
        <v>3900</v>
      </c>
      <c r="H164" s="506" t="s">
        <v>1670</v>
      </c>
    </row>
    <row r="165" spans="1:8" ht="15" thickTop="1">
      <c r="B165" s="225" t="s">
        <v>303</v>
      </c>
      <c r="C165" s="843"/>
      <c r="D165" s="843"/>
      <c r="E165" s="843"/>
      <c r="F165" s="92" t="s">
        <v>781</v>
      </c>
      <c r="G165" s="93" t="s">
        <v>1066</v>
      </c>
    </row>
    <row r="166" spans="1:8">
      <c r="B166" s="226" t="s">
        <v>834</v>
      </c>
      <c r="C166" s="844" t="s">
        <v>343</v>
      </c>
      <c r="D166" s="844"/>
      <c r="E166" s="844"/>
      <c r="F166" s="15" t="s">
        <v>833</v>
      </c>
      <c r="G166" s="165" t="str">
        <f>'MANO DE OBRA'!D61</f>
        <v>Agosto de 2010</v>
      </c>
    </row>
    <row r="167" spans="1:8" ht="13.5" thickBot="1">
      <c r="A167" s="127"/>
      <c r="B167" s="228" t="s">
        <v>835</v>
      </c>
      <c r="C167" s="845" t="s">
        <v>131</v>
      </c>
      <c r="D167" s="845"/>
      <c r="E167" s="845"/>
      <c r="F167" s="845"/>
      <c r="G167" s="846"/>
    </row>
    <row r="168" spans="1:8" ht="14.25" thickTop="1" thickBot="1">
      <c r="B168" s="847"/>
      <c r="C168" s="847"/>
      <c r="D168" s="847"/>
      <c r="E168" s="847"/>
      <c r="F168" s="847"/>
      <c r="G168" s="847"/>
    </row>
    <row r="169" spans="1:8" ht="13.5" thickTop="1">
      <c r="B169" s="811" t="s">
        <v>304</v>
      </c>
      <c r="C169" s="812"/>
      <c r="D169" s="812"/>
      <c r="E169" s="812"/>
      <c r="F169" s="812"/>
      <c r="G169" s="825"/>
    </row>
    <row r="170" spans="1:8">
      <c r="B170" s="229"/>
      <c r="C170" s="97"/>
      <c r="D170" s="98" t="s">
        <v>301</v>
      </c>
      <c r="E170" s="98" t="s">
        <v>1072</v>
      </c>
      <c r="F170" s="99" t="s">
        <v>839</v>
      </c>
      <c r="G170" s="107" t="s">
        <v>840</v>
      </c>
    </row>
    <row r="171" spans="1:8">
      <c r="B171" s="821" t="s">
        <v>838</v>
      </c>
      <c r="C171" s="822"/>
      <c r="D171" s="100" t="s">
        <v>308</v>
      </c>
      <c r="E171" s="100" t="s">
        <v>305</v>
      </c>
      <c r="F171" s="101" t="s">
        <v>306</v>
      </c>
      <c r="G171" s="108" t="s">
        <v>310</v>
      </c>
    </row>
    <row r="172" spans="1:8">
      <c r="B172" s="230"/>
      <c r="C172" s="102"/>
      <c r="D172" s="103"/>
      <c r="E172" s="103" t="s">
        <v>309</v>
      </c>
      <c r="F172" s="104" t="s">
        <v>307</v>
      </c>
      <c r="G172" s="109"/>
    </row>
    <row r="173" spans="1:8">
      <c r="A173" s="127"/>
      <c r="B173" s="823" t="str">
        <f>'MAQUINARIA Y EQUIPOS'!C61</f>
        <v>RETROEXCAVADORA</v>
      </c>
      <c r="C173" s="824"/>
      <c r="D173" s="87">
        <v>1</v>
      </c>
      <c r="E173" s="82">
        <f>'MAQUINARIA Y EQUIPOS'!D61</f>
        <v>417600</v>
      </c>
      <c r="F173" s="81">
        <v>266.67</v>
      </c>
      <c r="G173" s="110">
        <f>ROUND(D173*E173/F173,0)</f>
        <v>1566</v>
      </c>
    </row>
    <row r="174" spans="1:8">
      <c r="B174" s="835" t="str">
        <f>'MAQUINARIA Y EQUIPOS'!C60</f>
        <v>VOLQUETA</v>
      </c>
      <c r="C174" s="836"/>
      <c r="D174" s="37">
        <v>1</v>
      </c>
      <c r="E174" s="129">
        <f>'MAQUINARIA Y EQUIPOS'!D60</f>
        <v>57800</v>
      </c>
      <c r="F174" s="83">
        <v>35</v>
      </c>
      <c r="G174" s="111">
        <f>ROUND(D174*E174/F174,0)</f>
        <v>1651</v>
      </c>
    </row>
    <row r="175" spans="1:8">
      <c r="B175" s="835"/>
      <c r="C175" s="836"/>
      <c r="D175" s="89"/>
      <c r="E175" s="82"/>
      <c r="F175" s="83"/>
      <c r="G175" s="111"/>
    </row>
    <row r="176" spans="1:8">
      <c r="B176" s="835"/>
      <c r="C176" s="836"/>
      <c r="D176" s="89"/>
      <c r="E176" s="82"/>
      <c r="F176" s="83"/>
      <c r="G176" s="111"/>
    </row>
    <row r="177" spans="1:8">
      <c r="B177" s="835" t="s">
        <v>841</v>
      </c>
      <c r="C177" s="836"/>
      <c r="D177" s="37"/>
      <c r="E177" s="82"/>
      <c r="F177" s="83"/>
      <c r="G177" s="111"/>
    </row>
    <row r="178" spans="1:8" ht="13.5" thickBot="1">
      <c r="B178" s="839" t="s">
        <v>841</v>
      </c>
      <c r="C178" s="840"/>
      <c r="D178" s="77"/>
      <c r="E178" s="106"/>
      <c r="F178" s="86"/>
      <c r="G178" s="112"/>
    </row>
    <row r="179" spans="1:8" ht="14.25" thickTop="1" thickBot="1">
      <c r="B179" s="808"/>
      <c r="C179" s="808"/>
      <c r="D179" s="808"/>
      <c r="E179" s="809"/>
      <c r="F179" s="119" t="s">
        <v>856</v>
      </c>
      <c r="G179" s="118">
        <f>SUM(G173:G178)</f>
        <v>3217</v>
      </c>
    </row>
    <row r="180" spans="1:8" ht="14.25" thickTop="1" thickBot="1">
      <c r="B180" s="830"/>
      <c r="C180" s="830"/>
      <c r="D180" s="830"/>
      <c r="E180" s="830"/>
      <c r="F180" s="830"/>
      <c r="G180" s="830"/>
    </row>
    <row r="181" spans="1:8" ht="13.5" thickTop="1">
      <c r="B181" s="811" t="s">
        <v>311</v>
      </c>
      <c r="C181" s="812"/>
      <c r="D181" s="812"/>
      <c r="E181" s="812"/>
      <c r="F181" s="812"/>
      <c r="G181" s="825"/>
    </row>
    <row r="182" spans="1:8">
      <c r="B182" s="817" t="s">
        <v>838</v>
      </c>
      <c r="C182" s="818"/>
      <c r="D182" s="98" t="s">
        <v>842</v>
      </c>
      <c r="E182" s="98" t="s">
        <v>853</v>
      </c>
      <c r="F182" s="99" t="s">
        <v>1047</v>
      </c>
      <c r="G182" s="107" t="s">
        <v>840</v>
      </c>
    </row>
    <row r="183" spans="1:8">
      <c r="B183" s="230"/>
      <c r="C183" s="102"/>
      <c r="D183" s="100"/>
      <c r="E183" s="100" t="s">
        <v>312</v>
      </c>
      <c r="F183" s="101" t="s">
        <v>313</v>
      </c>
      <c r="G183" s="108" t="s">
        <v>314</v>
      </c>
    </row>
    <row r="184" spans="1:8">
      <c r="A184" s="125"/>
      <c r="B184" s="875"/>
      <c r="C184" s="876"/>
      <c r="D184" s="87"/>
      <c r="E184" s="10"/>
      <c r="F184" s="80"/>
      <c r="G184" s="110"/>
    </row>
    <row r="185" spans="1:8">
      <c r="A185" s="123"/>
      <c r="B185" s="877"/>
      <c r="C185" s="878"/>
      <c r="D185" s="88"/>
      <c r="E185" s="53"/>
      <c r="F185" s="82"/>
      <c r="G185" s="111"/>
    </row>
    <row r="186" spans="1:8">
      <c r="B186" s="835"/>
      <c r="C186" s="836"/>
      <c r="D186" s="37"/>
      <c r="E186" s="55"/>
      <c r="F186" s="82"/>
      <c r="G186" s="111"/>
    </row>
    <row r="187" spans="1:8">
      <c r="B187" s="835"/>
      <c r="C187" s="836"/>
      <c r="D187" s="37"/>
      <c r="E187" s="55"/>
      <c r="F187" s="82"/>
      <c r="G187" s="111"/>
    </row>
    <row r="188" spans="1:8">
      <c r="B188" s="837"/>
      <c r="C188" s="838"/>
      <c r="D188" s="37"/>
      <c r="E188" s="55"/>
      <c r="F188" s="82"/>
      <c r="G188" s="111"/>
      <c r="H188" s="506" t="s">
        <v>1670</v>
      </c>
    </row>
    <row r="189" spans="1:8">
      <c r="B189" s="837"/>
      <c r="C189" s="838"/>
      <c r="D189" s="53" t="s">
        <v>841</v>
      </c>
      <c r="E189" s="53"/>
      <c r="F189" s="82"/>
      <c r="G189" s="111"/>
    </row>
    <row r="190" spans="1:8">
      <c r="B190" s="837" t="s">
        <v>841</v>
      </c>
      <c r="C190" s="838"/>
      <c r="D190" s="53" t="s">
        <v>841</v>
      </c>
      <c r="E190" s="53"/>
      <c r="F190" s="82"/>
      <c r="G190" s="111"/>
    </row>
    <row r="191" spans="1:8">
      <c r="B191" s="837" t="s">
        <v>841</v>
      </c>
      <c r="C191" s="838"/>
      <c r="D191" s="53" t="s">
        <v>841</v>
      </c>
      <c r="E191" s="53"/>
      <c r="F191" s="82"/>
      <c r="G191" s="111"/>
    </row>
    <row r="192" spans="1:8" ht="13.5" thickBot="1">
      <c r="B192" s="839" t="s">
        <v>841</v>
      </c>
      <c r="C192" s="840"/>
      <c r="D192" s="84" t="s">
        <v>841</v>
      </c>
      <c r="E192" s="84"/>
      <c r="F192" s="85"/>
      <c r="G192" s="112"/>
    </row>
    <row r="193" spans="2:7" ht="13.5" thickTop="1">
      <c r="B193" s="808"/>
      <c r="C193" s="809"/>
      <c r="D193" s="801" t="s">
        <v>856</v>
      </c>
      <c r="E193" s="802"/>
      <c r="F193" s="9"/>
      <c r="G193" s="113">
        <f>SUM(G184:G192)</f>
        <v>0</v>
      </c>
    </row>
    <row r="194" spans="2:7">
      <c r="B194" s="819"/>
      <c r="C194" s="820"/>
      <c r="D194" s="801" t="s">
        <v>857</v>
      </c>
      <c r="E194" s="802"/>
      <c r="F194" s="79">
        <f>'MANO DE OBRA'!D60</f>
        <v>0.05</v>
      </c>
      <c r="G194" s="113">
        <f>ROUND(G193*F194,0)</f>
        <v>0</v>
      </c>
    </row>
    <row r="195" spans="2:7" ht="13.5" thickBot="1">
      <c r="B195" s="819"/>
      <c r="C195" s="820"/>
      <c r="D195" s="803" t="s">
        <v>320</v>
      </c>
      <c r="E195" s="804"/>
      <c r="F195" s="114"/>
      <c r="G195" s="118">
        <f>+G193+G194</f>
        <v>0</v>
      </c>
    </row>
    <row r="196" spans="2:7" ht="14.25" thickTop="1" thickBot="1">
      <c r="B196" s="830"/>
      <c r="C196" s="830"/>
      <c r="D196" s="830"/>
      <c r="E196" s="830"/>
      <c r="F196" s="830"/>
      <c r="G196" s="830"/>
    </row>
    <row r="197" spans="2:7" ht="13.5" thickTop="1">
      <c r="B197" s="811" t="s">
        <v>858</v>
      </c>
      <c r="C197" s="812"/>
      <c r="D197" s="812"/>
      <c r="E197" s="812"/>
      <c r="F197" s="812"/>
      <c r="G197" s="825"/>
    </row>
    <row r="198" spans="2:7">
      <c r="B198" s="817"/>
      <c r="C198" s="818"/>
      <c r="D198" s="98" t="s">
        <v>301</v>
      </c>
      <c r="E198" s="98" t="s">
        <v>859</v>
      </c>
      <c r="F198" s="99" t="s">
        <v>839</v>
      </c>
      <c r="G198" s="107" t="s">
        <v>840</v>
      </c>
    </row>
    <row r="199" spans="2:7">
      <c r="B199" s="821" t="s">
        <v>838</v>
      </c>
      <c r="C199" s="822"/>
      <c r="D199" s="100" t="s">
        <v>316</v>
      </c>
      <c r="E199" s="100" t="s">
        <v>315</v>
      </c>
      <c r="F199" s="101" t="s">
        <v>306</v>
      </c>
      <c r="G199" s="108" t="s">
        <v>319</v>
      </c>
    </row>
    <row r="200" spans="2:7">
      <c r="B200" s="230"/>
      <c r="C200" s="102"/>
      <c r="D200" s="103"/>
      <c r="E200" s="103" t="s">
        <v>317</v>
      </c>
      <c r="F200" s="104" t="s">
        <v>318</v>
      </c>
      <c r="G200" s="109"/>
    </row>
    <row r="201" spans="2:7">
      <c r="B201" s="823" t="str">
        <f>'MANO DE OBRA'!B10</f>
        <v>AYUDANTE CUAD. TIPO AA</v>
      </c>
      <c r="C201" s="824"/>
      <c r="D201" s="87">
        <v>2</v>
      </c>
      <c r="E201" s="80">
        <f>'MANO DE OBRA'!E10</f>
        <v>34680</v>
      </c>
      <c r="F201" s="81">
        <v>30.77</v>
      </c>
      <c r="G201" s="110">
        <f>ROUND(D201*E201/F201,0)</f>
        <v>2254</v>
      </c>
    </row>
    <row r="202" spans="2:7">
      <c r="B202" s="835"/>
      <c r="C202" s="836"/>
      <c r="D202" s="37"/>
      <c r="E202" s="82"/>
      <c r="F202" s="83"/>
      <c r="G202" s="111"/>
    </row>
    <row r="203" spans="2:7">
      <c r="B203" s="835"/>
      <c r="C203" s="836"/>
      <c r="D203" s="37"/>
      <c r="E203" s="82"/>
      <c r="F203" s="83"/>
      <c r="G203" s="111"/>
    </row>
    <row r="204" spans="2:7">
      <c r="B204" s="835" t="s">
        <v>841</v>
      </c>
      <c r="C204" s="836"/>
      <c r="D204" s="37"/>
      <c r="E204" s="82"/>
      <c r="F204" s="83"/>
      <c r="G204" s="111"/>
    </row>
    <row r="205" spans="2:7" ht="13.5" thickBot="1">
      <c r="B205" s="828" t="s">
        <v>841</v>
      </c>
      <c r="C205" s="829"/>
      <c r="D205" s="77"/>
      <c r="E205" s="82"/>
      <c r="F205" s="86"/>
      <c r="G205" s="112"/>
    </row>
    <row r="206" spans="2:7" ht="14.25" thickTop="1" thickBot="1">
      <c r="B206" s="808"/>
      <c r="C206" s="808"/>
      <c r="D206" s="808"/>
      <c r="E206" s="809"/>
      <c r="F206" s="120" t="s">
        <v>856</v>
      </c>
      <c r="G206" s="118">
        <f>SUM(G201:G205)</f>
        <v>2254</v>
      </c>
    </row>
    <row r="207" spans="2:7" ht="14.25" thickTop="1" thickBot="1">
      <c r="B207" s="810"/>
      <c r="C207" s="810"/>
      <c r="D207" s="810"/>
      <c r="E207" s="810"/>
      <c r="F207" s="810"/>
      <c r="G207" s="810"/>
    </row>
    <row r="208" spans="2:7" ht="13.5" thickTop="1">
      <c r="B208" s="811" t="s">
        <v>321</v>
      </c>
      <c r="C208" s="812"/>
      <c r="D208" s="812"/>
      <c r="E208" s="812"/>
      <c r="F208" s="812"/>
      <c r="G208" s="825"/>
    </row>
    <row r="209" spans="1:8">
      <c r="B209" s="817" t="s">
        <v>838</v>
      </c>
      <c r="C209" s="818"/>
      <c r="D209" s="98" t="s">
        <v>301</v>
      </c>
      <c r="E209" s="98" t="s">
        <v>297</v>
      </c>
      <c r="F209" s="99" t="s">
        <v>839</v>
      </c>
      <c r="G209" s="107" t="s">
        <v>840</v>
      </c>
    </row>
    <row r="210" spans="1:8">
      <c r="B210" s="230"/>
      <c r="C210" s="102"/>
      <c r="D210" s="103" t="s">
        <v>322</v>
      </c>
      <c r="E210" s="103" t="s">
        <v>323</v>
      </c>
      <c r="F210" s="104" t="s">
        <v>324</v>
      </c>
      <c r="G210" s="109" t="s">
        <v>325</v>
      </c>
    </row>
    <row r="211" spans="1:8">
      <c r="B211" s="826"/>
      <c r="C211" s="827"/>
      <c r="D211" s="96"/>
      <c r="E211" s="96"/>
      <c r="F211" s="96"/>
      <c r="G211" s="116"/>
    </row>
    <row r="212" spans="1:8" ht="13.5" thickBot="1">
      <c r="B212" s="828" t="s">
        <v>841</v>
      </c>
      <c r="C212" s="829"/>
      <c r="D212" s="77"/>
      <c r="E212" s="82"/>
      <c r="F212" s="86"/>
      <c r="G212" s="112"/>
    </row>
    <row r="213" spans="1:8" ht="14.25" thickTop="1" thickBot="1">
      <c r="B213" s="808"/>
      <c r="C213" s="808"/>
      <c r="D213" s="808"/>
      <c r="E213" s="809"/>
      <c r="F213" s="120" t="s">
        <v>856</v>
      </c>
      <c r="G213" s="118">
        <f>SUM(G208:G212)</f>
        <v>0</v>
      </c>
    </row>
    <row r="214" spans="1:8" ht="14.25" thickTop="1" thickBot="1">
      <c r="B214" s="810"/>
      <c r="C214" s="810"/>
      <c r="D214" s="810"/>
      <c r="E214" s="810"/>
      <c r="F214" s="810"/>
      <c r="G214" s="834"/>
    </row>
    <row r="215" spans="1:8" ht="13.5" thickTop="1">
      <c r="B215" s="811" t="s">
        <v>326</v>
      </c>
      <c r="C215" s="812"/>
      <c r="D215" s="812"/>
      <c r="E215" s="812"/>
      <c r="F215" s="813"/>
      <c r="G215" s="121">
        <f>+G179+G195+G206</f>
        <v>5471</v>
      </c>
    </row>
    <row r="216" spans="1:8">
      <c r="B216" s="814" t="s">
        <v>861</v>
      </c>
      <c r="C216" s="815"/>
      <c r="D216" s="815"/>
      <c r="E216" s="816"/>
      <c r="F216" s="128">
        <f>'MANO DE OBRA'!D59</f>
        <v>0</v>
      </c>
      <c r="G216" s="122">
        <f>ROUND(G215*F216,0)</f>
        <v>0</v>
      </c>
    </row>
    <row r="217" spans="1:8" ht="13.5" thickBot="1">
      <c r="B217" s="805" t="s">
        <v>1049</v>
      </c>
      <c r="C217" s="806"/>
      <c r="D217" s="806"/>
      <c r="E217" s="806"/>
      <c r="F217" s="807"/>
      <c r="G217" s="118">
        <f>ROUND(G215+G216,-2)</f>
        <v>5500</v>
      </c>
      <c r="H217" s="506" t="s">
        <v>1670</v>
      </c>
    </row>
    <row r="218" spans="1:8" ht="15" thickTop="1">
      <c r="B218" s="225" t="s">
        <v>303</v>
      </c>
      <c r="C218" s="843"/>
      <c r="D218" s="843"/>
      <c r="E218" s="843"/>
      <c r="F218" s="92" t="s">
        <v>781</v>
      </c>
      <c r="G218" s="93" t="s">
        <v>1066</v>
      </c>
    </row>
    <row r="219" spans="1:8">
      <c r="B219" s="226" t="s">
        <v>834</v>
      </c>
      <c r="C219" s="844" t="s">
        <v>343</v>
      </c>
      <c r="D219" s="844"/>
      <c r="E219" s="844"/>
      <c r="F219" s="15" t="s">
        <v>833</v>
      </c>
      <c r="G219" s="165" t="str">
        <f>'MANO DE OBRA'!D61</f>
        <v>Agosto de 2010</v>
      </c>
    </row>
    <row r="220" spans="1:8" ht="13.5" thickBot="1">
      <c r="A220" s="127"/>
      <c r="B220" s="228" t="s">
        <v>835</v>
      </c>
      <c r="C220" s="845" t="s">
        <v>1051</v>
      </c>
      <c r="D220" s="845"/>
      <c r="E220" s="845"/>
      <c r="F220" s="845"/>
      <c r="G220" s="846"/>
    </row>
    <row r="221" spans="1:8" ht="14.25" thickTop="1" thickBot="1">
      <c r="B221" s="847"/>
      <c r="C221" s="847"/>
      <c r="D221" s="847"/>
      <c r="E221" s="847"/>
      <c r="F221" s="847"/>
      <c r="G221" s="847"/>
    </row>
    <row r="222" spans="1:8" ht="13.5" thickTop="1">
      <c r="B222" s="811" t="s">
        <v>304</v>
      </c>
      <c r="C222" s="812"/>
      <c r="D222" s="812"/>
      <c r="E222" s="812"/>
      <c r="F222" s="812"/>
      <c r="G222" s="825"/>
    </row>
    <row r="223" spans="1:8">
      <c r="B223" s="229"/>
      <c r="C223" s="97"/>
      <c r="D223" s="98" t="s">
        <v>301</v>
      </c>
      <c r="E223" s="98" t="s">
        <v>1072</v>
      </c>
      <c r="F223" s="99" t="s">
        <v>839</v>
      </c>
      <c r="G223" s="107" t="s">
        <v>840</v>
      </c>
    </row>
    <row r="224" spans="1:8">
      <c r="B224" s="821" t="s">
        <v>838</v>
      </c>
      <c r="C224" s="822"/>
      <c r="D224" s="100" t="s">
        <v>308</v>
      </c>
      <c r="E224" s="100" t="s">
        <v>305</v>
      </c>
      <c r="F224" s="101" t="s">
        <v>306</v>
      </c>
      <c r="G224" s="108" t="s">
        <v>310</v>
      </c>
    </row>
    <row r="225" spans="1:8">
      <c r="B225" s="230"/>
      <c r="C225" s="102"/>
      <c r="D225" s="103"/>
      <c r="E225" s="103" t="s">
        <v>309</v>
      </c>
      <c r="F225" s="104" t="s">
        <v>307</v>
      </c>
      <c r="G225" s="109"/>
    </row>
    <row r="226" spans="1:8">
      <c r="A226" s="127"/>
      <c r="B226" s="823" t="str">
        <f>'MAQUINARIA Y EQUIPOS'!C28</f>
        <v>HERRAMIENTAS MENORES</v>
      </c>
      <c r="C226" s="824"/>
      <c r="D226" s="87">
        <v>1</v>
      </c>
      <c r="E226" s="82">
        <f>ROUND(G259*0.05,0)</f>
        <v>2311</v>
      </c>
      <c r="F226" s="81">
        <v>3</v>
      </c>
      <c r="G226" s="110">
        <f>ROUND(D226*E226/F226,0)</f>
        <v>770</v>
      </c>
    </row>
    <row r="227" spans="1:8">
      <c r="B227" s="835" t="str">
        <f>'MAQUINARIA Y EQUIPOS'!C17</f>
        <v xml:space="preserve">COMPRESOR </v>
      </c>
      <c r="C227" s="836"/>
      <c r="D227" s="37">
        <v>1</v>
      </c>
      <c r="E227" s="129">
        <f>'MAQUINARIA Y EQUIPOS'!D17</f>
        <v>301600</v>
      </c>
      <c r="F227" s="83">
        <v>4</v>
      </c>
      <c r="G227" s="111">
        <f>ROUND(D227*E227/F227,0)</f>
        <v>75400</v>
      </c>
    </row>
    <row r="228" spans="1:8">
      <c r="B228" s="835" t="str">
        <f>'MAQUINARIA Y EQUIPOS'!C32</f>
        <v>MARTILLO PARA COMPRESOR</v>
      </c>
      <c r="C228" s="836"/>
      <c r="D228" s="37">
        <v>1</v>
      </c>
      <c r="E228" s="129">
        <f>'MAQUINARIA Y EQUIPOS'!D32</f>
        <v>51040</v>
      </c>
      <c r="F228" s="83">
        <v>4</v>
      </c>
      <c r="G228" s="111">
        <f>ROUND(D228*E228/F228,0)</f>
        <v>12760</v>
      </c>
    </row>
    <row r="229" spans="1:8">
      <c r="B229" s="835"/>
      <c r="C229" s="836"/>
      <c r="D229" s="37"/>
      <c r="E229" s="82"/>
      <c r="F229" s="83"/>
      <c r="G229" s="111"/>
    </row>
    <row r="230" spans="1:8">
      <c r="B230" s="835" t="s">
        <v>841</v>
      </c>
      <c r="C230" s="836"/>
      <c r="D230" s="37"/>
      <c r="E230" s="82"/>
      <c r="F230" s="83"/>
      <c r="G230" s="111"/>
    </row>
    <row r="231" spans="1:8" ht="13.5" thickBot="1">
      <c r="B231" s="839" t="s">
        <v>841</v>
      </c>
      <c r="C231" s="840"/>
      <c r="D231" s="77"/>
      <c r="E231" s="106"/>
      <c r="F231" s="86"/>
      <c r="G231" s="112"/>
    </row>
    <row r="232" spans="1:8" ht="14.25" thickTop="1" thickBot="1">
      <c r="B232" s="808"/>
      <c r="C232" s="808"/>
      <c r="D232" s="808"/>
      <c r="E232" s="809"/>
      <c r="F232" s="119" t="s">
        <v>856</v>
      </c>
      <c r="G232" s="118">
        <f>SUM(G226:G231)</f>
        <v>88930</v>
      </c>
    </row>
    <row r="233" spans="1:8" ht="14.25" thickTop="1" thickBot="1">
      <c r="B233" s="830"/>
      <c r="C233" s="830"/>
      <c r="D233" s="830"/>
      <c r="E233" s="830"/>
      <c r="F233" s="830"/>
      <c r="G233" s="830"/>
    </row>
    <row r="234" spans="1:8" ht="13.5" thickTop="1">
      <c r="B234" s="811" t="s">
        <v>311</v>
      </c>
      <c r="C234" s="812"/>
      <c r="D234" s="812"/>
      <c r="E234" s="812"/>
      <c r="F234" s="812"/>
      <c r="G234" s="825"/>
    </row>
    <row r="235" spans="1:8">
      <c r="B235" s="817" t="s">
        <v>838</v>
      </c>
      <c r="C235" s="818"/>
      <c r="D235" s="98" t="s">
        <v>842</v>
      </c>
      <c r="E235" s="98" t="s">
        <v>853</v>
      </c>
      <c r="F235" s="99" t="s">
        <v>1047</v>
      </c>
      <c r="G235" s="107" t="s">
        <v>840</v>
      </c>
    </row>
    <row r="236" spans="1:8">
      <c r="B236" s="230"/>
      <c r="C236" s="102"/>
      <c r="D236" s="100"/>
      <c r="E236" s="100" t="s">
        <v>312</v>
      </c>
      <c r="F236" s="101" t="s">
        <v>313</v>
      </c>
      <c r="G236" s="108" t="s">
        <v>314</v>
      </c>
    </row>
    <row r="237" spans="1:8">
      <c r="A237" s="125"/>
      <c r="B237" s="875"/>
      <c r="C237" s="876"/>
      <c r="D237" s="87"/>
      <c r="E237" s="10"/>
      <c r="F237" s="80"/>
      <c r="G237" s="110"/>
    </row>
    <row r="238" spans="1:8">
      <c r="A238" s="123"/>
      <c r="B238" s="877"/>
      <c r="C238" s="878"/>
      <c r="D238" s="88"/>
      <c r="E238" s="53"/>
      <c r="F238" s="82"/>
      <c r="G238" s="111"/>
    </row>
    <row r="239" spans="1:8">
      <c r="B239" s="835"/>
      <c r="C239" s="836"/>
      <c r="D239" s="37"/>
      <c r="E239" s="55"/>
      <c r="F239" s="82"/>
      <c r="G239" s="111"/>
    </row>
    <row r="240" spans="1:8">
      <c r="B240" s="835"/>
      <c r="C240" s="836"/>
      <c r="D240" s="37"/>
      <c r="E240" s="55"/>
      <c r="F240" s="82"/>
      <c r="G240" s="111"/>
      <c r="H240" s="506" t="s">
        <v>1670</v>
      </c>
    </row>
    <row r="241" spans="2:7">
      <c r="B241" s="837"/>
      <c r="C241" s="838"/>
      <c r="D241" s="37"/>
      <c r="E241" s="55"/>
      <c r="F241" s="82"/>
      <c r="G241" s="111"/>
    </row>
    <row r="242" spans="2:7">
      <c r="B242" s="837"/>
      <c r="C242" s="838"/>
      <c r="D242" s="53" t="s">
        <v>841</v>
      </c>
      <c r="E242" s="53"/>
      <c r="F242" s="82"/>
      <c r="G242" s="111"/>
    </row>
    <row r="243" spans="2:7">
      <c r="B243" s="837" t="s">
        <v>841</v>
      </c>
      <c r="C243" s="838"/>
      <c r="D243" s="53" t="s">
        <v>841</v>
      </c>
      <c r="E243" s="53"/>
      <c r="F243" s="82"/>
      <c r="G243" s="111"/>
    </row>
    <row r="244" spans="2:7">
      <c r="B244" s="837" t="s">
        <v>841</v>
      </c>
      <c r="C244" s="838"/>
      <c r="D244" s="53" t="s">
        <v>841</v>
      </c>
      <c r="E244" s="53"/>
      <c r="F244" s="82"/>
      <c r="G244" s="111"/>
    </row>
    <row r="245" spans="2:7" ht="13.5" thickBot="1">
      <c r="B245" s="839" t="s">
        <v>841</v>
      </c>
      <c r="C245" s="840"/>
      <c r="D245" s="84" t="s">
        <v>841</v>
      </c>
      <c r="E245" s="84"/>
      <c r="F245" s="85"/>
      <c r="G245" s="112"/>
    </row>
    <row r="246" spans="2:7" ht="13.5" thickTop="1">
      <c r="B246" s="808"/>
      <c r="C246" s="809"/>
      <c r="D246" s="801" t="s">
        <v>856</v>
      </c>
      <c r="E246" s="802"/>
      <c r="F246" s="9"/>
      <c r="G246" s="113">
        <f>SUM(G237:G245)</f>
        <v>0</v>
      </c>
    </row>
    <row r="247" spans="2:7">
      <c r="B247" s="819"/>
      <c r="C247" s="820"/>
      <c r="D247" s="801" t="s">
        <v>857</v>
      </c>
      <c r="E247" s="802"/>
      <c r="F247" s="79">
        <f>'MANO DE OBRA'!D60</f>
        <v>0.05</v>
      </c>
      <c r="G247" s="113">
        <f>ROUND(G246*F247,0)</f>
        <v>0</v>
      </c>
    </row>
    <row r="248" spans="2:7" ht="13.5" thickBot="1">
      <c r="B248" s="819"/>
      <c r="C248" s="820"/>
      <c r="D248" s="803" t="s">
        <v>320</v>
      </c>
      <c r="E248" s="804"/>
      <c r="F248" s="114"/>
      <c r="G248" s="118">
        <f>+G246+G247</f>
        <v>0</v>
      </c>
    </row>
    <row r="249" spans="2:7" ht="14.25" thickTop="1" thickBot="1">
      <c r="B249" s="830"/>
      <c r="C249" s="830"/>
      <c r="D249" s="830"/>
      <c r="E249" s="830"/>
      <c r="F249" s="830"/>
      <c r="G249" s="830"/>
    </row>
    <row r="250" spans="2:7" ht="13.5" thickTop="1">
      <c r="B250" s="811" t="s">
        <v>858</v>
      </c>
      <c r="C250" s="812"/>
      <c r="D250" s="812"/>
      <c r="E250" s="812"/>
      <c r="F250" s="812"/>
      <c r="G250" s="825"/>
    </row>
    <row r="251" spans="2:7">
      <c r="B251" s="817"/>
      <c r="C251" s="818"/>
      <c r="D251" s="98" t="s">
        <v>301</v>
      </c>
      <c r="E251" s="98" t="s">
        <v>859</v>
      </c>
      <c r="F251" s="99" t="s">
        <v>839</v>
      </c>
      <c r="G251" s="107" t="s">
        <v>840</v>
      </c>
    </row>
    <row r="252" spans="2:7">
      <c r="B252" s="821" t="s">
        <v>838</v>
      </c>
      <c r="C252" s="822"/>
      <c r="D252" s="100" t="s">
        <v>316</v>
      </c>
      <c r="E252" s="100" t="s">
        <v>315</v>
      </c>
      <c r="F252" s="101" t="s">
        <v>306</v>
      </c>
      <c r="G252" s="108" t="s">
        <v>319</v>
      </c>
    </row>
    <row r="253" spans="2:7">
      <c r="B253" s="230"/>
      <c r="C253" s="102"/>
      <c r="D253" s="103"/>
      <c r="E253" s="103" t="s">
        <v>317</v>
      </c>
      <c r="F253" s="104" t="s">
        <v>318</v>
      </c>
      <c r="G253" s="109"/>
    </row>
    <row r="254" spans="2:7">
      <c r="B254" s="823" t="str">
        <f>'MANO DE OBRA'!B10</f>
        <v>AYUDANTE CUAD. TIPO AA</v>
      </c>
      <c r="C254" s="824"/>
      <c r="D254" s="87">
        <v>1</v>
      </c>
      <c r="E254" s="80">
        <f>'MANO DE OBRA'!E10</f>
        <v>34680</v>
      </c>
      <c r="F254" s="81">
        <v>3</v>
      </c>
      <c r="G254" s="110">
        <f>ROUND(D254*E254/F254,0)</f>
        <v>11560</v>
      </c>
    </row>
    <row r="255" spans="2:7">
      <c r="B255" s="835" t="str">
        <f>'MANO DE OBRA'!B15</f>
        <v xml:space="preserve">OFICIAL CUAD. TIPO AA </v>
      </c>
      <c r="C255" s="836"/>
      <c r="D255" s="37">
        <v>1</v>
      </c>
      <c r="E255" s="82">
        <f>'MANO DE OBRA'!E15</f>
        <v>71474</v>
      </c>
      <c r="F255" s="83">
        <v>3</v>
      </c>
      <c r="G255" s="111">
        <f>ROUND(D255*E255/F255,0)</f>
        <v>23825</v>
      </c>
    </row>
    <row r="256" spans="2:7">
      <c r="B256" s="835" t="str">
        <f>'MANO DE OBRA'!B14</f>
        <v>AYUDANTE PRACTICO</v>
      </c>
      <c r="C256" s="836"/>
      <c r="D256" s="37">
        <v>1</v>
      </c>
      <c r="E256" s="82">
        <f>'MANO DE OBRA'!E14</f>
        <v>43350</v>
      </c>
      <c r="F256" s="83">
        <v>4</v>
      </c>
      <c r="G256" s="111">
        <f>ROUND(D256*E256/F256,0)</f>
        <v>10838</v>
      </c>
    </row>
    <row r="257" spans="2:8">
      <c r="B257" s="835" t="s">
        <v>841</v>
      </c>
      <c r="C257" s="836"/>
      <c r="D257" s="37"/>
      <c r="E257" s="82"/>
      <c r="F257" s="83"/>
      <c r="G257" s="111"/>
    </row>
    <row r="258" spans="2:8" ht="13.5" thickBot="1">
      <c r="B258" s="828" t="s">
        <v>841</v>
      </c>
      <c r="C258" s="829"/>
      <c r="D258" s="77"/>
      <c r="E258" s="82"/>
      <c r="F258" s="86"/>
      <c r="G258" s="112"/>
    </row>
    <row r="259" spans="2:8" ht="14.25" thickTop="1" thickBot="1">
      <c r="B259" s="808"/>
      <c r="C259" s="808"/>
      <c r="D259" s="808"/>
      <c r="E259" s="809"/>
      <c r="F259" s="120" t="s">
        <v>856</v>
      </c>
      <c r="G259" s="118">
        <f>SUM(G254:G258)</f>
        <v>46223</v>
      </c>
    </row>
    <row r="260" spans="2:8" ht="14.25" thickTop="1" thickBot="1">
      <c r="B260" s="810"/>
      <c r="C260" s="810"/>
      <c r="D260" s="810"/>
      <c r="E260" s="810"/>
      <c r="F260" s="810"/>
      <c r="G260" s="810"/>
    </row>
    <row r="261" spans="2:8" ht="13.5" thickTop="1">
      <c r="B261" s="811" t="s">
        <v>321</v>
      </c>
      <c r="C261" s="812"/>
      <c r="D261" s="812"/>
      <c r="E261" s="812"/>
      <c r="F261" s="812"/>
      <c r="G261" s="825"/>
    </row>
    <row r="262" spans="2:8">
      <c r="B262" s="817" t="s">
        <v>838</v>
      </c>
      <c r="C262" s="818"/>
      <c r="D262" s="98" t="s">
        <v>301</v>
      </c>
      <c r="E262" s="98" t="s">
        <v>297</v>
      </c>
      <c r="F262" s="99" t="s">
        <v>839</v>
      </c>
      <c r="G262" s="107" t="s">
        <v>840</v>
      </c>
    </row>
    <row r="263" spans="2:8">
      <c r="B263" s="230"/>
      <c r="C263" s="102"/>
      <c r="D263" s="103" t="s">
        <v>322</v>
      </c>
      <c r="E263" s="103" t="s">
        <v>323</v>
      </c>
      <c r="F263" s="104" t="s">
        <v>324</v>
      </c>
      <c r="G263" s="109" t="s">
        <v>325</v>
      </c>
    </row>
    <row r="264" spans="2:8">
      <c r="B264" s="826"/>
      <c r="C264" s="827"/>
      <c r="D264" s="96"/>
      <c r="E264" s="96"/>
      <c r="F264" s="96"/>
      <c r="G264" s="116"/>
    </row>
    <row r="265" spans="2:8" ht="13.5" thickBot="1">
      <c r="B265" s="828" t="s">
        <v>841</v>
      </c>
      <c r="C265" s="829"/>
      <c r="D265" s="77"/>
      <c r="E265" s="82"/>
      <c r="F265" s="86"/>
      <c r="G265" s="112"/>
    </row>
    <row r="266" spans="2:8" ht="14.25" thickTop="1" thickBot="1">
      <c r="B266" s="808"/>
      <c r="C266" s="808"/>
      <c r="D266" s="808"/>
      <c r="E266" s="809"/>
      <c r="F266" s="120" t="s">
        <v>856</v>
      </c>
      <c r="G266" s="118">
        <f>SUM(G261:G265)</f>
        <v>0</v>
      </c>
    </row>
    <row r="267" spans="2:8" ht="14.25" thickTop="1" thickBot="1">
      <c r="B267" s="810"/>
      <c r="C267" s="810"/>
      <c r="D267" s="810"/>
      <c r="E267" s="810"/>
      <c r="F267" s="810"/>
      <c r="G267" s="834"/>
    </row>
    <row r="268" spans="2:8" ht="13.5" thickTop="1">
      <c r="B268" s="811" t="s">
        <v>326</v>
      </c>
      <c r="C268" s="812"/>
      <c r="D268" s="812"/>
      <c r="E268" s="812"/>
      <c r="F268" s="813"/>
      <c r="G268" s="121">
        <f>+G232+G248+G259</f>
        <v>135153</v>
      </c>
    </row>
    <row r="269" spans="2:8">
      <c r="B269" s="814" t="s">
        <v>861</v>
      </c>
      <c r="C269" s="815"/>
      <c r="D269" s="815"/>
      <c r="E269" s="816"/>
      <c r="F269" s="128">
        <f>'MANO DE OBRA'!D59</f>
        <v>0</v>
      </c>
      <c r="G269" s="122">
        <f>ROUND(G268*F269,0)</f>
        <v>0</v>
      </c>
    </row>
    <row r="270" spans="2:8" ht="13.5" thickBot="1">
      <c r="B270" s="805" t="s">
        <v>1049</v>
      </c>
      <c r="C270" s="806"/>
      <c r="D270" s="806"/>
      <c r="E270" s="806"/>
      <c r="F270" s="807"/>
      <c r="G270" s="118">
        <f>ROUND(G268+G269,-2)</f>
        <v>135200</v>
      </c>
      <c r="H270" s="506" t="s">
        <v>1670</v>
      </c>
    </row>
    <row r="271" spans="2:8" ht="15" thickTop="1">
      <c r="B271" s="225" t="s">
        <v>303</v>
      </c>
      <c r="C271" s="843"/>
      <c r="D271" s="843"/>
      <c r="E271" s="843"/>
      <c r="F271" s="92" t="s">
        <v>781</v>
      </c>
      <c r="G271" s="93" t="s">
        <v>1066</v>
      </c>
    </row>
    <row r="272" spans="2:8">
      <c r="B272" s="226" t="s">
        <v>834</v>
      </c>
      <c r="C272" s="844" t="s">
        <v>343</v>
      </c>
      <c r="D272" s="844"/>
      <c r="E272" s="844"/>
      <c r="F272" s="15" t="s">
        <v>833</v>
      </c>
      <c r="G272" s="165" t="str">
        <f>'MANO DE OBRA'!D61</f>
        <v>Agosto de 2010</v>
      </c>
    </row>
    <row r="273" spans="1:7" ht="13.5" thickBot="1">
      <c r="A273" s="127"/>
      <c r="B273" s="228" t="s">
        <v>835</v>
      </c>
      <c r="C273" s="845" t="s">
        <v>329</v>
      </c>
      <c r="D273" s="845"/>
      <c r="E273" s="845"/>
      <c r="F273" s="845"/>
      <c r="G273" s="846"/>
    </row>
    <row r="274" spans="1:7" ht="14.25" thickTop="1" thickBot="1">
      <c r="B274" s="847"/>
      <c r="C274" s="847"/>
      <c r="D274" s="847"/>
      <c r="E274" s="847"/>
      <c r="F274" s="847"/>
      <c r="G274" s="847"/>
    </row>
    <row r="275" spans="1:7" ht="13.5" thickTop="1">
      <c r="B275" s="811" t="s">
        <v>304</v>
      </c>
      <c r="C275" s="812"/>
      <c r="D275" s="812"/>
      <c r="E275" s="812"/>
      <c r="F275" s="812"/>
      <c r="G275" s="825"/>
    </row>
    <row r="276" spans="1:7">
      <c r="B276" s="229"/>
      <c r="C276" s="97"/>
      <c r="D276" s="98" t="s">
        <v>301</v>
      </c>
      <c r="E276" s="98" t="s">
        <v>1072</v>
      </c>
      <c r="F276" s="99" t="s">
        <v>839</v>
      </c>
      <c r="G276" s="107" t="s">
        <v>840</v>
      </c>
    </row>
    <row r="277" spans="1:7">
      <c r="B277" s="821" t="s">
        <v>838</v>
      </c>
      <c r="C277" s="822"/>
      <c r="D277" s="100" t="s">
        <v>308</v>
      </c>
      <c r="E277" s="100" t="s">
        <v>305</v>
      </c>
      <c r="F277" s="101" t="s">
        <v>306</v>
      </c>
      <c r="G277" s="108" t="s">
        <v>310</v>
      </c>
    </row>
    <row r="278" spans="1:7">
      <c r="B278" s="230"/>
      <c r="C278" s="102"/>
      <c r="D278" s="103"/>
      <c r="E278" s="103" t="s">
        <v>309</v>
      </c>
      <c r="F278" s="104" t="s">
        <v>307</v>
      </c>
      <c r="G278" s="109"/>
    </row>
    <row r="279" spans="1:7">
      <c r="A279" s="127"/>
      <c r="B279" s="823" t="str">
        <f>'MAQUINARIA Y EQUIPOS'!C28</f>
        <v>HERRAMIENTAS MENORES</v>
      </c>
      <c r="C279" s="824"/>
      <c r="D279" s="87">
        <v>1</v>
      </c>
      <c r="E279" s="82">
        <f>ROUND(G312*0.05,0)</f>
        <v>2311</v>
      </c>
      <c r="F279" s="81">
        <v>3</v>
      </c>
      <c r="G279" s="110">
        <f>ROUND(D279*E279/F279,0)</f>
        <v>770</v>
      </c>
    </row>
    <row r="280" spans="1:7">
      <c r="B280" s="835" t="str">
        <f>'MAQUINARIA Y EQUIPOS'!C17</f>
        <v xml:space="preserve">COMPRESOR </v>
      </c>
      <c r="C280" s="836"/>
      <c r="D280" s="37">
        <v>1</v>
      </c>
      <c r="E280" s="129">
        <f>'MAQUINARIA Y EQUIPOS'!D17</f>
        <v>301600</v>
      </c>
      <c r="F280" s="83">
        <v>4</v>
      </c>
      <c r="G280" s="111">
        <f>ROUND(D280*E280/F280,0)</f>
        <v>75400</v>
      </c>
    </row>
    <row r="281" spans="1:7">
      <c r="B281" s="835" t="str">
        <f>'MAQUINARIA Y EQUIPOS'!C32</f>
        <v>MARTILLO PARA COMPRESOR</v>
      </c>
      <c r="C281" s="836"/>
      <c r="D281" s="37">
        <v>1</v>
      </c>
      <c r="E281" s="129">
        <f>'MAQUINARIA Y EQUIPOS'!D32</f>
        <v>51040</v>
      </c>
      <c r="F281" s="83">
        <v>4</v>
      </c>
      <c r="G281" s="111">
        <f>ROUND(D281*E281/F281,0)</f>
        <v>12760</v>
      </c>
    </row>
    <row r="282" spans="1:7">
      <c r="B282" s="835" t="str">
        <f>'MAQUINARIA Y EQUIPOS'!C60</f>
        <v>VOLQUETA</v>
      </c>
      <c r="C282" s="836"/>
      <c r="D282" s="37">
        <v>1</v>
      </c>
      <c r="E282" s="129">
        <f>'MAQUINARIA Y EQUIPOS'!D60</f>
        <v>57800</v>
      </c>
      <c r="F282" s="83">
        <v>35</v>
      </c>
      <c r="G282" s="111">
        <f>ROUND(D282*E282/F282,0)</f>
        <v>1651</v>
      </c>
    </row>
    <row r="283" spans="1:7">
      <c r="B283" s="835" t="s">
        <v>841</v>
      </c>
      <c r="C283" s="836"/>
      <c r="D283" s="37"/>
      <c r="E283" s="82"/>
      <c r="F283" s="83"/>
      <c r="G283" s="111"/>
    </row>
    <row r="284" spans="1:7" ht="13.5" thickBot="1">
      <c r="B284" s="839" t="s">
        <v>841</v>
      </c>
      <c r="C284" s="840"/>
      <c r="D284" s="77"/>
      <c r="E284" s="106"/>
      <c r="F284" s="86"/>
      <c r="G284" s="112"/>
    </row>
    <row r="285" spans="1:7" ht="14.25" thickTop="1" thickBot="1">
      <c r="B285" s="808"/>
      <c r="C285" s="808"/>
      <c r="D285" s="808"/>
      <c r="E285" s="809"/>
      <c r="F285" s="119" t="s">
        <v>856</v>
      </c>
      <c r="G285" s="118">
        <f>SUM(G279:G284)</f>
        <v>90581</v>
      </c>
    </row>
    <row r="286" spans="1:7" ht="14.25" thickTop="1" thickBot="1">
      <c r="B286" s="830"/>
      <c r="C286" s="830"/>
      <c r="D286" s="830"/>
      <c r="E286" s="830"/>
      <c r="F286" s="830"/>
      <c r="G286" s="830"/>
    </row>
    <row r="287" spans="1:7" ht="13.5" thickTop="1">
      <c r="B287" s="811" t="s">
        <v>311</v>
      </c>
      <c r="C287" s="812"/>
      <c r="D287" s="812"/>
      <c r="E287" s="812"/>
      <c r="F287" s="812"/>
      <c r="G287" s="825"/>
    </row>
    <row r="288" spans="1:7">
      <c r="B288" s="817" t="s">
        <v>838</v>
      </c>
      <c r="C288" s="818"/>
      <c r="D288" s="98" t="s">
        <v>842</v>
      </c>
      <c r="E288" s="98" t="s">
        <v>853</v>
      </c>
      <c r="F288" s="99" t="s">
        <v>1047</v>
      </c>
      <c r="G288" s="107" t="s">
        <v>840</v>
      </c>
    </row>
    <row r="289" spans="1:8">
      <c r="B289" s="230"/>
      <c r="C289" s="102"/>
      <c r="D289" s="100"/>
      <c r="E289" s="100" t="s">
        <v>312</v>
      </c>
      <c r="F289" s="101" t="s">
        <v>313</v>
      </c>
      <c r="G289" s="108" t="s">
        <v>314</v>
      </c>
    </row>
    <row r="290" spans="1:8">
      <c r="A290" s="125"/>
      <c r="B290" s="875"/>
      <c r="C290" s="876"/>
      <c r="D290" s="87"/>
      <c r="E290" s="10"/>
      <c r="F290" s="80"/>
      <c r="G290" s="110"/>
    </row>
    <row r="291" spans="1:8">
      <c r="A291" s="123"/>
      <c r="B291" s="877"/>
      <c r="C291" s="878"/>
      <c r="D291" s="88"/>
      <c r="E291" s="53"/>
      <c r="F291" s="82"/>
      <c r="G291" s="111"/>
    </row>
    <row r="292" spans="1:8">
      <c r="B292" s="835"/>
      <c r="C292" s="836"/>
      <c r="D292" s="37"/>
      <c r="E292" s="55"/>
      <c r="F292" s="82"/>
      <c r="G292" s="111"/>
    </row>
    <row r="293" spans="1:8">
      <c r="B293" s="835"/>
      <c r="C293" s="836"/>
      <c r="D293" s="37"/>
      <c r="E293" s="55"/>
      <c r="F293" s="82"/>
      <c r="G293" s="111"/>
    </row>
    <row r="294" spans="1:8">
      <c r="B294" s="837"/>
      <c r="C294" s="838"/>
      <c r="D294" s="37"/>
      <c r="E294" s="55"/>
      <c r="F294" s="82"/>
      <c r="G294" s="111"/>
      <c r="H294" s="506" t="s">
        <v>1670</v>
      </c>
    </row>
    <row r="295" spans="1:8">
      <c r="B295" s="837"/>
      <c r="C295" s="838"/>
      <c r="D295" s="53" t="s">
        <v>841</v>
      </c>
      <c r="E295" s="53"/>
      <c r="F295" s="82"/>
      <c r="G295" s="111"/>
    </row>
    <row r="296" spans="1:8">
      <c r="B296" s="837" t="s">
        <v>841</v>
      </c>
      <c r="C296" s="838"/>
      <c r="D296" s="53" t="s">
        <v>841</v>
      </c>
      <c r="E296" s="53"/>
      <c r="F296" s="82"/>
      <c r="G296" s="111"/>
    </row>
    <row r="297" spans="1:8">
      <c r="B297" s="837" t="s">
        <v>841</v>
      </c>
      <c r="C297" s="838"/>
      <c r="D297" s="53" t="s">
        <v>841</v>
      </c>
      <c r="E297" s="53"/>
      <c r="F297" s="82"/>
      <c r="G297" s="111"/>
    </row>
    <row r="298" spans="1:8" ht="13.5" thickBot="1">
      <c r="B298" s="839" t="s">
        <v>841</v>
      </c>
      <c r="C298" s="840"/>
      <c r="D298" s="84" t="s">
        <v>841</v>
      </c>
      <c r="E298" s="84"/>
      <c r="F298" s="85"/>
      <c r="G298" s="112"/>
    </row>
    <row r="299" spans="1:8" ht="13.5" thickTop="1">
      <c r="B299" s="808"/>
      <c r="C299" s="809"/>
      <c r="D299" s="801" t="s">
        <v>856</v>
      </c>
      <c r="E299" s="802"/>
      <c r="F299" s="9"/>
      <c r="G299" s="113">
        <f>SUM(G290:G298)</f>
        <v>0</v>
      </c>
    </row>
    <row r="300" spans="1:8">
      <c r="B300" s="819"/>
      <c r="C300" s="820"/>
      <c r="D300" s="801" t="s">
        <v>857</v>
      </c>
      <c r="E300" s="802"/>
      <c r="F300" s="79">
        <f>'MANO DE OBRA'!D60</f>
        <v>0.05</v>
      </c>
      <c r="G300" s="113">
        <f>ROUND(G299*F300,0)</f>
        <v>0</v>
      </c>
    </row>
    <row r="301" spans="1:8" ht="13.5" thickBot="1">
      <c r="B301" s="819"/>
      <c r="C301" s="820"/>
      <c r="D301" s="803" t="s">
        <v>320</v>
      </c>
      <c r="E301" s="804"/>
      <c r="F301" s="114"/>
      <c r="G301" s="118">
        <f>+G299+G300</f>
        <v>0</v>
      </c>
    </row>
    <row r="302" spans="1:8" ht="14.25" thickTop="1" thickBot="1">
      <c r="B302" s="830"/>
      <c r="C302" s="830"/>
      <c r="D302" s="830"/>
      <c r="E302" s="830"/>
      <c r="F302" s="830"/>
      <c r="G302" s="830"/>
    </row>
    <row r="303" spans="1:8" ht="13.5" thickTop="1">
      <c r="B303" s="811" t="s">
        <v>858</v>
      </c>
      <c r="C303" s="812"/>
      <c r="D303" s="812"/>
      <c r="E303" s="812"/>
      <c r="F303" s="812"/>
      <c r="G303" s="825"/>
    </row>
    <row r="304" spans="1:8">
      <c r="B304" s="817"/>
      <c r="C304" s="818"/>
      <c r="D304" s="98" t="s">
        <v>301</v>
      </c>
      <c r="E304" s="98" t="s">
        <v>859</v>
      </c>
      <c r="F304" s="99" t="s">
        <v>839</v>
      </c>
      <c r="G304" s="107" t="s">
        <v>840</v>
      </c>
    </row>
    <row r="305" spans="2:7">
      <c r="B305" s="821" t="s">
        <v>838</v>
      </c>
      <c r="C305" s="822"/>
      <c r="D305" s="100" t="s">
        <v>316</v>
      </c>
      <c r="E305" s="100" t="s">
        <v>315</v>
      </c>
      <c r="F305" s="101" t="s">
        <v>306</v>
      </c>
      <c r="G305" s="108" t="s">
        <v>319</v>
      </c>
    </row>
    <row r="306" spans="2:7">
      <c r="B306" s="230"/>
      <c r="C306" s="102"/>
      <c r="D306" s="103"/>
      <c r="E306" s="103" t="s">
        <v>317</v>
      </c>
      <c r="F306" s="104" t="s">
        <v>318</v>
      </c>
      <c r="G306" s="109"/>
    </row>
    <row r="307" spans="2:7">
      <c r="B307" s="823" t="str">
        <f>'MANO DE OBRA'!B10</f>
        <v>AYUDANTE CUAD. TIPO AA</v>
      </c>
      <c r="C307" s="824"/>
      <c r="D307" s="87">
        <v>1</v>
      </c>
      <c r="E307" s="80">
        <f>'MANO DE OBRA'!E10</f>
        <v>34680</v>
      </c>
      <c r="F307" s="81">
        <v>3</v>
      </c>
      <c r="G307" s="110">
        <f>ROUND(D307*E307/F307,0)</f>
        <v>11560</v>
      </c>
    </row>
    <row r="308" spans="2:7">
      <c r="B308" s="835" t="str">
        <f>'MANO DE OBRA'!B15</f>
        <v xml:space="preserve">OFICIAL CUAD. TIPO AA </v>
      </c>
      <c r="C308" s="836"/>
      <c r="D308" s="37">
        <v>1</v>
      </c>
      <c r="E308" s="82">
        <f>'MANO DE OBRA'!E15</f>
        <v>71474</v>
      </c>
      <c r="F308" s="83">
        <v>3</v>
      </c>
      <c r="G308" s="111">
        <f>ROUND(D308*E308/F308,0)</f>
        <v>23825</v>
      </c>
    </row>
    <row r="309" spans="2:7">
      <c r="B309" s="835" t="str">
        <f>'MANO DE OBRA'!B14</f>
        <v>AYUDANTE PRACTICO</v>
      </c>
      <c r="C309" s="836"/>
      <c r="D309" s="37">
        <v>1</v>
      </c>
      <c r="E309" s="82">
        <f>'MANO DE OBRA'!E14</f>
        <v>43350</v>
      </c>
      <c r="F309" s="83">
        <v>4</v>
      </c>
      <c r="G309" s="111">
        <f>ROUND(D309*E309/F309,0)</f>
        <v>10838</v>
      </c>
    </row>
    <row r="310" spans="2:7">
      <c r="B310" s="835" t="s">
        <v>841</v>
      </c>
      <c r="C310" s="836"/>
      <c r="D310" s="37"/>
      <c r="E310" s="82"/>
      <c r="F310" s="83"/>
      <c r="G310" s="111"/>
    </row>
    <row r="311" spans="2:7" ht="13.5" thickBot="1">
      <c r="B311" s="828" t="s">
        <v>841</v>
      </c>
      <c r="C311" s="829"/>
      <c r="D311" s="77"/>
      <c r="E311" s="82"/>
      <c r="F311" s="86"/>
      <c r="G311" s="112"/>
    </row>
    <row r="312" spans="2:7" ht="14.25" thickTop="1" thickBot="1">
      <c r="B312" s="808"/>
      <c r="C312" s="808"/>
      <c r="D312" s="808"/>
      <c r="E312" s="809"/>
      <c r="F312" s="120" t="s">
        <v>856</v>
      </c>
      <c r="G312" s="118">
        <f>SUM(G307:G311)</f>
        <v>46223</v>
      </c>
    </row>
    <row r="313" spans="2:7" ht="14.25" thickTop="1" thickBot="1">
      <c r="B313" s="810"/>
      <c r="C313" s="810"/>
      <c r="D313" s="810"/>
      <c r="E313" s="810"/>
      <c r="F313" s="810"/>
      <c r="G313" s="810"/>
    </row>
    <row r="314" spans="2:7" ht="13.5" thickTop="1">
      <c r="B314" s="811" t="s">
        <v>321</v>
      </c>
      <c r="C314" s="812"/>
      <c r="D314" s="812"/>
      <c r="E314" s="812"/>
      <c r="F314" s="812"/>
      <c r="G314" s="825"/>
    </row>
    <row r="315" spans="2:7">
      <c r="B315" s="817" t="s">
        <v>838</v>
      </c>
      <c r="C315" s="818"/>
      <c r="D315" s="98" t="s">
        <v>301</v>
      </c>
      <c r="E315" s="98" t="s">
        <v>297</v>
      </c>
      <c r="F315" s="99" t="s">
        <v>839</v>
      </c>
      <c r="G315" s="107" t="s">
        <v>840</v>
      </c>
    </row>
    <row r="316" spans="2:7">
      <c r="B316" s="230"/>
      <c r="C316" s="102"/>
      <c r="D316" s="103" t="s">
        <v>322</v>
      </c>
      <c r="E316" s="103" t="s">
        <v>323</v>
      </c>
      <c r="F316" s="104" t="s">
        <v>324</v>
      </c>
      <c r="G316" s="109" t="s">
        <v>325</v>
      </c>
    </row>
    <row r="317" spans="2:7">
      <c r="B317" s="826"/>
      <c r="C317" s="827"/>
      <c r="D317" s="96"/>
      <c r="E317" s="96"/>
      <c r="F317" s="96"/>
      <c r="G317" s="116"/>
    </row>
    <row r="318" spans="2:7" ht="13.5" thickBot="1">
      <c r="B318" s="828" t="s">
        <v>841</v>
      </c>
      <c r="C318" s="829"/>
      <c r="D318" s="77"/>
      <c r="E318" s="82"/>
      <c r="F318" s="86"/>
      <c r="G318" s="112"/>
    </row>
    <row r="319" spans="2:7" ht="14.25" thickTop="1" thickBot="1">
      <c r="B319" s="808"/>
      <c r="C319" s="808"/>
      <c r="D319" s="808"/>
      <c r="E319" s="809"/>
      <c r="F319" s="120" t="s">
        <v>856</v>
      </c>
      <c r="G319" s="118">
        <f>SUM(G314:G318)</f>
        <v>0</v>
      </c>
    </row>
    <row r="320" spans="2:7" ht="14.25" thickTop="1" thickBot="1">
      <c r="B320" s="810"/>
      <c r="C320" s="810"/>
      <c r="D320" s="810"/>
      <c r="E320" s="810"/>
      <c r="F320" s="810"/>
      <c r="G320" s="834"/>
    </row>
    <row r="321" spans="1:8" ht="13.5" thickTop="1">
      <c r="B321" s="811" t="s">
        <v>326</v>
      </c>
      <c r="C321" s="812"/>
      <c r="D321" s="812"/>
      <c r="E321" s="812"/>
      <c r="F321" s="813"/>
      <c r="G321" s="121">
        <f>+G285+G301+G312</f>
        <v>136804</v>
      </c>
    </row>
    <row r="322" spans="1:8">
      <c r="B322" s="814" t="s">
        <v>861</v>
      </c>
      <c r="C322" s="815"/>
      <c r="D322" s="815"/>
      <c r="E322" s="816"/>
      <c r="F322" s="128">
        <f>'MANO DE OBRA'!D59</f>
        <v>0</v>
      </c>
      <c r="G322" s="122">
        <f>ROUND(G321*F322,0)</f>
        <v>0</v>
      </c>
    </row>
    <row r="323" spans="1:8" ht="13.5" thickBot="1">
      <c r="B323" s="805" t="s">
        <v>1049</v>
      </c>
      <c r="C323" s="806"/>
      <c r="D323" s="806"/>
      <c r="E323" s="806"/>
      <c r="F323" s="807"/>
      <c r="G323" s="118">
        <f>ROUND(G321+G322,-2)</f>
        <v>136800</v>
      </c>
      <c r="H323" s="506" t="s">
        <v>1670</v>
      </c>
    </row>
    <row r="324" spans="1:8" ht="15" thickTop="1">
      <c r="B324" s="225" t="s">
        <v>303</v>
      </c>
      <c r="C324" s="843"/>
      <c r="D324" s="843"/>
      <c r="E324" s="843"/>
      <c r="F324" s="92" t="s">
        <v>781</v>
      </c>
      <c r="G324" s="93" t="s">
        <v>1067</v>
      </c>
    </row>
    <row r="325" spans="1:8">
      <c r="B325" s="226" t="s">
        <v>834</v>
      </c>
      <c r="C325" s="844" t="s">
        <v>343</v>
      </c>
      <c r="D325" s="844"/>
      <c r="E325" s="844"/>
      <c r="F325" s="15" t="s">
        <v>833</v>
      </c>
      <c r="G325" s="165" t="str">
        <f>'MANO DE OBRA'!$D$61</f>
        <v>Agosto de 2010</v>
      </c>
    </row>
    <row r="326" spans="1:8" ht="13.5" thickBot="1">
      <c r="A326" s="127"/>
      <c r="B326" s="228" t="s">
        <v>835</v>
      </c>
      <c r="C326" s="845" t="s">
        <v>1256</v>
      </c>
      <c r="D326" s="845"/>
      <c r="E326" s="845"/>
      <c r="F326" s="845"/>
      <c r="G326" s="846"/>
    </row>
    <row r="327" spans="1:8" ht="14.25" thickTop="1" thickBot="1">
      <c r="B327" s="847"/>
      <c r="C327" s="847"/>
      <c r="D327" s="847"/>
      <c r="E327" s="847"/>
      <c r="F327" s="847"/>
      <c r="G327" s="847"/>
    </row>
    <row r="328" spans="1:8" ht="13.5" thickTop="1">
      <c r="B328" s="811" t="s">
        <v>304</v>
      </c>
      <c r="C328" s="812"/>
      <c r="D328" s="812"/>
      <c r="E328" s="812"/>
      <c r="F328" s="812"/>
      <c r="G328" s="825"/>
    </row>
    <row r="329" spans="1:8">
      <c r="B329" s="229"/>
      <c r="C329" s="97"/>
      <c r="D329" s="98" t="s">
        <v>301</v>
      </c>
      <c r="E329" s="98" t="s">
        <v>1072</v>
      </c>
      <c r="F329" s="99" t="s">
        <v>839</v>
      </c>
      <c r="G329" s="107" t="s">
        <v>840</v>
      </c>
    </row>
    <row r="330" spans="1:8">
      <c r="B330" s="821" t="s">
        <v>838</v>
      </c>
      <c r="C330" s="822"/>
      <c r="D330" s="100" t="s">
        <v>308</v>
      </c>
      <c r="E330" s="100" t="s">
        <v>305</v>
      </c>
      <c r="F330" s="101" t="s">
        <v>306</v>
      </c>
      <c r="G330" s="108" t="s">
        <v>310</v>
      </c>
    </row>
    <row r="331" spans="1:8">
      <c r="B331" s="230"/>
      <c r="C331" s="102"/>
      <c r="D331" s="103"/>
      <c r="E331" s="103" t="s">
        <v>309</v>
      </c>
      <c r="F331" s="104" t="s">
        <v>307</v>
      </c>
      <c r="G331" s="109"/>
    </row>
    <row r="332" spans="1:8">
      <c r="A332" s="127"/>
      <c r="B332" s="823" t="str">
        <f>'MAQUINARIA Y EQUIPOS'!$C$28</f>
        <v>HERRAMIENTAS MENORES</v>
      </c>
      <c r="C332" s="824"/>
      <c r="D332" s="87">
        <v>1</v>
      </c>
      <c r="E332" s="82">
        <f>ROUND(G365*0.25,0)</f>
        <v>1475</v>
      </c>
      <c r="F332" s="81">
        <v>1</v>
      </c>
      <c r="G332" s="110">
        <f>ROUND(D332*E332/F332,0)</f>
        <v>1475</v>
      </c>
    </row>
    <row r="333" spans="1:8">
      <c r="B333" s="835" t="str">
        <f>'MAQUINARIA Y EQUIPOS'!C60</f>
        <v>VOLQUETA</v>
      </c>
      <c r="C333" s="836"/>
      <c r="D333" s="37">
        <v>1</v>
      </c>
      <c r="E333" s="129">
        <f>'MAQUINARIA Y EQUIPOS'!D60</f>
        <v>57800</v>
      </c>
      <c r="F333" s="53">
        <v>180</v>
      </c>
      <c r="G333" s="111">
        <f>ROUND(D333*E333/F333,0)</f>
        <v>321</v>
      </c>
    </row>
    <row r="334" spans="1:8">
      <c r="B334" s="835"/>
      <c r="C334" s="836"/>
      <c r="D334" s="37"/>
      <c r="E334" s="129"/>
      <c r="F334" s="53"/>
      <c r="G334" s="111"/>
    </row>
    <row r="335" spans="1:8">
      <c r="B335" s="835"/>
      <c r="C335" s="836"/>
      <c r="D335" s="37"/>
      <c r="E335" s="129"/>
      <c r="F335" s="53"/>
      <c r="G335" s="111"/>
    </row>
    <row r="336" spans="1:8">
      <c r="B336" s="835" t="s">
        <v>841</v>
      </c>
      <c r="C336" s="836"/>
      <c r="D336" s="37"/>
      <c r="E336" s="82"/>
      <c r="F336" s="83"/>
      <c r="G336" s="111"/>
    </row>
    <row r="337" spans="1:8" ht="13.5" thickBot="1">
      <c r="B337" s="839" t="s">
        <v>841</v>
      </c>
      <c r="C337" s="840"/>
      <c r="D337" s="77"/>
      <c r="E337" s="106"/>
      <c r="F337" s="86"/>
      <c r="G337" s="112"/>
    </row>
    <row r="338" spans="1:8" ht="14.25" thickTop="1" thickBot="1">
      <c r="B338" s="808"/>
      <c r="C338" s="808"/>
      <c r="D338" s="808"/>
      <c r="E338" s="809"/>
      <c r="F338" s="119" t="s">
        <v>856</v>
      </c>
      <c r="G338" s="118">
        <f>SUM(G332:G337)</f>
        <v>1796</v>
      </c>
    </row>
    <row r="339" spans="1:8" ht="14.25" thickTop="1" thickBot="1">
      <c r="B339" s="830"/>
      <c r="C339" s="830"/>
      <c r="D339" s="830"/>
      <c r="E339" s="830"/>
      <c r="F339" s="830"/>
      <c r="G339" s="830"/>
    </row>
    <row r="340" spans="1:8" ht="13.5" thickTop="1">
      <c r="B340" s="811" t="s">
        <v>311</v>
      </c>
      <c r="C340" s="812"/>
      <c r="D340" s="812"/>
      <c r="E340" s="812"/>
      <c r="F340" s="812"/>
      <c r="G340" s="825"/>
    </row>
    <row r="341" spans="1:8">
      <c r="B341" s="817" t="s">
        <v>838</v>
      </c>
      <c r="C341" s="818"/>
      <c r="D341" s="98" t="s">
        <v>842</v>
      </c>
      <c r="E341" s="98" t="s">
        <v>853</v>
      </c>
      <c r="F341" s="99" t="s">
        <v>1047</v>
      </c>
      <c r="G341" s="107" t="s">
        <v>840</v>
      </c>
    </row>
    <row r="342" spans="1:8">
      <c r="B342" s="230"/>
      <c r="C342" s="102"/>
      <c r="D342" s="100"/>
      <c r="E342" s="100" t="s">
        <v>312</v>
      </c>
      <c r="F342" s="101" t="s">
        <v>313</v>
      </c>
      <c r="G342" s="108" t="s">
        <v>314</v>
      </c>
    </row>
    <row r="343" spans="1:8">
      <c r="A343" s="125"/>
      <c r="B343" s="875"/>
      <c r="C343" s="876"/>
      <c r="D343" s="87"/>
      <c r="E343" s="10"/>
      <c r="F343" s="80"/>
      <c r="G343" s="110"/>
    </row>
    <row r="344" spans="1:8">
      <c r="A344" s="123"/>
      <c r="B344" s="877"/>
      <c r="C344" s="878"/>
      <c r="D344" s="88"/>
      <c r="E344" s="53"/>
      <c r="F344" s="82"/>
      <c r="G344" s="111"/>
    </row>
    <row r="345" spans="1:8">
      <c r="B345" s="835"/>
      <c r="C345" s="836"/>
      <c r="D345" s="37"/>
      <c r="E345" s="55"/>
      <c r="F345" s="82"/>
      <c r="G345" s="111"/>
    </row>
    <row r="346" spans="1:8">
      <c r="B346" s="835"/>
      <c r="C346" s="836"/>
      <c r="D346" s="37"/>
      <c r="E346" s="55"/>
      <c r="F346" s="82"/>
      <c r="G346" s="111"/>
    </row>
    <row r="347" spans="1:8">
      <c r="B347" s="837"/>
      <c r="C347" s="838"/>
      <c r="D347" s="37"/>
      <c r="E347" s="55"/>
      <c r="F347" s="82"/>
      <c r="G347" s="111"/>
      <c r="H347" s="506" t="s">
        <v>1670</v>
      </c>
    </row>
    <row r="348" spans="1:8">
      <c r="B348" s="837"/>
      <c r="C348" s="838"/>
      <c r="D348" s="53" t="s">
        <v>841</v>
      </c>
      <c r="E348" s="53"/>
      <c r="F348" s="82"/>
      <c r="G348" s="111"/>
    </row>
    <row r="349" spans="1:8">
      <c r="B349" s="837" t="s">
        <v>841</v>
      </c>
      <c r="C349" s="838"/>
      <c r="D349" s="53" t="s">
        <v>841</v>
      </c>
      <c r="E349" s="53"/>
      <c r="F349" s="82"/>
      <c r="G349" s="111"/>
    </row>
    <row r="350" spans="1:8">
      <c r="B350" s="837" t="s">
        <v>841</v>
      </c>
      <c r="C350" s="838"/>
      <c r="D350" s="53" t="s">
        <v>841</v>
      </c>
      <c r="E350" s="53"/>
      <c r="F350" s="82"/>
      <c r="G350" s="111"/>
    </row>
    <row r="351" spans="1:8" ht="13.5" thickBot="1">
      <c r="B351" s="839" t="s">
        <v>841</v>
      </c>
      <c r="C351" s="840"/>
      <c r="D351" s="84" t="s">
        <v>841</v>
      </c>
      <c r="E351" s="84"/>
      <c r="F351" s="85"/>
      <c r="G351" s="112"/>
    </row>
    <row r="352" spans="1:8" ht="13.5" thickTop="1">
      <c r="B352" s="808"/>
      <c r="C352" s="809"/>
      <c r="D352" s="801" t="s">
        <v>856</v>
      </c>
      <c r="E352" s="802"/>
      <c r="F352" s="9"/>
      <c r="G352" s="113">
        <f>SUM(G343:G351)</f>
        <v>0</v>
      </c>
    </row>
    <row r="353" spans="2:7">
      <c r="B353" s="819"/>
      <c r="C353" s="820"/>
      <c r="D353" s="801" t="s">
        <v>857</v>
      </c>
      <c r="E353" s="802"/>
      <c r="F353" s="79">
        <f>'MANO DE OBRA'!$D$60</f>
        <v>0.05</v>
      </c>
      <c r="G353" s="113">
        <f>ROUND(G352*F353,0)</f>
        <v>0</v>
      </c>
    </row>
    <row r="354" spans="2:7" ht="13.5" thickBot="1">
      <c r="B354" s="819"/>
      <c r="C354" s="820"/>
      <c r="D354" s="803" t="s">
        <v>320</v>
      </c>
      <c r="E354" s="804"/>
      <c r="F354" s="114"/>
      <c r="G354" s="118">
        <f>+G352+G353</f>
        <v>0</v>
      </c>
    </row>
    <row r="355" spans="2:7" ht="14.25" thickTop="1" thickBot="1">
      <c r="B355" s="830"/>
      <c r="C355" s="830"/>
      <c r="D355" s="830"/>
      <c r="E355" s="830"/>
      <c r="F355" s="830"/>
      <c r="G355" s="830"/>
    </row>
    <row r="356" spans="2:7" ht="13.5" thickTop="1">
      <c r="B356" s="811" t="s">
        <v>858</v>
      </c>
      <c r="C356" s="812"/>
      <c r="D356" s="812"/>
      <c r="E356" s="812"/>
      <c r="F356" s="812"/>
      <c r="G356" s="825"/>
    </row>
    <row r="357" spans="2:7">
      <c r="B357" s="817"/>
      <c r="C357" s="818"/>
      <c r="D357" s="98" t="s">
        <v>301</v>
      </c>
      <c r="E357" s="98" t="s">
        <v>859</v>
      </c>
      <c r="F357" s="99" t="s">
        <v>839</v>
      </c>
      <c r="G357" s="107" t="s">
        <v>840</v>
      </c>
    </row>
    <row r="358" spans="2:7">
      <c r="B358" s="821" t="s">
        <v>838</v>
      </c>
      <c r="C358" s="822"/>
      <c r="D358" s="100" t="s">
        <v>316</v>
      </c>
      <c r="E358" s="100" t="s">
        <v>315</v>
      </c>
      <c r="F358" s="101" t="s">
        <v>306</v>
      </c>
      <c r="G358" s="108" t="s">
        <v>319</v>
      </c>
    </row>
    <row r="359" spans="2:7">
      <c r="B359" s="230"/>
      <c r="C359" s="102"/>
      <c r="D359" s="103"/>
      <c r="E359" s="103" t="s">
        <v>317</v>
      </c>
      <c r="F359" s="104" t="s">
        <v>318</v>
      </c>
      <c r="G359" s="109"/>
    </row>
    <row r="360" spans="2:7">
      <c r="B360" s="823" t="str">
        <f>'MANO DE OBRA'!$B$10</f>
        <v>AYUDANTE CUAD. TIPO AA</v>
      </c>
      <c r="C360" s="824"/>
      <c r="D360" s="87">
        <v>1</v>
      </c>
      <c r="E360" s="80">
        <f>'MANO DE OBRA'!$E$10</f>
        <v>34680</v>
      </c>
      <c r="F360" s="81">
        <v>18</v>
      </c>
      <c r="G360" s="110">
        <f>ROUND(D360*E360/F360,0)</f>
        <v>1927</v>
      </c>
    </row>
    <row r="361" spans="2:7">
      <c r="B361" s="835" t="str">
        <f>'MANO DE OBRA'!$B$15</f>
        <v xml:space="preserve">OFICIAL CUAD. TIPO AA </v>
      </c>
      <c r="C361" s="836"/>
      <c r="D361" s="37">
        <v>1</v>
      </c>
      <c r="E361" s="82">
        <f>'MANO DE OBRA'!$E$15</f>
        <v>71474</v>
      </c>
      <c r="F361" s="83">
        <v>18</v>
      </c>
      <c r="G361" s="111">
        <f>ROUND(D361*E361/F361,0)</f>
        <v>3971</v>
      </c>
    </row>
    <row r="362" spans="2:7">
      <c r="B362" s="835"/>
      <c r="C362" s="836"/>
      <c r="D362" s="37"/>
      <c r="E362" s="82"/>
      <c r="F362" s="83"/>
      <c r="G362" s="111"/>
    </row>
    <row r="363" spans="2:7">
      <c r="B363" s="835" t="s">
        <v>841</v>
      </c>
      <c r="C363" s="836"/>
      <c r="D363" s="37"/>
      <c r="E363" s="82"/>
      <c r="F363" s="83"/>
      <c r="G363" s="111"/>
    </row>
    <row r="364" spans="2:7" ht="13.5" thickBot="1">
      <c r="B364" s="828" t="s">
        <v>841</v>
      </c>
      <c r="C364" s="829"/>
      <c r="D364" s="77"/>
      <c r="E364" s="82"/>
      <c r="F364" s="86"/>
      <c r="G364" s="112"/>
    </row>
    <row r="365" spans="2:7" ht="14.25" thickTop="1" thickBot="1">
      <c r="B365" s="808"/>
      <c r="C365" s="808"/>
      <c r="D365" s="808"/>
      <c r="E365" s="809"/>
      <c r="F365" s="120" t="s">
        <v>856</v>
      </c>
      <c r="G365" s="118">
        <f>SUM(G360:G364)</f>
        <v>5898</v>
      </c>
    </row>
    <row r="366" spans="2:7" ht="14.25" thickTop="1" thickBot="1">
      <c r="B366" s="810"/>
      <c r="C366" s="810"/>
      <c r="D366" s="810"/>
      <c r="E366" s="810"/>
      <c r="F366" s="810"/>
      <c r="G366" s="810"/>
    </row>
    <row r="367" spans="2:7" ht="13.5" thickTop="1">
      <c r="B367" s="811" t="s">
        <v>321</v>
      </c>
      <c r="C367" s="812"/>
      <c r="D367" s="812"/>
      <c r="E367" s="812"/>
      <c r="F367" s="812"/>
      <c r="G367" s="825"/>
    </row>
    <row r="368" spans="2:7">
      <c r="B368" s="817" t="s">
        <v>838</v>
      </c>
      <c r="C368" s="818"/>
      <c r="D368" s="98" t="s">
        <v>301</v>
      </c>
      <c r="E368" s="98" t="s">
        <v>297</v>
      </c>
      <c r="F368" s="99" t="s">
        <v>839</v>
      </c>
      <c r="G368" s="107" t="s">
        <v>840</v>
      </c>
    </row>
    <row r="369" spans="1:8">
      <c r="B369" s="230"/>
      <c r="C369" s="102"/>
      <c r="D369" s="103" t="s">
        <v>322</v>
      </c>
      <c r="E369" s="103" t="s">
        <v>323</v>
      </c>
      <c r="F369" s="104" t="s">
        <v>324</v>
      </c>
      <c r="G369" s="109" t="s">
        <v>325</v>
      </c>
    </row>
    <row r="370" spans="1:8">
      <c r="B370" s="826"/>
      <c r="C370" s="827"/>
      <c r="D370" s="96"/>
      <c r="E370" s="96"/>
      <c r="F370" s="96"/>
      <c r="G370" s="116"/>
    </row>
    <row r="371" spans="1:8" ht="13.5" thickBot="1">
      <c r="B371" s="828" t="s">
        <v>841</v>
      </c>
      <c r="C371" s="829"/>
      <c r="D371" s="77"/>
      <c r="E371" s="82"/>
      <c r="F371" s="86"/>
      <c r="G371" s="112"/>
    </row>
    <row r="372" spans="1:8" ht="14.25" thickTop="1" thickBot="1">
      <c r="B372" s="808"/>
      <c r="C372" s="808"/>
      <c r="D372" s="808"/>
      <c r="E372" s="809"/>
      <c r="F372" s="120" t="s">
        <v>856</v>
      </c>
      <c r="G372" s="118">
        <f>SUM(G367:G371)</f>
        <v>0</v>
      </c>
    </row>
    <row r="373" spans="1:8" ht="14.25" thickTop="1" thickBot="1">
      <c r="B373" s="810"/>
      <c r="C373" s="810"/>
      <c r="D373" s="810"/>
      <c r="E373" s="810"/>
      <c r="F373" s="810"/>
      <c r="G373" s="834"/>
    </row>
    <row r="374" spans="1:8" ht="13.5" thickTop="1">
      <c r="B374" s="811" t="s">
        <v>326</v>
      </c>
      <c r="C374" s="812"/>
      <c r="D374" s="812"/>
      <c r="E374" s="812"/>
      <c r="F374" s="813"/>
      <c r="G374" s="121">
        <f>+G338+G354+G365</f>
        <v>7694</v>
      </c>
    </row>
    <row r="375" spans="1:8">
      <c r="B375" s="814" t="s">
        <v>861</v>
      </c>
      <c r="C375" s="815"/>
      <c r="D375" s="815"/>
      <c r="E375" s="816"/>
      <c r="F375" s="128">
        <f>'MANO DE OBRA'!$D$59</f>
        <v>0</v>
      </c>
      <c r="G375" s="122">
        <f>ROUND(G374*F375,0)</f>
        <v>0</v>
      </c>
    </row>
    <row r="376" spans="1:8" ht="13.5" thickBot="1">
      <c r="B376" s="805" t="s">
        <v>1049</v>
      </c>
      <c r="C376" s="806"/>
      <c r="D376" s="806"/>
      <c r="E376" s="806"/>
      <c r="F376" s="807"/>
      <c r="G376" s="118">
        <f>ROUND(G374+G375,-2)</f>
        <v>7700</v>
      </c>
      <c r="H376" s="506" t="s">
        <v>1670</v>
      </c>
    </row>
    <row r="377" spans="1:8" ht="15" thickTop="1">
      <c r="B377" s="225" t="s">
        <v>303</v>
      </c>
      <c r="C377" s="843"/>
      <c r="D377" s="843"/>
      <c r="E377" s="843"/>
      <c r="F377" s="92" t="s">
        <v>781</v>
      </c>
      <c r="G377" s="93" t="s">
        <v>1067</v>
      </c>
    </row>
    <row r="378" spans="1:8">
      <c r="B378" s="226" t="s">
        <v>834</v>
      </c>
      <c r="C378" s="844" t="s">
        <v>343</v>
      </c>
      <c r="D378" s="844"/>
      <c r="E378" s="844"/>
      <c r="F378" s="15" t="s">
        <v>833</v>
      </c>
      <c r="G378" s="165" t="str">
        <f>'MANO DE OBRA'!D61</f>
        <v>Agosto de 2010</v>
      </c>
    </row>
    <row r="379" spans="1:8" ht="13.5" thickBot="1">
      <c r="A379" s="127"/>
      <c r="B379" s="228" t="s">
        <v>835</v>
      </c>
      <c r="C379" s="845" t="s">
        <v>1257</v>
      </c>
      <c r="D379" s="845"/>
      <c r="E379" s="845"/>
      <c r="F379" s="845"/>
      <c r="G379" s="846"/>
    </row>
    <row r="380" spans="1:8" ht="14.25" thickTop="1" thickBot="1">
      <c r="B380" s="847"/>
      <c r="C380" s="847"/>
      <c r="D380" s="847"/>
      <c r="E380" s="847"/>
      <c r="F380" s="847"/>
      <c r="G380" s="847"/>
    </row>
    <row r="381" spans="1:8" ht="13.5" thickTop="1">
      <c r="B381" s="811" t="s">
        <v>304</v>
      </c>
      <c r="C381" s="812"/>
      <c r="D381" s="812"/>
      <c r="E381" s="812"/>
      <c r="F381" s="812"/>
      <c r="G381" s="825"/>
    </row>
    <row r="382" spans="1:8">
      <c r="B382" s="229"/>
      <c r="C382" s="97"/>
      <c r="D382" s="98" t="s">
        <v>301</v>
      </c>
      <c r="E382" s="98" t="s">
        <v>1072</v>
      </c>
      <c r="F382" s="99" t="s">
        <v>839</v>
      </c>
      <c r="G382" s="107" t="s">
        <v>840</v>
      </c>
    </row>
    <row r="383" spans="1:8">
      <c r="B383" s="821" t="s">
        <v>838</v>
      </c>
      <c r="C383" s="822"/>
      <c r="D383" s="100" t="s">
        <v>308</v>
      </c>
      <c r="E383" s="100" t="s">
        <v>305</v>
      </c>
      <c r="F383" s="101" t="s">
        <v>306</v>
      </c>
      <c r="G383" s="108" t="s">
        <v>310</v>
      </c>
    </row>
    <row r="384" spans="1:8">
      <c r="B384" s="230"/>
      <c r="C384" s="102"/>
      <c r="D384" s="103"/>
      <c r="E384" s="103" t="s">
        <v>309</v>
      </c>
      <c r="F384" s="104" t="s">
        <v>307</v>
      </c>
      <c r="G384" s="109"/>
    </row>
    <row r="385" spans="1:7">
      <c r="A385" s="127"/>
      <c r="B385" s="823" t="str">
        <f>'MAQUINARIA Y EQUIPOS'!C28</f>
        <v>HERRAMIENTAS MENORES</v>
      </c>
      <c r="C385" s="824"/>
      <c r="D385" s="87">
        <v>1</v>
      </c>
      <c r="E385" s="82">
        <f>ROUND(G418*0.25,0)</f>
        <v>2492</v>
      </c>
      <c r="F385" s="81">
        <v>2</v>
      </c>
      <c r="G385" s="110">
        <f>ROUND(D385*E385/F385,0)</f>
        <v>1246</v>
      </c>
    </row>
    <row r="386" spans="1:7">
      <c r="B386" s="835" t="str">
        <f>'MAQUINARIA Y EQUIPOS'!C17</f>
        <v xml:space="preserve">COMPRESOR </v>
      </c>
      <c r="C386" s="836"/>
      <c r="D386" s="37">
        <v>1</v>
      </c>
      <c r="E386" s="129">
        <f>'MAQUINARIA Y EQUIPOS'!D17</f>
        <v>301600</v>
      </c>
      <c r="F386" s="53">
        <v>15</v>
      </c>
      <c r="G386" s="111">
        <f>ROUND(D386*E386/F386,0)</f>
        <v>20107</v>
      </c>
    </row>
    <row r="387" spans="1:7">
      <c r="B387" s="835" t="str">
        <f>'MAQUINARIA Y EQUIPOS'!C32</f>
        <v>MARTILLO PARA COMPRESOR</v>
      </c>
      <c r="C387" s="836"/>
      <c r="D387" s="37">
        <v>1</v>
      </c>
      <c r="E387" s="129">
        <f>'MAQUINARIA Y EQUIPOS'!D32</f>
        <v>51040</v>
      </c>
      <c r="F387" s="53">
        <v>15</v>
      </c>
      <c r="G387" s="111">
        <f>ROUND(D387*E387/F387,0)</f>
        <v>3403</v>
      </c>
    </row>
    <row r="388" spans="1:7">
      <c r="B388" s="835" t="str">
        <f>'MAQUINARIA Y EQUIPOS'!C60</f>
        <v>VOLQUETA</v>
      </c>
      <c r="C388" s="836"/>
      <c r="D388" s="37">
        <v>1</v>
      </c>
      <c r="E388" s="129">
        <f>'MAQUINARIA Y EQUIPOS'!D60</f>
        <v>57800</v>
      </c>
      <c r="F388" s="53">
        <v>120</v>
      </c>
      <c r="G388" s="111">
        <f>ROUND(D388*E388/F388,0)</f>
        <v>482</v>
      </c>
    </row>
    <row r="389" spans="1:7">
      <c r="B389" s="835" t="s">
        <v>841</v>
      </c>
      <c r="C389" s="836"/>
      <c r="D389" s="37"/>
      <c r="E389" s="82"/>
      <c r="F389" s="83"/>
      <c r="G389" s="111"/>
    </row>
    <row r="390" spans="1:7" ht="13.5" thickBot="1">
      <c r="B390" s="839" t="s">
        <v>841</v>
      </c>
      <c r="C390" s="840"/>
      <c r="D390" s="77"/>
      <c r="E390" s="106"/>
      <c r="F390" s="86"/>
      <c r="G390" s="112"/>
    </row>
    <row r="391" spans="1:7" ht="14.25" thickTop="1" thickBot="1">
      <c r="B391" s="808"/>
      <c r="C391" s="808"/>
      <c r="D391" s="808"/>
      <c r="E391" s="809"/>
      <c r="F391" s="119" t="s">
        <v>856</v>
      </c>
      <c r="G391" s="118">
        <f>SUM(G385:G390)</f>
        <v>25238</v>
      </c>
    </row>
    <row r="392" spans="1:7" ht="14.25" thickTop="1" thickBot="1">
      <c r="B392" s="830"/>
      <c r="C392" s="830"/>
      <c r="D392" s="830"/>
      <c r="E392" s="830"/>
      <c r="F392" s="830"/>
      <c r="G392" s="830"/>
    </row>
    <row r="393" spans="1:7" ht="13.5" thickTop="1">
      <c r="B393" s="811" t="s">
        <v>311</v>
      </c>
      <c r="C393" s="812"/>
      <c r="D393" s="812"/>
      <c r="E393" s="812"/>
      <c r="F393" s="812"/>
      <c r="G393" s="825"/>
    </row>
    <row r="394" spans="1:7">
      <c r="B394" s="817" t="s">
        <v>838</v>
      </c>
      <c r="C394" s="818"/>
      <c r="D394" s="98" t="s">
        <v>842</v>
      </c>
      <c r="E394" s="98" t="s">
        <v>853</v>
      </c>
      <c r="F394" s="99" t="s">
        <v>1047</v>
      </c>
      <c r="G394" s="107" t="s">
        <v>840</v>
      </c>
    </row>
    <row r="395" spans="1:7">
      <c r="B395" s="230"/>
      <c r="C395" s="102"/>
      <c r="D395" s="100"/>
      <c r="E395" s="100" t="s">
        <v>312</v>
      </c>
      <c r="F395" s="101" t="s">
        <v>313</v>
      </c>
      <c r="G395" s="108" t="s">
        <v>314</v>
      </c>
    </row>
    <row r="396" spans="1:7">
      <c r="A396" s="125"/>
      <c r="B396" s="875"/>
      <c r="C396" s="876"/>
      <c r="D396" s="87"/>
      <c r="E396" s="10"/>
      <c r="F396" s="80"/>
      <c r="G396" s="110"/>
    </row>
    <row r="397" spans="1:7">
      <c r="A397" s="123"/>
      <c r="B397" s="877"/>
      <c r="C397" s="878"/>
      <c r="D397" s="88"/>
      <c r="E397" s="53"/>
      <c r="F397" s="82"/>
      <c r="G397" s="111"/>
    </row>
    <row r="398" spans="1:7">
      <c r="B398" s="835"/>
      <c r="C398" s="836"/>
      <c r="D398" s="37"/>
      <c r="E398" s="55"/>
      <c r="F398" s="82"/>
      <c r="G398" s="111"/>
    </row>
    <row r="399" spans="1:7">
      <c r="B399" s="835"/>
      <c r="C399" s="836"/>
      <c r="D399" s="37"/>
      <c r="E399" s="55"/>
      <c r="F399" s="82"/>
      <c r="G399" s="111"/>
    </row>
    <row r="400" spans="1:7">
      <c r="B400" s="837"/>
      <c r="C400" s="838"/>
      <c r="D400" s="37"/>
      <c r="E400" s="55"/>
      <c r="F400" s="82"/>
      <c r="G400" s="111"/>
    </row>
    <row r="401" spans="2:8">
      <c r="B401" s="837"/>
      <c r="C401" s="838"/>
      <c r="D401" s="53" t="s">
        <v>841</v>
      </c>
      <c r="E401" s="53"/>
      <c r="F401" s="82"/>
      <c r="G401" s="111"/>
      <c r="H401" s="506" t="s">
        <v>1670</v>
      </c>
    </row>
    <row r="402" spans="2:8">
      <c r="B402" s="837" t="s">
        <v>841</v>
      </c>
      <c r="C402" s="838"/>
      <c r="D402" s="53" t="s">
        <v>841</v>
      </c>
      <c r="E402" s="53"/>
      <c r="F402" s="82"/>
      <c r="G402" s="111"/>
    </row>
    <row r="403" spans="2:8">
      <c r="B403" s="837" t="s">
        <v>841</v>
      </c>
      <c r="C403" s="838"/>
      <c r="D403" s="53" t="s">
        <v>841</v>
      </c>
      <c r="E403" s="53"/>
      <c r="F403" s="82"/>
      <c r="G403" s="111"/>
    </row>
    <row r="404" spans="2:8" ht="13.5" thickBot="1">
      <c r="B404" s="839" t="s">
        <v>841</v>
      </c>
      <c r="C404" s="840"/>
      <c r="D404" s="84" t="s">
        <v>841</v>
      </c>
      <c r="E404" s="84"/>
      <c r="F404" s="85"/>
      <c r="G404" s="112"/>
    </row>
    <row r="405" spans="2:8" ht="13.5" thickTop="1">
      <c r="B405" s="808"/>
      <c r="C405" s="809"/>
      <c r="D405" s="801" t="s">
        <v>856</v>
      </c>
      <c r="E405" s="802"/>
      <c r="F405" s="9"/>
      <c r="G405" s="113">
        <f>SUM(G396:G404)</f>
        <v>0</v>
      </c>
    </row>
    <row r="406" spans="2:8">
      <c r="B406" s="819"/>
      <c r="C406" s="820"/>
      <c r="D406" s="801" t="s">
        <v>857</v>
      </c>
      <c r="E406" s="802"/>
      <c r="F406" s="79">
        <f>'MANO DE OBRA'!D60</f>
        <v>0.05</v>
      </c>
      <c r="G406" s="113">
        <f>ROUND(G405*F406,0)</f>
        <v>0</v>
      </c>
    </row>
    <row r="407" spans="2:8" ht="13.5" thickBot="1">
      <c r="B407" s="819"/>
      <c r="C407" s="820"/>
      <c r="D407" s="803" t="s">
        <v>320</v>
      </c>
      <c r="E407" s="804"/>
      <c r="F407" s="114"/>
      <c r="G407" s="118">
        <f>+G405+G406</f>
        <v>0</v>
      </c>
    </row>
    <row r="408" spans="2:8" ht="14.25" thickTop="1" thickBot="1">
      <c r="B408" s="830"/>
      <c r="C408" s="830"/>
      <c r="D408" s="830"/>
      <c r="E408" s="830"/>
      <c r="F408" s="830"/>
      <c r="G408" s="830"/>
    </row>
    <row r="409" spans="2:8" ht="13.5" thickTop="1">
      <c r="B409" s="811" t="s">
        <v>858</v>
      </c>
      <c r="C409" s="812"/>
      <c r="D409" s="812"/>
      <c r="E409" s="812"/>
      <c r="F409" s="812"/>
      <c r="G409" s="825"/>
    </row>
    <row r="410" spans="2:8">
      <c r="B410" s="817"/>
      <c r="C410" s="818"/>
      <c r="D410" s="98" t="s">
        <v>301</v>
      </c>
      <c r="E410" s="98" t="s">
        <v>859</v>
      </c>
      <c r="F410" s="99" t="s">
        <v>839</v>
      </c>
      <c r="G410" s="107" t="s">
        <v>840</v>
      </c>
    </row>
    <row r="411" spans="2:8">
      <c r="B411" s="821" t="s">
        <v>838</v>
      </c>
      <c r="C411" s="822"/>
      <c r="D411" s="100" t="s">
        <v>316</v>
      </c>
      <c r="E411" s="100" t="s">
        <v>315</v>
      </c>
      <c r="F411" s="101" t="s">
        <v>306</v>
      </c>
      <c r="G411" s="108" t="s">
        <v>319</v>
      </c>
    </row>
    <row r="412" spans="2:8">
      <c r="B412" s="230"/>
      <c r="C412" s="102"/>
      <c r="D412" s="103"/>
      <c r="E412" s="103" t="s">
        <v>317</v>
      </c>
      <c r="F412" s="104" t="s">
        <v>318</v>
      </c>
      <c r="G412" s="109"/>
    </row>
    <row r="413" spans="2:8">
      <c r="B413" s="823" t="str">
        <f>'MANO DE OBRA'!B10</f>
        <v>AYUDANTE CUAD. TIPO AA</v>
      </c>
      <c r="C413" s="824"/>
      <c r="D413" s="87">
        <v>1</v>
      </c>
      <c r="E413" s="80">
        <f>'MANO DE OBRA'!E10</f>
        <v>34680</v>
      </c>
      <c r="F413" s="81">
        <v>15</v>
      </c>
      <c r="G413" s="110">
        <f>ROUND(D413*E413/F413,0)</f>
        <v>2312</v>
      </c>
    </row>
    <row r="414" spans="2:8">
      <c r="B414" s="835" t="str">
        <f>'MANO DE OBRA'!B15</f>
        <v xml:space="preserve">OFICIAL CUAD. TIPO AA </v>
      </c>
      <c r="C414" s="836"/>
      <c r="D414" s="37">
        <v>1</v>
      </c>
      <c r="E414" s="82">
        <f>'MANO DE OBRA'!E15</f>
        <v>71474</v>
      </c>
      <c r="F414" s="83">
        <v>15</v>
      </c>
      <c r="G414" s="111">
        <f>ROUND(D414*E414/F414,0)</f>
        <v>4765</v>
      </c>
    </row>
    <row r="415" spans="2:8">
      <c r="B415" s="835" t="str">
        <f>'MANO DE OBRA'!B14</f>
        <v>AYUDANTE PRACTICO</v>
      </c>
      <c r="C415" s="836"/>
      <c r="D415" s="37">
        <v>1</v>
      </c>
      <c r="E415" s="82">
        <f>'MANO DE OBRA'!E14</f>
        <v>43350</v>
      </c>
      <c r="F415" s="83">
        <v>15</v>
      </c>
      <c r="G415" s="111">
        <f>ROUND(D415*E415/F415,0)</f>
        <v>2890</v>
      </c>
    </row>
    <row r="416" spans="2:8">
      <c r="B416" s="835" t="s">
        <v>841</v>
      </c>
      <c r="C416" s="836"/>
      <c r="D416" s="37"/>
      <c r="E416" s="82"/>
      <c r="F416" s="83"/>
      <c r="G416" s="111"/>
    </row>
    <row r="417" spans="1:8" ht="13.5" thickBot="1">
      <c r="B417" s="828" t="s">
        <v>841</v>
      </c>
      <c r="C417" s="829"/>
      <c r="D417" s="77"/>
      <c r="E417" s="82"/>
      <c r="F417" s="86"/>
      <c r="G417" s="112"/>
    </row>
    <row r="418" spans="1:8" ht="14.25" thickTop="1" thickBot="1">
      <c r="B418" s="808"/>
      <c r="C418" s="808"/>
      <c r="D418" s="808"/>
      <c r="E418" s="809"/>
      <c r="F418" s="120" t="s">
        <v>856</v>
      </c>
      <c r="G418" s="118">
        <f>SUM(G413:G417)</f>
        <v>9967</v>
      </c>
    </row>
    <row r="419" spans="1:8" ht="14.25" thickTop="1" thickBot="1">
      <c r="B419" s="810"/>
      <c r="C419" s="810"/>
      <c r="D419" s="810"/>
      <c r="E419" s="810"/>
      <c r="F419" s="810"/>
      <c r="G419" s="810"/>
    </row>
    <row r="420" spans="1:8" ht="13.5" thickTop="1">
      <c r="B420" s="811" t="s">
        <v>321</v>
      </c>
      <c r="C420" s="812"/>
      <c r="D420" s="812"/>
      <c r="E420" s="812"/>
      <c r="F420" s="812"/>
      <c r="G420" s="825"/>
    </row>
    <row r="421" spans="1:8">
      <c r="B421" s="817" t="s">
        <v>838</v>
      </c>
      <c r="C421" s="818"/>
      <c r="D421" s="98" t="s">
        <v>301</v>
      </c>
      <c r="E421" s="98" t="s">
        <v>297</v>
      </c>
      <c r="F421" s="99" t="s">
        <v>839</v>
      </c>
      <c r="G421" s="107" t="s">
        <v>840</v>
      </c>
    </row>
    <row r="422" spans="1:8">
      <c r="B422" s="230"/>
      <c r="C422" s="102"/>
      <c r="D422" s="103" t="s">
        <v>322</v>
      </c>
      <c r="E422" s="103" t="s">
        <v>323</v>
      </c>
      <c r="F422" s="104" t="s">
        <v>324</v>
      </c>
      <c r="G422" s="109" t="s">
        <v>325</v>
      </c>
    </row>
    <row r="423" spans="1:8">
      <c r="B423" s="826"/>
      <c r="C423" s="827"/>
      <c r="D423" s="96"/>
      <c r="E423" s="96"/>
      <c r="F423" s="96"/>
      <c r="G423" s="116"/>
    </row>
    <row r="424" spans="1:8" ht="13.5" thickBot="1">
      <c r="B424" s="828" t="s">
        <v>841</v>
      </c>
      <c r="C424" s="829"/>
      <c r="D424" s="77"/>
      <c r="E424" s="82"/>
      <c r="F424" s="86"/>
      <c r="G424" s="112"/>
    </row>
    <row r="425" spans="1:8" ht="14.25" thickTop="1" thickBot="1">
      <c r="B425" s="808"/>
      <c r="C425" s="808"/>
      <c r="D425" s="808"/>
      <c r="E425" s="809"/>
      <c r="F425" s="120" t="s">
        <v>856</v>
      </c>
      <c r="G425" s="118">
        <f>SUM(G420:G424)</f>
        <v>0</v>
      </c>
    </row>
    <row r="426" spans="1:8" ht="14.25" thickTop="1" thickBot="1">
      <c r="B426" s="810"/>
      <c r="C426" s="810"/>
      <c r="D426" s="810"/>
      <c r="E426" s="810"/>
      <c r="F426" s="810"/>
      <c r="G426" s="834"/>
    </row>
    <row r="427" spans="1:8" ht="13.5" thickTop="1">
      <c r="B427" s="811" t="s">
        <v>326</v>
      </c>
      <c r="C427" s="812"/>
      <c r="D427" s="812"/>
      <c r="E427" s="812"/>
      <c r="F427" s="813"/>
      <c r="G427" s="121">
        <f>+G391+G407+G418</f>
        <v>35205</v>
      </c>
    </row>
    <row r="428" spans="1:8">
      <c r="B428" s="814" t="s">
        <v>861</v>
      </c>
      <c r="C428" s="815"/>
      <c r="D428" s="815"/>
      <c r="E428" s="816"/>
      <c r="F428" s="128">
        <f>'MANO DE OBRA'!D59</f>
        <v>0</v>
      </c>
      <c r="G428" s="122">
        <f>ROUND(G427*F428,0)</f>
        <v>0</v>
      </c>
    </row>
    <row r="429" spans="1:8" ht="13.5" thickBot="1">
      <c r="B429" s="805" t="s">
        <v>1049</v>
      </c>
      <c r="C429" s="806"/>
      <c r="D429" s="806"/>
      <c r="E429" s="806"/>
      <c r="F429" s="807"/>
      <c r="G429" s="118">
        <f>ROUND(G427+G428,-2)</f>
        <v>35200</v>
      </c>
      <c r="H429" s="506" t="s">
        <v>1670</v>
      </c>
    </row>
    <row r="430" spans="1:8" ht="15" thickTop="1">
      <c r="B430" s="225" t="s">
        <v>303</v>
      </c>
      <c r="C430" s="843"/>
      <c r="D430" s="843"/>
      <c r="E430" s="843"/>
      <c r="F430" s="92" t="s">
        <v>781</v>
      </c>
      <c r="G430" s="93" t="s">
        <v>1067</v>
      </c>
    </row>
    <row r="431" spans="1:8">
      <c r="B431" s="226" t="s">
        <v>834</v>
      </c>
      <c r="C431" s="844" t="s">
        <v>343</v>
      </c>
      <c r="D431" s="844"/>
      <c r="E431" s="844"/>
      <c r="F431" s="15" t="s">
        <v>833</v>
      </c>
      <c r="G431" s="165" t="str">
        <f>'MANO DE OBRA'!D61</f>
        <v>Agosto de 2010</v>
      </c>
    </row>
    <row r="432" spans="1:8" ht="13.5" thickBot="1">
      <c r="A432" s="127"/>
      <c r="B432" s="228" t="s">
        <v>835</v>
      </c>
      <c r="C432" s="845" t="s">
        <v>1258</v>
      </c>
      <c r="D432" s="845"/>
      <c r="E432" s="845"/>
      <c r="F432" s="845"/>
      <c r="G432" s="846"/>
    </row>
    <row r="433" spans="1:7" ht="14.25" thickTop="1" thickBot="1">
      <c r="B433" s="847"/>
      <c r="C433" s="847"/>
      <c r="D433" s="847"/>
      <c r="E433" s="847"/>
      <c r="F433" s="847"/>
      <c r="G433" s="847"/>
    </row>
    <row r="434" spans="1:7" ht="13.5" thickTop="1">
      <c r="B434" s="811" t="s">
        <v>304</v>
      </c>
      <c r="C434" s="812"/>
      <c r="D434" s="812"/>
      <c r="E434" s="812"/>
      <c r="F434" s="812"/>
      <c r="G434" s="825"/>
    </row>
    <row r="435" spans="1:7">
      <c r="B435" s="229"/>
      <c r="C435" s="97"/>
      <c r="D435" s="98" t="s">
        <v>301</v>
      </c>
      <c r="E435" s="98" t="s">
        <v>1072</v>
      </c>
      <c r="F435" s="99" t="s">
        <v>839</v>
      </c>
      <c r="G435" s="107" t="s">
        <v>840</v>
      </c>
    </row>
    <row r="436" spans="1:7">
      <c r="B436" s="821" t="s">
        <v>838</v>
      </c>
      <c r="C436" s="822"/>
      <c r="D436" s="100" t="s">
        <v>308</v>
      </c>
      <c r="E436" s="100" t="s">
        <v>305</v>
      </c>
      <c r="F436" s="101" t="s">
        <v>306</v>
      </c>
      <c r="G436" s="108" t="s">
        <v>310</v>
      </c>
    </row>
    <row r="437" spans="1:7">
      <c r="B437" s="230"/>
      <c r="C437" s="102"/>
      <c r="D437" s="103"/>
      <c r="E437" s="103" t="s">
        <v>309</v>
      </c>
      <c r="F437" s="104" t="s">
        <v>307</v>
      </c>
      <c r="G437" s="109"/>
    </row>
    <row r="438" spans="1:7">
      <c r="A438" s="127"/>
      <c r="B438" s="823" t="str">
        <f>'MAQUINARIA Y EQUIPOS'!C28</f>
        <v>HERRAMIENTAS MENORES</v>
      </c>
      <c r="C438" s="824"/>
      <c r="D438" s="87">
        <v>1</v>
      </c>
      <c r="E438" s="82">
        <f>ROUND(G469*0.25,0)</f>
        <v>2336</v>
      </c>
      <c r="F438" s="81">
        <v>1</v>
      </c>
      <c r="G438" s="110">
        <f>ROUND(D438*E438/F438,0)</f>
        <v>2336</v>
      </c>
    </row>
    <row r="439" spans="1:7">
      <c r="B439" s="835" t="str">
        <f>'MAQUINARIA Y EQUIPOS'!$C$17</f>
        <v xml:space="preserve">COMPRESOR </v>
      </c>
      <c r="C439" s="836"/>
      <c r="D439" s="37">
        <v>1</v>
      </c>
      <c r="E439" s="129">
        <f>'MAQUINARIA Y EQUIPOS'!D17</f>
        <v>301600</v>
      </c>
      <c r="F439" s="83">
        <v>16</v>
      </c>
      <c r="G439" s="111">
        <f>ROUND(D439*E439/F439,0)</f>
        <v>18850</v>
      </c>
    </row>
    <row r="440" spans="1:7">
      <c r="B440" s="835" t="str">
        <f>'MAQUINARIA Y EQUIPOS'!$C$32</f>
        <v>MARTILLO PARA COMPRESOR</v>
      </c>
      <c r="C440" s="836"/>
      <c r="D440" s="37">
        <v>1</v>
      </c>
      <c r="E440" s="129">
        <f>'MAQUINARIA Y EQUIPOS'!$D$32</f>
        <v>51040</v>
      </c>
      <c r="F440" s="83">
        <v>16</v>
      </c>
      <c r="G440" s="111">
        <f>ROUND(D440*E440/F440,0)</f>
        <v>3190</v>
      </c>
    </row>
    <row r="441" spans="1:7">
      <c r="B441" s="835" t="str">
        <f>'MAQUINARIA Y EQUIPOS'!C60</f>
        <v>VOLQUETA</v>
      </c>
      <c r="C441" s="836"/>
      <c r="D441" s="37">
        <v>1</v>
      </c>
      <c r="E441" s="129">
        <f>'MAQUINARIA Y EQUIPOS'!D60</f>
        <v>57800</v>
      </c>
      <c r="F441" s="53">
        <v>150</v>
      </c>
      <c r="G441" s="111">
        <f>ROUND(D441*E441/F441,0)</f>
        <v>385</v>
      </c>
    </row>
    <row r="442" spans="1:7">
      <c r="B442" s="835" t="s">
        <v>841</v>
      </c>
      <c r="C442" s="836"/>
      <c r="D442" s="37"/>
      <c r="E442" s="82"/>
      <c r="F442" s="83"/>
      <c r="G442" s="111"/>
    </row>
    <row r="443" spans="1:7" ht="13.5" thickBot="1">
      <c r="B443" s="839" t="s">
        <v>841</v>
      </c>
      <c r="C443" s="840"/>
      <c r="D443" s="77"/>
      <c r="E443" s="106"/>
      <c r="F443" s="86"/>
      <c r="G443" s="112"/>
    </row>
    <row r="444" spans="1:7" ht="14.25" thickTop="1" thickBot="1">
      <c r="B444" s="808"/>
      <c r="C444" s="808"/>
      <c r="D444" s="808"/>
      <c r="E444" s="809"/>
      <c r="F444" s="119" t="s">
        <v>856</v>
      </c>
      <c r="G444" s="118">
        <f>SUM(G438:G443)</f>
        <v>24761</v>
      </c>
    </row>
    <row r="445" spans="1:7" ht="14.25" thickTop="1" thickBot="1">
      <c r="B445" s="830"/>
      <c r="C445" s="830"/>
      <c r="D445" s="830"/>
      <c r="E445" s="830"/>
      <c r="F445" s="830"/>
      <c r="G445" s="830"/>
    </row>
    <row r="446" spans="1:7" ht="13.5" thickTop="1">
      <c r="B446" s="811" t="s">
        <v>311</v>
      </c>
      <c r="C446" s="812"/>
      <c r="D446" s="812"/>
      <c r="E446" s="812"/>
      <c r="F446" s="812"/>
      <c r="G446" s="825"/>
    </row>
    <row r="447" spans="1:7">
      <c r="B447" s="817" t="s">
        <v>838</v>
      </c>
      <c r="C447" s="818"/>
      <c r="D447" s="98" t="s">
        <v>842</v>
      </c>
      <c r="E447" s="98" t="s">
        <v>853</v>
      </c>
      <c r="F447" s="99" t="s">
        <v>1047</v>
      </c>
      <c r="G447" s="107" t="s">
        <v>840</v>
      </c>
    </row>
    <row r="448" spans="1:7">
      <c r="B448" s="230"/>
      <c r="C448" s="102"/>
      <c r="D448" s="100"/>
      <c r="E448" s="100" t="s">
        <v>312</v>
      </c>
      <c r="F448" s="101" t="s">
        <v>313</v>
      </c>
      <c r="G448" s="108" t="s">
        <v>314</v>
      </c>
    </row>
    <row r="449" spans="1:8">
      <c r="A449" s="125"/>
      <c r="B449" s="875"/>
      <c r="C449" s="876"/>
      <c r="D449" s="87"/>
      <c r="E449" s="10"/>
      <c r="F449" s="80"/>
      <c r="G449" s="110"/>
    </row>
    <row r="450" spans="1:8">
      <c r="A450" s="123"/>
      <c r="B450" s="877"/>
      <c r="C450" s="878"/>
      <c r="D450" s="88"/>
      <c r="E450" s="53"/>
      <c r="F450" s="82"/>
      <c r="G450" s="111"/>
    </row>
    <row r="451" spans="1:8">
      <c r="B451" s="837"/>
      <c r="C451" s="838"/>
      <c r="D451" s="37"/>
      <c r="E451" s="55"/>
      <c r="F451" s="82"/>
      <c r="G451" s="111"/>
    </row>
    <row r="452" spans="1:8">
      <c r="B452" s="837"/>
      <c r="C452" s="838"/>
      <c r="D452" s="53" t="s">
        <v>841</v>
      </c>
      <c r="E452" s="53"/>
      <c r="F452" s="82"/>
      <c r="G452" s="111"/>
      <c r="H452" s="506" t="s">
        <v>1670</v>
      </c>
    </row>
    <row r="453" spans="1:8">
      <c r="B453" s="837" t="s">
        <v>841</v>
      </c>
      <c r="C453" s="838"/>
      <c r="D453" s="53" t="s">
        <v>841</v>
      </c>
      <c r="E453" s="53"/>
      <c r="F453" s="82"/>
      <c r="G453" s="111"/>
    </row>
    <row r="454" spans="1:8">
      <c r="B454" s="837" t="s">
        <v>841</v>
      </c>
      <c r="C454" s="838"/>
      <c r="D454" s="53" t="s">
        <v>841</v>
      </c>
      <c r="E454" s="53"/>
      <c r="F454" s="82"/>
      <c r="G454" s="111"/>
    </row>
    <row r="455" spans="1:8" ht="13.5" thickBot="1">
      <c r="B455" s="839" t="s">
        <v>841</v>
      </c>
      <c r="C455" s="840"/>
      <c r="D455" s="84" t="s">
        <v>841</v>
      </c>
      <c r="E455" s="84"/>
      <c r="F455" s="85"/>
      <c r="G455" s="112"/>
    </row>
    <row r="456" spans="1:8" ht="13.5" thickTop="1">
      <c r="B456" s="808"/>
      <c r="C456" s="809"/>
      <c r="D456" s="801" t="s">
        <v>856</v>
      </c>
      <c r="E456" s="802"/>
      <c r="F456" s="9"/>
      <c r="G456" s="113">
        <f>SUM(G449:G455)</f>
        <v>0</v>
      </c>
    </row>
    <row r="457" spans="1:8">
      <c r="B457" s="819"/>
      <c r="C457" s="820"/>
      <c r="D457" s="801" t="s">
        <v>857</v>
      </c>
      <c r="E457" s="802"/>
      <c r="F457" s="79">
        <f>'MANO DE OBRA'!D60</f>
        <v>0.05</v>
      </c>
      <c r="G457" s="113">
        <f>ROUND(G456*F457,0)</f>
        <v>0</v>
      </c>
    </row>
    <row r="458" spans="1:8" ht="13.5" thickBot="1">
      <c r="B458" s="819"/>
      <c r="C458" s="820"/>
      <c r="D458" s="803" t="s">
        <v>320</v>
      </c>
      <c r="E458" s="804"/>
      <c r="F458" s="114"/>
      <c r="G458" s="118">
        <f>+G456+G457</f>
        <v>0</v>
      </c>
    </row>
    <row r="459" spans="1:8" ht="14.25" thickTop="1" thickBot="1">
      <c r="B459" s="830"/>
      <c r="C459" s="830"/>
      <c r="D459" s="830"/>
      <c r="E459" s="830"/>
      <c r="F459" s="830"/>
      <c r="G459" s="830"/>
    </row>
    <row r="460" spans="1:8" ht="13.5" thickTop="1">
      <c r="B460" s="811" t="s">
        <v>858</v>
      </c>
      <c r="C460" s="812"/>
      <c r="D460" s="812"/>
      <c r="E460" s="812"/>
      <c r="F460" s="812"/>
      <c r="G460" s="825"/>
    </row>
    <row r="461" spans="1:8">
      <c r="B461" s="817"/>
      <c r="C461" s="818"/>
      <c r="D461" s="98" t="s">
        <v>301</v>
      </c>
      <c r="E461" s="98" t="s">
        <v>859</v>
      </c>
      <c r="F461" s="99" t="s">
        <v>839</v>
      </c>
      <c r="G461" s="107" t="s">
        <v>840</v>
      </c>
    </row>
    <row r="462" spans="1:8">
      <c r="B462" s="821" t="s">
        <v>838</v>
      </c>
      <c r="C462" s="822"/>
      <c r="D462" s="100" t="s">
        <v>316</v>
      </c>
      <c r="E462" s="100" t="s">
        <v>315</v>
      </c>
      <c r="F462" s="101" t="s">
        <v>306</v>
      </c>
      <c r="G462" s="108" t="s">
        <v>319</v>
      </c>
    </row>
    <row r="463" spans="1:8">
      <c r="B463" s="230"/>
      <c r="C463" s="102"/>
      <c r="D463" s="103"/>
      <c r="E463" s="103" t="s">
        <v>317</v>
      </c>
      <c r="F463" s="104" t="s">
        <v>318</v>
      </c>
      <c r="G463" s="109"/>
    </row>
    <row r="464" spans="1:8">
      <c r="B464" s="823" t="str">
        <f>'MANO DE OBRA'!B10</f>
        <v>AYUDANTE CUAD. TIPO AA</v>
      </c>
      <c r="C464" s="824"/>
      <c r="D464" s="87">
        <v>1</v>
      </c>
      <c r="E464" s="80">
        <f>'MANO DE OBRA'!E10</f>
        <v>34680</v>
      </c>
      <c r="F464" s="81">
        <v>16</v>
      </c>
      <c r="G464" s="110">
        <f>ROUND(D464*E464/F464,0)</f>
        <v>2168</v>
      </c>
    </row>
    <row r="465" spans="2:8">
      <c r="B465" s="835" t="str">
        <f>'MANO DE OBRA'!B15</f>
        <v xml:space="preserve">OFICIAL CUAD. TIPO AA </v>
      </c>
      <c r="C465" s="836"/>
      <c r="D465" s="37">
        <v>1</v>
      </c>
      <c r="E465" s="82">
        <f>'MANO DE OBRA'!E15</f>
        <v>71474</v>
      </c>
      <c r="F465" s="83">
        <v>16</v>
      </c>
      <c r="G465" s="111">
        <f>ROUND(D465*E465/F465,0)</f>
        <v>4467</v>
      </c>
    </row>
    <row r="466" spans="2:8">
      <c r="B466" s="835" t="str">
        <f>'MANO DE OBRA'!B14</f>
        <v>AYUDANTE PRACTICO</v>
      </c>
      <c r="C466" s="836"/>
      <c r="D466" s="37">
        <v>1</v>
      </c>
      <c r="E466" s="82">
        <f>'MANO DE OBRA'!E14</f>
        <v>43350</v>
      </c>
      <c r="F466" s="83">
        <v>16</v>
      </c>
      <c r="G466" s="111">
        <f>ROUND(D466*E466/F466,0)</f>
        <v>2709</v>
      </c>
    </row>
    <row r="467" spans="2:8">
      <c r="B467" s="835" t="s">
        <v>841</v>
      </c>
      <c r="C467" s="836"/>
      <c r="D467" s="37"/>
      <c r="E467" s="82"/>
      <c r="F467" s="83"/>
      <c r="G467" s="111"/>
    </row>
    <row r="468" spans="2:8" ht="13.5" thickBot="1">
      <c r="B468" s="828" t="s">
        <v>841</v>
      </c>
      <c r="C468" s="829"/>
      <c r="D468" s="77"/>
      <c r="E468" s="82"/>
      <c r="F468" s="86"/>
      <c r="G468" s="112"/>
    </row>
    <row r="469" spans="2:8" ht="14.25" thickTop="1" thickBot="1">
      <c r="B469" s="808"/>
      <c r="C469" s="808"/>
      <c r="D469" s="808"/>
      <c r="E469" s="809"/>
      <c r="F469" s="120" t="s">
        <v>856</v>
      </c>
      <c r="G469" s="118">
        <f>SUM(G464:G468)</f>
        <v>9344</v>
      </c>
    </row>
    <row r="470" spans="2:8" ht="14.25" thickTop="1" thickBot="1">
      <c r="B470" s="810"/>
      <c r="C470" s="810"/>
      <c r="D470" s="810"/>
      <c r="E470" s="810"/>
      <c r="F470" s="810"/>
      <c r="G470" s="810"/>
    </row>
    <row r="471" spans="2:8" ht="13.5" thickTop="1">
      <c r="B471" s="811" t="s">
        <v>321</v>
      </c>
      <c r="C471" s="812"/>
      <c r="D471" s="812"/>
      <c r="E471" s="812"/>
      <c r="F471" s="812"/>
      <c r="G471" s="825"/>
    </row>
    <row r="472" spans="2:8">
      <c r="B472" s="817" t="s">
        <v>838</v>
      </c>
      <c r="C472" s="818"/>
      <c r="D472" s="98" t="s">
        <v>301</v>
      </c>
      <c r="E472" s="98" t="s">
        <v>297</v>
      </c>
      <c r="F472" s="99" t="s">
        <v>839</v>
      </c>
      <c r="G472" s="107" t="s">
        <v>840</v>
      </c>
    </row>
    <row r="473" spans="2:8">
      <c r="B473" s="230"/>
      <c r="C473" s="102"/>
      <c r="D473" s="103" t="s">
        <v>322</v>
      </c>
      <c r="E473" s="103" t="s">
        <v>323</v>
      </c>
      <c r="F473" s="104" t="s">
        <v>324</v>
      </c>
      <c r="G473" s="109" t="s">
        <v>325</v>
      </c>
    </row>
    <row r="474" spans="2:8" ht="13.5" thickBot="1">
      <c r="B474" s="828" t="s">
        <v>841</v>
      </c>
      <c r="C474" s="829"/>
      <c r="D474" s="77"/>
      <c r="E474" s="82"/>
      <c r="F474" s="86"/>
      <c r="G474" s="112"/>
    </row>
    <row r="475" spans="2:8" ht="14.25" thickTop="1" thickBot="1">
      <c r="B475" s="808"/>
      <c r="C475" s="808"/>
      <c r="D475" s="808"/>
      <c r="E475" s="809"/>
      <c r="F475" s="120" t="s">
        <v>856</v>
      </c>
      <c r="G475" s="118">
        <f>SUM(G471:G474)</f>
        <v>0</v>
      </c>
    </row>
    <row r="476" spans="2:8" ht="14.25" thickTop="1" thickBot="1">
      <c r="B476" s="810"/>
      <c r="C476" s="810"/>
      <c r="D476" s="810"/>
      <c r="E476" s="810"/>
      <c r="F476" s="810"/>
      <c r="G476" s="834"/>
    </row>
    <row r="477" spans="2:8" ht="13.5" thickTop="1">
      <c r="B477" s="811" t="s">
        <v>326</v>
      </c>
      <c r="C477" s="812"/>
      <c r="D477" s="812"/>
      <c r="E477" s="812"/>
      <c r="F477" s="813"/>
      <c r="G477" s="121">
        <f>+G444+G458+G469</f>
        <v>34105</v>
      </c>
    </row>
    <row r="478" spans="2:8">
      <c r="B478" s="814" t="s">
        <v>861</v>
      </c>
      <c r="C478" s="815"/>
      <c r="D478" s="815"/>
      <c r="E478" s="816"/>
      <c r="F478" s="128">
        <f>'MANO DE OBRA'!D112</f>
        <v>0</v>
      </c>
      <c r="G478" s="122">
        <f>ROUND(G477*F478,0)</f>
        <v>0</v>
      </c>
    </row>
    <row r="479" spans="2:8" ht="13.5" thickBot="1">
      <c r="B479" s="805" t="s">
        <v>1049</v>
      </c>
      <c r="C479" s="806"/>
      <c r="D479" s="806"/>
      <c r="E479" s="806"/>
      <c r="F479" s="807"/>
      <c r="G479" s="118">
        <f>ROUND(G477+G478,-2)</f>
        <v>34100</v>
      </c>
      <c r="H479" s="506" t="s">
        <v>1670</v>
      </c>
    </row>
    <row r="480" spans="2:8" ht="13.5" thickTop="1">
      <c r="B480" s="225" t="s">
        <v>303</v>
      </c>
      <c r="C480" s="843"/>
      <c r="D480" s="843"/>
      <c r="E480" s="843"/>
      <c r="F480" s="92" t="s">
        <v>781</v>
      </c>
      <c r="G480" s="93" t="s">
        <v>865</v>
      </c>
    </row>
    <row r="481" spans="1:7">
      <c r="B481" s="226" t="s">
        <v>834</v>
      </c>
      <c r="C481" s="844" t="s">
        <v>343</v>
      </c>
      <c r="D481" s="844"/>
      <c r="E481" s="844"/>
      <c r="F481" s="15" t="s">
        <v>833</v>
      </c>
      <c r="G481" s="165" t="str">
        <f>'MANO DE OBRA'!D61</f>
        <v>Agosto de 2010</v>
      </c>
    </row>
    <row r="482" spans="1:7" ht="13.5" thickBot="1">
      <c r="A482" s="127"/>
      <c r="B482" s="228" t="s">
        <v>835</v>
      </c>
      <c r="C482" s="845" t="s">
        <v>298</v>
      </c>
      <c r="D482" s="845"/>
      <c r="E482" s="845"/>
      <c r="F482" s="845"/>
      <c r="G482" s="846"/>
    </row>
    <row r="483" spans="1:7" ht="14.25" thickTop="1" thickBot="1">
      <c r="B483" s="847"/>
      <c r="C483" s="847"/>
      <c r="D483" s="847"/>
      <c r="E483" s="847"/>
      <c r="F483" s="847"/>
      <c r="G483" s="847"/>
    </row>
    <row r="484" spans="1:7" ht="13.5" thickTop="1">
      <c r="B484" s="811" t="s">
        <v>304</v>
      </c>
      <c r="C484" s="812"/>
      <c r="D484" s="812"/>
      <c r="E484" s="812"/>
      <c r="F484" s="812"/>
      <c r="G484" s="825"/>
    </row>
    <row r="485" spans="1:7">
      <c r="B485" s="229"/>
      <c r="C485" s="97"/>
      <c r="D485" s="98" t="s">
        <v>301</v>
      </c>
      <c r="E485" s="98" t="s">
        <v>1072</v>
      </c>
      <c r="F485" s="99" t="s">
        <v>839</v>
      </c>
      <c r="G485" s="107" t="s">
        <v>840</v>
      </c>
    </row>
    <row r="486" spans="1:7">
      <c r="B486" s="821" t="s">
        <v>838</v>
      </c>
      <c r="C486" s="822"/>
      <c r="D486" s="100" t="s">
        <v>308</v>
      </c>
      <c r="E486" s="100" t="s">
        <v>305</v>
      </c>
      <c r="F486" s="101" t="s">
        <v>306</v>
      </c>
      <c r="G486" s="108" t="s">
        <v>310</v>
      </c>
    </row>
    <row r="487" spans="1:7">
      <c r="B487" s="230"/>
      <c r="C487" s="102"/>
      <c r="D487" s="103"/>
      <c r="E487" s="103" t="s">
        <v>309</v>
      </c>
      <c r="F487" s="104" t="s">
        <v>307</v>
      </c>
      <c r="G487" s="109"/>
    </row>
    <row r="488" spans="1:7">
      <c r="A488" s="127"/>
      <c r="B488" s="823" t="str">
        <f>'MAQUINARIA Y EQUIPOS'!$C$28</f>
        <v>HERRAMIENTAS MENORES</v>
      </c>
      <c r="C488" s="824"/>
      <c r="D488" s="87">
        <v>1</v>
      </c>
      <c r="E488" s="82">
        <f>ROUND(G521*0.25,0)</f>
        <v>5308</v>
      </c>
      <c r="F488" s="81">
        <v>5</v>
      </c>
      <c r="G488" s="110">
        <f>ROUND(D488*E488/F488,0)</f>
        <v>1062</v>
      </c>
    </row>
    <row r="489" spans="1:7">
      <c r="B489" s="835"/>
      <c r="C489" s="836"/>
      <c r="D489" s="37"/>
      <c r="E489" s="129"/>
      <c r="F489" s="53"/>
      <c r="G489" s="111"/>
    </row>
    <row r="490" spans="1:7">
      <c r="B490" s="835"/>
      <c r="C490" s="836"/>
      <c r="D490" s="37"/>
      <c r="E490" s="129"/>
      <c r="F490" s="53"/>
      <c r="G490" s="111"/>
    </row>
    <row r="491" spans="1:7">
      <c r="B491" s="835"/>
      <c r="C491" s="836"/>
      <c r="D491" s="37"/>
      <c r="E491" s="129"/>
      <c r="F491" s="53"/>
      <c r="G491" s="111"/>
    </row>
    <row r="492" spans="1:7">
      <c r="B492" s="835" t="s">
        <v>841</v>
      </c>
      <c r="C492" s="836"/>
      <c r="D492" s="37"/>
      <c r="E492" s="82"/>
      <c r="F492" s="83"/>
      <c r="G492" s="111"/>
    </row>
    <row r="493" spans="1:7" ht="13.5" thickBot="1">
      <c r="B493" s="839" t="s">
        <v>841</v>
      </c>
      <c r="C493" s="840"/>
      <c r="D493" s="77"/>
      <c r="E493" s="106"/>
      <c r="F493" s="86"/>
      <c r="G493" s="112"/>
    </row>
    <row r="494" spans="1:7" ht="14.25" thickTop="1" thickBot="1">
      <c r="B494" s="808"/>
      <c r="C494" s="808"/>
      <c r="D494" s="808"/>
      <c r="E494" s="809"/>
      <c r="F494" s="119" t="s">
        <v>856</v>
      </c>
      <c r="G494" s="118">
        <f>SUM(G488:G493)</f>
        <v>1062</v>
      </c>
    </row>
    <row r="495" spans="1:7" ht="14.25" thickTop="1" thickBot="1">
      <c r="B495" s="830"/>
      <c r="C495" s="830"/>
      <c r="D495" s="830"/>
      <c r="E495" s="830"/>
      <c r="F495" s="830"/>
      <c r="G495" s="830"/>
    </row>
    <row r="496" spans="1:7" ht="13.5" thickTop="1">
      <c r="B496" s="811" t="s">
        <v>311</v>
      </c>
      <c r="C496" s="812"/>
      <c r="D496" s="812"/>
      <c r="E496" s="812"/>
      <c r="F496" s="812"/>
      <c r="G496" s="825"/>
    </row>
    <row r="497" spans="1:8">
      <c r="B497" s="817" t="s">
        <v>838</v>
      </c>
      <c r="C497" s="818"/>
      <c r="D497" s="98" t="s">
        <v>842</v>
      </c>
      <c r="E497" s="98" t="s">
        <v>853</v>
      </c>
      <c r="F497" s="99" t="s">
        <v>1047</v>
      </c>
      <c r="G497" s="107" t="s">
        <v>840</v>
      </c>
    </row>
    <row r="498" spans="1:8">
      <c r="B498" s="230"/>
      <c r="C498" s="102"/>
      <c r="D498" s="100"/>
      <c r="E498" s="100" t="s">
        <v>312</v>
      </c>
      <c r="F498" s="101" t="s">
        <v>313</v>
      </c>
      <c r="G498" s="108" t="s">
        <v>314</v>
      </c>
    </row>
    <row r="499" spans="1:8">
      <c r="A499" s="125"/>
      <c r="B499" s="875"/>
      <c r="C499" s="876"/>
      <c r="D499" s="87"/>
      <c r="E499" s="10"/>
      <c r="F499" s="80"/>
      <c r="G499" s="110"/>
    </row>
    <row r="500" spans="1:8">
      <c r="A500" s="123"/>
      <c r="B500" s="877"/>
      <c r="C500" s="878"/>
      <c r="D500" s="88"/>
      <c r="E500" s="53"/>
      <c r="F500" s="82"/>
      <c r="G500" s="111"/>
    </row>
    <row r="501" spans="1:8">
      <c r="B501" s="835"/>
      <c r="C501" s="836"/>
      <c r="D501" s="37"/>
      <c r="E501" s="55"/>
      <c r="F501" s="82"/>
      <c r="G501" s="111"/>
    </row>
    <row r="502" spans="1:8">
      <c r="B502" s="835"/>
      <c r="C502" s="836"/>
      <c r="D502" s="37"/>
      <c r="E502" s="55"/>
      <c r="F502" s="82"/>
      <c r="G502" s="111"/>
    </row>
    <row r="503" spans="1:8">
      <c r="B503" s="837"/>
      <c r="C503" s="838"/>
      <c r="D503" s="37"/>
      <c r="E503" s="55"/>
      <c r="F503" s="82"/>
      <c r="G503" s="111"/>
      <c r="H503" s="506" t="s">
        <v>1670</v>
      </c>
    </row>
    <row r="504" spans="1:8">
      <c r="B504" s="837"/>
      <c r="C504" s="838"/>
      <c r="D504" s="53" t="s">
        <v>841</v>
      </c>
      <c r="E504" s="53"/>
      <c r="F504" s="82"/>
      <c r="G504" s="111"/>
    </row>
    <row r="505" spans="1:8">
      <c r="B505" s="837" t="s">
        <v>841</v>
      </c>
      <c r="C505" s="838"/>
      <c r="D505" s="53" t="s">
        <v>841</v>
      </c>
      <c r="E505" s="53"/>
      <c r="F505" s="82"/>
      <c r="G505" s="111"/>
    </row>
    <row r="506" spans="1:8">
      <c r="B506" s="837" t="s">
        <v>841</v>
      </c>
      <c r="C506" s="838"/>
      <c r="D506" s="53" t="s">
        <v>841</v>
      </c>
      <c r="E506" s="53"/>
      <c r="F506" s="82"/>
      <c r="G506" s="111"/>
    </row>
    <row r="507" spans="1:8" ht="13.5" thickBot="1">
      <c r="B507" s="839" t="s">
        <v>841</v>
      </c>
      <c r="C507" s="840"/>
      <c r="D507" s="84" t="s">
        <v>841</v>
      </c>
      <c r="E507" s="84"/>
      <c r="F507" s="85"/>
      <c r="G507" s="112"/>
    </row>
    <row r="508" spans="1:8" ht="13.5" thickTop="1">
      <c r="B508" s="808"/>
      <c r="C508" s="809"/>
      <c r="D508" s="801" t="s">
        <v>856</v>
      </c>
      <c r="E508" s="802"/>
      <c r="F508" s="9"/>
      <c r="G508" s="113">
        <f>SUM(G499:G507)</f>
        <v>0</v>
      </c>
    </row>
    <row r="509" spans="1:8">
      <c r="B509" s="819"/>
      <c r="C509" s="820"/>
      <c r="D509" s="801" t="s">
        <v>857</v>
      </c>
      <c r="E509" s="802"/>
      <c r="F509" s="79">
        <f>'MANO DE OBRA'!$D$60</f>
        <v>0.05</v>
      </c>
      <c r="G509" s="113">
        <f>ROUND(G508*F509,0)</f>
        <v>0</v>
      </c>
    </row>
    <row r="510" spans="1:8" ht="13.5" thickBot="1">
      <c r="B510" s="819"/>
      <c r="C510" s="820"/>
      <c r="D510" s="803" t="s">
        <v>320</v>
      </c>
      <c r="E510" s="804"/>
      <c r="F510" s="114"/>
      <c r="G510" s="118">
        <f>+G508+G509</f>
        <v>0</v>
      </c>
    </row>
    <row r="511" spans="1:8" ht="14.25" thickTop="1" thickBot="1">
      <c r="B511" s="830"/>
      <c r="C511" s="830"/>
      <c r="D511" s="830"/>
      <c r="E511" s="830"/>
      <c r="F511" s="830"/>
      <c r="G511" s="830"/>
    </row>
    <row r="512" spans="1:8" ht="13.5" thickTop="1">
      <c r="B512" s="811" t="s">
        <v>858</v>
      </c>
      <c r="C512" s="812"/>
      <c r="D512" s="812"/>
      <c r="E512" s="812"/>
      <c r="F512" s="812"/>
      <c r="G512" s="825"/>
    </row>
    <row r="513" spans="2:7">
      <c r="B513" s="817"/>
      <c r="C513" s="818"/>
      <c r="D513" s="98" t="s">
        <v>301</v>
      </c>
      <c r="E513" s="98" t="s">
        <v>859</v>
      </c>
      <c r="F513" s="99" t="s">
        <v>839</v>
      </c>
      <c r="G513" s="107" t="s">
        <v>840</v>
      </c>
    </row>
    <row r="514" spans="2:7">
      <c r="B514" s="821" t="s">
        <v>838</v>
      </c>
      <c r="C514" s="822"/>
      <c r="D514" s="100" t="s">
        <v>316</v>
      </c>
      <c r="E514" s="100" t="s">
        <v>315</v>
      </c>
      <c r="F514" s="101" t="s">
        <v>306</v>
      </c>
      <c r="G514" s="108" t="s">
        <v>319</v>
      </c>
    </row>
    <row r="515" spans="2:7">
      <c r="B515" s="230"/>
      <c r="C515" s="102"/>
      <c r="D515" s="103"/>
      <c r="E515" s="103" t="s">
        <v>317</v>
      </c>
      <c r="F515" s="104" t="s">
        <v>318</v>
      </c>
      <c r="G515" s="109"/>
    </row>
    <row r="516" spans="2:7">
      <c r="B516" s="823" t="str">
        <f>'MANO DE OBRA'!$B$10</f>
        <v>AYUDANTE CUAD. TIPO AA</v>
      </c>
      <c r="C516" s="824"/>
      <c r="D516" s="87">
        <v>1</v>
      </c>
      <c r="E516" s="80">
        <f>'MANO DE OBRA'!$E$10</f>
        <v>34680</v>
      </c>
      <c r="F516" s="81">
        <v>5</v>
      </c>
      <c r="G516" s="110">
        <f>ROUND(D516*E516/F516,0)</f>
        <v>6936</v>
      </c>
    </row>
    <row r="517" spans="2:7">
      <c r="B517" s="835" t="str">
        <f>'MANO DE OBRA'!$B$15</f>
        <v xml:space="preserve">OFICIAL CUAD. TIPO AA </v>
      </c>
      <c r="C517" s="836"/>
      <c r="D517" s="37">
        <v>1</v>
      </c>
      <c r="E517" s="82">
        <f>'MANO DE OBRA'!$E$15</f>
        <v>71474</v>
      </c>
      <c r="F517" s="83">
        <v>5</v>
      </c>
      <c r="G517" s="111">
        <f>ROUND(D517*E517/F517,0)</f>
        <v>14295</v>
      </c>
    </row>
    <row r="518" spans="2:7">
      <c r="B518" s="835"/>
      <c r="C518" s="836"/>
      <c r="D518" s="37"/>
      <c r="E518" s="82"/>
      <c r="F518" s="83"/>
      <c r="G518" s="111"/>
    </row>
    <row r="519" spans="2:7">
      <c r="B519" s="835" t="s">
        <v>841</v>
      </c>
      <c r="C519" s="836"/>
      <c r="D519" s="37"/>
      <c r="E519" s="82"/>
      <c r="F519" s="83"/>
      <c r="G519" s="111"/>
    </row>
    <row r="520" spans="2:7" ht="13.5" thickBot="1">
      <c r="B520" s="828" t="s">
        <v>841</v>
      </c>
      <c r="C520" s="829"/>
      <c r="D520" s="77"/>
      <c r="E520" s="82"/>
      <c r="F520" s="86"/>
      <c r="G520" s="112"/>
    </row>
    <row r="521" spans="2:7" ht="14.25" thickTop="1" thickBot="1">
      <c r="B521" s="808"/>
      <c r="C521" s="808"/>
      <c r="D521" s="808"/>
      <c r="E521" s="809"/>
      <c r="F521" s="120" t="s">
        <v>856</v>
      </c>
      <c r="G521" s="118">
        <f>SUM(G516:G520)</f>
        <v>21231</v>
      </c>
    </row>
    <row r="522" spans="2:7" ht="14.25" thickTop="1" thickBot="1">
      <c r="B522" s="810"/>
      <c r="C522" s="810"/>
      <c r="D522" s="810"/>
      <c r="E522" s="810"/>
      <c r="F522" s="810"/>
      <c r="G522" s="810"/>
    </row>
    <row r="523" spans="2:7" ht="13.5" thickTop="1">
      <c r="B523" s="811" t="s">
        <v>321</v>
      </c>
      <c r="C523" s="812"/>
      <c r="D523" s="812"/>
      <c r="E523" s="812"/>
      <c r="F523" s="812"/>
      <c r="G523" s="825"/>
    </row>
    <row r="524" spans="2:7">
      <c r="B524" s="817" t="s">
        <v>838</v>
      </c>
      <c r="C524" s="818"/>
      <c r="D524" s="98" t="s">
        <v>301</v>
      </c>
      <c r="E524" s="98" t="s">
        <v>297</v>
      </c>
      <c r="F524" s="99" t="s">
        <v>839</v>
      </c>
      <c r="G524" s="107" t="s">
        <v>840</v>
      </c>
    </row>
    <row r="525" spans="2:7">
      <c r="B525" s="230"/>
      <c r="C525" s="102"/>
      <c r="D525" s="103" t="s">
        <v>322</v>
      </c>
      <c r="E525" s="103" t="s">
        <v>323</v>
      </c>
      <c r="F525" s="104" t="s">
        <v>324</v>
      </c>
      <c r="G525" s="109" t="s">
        <v>325</v>
      </c>
    </row>
    <row r="526" spans="2:7">
      <c r="B526" s="826"/>
      <c r="C526" s="827"/>
      <c r="D526" s="96"/>
      <c r="E526" s="96"/>
      <c r="F526" s="96"/>
      <c r="G526" s="116"/>
    </row>
    <row r="527" spans="2:7" ht="13.5" thickBot="1">
      <c r="B527" s="828" t="s">
        <v>841</v>
      </c>
      <c r="C527" s="829"/>
      <c r="D527" s="77"/>
      <c r="E527" s="82"/>
      <c r="F527" s="86"/>
      <c r="G527" s="112"/>
    </row>
    <row r="528" spans="2:7" ht="14.25" thickTop="1" thickBot="1">
      <c r="B528" s="808"/>
      <c r="C528" s="808"/>
      <c r="D528" s="808"/>
      <c r="E528" s="809"/>
      <c r="F528" s="120" t="s">
        <v>856</v>
      </c>
      <c r="G528" s="118">
        <f>SUM(G523:G527)</f>
        <v>0</v>
      </c>
    </row>
    <row r="529" spans="1:8" ht="14.25" thickTop="1" thickBot="1">
      <c r="B529" s="810"/>
      <c r="C529" s="810"/>
      <c r="D529" s="810"/>
      <c r="E529" s="810"/>
      <c r="F529" s="810"/>
      <c r="G529" s="834"/>
    </row>
    <row r="530" spans="1:8" ht="13.5" thickTop="1">
      <c r="B530" s="811" t="s">
        <v>326</v>
      </c>
      <c r="C530" s="812"/>
      <c r="D530" s="812"/>
      <c r="E530" s="812"/>
      <c r="F530" s="813"/>
      <c r="G530" s="121">
        <f>+G494+G510+G521</f>
        <v>22293</v>
      </c>
    </row>
    <row r="531" spans="1:8">
      <c r="B531" s="814" t="s">
        <v>861</v>
      </c>
      <c r="C531" s="815"/>
      <c r="D531" s="815"/>
      <c r="E531" s="816"/>
      <c r="F531" s="128">
        <f>'MANO DE OBRA'!D59</f>
        <v>0</v>
      </c>
      <c r="G531" s="122">
        <f>ROUND(G530*F531,0)</f>
        <v>0</v>
      </c>
    </row>
    <row r="532" spans="1:8" ht="13.5" thickBot="1">
      <c r="B532" s="805" t="s">
        <v>1049</v>
      </c>
      <c r="C532" s="806"/>
      <c r="D532" s="806"/>
      <c r="E532" s="806"/>
      <c r="F532" s="807"/>
      <c r="G532" s="118">
        <f>ROUND(G530+G531,-2)</f>
        <v>22300</v>
      </c>
      <c r="H532" s="506" t="s">
        <v>1670</v>
      </c>
    </row>
    <row r="533" spans="1:8" ht="15" thickTop="1">
      <c r="B533" s="225" t="s">
        <v>303</v>
      </c>
      <c r="C533" s="843"/>
      <c r="D533" s="843"/>
      <c r="E533" s="843"/>
      <c r="F533" s="92" t="s">
        <v>781</v>
      </c>
      <c r="G533" s="93" t="s">
        <v>1067</v>
      </c>
    </row>
    <row r="534" spans="1:8">
      <c r="B534" s="226" t="s">
        <v>834</v>
      </c>
      <c r="C534" s="844" t="s">
        <v>343</v>
      </c>
      <c r="D534" s="844"/>
      <c r="E534" s="844"/>
      <c r="F534" s="15" t="s">
        <v>833</v>
      </c>
      <c r="G534" s="165" t="str">
        <f>'MANO DE OBRA'!D61</f>
        <v>Agosto de 2010</v>
      </c>
    </row>
    <row r="535" spans="1:8" ht="13.5" thickBot="1">
      <c r="A535" s="127"/>
      <c r="B535" s="228" t="s">
        <v>835</v>
      </c>
      <c r="C535" s="845" t="s">
        <v>299</v>
      </c>
      <c r="D535" s="845"/>
      <c r="E535" s="845"/>
      <c r="F535" s="845"/>
      <c r="G535" s="846"/>
    </row>
    <row r="536" spans="1:8" ht="14.25" thickTop="1" thickBot="1">
      <c r="B536" s="847"/>
      <c r="C536" s="847"/>
      <c r="D536" s="847"/>
      <c r="E536" s="847"/>
      <c r="F536" s="847"/>
      <c r="G536" s="847"/>
    </row>
    <row r="537" spans="1:8" ht="13.5" thickTop="1">
      <c r="B537" s="811" t="s">
        <v>304</v>
      </c>
      <c r="C537" s="812"/>
      <c r="D537" s="812"/>
      <c r="E537" s="812"/>
      <c r="F537" s="812"/>
      <c r="G537" s="825"/>
    </row>
    <row r="538" spans="1:8">
      <c r="B538" s="229"/>
      <c r="C538" s="97"/>
      <c r="D538" s="98" t="s">
        <v>301</v>
      </c>
      <c r="E538" s="98" t="s">
        <v>1072</v>
      </c>
      <c r="F538" s="99" t="s">
        <v>839</v>
      </c>
      <c r="G538" s="107" t="s">
        <v>840</v>
      </c>
    </row>
    <row r="539" spans="1:8">
      <c r="B539" s="821" t="s">
        <v>838</v>
      </c>
      <c r="C539" s="822"/>
      <c r="D539" s="100" t="s">
        <v>308</v>
      </c>
      <c r="E539" s="100" t="s">
        <v>305</v>
      </c>
      <c r="F539" s="101" t="s">
        <v>306</v>
      </c>
      <c r="G539" s="108" t="s">
        <v>310</v>
      </c>
    </row>
    <row r="540" spans="1:8">
      <c r="B540" s="230"/>
      <c r="C540" s="102"/>
      <c r="D540" s="103"/>
      <c r="E540" s="103" t="s">
        <v>309</v>
      </c>
      <c r="F540" s="104" t="s">
        <v>307</v>
      </c>
      <c r="G540" s="109"/>
    </row>
    <row r="541" spans="1:8">
      <c r="A541" s="127"/>
      <c r="B541" s="823" t="str">
        <f>'MAQUINARIA Y EQUIPOS'!C28</f>
        <v>HERRAMIENTAS MENORES</v>
      </c>
      <c r="C541" s="824"/>
      <c r="D541" s="87">
        <v>1</v>
      </c>
      <c r="E541" s="82">
        <f>ROUND(G574*0.25,0)</f>
        <v>1002</v>
      </c>
      <c r="F541" s="81">
        <v>1.5</v>
      </c>
      <c r="G541" s="110">
        <f>ROUND(D541*E541/F541,0)</f>
        <v>668</v>
      </c>
    </row>
    <row r="542" spans="1:8">
      <c r="B542" s="835"/>
      <c r="C542" s="836"/>
      <c r="D542" s="37"/>
      <c r="E542" s="129"/>
      <c r="F542" s="53"/>
      <c r="G542" s="111"/>
    </row>
    <row r="543" spans="1:8">
      <c r="B543" s="835"/>
      <c r="C543" s="836"/>
      <c r="D543" s="37"/>
      <c r="E543" s="129"/>
      <c r="F543" s="53"/>
      <c r="G543" s="111"/>
    </row>
    <row r="544" spans="1:8">
      <c r="B544" s="835"/>
      <c r="C544" s="836"/>
      <c r="D544" s="37"/>
      <c r="E544" s="129"/>
      <c r="F544" s="53"/>
      <c r="G544" s="111"/>
    </row>
    <row r="545" spans="1:8">
      <c r="B545" s="835" t="s">
        <v>841</v>
      </c>
      <c r="C545" s="836"/>
      <c r="D545" s="37"/>
      <c r="E545" s="82"/>
      <c r="F545" s="83"/>
      <c r="G545" s="111"/>
    </row>
    <row r="546" spans="1:8" ht="13.5" thickBot="1">
      <c r="B546" s="839" t="s">
        <v>841</v>
      </c>
      <c r="C546" s="840"/>
      <c r="D546" s="77"/>
      <c r="E546" s="106"/>
      <c r="F546" s="86"/>
      <c r="G546" s="112"/>
    </row>
    <row r="547" spans="1:8" ht="14.25" thickTop="1" thickBot="1">
      <c r="B547" s="808"/>
      <c r="C547" s="808"/>
      <c r="D547" s="808"/>
      <c r="E547" s="809"/>
      <c r="F547" s="119" t="s">
        <v>856</v>
      </c>
      <c r="G547" s="118">
        <f>SUM(G541:G546)</f>
        <v>668</v>
      </c>
    </row>
    <row r="548" spans="1:8" ht="14.25" thickTop="1" thickBot="1">
      <c r="B548" s="830"/>
      <c r="C548" s="830"/>
      <c r="D548" s="830"/>
      <c r="E548" s="830"/>
      <c r="F548" s="830"/>
      <c r="G548" s="830"/>
    </row>
    <row r="549" spans="1:8" ht="13.5" thickTop="1">
      <c r="B549" s="811" t="s">
        <v>311</v>
      </c>
      <c r="C549" s="812"/>
      <c r="D549" s="812"/>
      <c r="E549" s="812"/>
      <c r="F549" s="812"/>
      <c r="G549" s="825"/>
    </row>
    <row r="550" spans="1:8">
      <c r="B550" s="817" t="s">
        <v>838</v>
      </c>
      <c r="C550" s="818"/>
      <c r="D550" s="98" t="s">
        <v>842</v>
      </c>
      <c r="E550" s="98" t="s">
        <v>853</v>
      </c>
      <c r="F550" s="99" t="s">
        <v>1047</v>
      </c>
      <c r="G550" s="107" t="s">
        <v>840</v>
      </c>
    </row>
    <row r="551" spans="1:8">
      <c r="B551" s="230"/>
      <c r="C551" s="102"/>
      <c r="D551" s="100"/>
      <c r="E551" s="100" t="s">
        <v>312</v>
      </c>
      <c r="F551" s="101" t="s">
        <v>313</v>
      </c>
      <c r="G551" s="108" t="s">
        <v>314</v>
      </c>
    </row>
    <row r="552" spans="1:8">
      <c r="A552" s="125"/>
      <c r="B552" s="875"/>
      <c r="C552" s="876"/>
      <c r="D552" s="87"/>
      <c r="E552" s="10"/>
      <c r="F552" s="80"/>
      <c r="G552" s="110"/>
    </row>
    <row r="553" spans="1:8">
      <c r="A553" s="123"/>
      <c r="B553" s="877"/>
      <c r="C553" s="878"/>
      <c r="D553" s="88"/>
      <c r="E553" s="53"/>
      <c r="F553" s="82"/>
      <c r="G553" s="111"/>
    </row>
    <row r="554" spans="1:8">
      <c r="B554" s="835"/>
      <c r="C554" s="836"/>
      <c r="D554" s="37"/>
      <c r="E554" s="55"/>
      <c r="F554" s="82"/>
      <c r="G554" s="111"/>
    </row>
    <row r="555" spans="1:8">
      <c r="B555" s="835"/>
      <c r="C555" s="836"/>
      <c r="D555" s="37"/>
      <c r="E555" s="55"/>
      <c r="F555" s="82"/>
      <c r="G555" s="111"/>
    </row>
    <row r="556" spans="1:8">
      <c r="B556" s="837"/>
      <c r="C556" s="838"/>
      <c r="D556" s="37"/>
      <c r="E556" s="55"/>
      <c r="F556" s="82"/>
      <c r="G556" s="111"/>
    </row>
    <row r="557" spans="1:8">
      <c r="B557" s="837"/>
      <c r="C557" s="838"/>
      <c r="D557" s="53" t="s">
        <v>841</v>
      </c>
      <c r="E557" s="53"/>
      <c r="F557" s="82"/>
      <c r="G557" s="111"/>
      <c r="H557" s="506" t="s">
        <v>1670</v>
      </c>
    </row>
    <row r="558" spans="1:8">
      <c r="B558" s="837" t="s">
        <v>841</v>
      </c>
      <c r="C558" s="838"/>
      <c r="D558" s="53" t="s">
        <v>841</v>
      </c>
      <c r="E558" s="53"/>
      <c r="F558" s="82"/>
      <c r="G558" s="111"/>
    </row>
    <row r="559" spans="1:8">
      <c r="B559" s="837" t="s">
        <v>841</v>
      </c>
      <c r="C559" s="838"/>
      <c r="D559" s="53" t="s">
        <v>841</v>
      </c>
      <c r="E559" s="53"/>
      <c r="F559" s="82"/>
      <c r="G559" s="111"/>
    </row>
    <row r="560" spans="1:8" ht="13.5" thickBot="1">
      <c r="B560" s="839" t="s">
        <v>841</v>
      </c>
      <c r="C560" s="840"/>
      <c r="D560" s="84" t="s">
        <v>841</v>
      </c>
      <c r="E560" s="84"/>
      <c r="F560" s="85"/>
      <c r="G560" s="112"/>
    </row>
    <row r="561" spans="2:7" ht="13.5" thickTop="1">
      <c r="B561" s="808"/>
      <c r="C561" s="809"/>
      <c r="D561" s="801" t="s">
        <v>856</v>
      </c>
      <c r="E561" s="802"/>
      <c r="F561" s="9"/>
      <c r="G561" s="113">
        <f>SUM(G552:G560)</f>
        <v>0</v>
      </c>
    </row>
    <row r="562" spans="2:7">
      <c r="B562" s="819"/>
      <c r="C562" s="820"/>
      <c r="D562" s="801" t="s">
        <v>857</v>
      </c>
      <c r="E562" s="802"/>
      <c r="F562" s="79">
        <f>'MANO DE OBRA'!D60</f>
        <v>0.05</v>
      </c>
      <c r="G562" s="113">
        <f>ROUND(G561*F562,0)</f>
        <v>0</v>
      </c>
    </row>
    <row r="563" spans="2:7" ht="13.5" thickBot="1">
      <c r="B563" s="819"/>
      <c r="C563" s="820"/>
      <c r="D563" s="803" t="s">
        <v>320</v>
      </c>
      <c r="E563" s="804"/>
      <c r="F563" s="114"/>
      <c r="G563" s="118">
        <f>+G561+G562</f>
        <v>0</v>
      </c>
    </row>
    <row r="564" spans="2:7" ht="14.25" thickTop="1" thickBot="1">
      <c r="B564" s="830"/>
      <c r="C564" s="830"/>
      <c r="D564" s="830"/>
      <c r="E564" s="830"/>
      <c r="F564" s="830"/>
      <c r="G564" s="830"/>
    </row>
    <row r="565" spans="2:7" ht="13.5" thickTop="1">
      <c r="B565" s="811" t="s">
        <v>858</v>
      </c>
      <c r="C565" s="812"/>
      <c r="D565" s="812"/>
      <c r="E565" s="812"/>
      <c r="F565" s="812"/>
      <c r="G565" s="825"/>
    </row>
    <row r="566" spans="2:7">
      <c r="B566" s="817"/>
      <c r="C566" s="818"/>
      <c r="D566" s="98" t="s">
        <v>301</v>
      </c>
      <c r="E566" s="98" t="s">
        <v>859</v>
      </c>
      <c r="F566" s="99" t="s">
        <v>839</v>
      </c>
      <c r="G566" s="107" t="s">
        <v>840</v>
      </c>
    </row>
    <row r="567" spans="2:7">
      <c r="B567" s="821" t="s">
        <v>838</v>
      </c>
      <c r="C567" s="822"/>
      <c r="D567" s="100" t="s">
        <v>316</v>
      </c>
      <c r="E567" s="100" t="s">
        <v>315</v>
      </c>
      <c r="F567" s="101" t="s">
        <v>306</v>
      </c>
      <c r="G567" s="108" t="s">
        <v>319</v>
      </c>
    </row>
    <row r="568" spans="2:7">
      <c r="B568" s="230"/>
      <c r="C568" s="102"/>
      <c r="D568" s="103"/>
      <c r="E568" s="103" t="s">
        <v>317</v>
      </c>
      <c r="F568" s="104" t="s">
        <v>318</v>
      </c>
      <c r="G568" s="109"/>
    </row>
    <row r="569" spans="2:7">
      <c r="B569" s="823" t="str">
        <f>'MANO DE OBRA'!B10</f>
        <v>AYUDANTE CUAD. TIPO AA</v>
      </c>
      <c r="C569" s="824"/>
      <c r="D569" s="87">
        <v>1</v>
      </c>
      <c r="E569" s="80">
        <f>'MANO DE OBRA'!E10</f>
        <v>34680</v>
      </c>
      <c r="F569" s="81">
        <v>26.5</v>
      </c>
      <c r="G569" s="110">
        <f>ROUND(D569*E569/F569,0)</f>
        <v>1309</v>
      </c>
    </row>
    <row r="570" spans="2:7">
      <c r="B570" s="835" t="str">
        <f>'MANO DE OBRA'!B15</f>
        <v xml:space="preserve">OFICIAL CUAD. TIPO AA </v>
      </c>
      <c r="C570" s="836"/>
      <c r="D570" s="37">
        <v>1</v>
      </c>
      <c r="E570" s="82">
        <f>'MANO DE OBRA'!E15</f>
        <v>71474</v>
      </c>
      <c r="F570" s="83">
        <v>26.5</v>
      </c>
      <c r="G570" s="111">
        <f>ROUND(D570*E570/F570,0)</f>
        <v>2697</v>
      </c>
    </row>
    <row r="571" spans="2:7">
      <c r="B571" s="835"/>
      <c r="C571" s="836"/>
      <c r="D571" s="37"/>
      <c r="E571" s="82"/>
      <c r="F571" s="83"/>
      <c r="G571" s="111"/>
    </row>
    <row r="572" spans="2:7">
      <c r="B572" s="835" t="s">
        <v>841</v>
      </c>
      <c r="C572" s="836"/>
      <c r="D572" s="37"/>
      <c r="E572" s="82"/>
      <c r="F572" s="83"/>
      <c r="G572" s="111"/>
    </row>
    <row r="573" spans="2:7" ht="13.5" thickBot="1">
      <c r="B573" s="828" t="s">
        <v>841</v>
      </c>
      <c r="C573" s="829"/>
      <c r="D573" s="77"/>
      <c r="E573" s="82"/>
      <c r="F573" s="86"/>
      <c r="G573" s="112"/>
    </row>
    <row r="574" spans="2:7" ht="14.25" thickTop="1" thickBot="1">
      <c r="B574" s="808"/>
      <c r="C574" s="808"/>
      <c r="D574" s="808"/>
      <c r="E574" s="809"/>
      <c r="F574" s="120" t="s">
        <v>856</v>
      </c>
      <c r="G574" s="118">
        <f>SUM(G569:G573)</f>
        <v>4006</v>
      </c>
    </row>
    <row r="575" spans="2:7" ht="14.25" thickTop="1" thickBot="1">
      <c r="B575" s="810"/>
      <c r="C575" s="810"/>
      <c r="D575" s="810"/>
      <c r="E575" s="810"/>
      <c r="F575" s="810"/>
      <c r="G575" s="810"/>
    </row>
    <row r="576" spans="2:7" ht="13.5" thickTop="1">
      <c r="B576" s="811" t="s">
        <v>321</v>
      </c>
      <c r="C576" s="812"/>
      <c r="D576" s="812"/>
      <c r="E576" s="812"/>
      <c r="F576" s="812"/>
      <c r="G576" s="825"/>
    </row>
    <row r="577" spans="1:8">
      <c r="B577" s="817" t="s">
        <v>838</v>
      </c>
      <c r="C577" s="818"/>
      <c r="D577" s="98" t="s">
        <v>301</v>
      </c>
      <c r="E577" s="98" t="s">
        <v>297</v>
      </c>
      <c r="F577" s="99" t="s">
        <v>839</v>
      </c>
      <c r="G577" s="107" t="s">
        <v>840</v>
      </c>
    </row>
    <row r="578" spans="1:8">
      <c r="B578" s="230"/>
      <c r="C578" s="102"/>
      <c r="D578" s="103" t="s">
        <v>322</v>
      </c>
      <c r="E578" s="103" t="s">
        <v>323</v>
      </c>
      <c r="F578" s="104" t="s">
        <v>324</v>
      </c>
      <c r="G578" s="109" t="s">
        <v>325</v>
      </c>
    </row>
    <row r="579" spans="1:8">
      <c r="B579" s="826"/>
      <c r="C579" s="827"/>
      <c r="D579" s="96"/>
      <c r="E579" s="96"/>
      <c r="F579" s="96"/>
      <c r="G579" s="116"/>
    </row>
    <row r="580" spans="1:8" ht="13.5" thickBot="1">
      <c r="B580" s="828" t="s">
        <v>841</v>
      </c>
      <c r="C580" s="829"/>
      <c r="D580" s="77"/>
      <c r="E580" s="82"/>
      <c r="F580" s="86"/>
      <c r="G580" s="112"/>
    </row>
    <row r="581" spans="1:8" ht="14.25" thickTop="1" thickBot="1">
      <c r="B581" s="808"/>
      <c r="C581" s="808"/>
      <c r="D581" s="808"/>
      <c r="E581" s="809"/>
      <c r="F581" s="120" t="s">
        <v>856</v>
      </c>
      <c r="G581" s="118">
        <f>SUM(G576:G580)</f>
        <v>0</v>
      </c>
    </row>
    <row r="582" spans="1:8" ht="14.25" thickTop="1" thickBot="1">
      <c r="B582" s="810"/>
      <c r="C582" s="810"/>
      <c r="D582" s="810"/>
      <c r="E582" s="810"/>
      <c r="F582" s="810"/>
      <c r="G582" s="834"/>
    </row>
    <row r="583" spans="1:8" ht="13.5" thickTop="1">
      <c r="B583" s="811" t="s">
        <v>326</v>
      </c>
      <c r="C583" s="812"/>
      <c r="D583" s="812"/>
      <c r="E583" s="812"/>
      <c r="F583" s="813"/>
      <c r="G583" s="121">
        <f>+G547+G563+G574</f>
        <v>4674</v>
      </c>
    </row>
    <row r="584" spans="1:8">
      <c r="B584" s="814" t="s">
        <v>861</v>
      </c>
      <c r="C584" s="815"/>
      <c r="D584" s="815"/>
      <c r="E584" s="816"/>
      <c r="F584" s="128">
        <f>'MANO DE OBRA'!D59</f>
        <v>0</v>
      </c>
      <c r="G584" s="122">
        <f>ROUND(G583*F584,0)</f>
        <v>0</v>
      </c>
    </row>
    <row r="585" spans="1:8" ht="13.5" thickBot="1">
      <c r="B585" s="805" t="s">
        <v>1049</v>
      </c>
      <c r="C585" s="806"/>
      <c r="D585" s="806"/>
      <c r="E585" s="806"/>
      <c r="F585" s="807"/>
      <c r="G585" s="118">
        <f>ROUND(G583+G584,-2)</f>
        <v>4700</v>
      </c>
      <c r="H585" s="506" t="s">
        <v>1670</v>
      </c>
    </row>
    <row r="586" spans="1:8" ht="15" thickTop="1">
      <c r="B586" s="225" t="s">
        <v>303</v>
      </c>
      <c r="C586" s="843"/>
      <c r="D586" s="843"/>
      <c r="E586" s="843"/>
      <c r="F586" s="92" t="s">
        <v>781</v>
      </c>
      <c r="G586" s="93" t="s">
        <v>1067</v>
      </c>
    </row>
    <row r="587" spans="1:8">
      <c r="B587" s="226" t="s">
        <v>834</v>
      </c>
      <c r="C587" s="844" t="s">
        <v>343</v>
      </c>
      <c r="D587" s="844"/>
      <c r="E587" s="844"/>
      <c r="F587" s="15" t="s">
        <v>833</v>
      </c>
      <c r="G587" s="165" t="str">
        <f>'MANO DE OBRA'!D61</f>
        <v>Agosto de 2010</v>
      </c>
    </row>
    <row r="588" spans="1:8" ht="13.5" thickBot="1">
      <c r="A588" s="127"/>
      <c r="B588" s="228" t="s">
        <v>835</v>
      </c>
      <c r="C588" s="845" t="s">
        <v>433</v>
      </c>
      <c r="D588" s="845"/>
      <c r="E588" s="845"/>
      <c r="F588" s="845"/>
      <c r="G588" s="846"/>
    </row>
    <row r="589" spans="1:8" ht="14.25" thickTop="1" thickBot="1">
      <c r="B589" s="847"/>
      <c r="C589" s="847"/>
      <c r="D589" s="847"/>
      <c r="E589" s="847"/>
      <c r="F589" s="847"/>
      <c r="G589" s="847"/>
    </row>
    <row r="590" spans="1:8" ht="13.5" thickTop="1">
      <c r="B590" s="811" t="s">
        <v>304</v>
      </c>
      <c r="C590" s="812"/>
      <c r="D590" s="812"/>
      <c r="E590" s="812"/>
      <c r="F590" s="812"/>
      <c r="G590" s="825"/>
    </row>
    <row r="591" spans="1:8">
      <c r="B591" s="229"/>
      <c r="C591" s="97"/>
      <c r="D591" s="98" t="s">
        <v>301</v>
      </c>
      <c r="E591" s="98" t="s">
        <v>1072</v>
      </c>
      <c r="F591" s="99" t="s">
        <v>839</v>
      </c>
      <c r="G591" s="107" t="s">
        <v>840</v>
      </c>
    </row>
    <row r="592" spans="1:8">
      <c r="B592" s="821" t="s">
        <v>838</v>
      </c>
      <c r="C592" s="822"/>
      <c r="D592" s="100" t="s">
        <v>308</v>
      </c>
      <c r="E592" s="100" t="s">
        <v>305</v>
      </c>
      <c r="F592" s="101" t="s">
        <v>306</v>
      </c>
      <c r="G592" s="108" t="s">
        <v>310</v>
      </c>
    </row>
    <row r="593" spans="1:7">
      <c r="B593" s="230"/>
      <c r="C593" s="102"/>
      <c r="D593" s="103"/>
      <c r="E593" s="103" t="s">
        <v>309</v>
      </c>
      <c r="F593" s="104" t="s">
        <v>307</v>
      </c>
      <c r="G593" s="109"/>
    </row>
    <row r="594" spans="1:7">
      <c r="A594" s="127"/>
      <c r="B594" s="823" t="str">
        <f>'MAQUINARIA Y EQUIPOS'!C28</f>
        <v>HERRAMIENTAS MENORES</v>
      </c>
      <c r="C594" s="824"/>
      <c r="D594" s="87">
        <v>1</v>
      </c>
      <c r="E594" s="82">
        <f>ROUND(G627*0.25,0)</f>
        <v>2212</v>
      </c>
      <c r="F594" s="81">
        <v>1</v>
      </c>
      <c r="G594" s="110">
        <f>ROUND(D594*E594/F594,0)</f>
        <v>2212</v>
      </c>
    </row>
    <row r="595" spans="1:7">
      <c r="A595" s="127"/>
      <c r="B595" s="835" t="str">
        <f>'MAQUINARIA Y EQUIPOS'!C9</f>
        <v>ANDAMIO TUBULAR 1.50 m</v>
      </c>
      <c r="C595" s="836"/>
      <c r="D595" s="37">
        <v>4</v>
      </c>
      <c r="E595" s="129">
        <f>'MAQUINARIA Y EQUIPOS'!D9</f>
        <v>754</v>
      </c>
      <c r="F595" s="83">
        <v>12</v>
      </c>
      <c r="G595" s="111">
        <f>ROUND(D595*E595/F595,0)</f>
        <v>251</v>
      </c>
    </row>
    <row r="596" spans="1:7">
      <c r="A596" s="127"/>
      <c r="B596" s="835" t="str">
        <f>'MAQUINARIA Y EQUIPOS'!C47</f>
        <v>TABLONES 3m</v>
      </c>
      <c r="C596" s="836"/>
      <c r="D596" s="37">
        <v>2</v>
      </c>
      <c r="E596" s="129">
        <f>'MAQUINARIA Y EQUIPOS'!D47</f>
        <v>348</v>
      </c>
      <c r="F596" s="83">
        <v>12</v>
      </c>
      <c r="G596" s="111">
        <f>ROUND(D596*E596/F596,0)</f>
        <v>58</v>
      </c>
    </row>
    <row r="597" spans="1:7">
      <c r="B597" s="835"/>
      <c r="C597" s="836"/>
      <c r="D597" s="37"/>
      <c r="E597" s="129"/>
      <c r="F597" s="53"/>
      <c r="G597" s="111"/>
    </row>
    <row r="598" spans="1:7">
      <c r="B598" s="835" t="s">
        <v>841</v>
      </c>
      <c r="C598" s="836"/>
      <c r="D598" s="37"/>
      <c r="E598" s="82"/>
      <c r="F598" s="83"/>
      <c r="G598" s="111"/>
    </row>
    <row r="599" spans="1:7" ht="13.5" thickBot="1">
      <c r="B599" s="839" t="s">
        <v>841</v>
      </c>
      <c r="C599" s="840"/>
      <c r="D599" s="77"/>
      <c r="E599" s="106"/>
      <c r="F599" s="86"/>
      <c r="G599" s="112"/>
    </row>
    <row r="600" spans="1:7" ht="14.25" thickTop="1" thickBot="1">
      <c r="B600" s="808"/>
      <c r="C600" s="808"/>
      <c r="D600" s="808"/>
      <c r="E600" s="809"/>
      <c r="F600" s="119" t="s">
        <v>856</v>
      </c>
      <c r="G600" s="118">
        <f>SUM(G594:G599)</f>
        <v>2521</v>
      </c>
    </row>
    <row r="601" spans="1:7" ht="14.25" thickTop="1" thickBot="1">
      <c r="B601" s="830"/>
      <c r="C601" s="830"/>
      <c r="D601" s="830"/>
      <c r="E601" s="830"/>
      <c r="F601" s="830"/>
      <c r="G601" s="830"/>
    </row>
    <row r="602" spans="1:7" ht="13.5" thickTop="1">
      <c r="B602" s="811" t="s">
        <v>311</v>
      </c>
      <c r="C602" s="812"/>
      <c r="D602" s="812"/>
      <c r="E602" s="812"/>
      <c r="F602" s="812"/>
      <c r="G602" s="825"/>
    </row>
    <row r="603" spans="1:7">
      <c r="B603" s="817" t="s">
        <v>838</v>
      </c>
      <c r="C603" s="818"/>
      <c r="D603" s="98" t="s">
        <v>842</v>
      </c>
      <c r="E603" s="98" t="s">
        <v>853</v>
      </c>
      <c r="F603" s="99" t="s">
        <v>1047</v>
      </c>
      <c r="G603" s="107" t="s">
        <v>840</v>
      </c>
    </row>
    <row r="604" spans="1:7">
      <c r="B604" s="230"/>
      <c r="C604" s="102"/>
      <c r="D604" s="100"/>
      <c r="E604" s="100" t="s">
        <v>312</v>
      </c>
      <c r="F604" s="101" t="s">
        <v>313</v>
      </c>
      <c r="G604" s="108" t="s">
        <v>314</v>
      </c>
    </row>
    <row r="605" spans="1:7">
      <c r="A605" s="125"/>
      <c r="B605" s="875"/>
      <c r="C605" s="876"/>
      <c r="D605" s="87"/>
      <c r="E605" s="10"/>
      <c r="F605" s="80"/>
      <c r="G605" s="110"/>
    </row>
    <row r="606" spans="1:7">
      <c r="A606" s="123"/>
      <c r="B606" s="877"/>
      <c r="C606" s="878"/>
      <c r="D606" s="88"/>
      <c r="E606" s="53"/>
      <c r="F606" s="82"/>
      <c r="G606" s="111"/>
    </row>
    <row r="607" spans="1:7">
      <c r="B607" s="835"/>
      <c r="C607" s="836"/>
      <c r="D607" s="37"/>
      <c r="E607" s="55"/>
      <c r="F607" s="82"/>
      <c r="G607" s="111"/>
    </row>
    <row r="608" spans="1:7">
      <c r="B608" s="835"/>
      <c r="C608" s="836"/>
      <c r="D608" s="37"/>
      <c r="E608" s="55"/>
      <c r="F608" s="82"/>
      <c r="G608" s="111"/>
    </row>
    <row r="609" spans="2:8">
      <c r="B609" s="837"/>
      <c r="C609" s="838"/>
      <c r="D609" s="37"/>
      <c r="E609" s="55"/>
      <c r="F609" s="82"/>
      <c r="G609" s="111"/>
      <c r="H609" s="506" t="s">
        <v>1670</v>
      </c>
    </row>
    <row r="610" spans="2:8">
      <c r="B610" s="837"/>
      <c r="C610" s="838"/>
      <c r="D610" s="53" t="s">
        <v>841</v>
      </c>
      <c r="E610" s="53"/>
      <c r="F610" s="82"/>
      <c r="G610" s="111"/>
    </row>
    <row r="611" spans="2:8">
      <c r="B611" s="837" t="s">
        <v>841</v>
      </c>
      <c r="C611" s="838"/>
      <c r="D611" s="53" t="s">
        <v>841</v>
      </c>
      <c r="E611" s="53"/>
      <c r="F611" s="82"/>
      <c r="G611" s="111"/>
    </row>
    <row r="612" spans="2:8">
      <c r="B612" s="837" t="s">
        <v>841</v>
      </c>
      <c r="C612" s="838"/>
      <c r="D612" s="53" t="s">
        <v>841</v>
      </c>
      <c r="E612" s="53"/>
      <c r="F612" s="82"/>
      <c r="G612" s="111"/>
    </row>
    <row r="613" spans="2:8" ht="13.5" thickBot="1">
      <c r="B613" s="839" t="s">
        <v>841</v>
      </c>
      <c r="C613" s="840"/>
      <c r="D613" s="84" t="s">
        <v>841</v>
      </c>
      <c r="E613" s="84"/>
      <c r="F613" s="85"/>
      <c r="G613" s="112"/>
    </row>
    <row r="614" spans="2:8" ht="13.5" thickTop="1">
      <c r="B614" s="808"/>
      <c r="C614" s="809"/>
      <c r="D614" s="801" t="s">
        <v>856</v>
      </c>
      <c r="E614" s="802"/>
      <c r="F614" s="9"/>
      <c r="G614" s="113">
        <f>SUM(G605:G613)</f>
        <v>0</v>
      </c>
    </row>
    <row r="615" spans="2:8">
      <c r="B615" s="819"/>
      <c r="C615" s="820"/>
      <c r="D615" s="801" t="s">
        <v>857</v>
      </c>
      <c r="E615" s="802"/>
      <c r="F615" s="79">
        <f>'MANO DE OBRA'!D60</f>
        <v>0.05</v>
      </c>
      <c r="G615" s="113">
        <f>ROUND(G614*F615,0)</f>
        <v>0</v>
      </c>
    </row>
    <row r="616" spans="2:8" ht="13.5" thickBot="1">
      <c r="B616" s="819"/>
      <c r="C616" s="820"/>
      <c r="D616" s="803" t="s">
        <v>320</v>
      </c>
      <c r="E616" s="804"/>
      <c r="F616" s="114"/>
      <c r="G616" s="118">
        <f>+G614+G615</f>
        <v>0</v>
      </c>
    </row>
    <row r="617" spans="2:8" ht="14.25" thickTop="1" thickBot="1">
      <c r="B617" s="830"/>
      <c r="C617" s="830"/>
      <c r="D617" s="830"/>
      <c r="E617" s="830"/>
      <c r="F617" s="830"/>
      <c r="G617" s="830"/>
    </row>
    <row r="618" spans="2:8" ht="13.5" thickTop="1">
      <c r="B618" s="811" t="s">
        <v>858</v>
      </c>
      <c r="C618" s="812"/>
      <c r="D618" s="812"/>
      <c r="E618" s="812"/>
      <c r="F618" s="812"/>
      <c r="G618" s="825"/>
    </row>
    <row r="619" spans="2:8">
      <c r="B619" s="817"/>
      <c r="C619" s="818"/>
      <c r="D619" s="98" t="s">
        <v>301</v>
      </c>
      <c r="E619" s="98" t="s">
        <v>859</v>
      </c>
      <c r="F619" s="99" t="s">
        <v>839</v>
      </c>
      <c r="G619" s="107" t="s">
        <v>840</v>
      </c>
    </row>
    <row r="620" spans="2:8">
      <c r="B620" s="821" t="s">
        <v>838</v>
      </c>
      <c r="C620" s="822"/>
      <c r="D620" s="100" t="s">
        <v>316</v>
      </c>
      <c r="E620" s="100" t="s">
        <v>315</v>
      </c>
      <c r="F620" s="101" t="s">
        <v>306</v>
      </c>
      <c r="G620" s="108" t="s">
        <v>319</v>
      </c>
    </row>
    <row r="621" spans="2:8">
      <c r="B621" s="230"/>
      <c r="C621" s="102"/>
      <c r="D621" s="103"/>
      <c r="E621" s="103" t="s">
        <v>317</v>
      </c>
      <c r="F621" s="104" t="s">
        <v>318</v>
      </c>
      <c r="G621" s="109"/>
    </row>
    <row r="622" spans="2:8">
      <c r="B622" s="823" t="str">
        <f>'MANO DE OBRA'!B10</f>
        <v>AYUDANTE CUAD. TIPO AA</v>
      </c>
      <c r="C622" s="824"/>
      <c r="D622" s="87">
        <v>1</v>
      </c>
      <c r="E622" s="80">
        <f>'MANO DE OBRA'!E10</f>
        <v>34680</v>
      </c>
      <c r="F622" s="81">
        <v>12</v>
      </c>
      <c r="G622" s="110">
        <f>ROUND(D622*E622/F622,0)</f>
        <v>2890</v>
      </c>
    </row>
    <row r="623" spans="2:8">
      <c r="B623" s="835" t="str">
        <f>'MANO DE OBRA'!B15</f>
        <v xml:space="preserve">OFICIAL CUAD. TIPO AA </v>
      </c>
      <c r="C623" s="836"/>
      <c r="D623" s="37">
        <v>1</v>
      </c>
      <c r="E623" s="82">
        <f>'MANO DE OBRA'!E15</f>
        <v>71474</v>
      </c>
      <c r="F623" s="83">
        <v>12</v>
      </c>
      <c r="G623" s="111">
        <f>ROUND(D623*E623/F623,0)</f>
        <v>5956</v>
      </c>
    </row>
    <row r="624" spans="2:8">
      <c r="B624" s="835"/>
      <c r="C624" s="836"/>
      <c r="D624" s="37"/>
      <c r="E624" s="82"/>
      <c r="F624" s="83"/>
      <c r="G624" s="111"/>
    </row>
    <row r="625" spans="2:8">
      <c r="B625" s="835" t="s">
        <v>841</v>
      </c>
      <c r="C625" s="836"/>
      <c r="D625" s="37"/>
      <c r="E625" s="82"/>
      <c r="F625" s="83"/>
      <c r="G625" s="111"/>
    </row>
    <row r="626" spans="2:8" ht="13.5" thickBot="1">
      <c r="B626" s="828" t="s">
        <v>841</v>
      </c>
      <c r="C626" s="829"/>
      <c r="D626" s="77"/>
      <c r="E626" s="82"/>
      <c r="F626" s="86"/>
      <c r="G626" s="112"/>
    </row>
    <row r="627" spans="2:8" ht="14.25" thickTop="1" thickBot="1">
      <c r="B627" s="808"/>
      <c r="C627" s="808"/>
      <c r="D627" s="808"/>
      <c r="E627" s="809"/>
      <c r="F627" s="120" t="s">
        <v>856</v>
      </c>
      <c r="G627" s="118">
        <f>SUM(G622:G626)</f>
        <v>8846</v>
      </c>
    </row>
    <row r="628" spans="2:8" ht="14.25" thickTop="1" thickBot="1">
      <c r="B628" s="810"/>
      <c r="C628" s="810"/>
      <c r="D628" s="810"/>
      <c r="E628" s="810"/>
      <c r="F628" s="810"/>
      <c r="G628" s="810"/>
    </row>
    <row r="629" spans="2:8" ht="13.5" thickTop="1">
      <c r="B629" s="811" t="s">
        <v>321</v>
      </c>
      <c r="C629" s="812"/>
      <c r="D629" s="812"/>
      <c r="E629" s="812"/>
      <c r="F629" s="812"/>
      <c r="G629" s="825"/>
    </row>
    <row r="630" spans="2:8">
      <c r="B630" s="817" t="s">
        <v>838</v>
      </c>
      <c r="C630" s="818"/>
      <c r="D630" s="98" t="s">
        <v>301</v>
      </c>
      <c r="E630" s="98" t="s">
        <v>297</v>
      </c>
      <c r="F630" s="99" t="s">
        <v>839</v>
      </c>
      <c r="G630" s="107" t="s">
        <v>840</v>
      </c>
    </row>
    <row r="631" spans="2:8">
      <c r="B631" s="230"/>
      <c r="C631" s="102"/>
      <c r="D631" s="103" t="s">
        <v>322</v>
      </c>
      <c r="E631" s="103" t="s">
        <v>323</v>
      </c>
      <c r="F631" s="104" t="s">
        <v>324</v>
      </c>
      <c r="G631" s="109" t="s">
        <v>325</v>
      </c>
    </row>
    <row r="632" spans="2:8">
      <c r="B632" s="826"/>
      <c r="C632" s="827"/>
      <c r="D632" s="96"/>
      <c r="E632" s="96"/>
      <c r="F632" s="96"/>
      <c r="G632" s="116"/>
    </row>
    <row r="633" spans="2:8" ht="13.5" thickBot="1">
      <c r="B633" s="828" t="s">
        <v>841</v>
      </c>
      <c r="C633" s="829"/>
      <c r="D633" s="77"/>
      <c r="E633" s="82"/>
      <c r="F633" s="86"/>
      <c r="G633" s="112"/>
    </row>
    <row r="634" spans="2:8" ht="14.25" thickTop="1" thickBot="1">
      <c r="B634" s="808"/>
      <c r="C634" s="808"/>
      <c r="D634" s="808"/>
      <c r="E634" s="809"/>
      <c r="F634" s="120" t="s">
        <v>856</v>
      </c>
      <c r="G634" s="118">
        <f>SUM(G629:G633)</f>
        <v>0</v>
      </c>
    </row>
    <row r="635" spans="2:8" ht="14.25" thickTop="1" thickBot="1">
      <c r="B635" s="810"/>
      <c r="C635" s="810"/>
      <c r="D635" s="810"/>
      <c r="E635" s="810"/>
      <c r="F635" s="810"/>
      <c r="G635" s="834"/>
    </row>
    <row r="636" spans="2:8" ht="13.5" thickTop="1">
      <c r="B636" s="811" t="s">
        <v>326</v>
      </c>
      <c r="C636" s="812"/>
      <c r="D636" s="812"/>
      <c r="E636" s="812"/>
      <c r="F636" s="813"/>
      <c r="G636" s="121">
        <f>+G600+G616+G627</f>
        <v>11367</v>
      </c>
    </row>
    <row r="637" spans="2:8">
      <c r="B637" s="814" t="s">
        <v>861</v>
      </c>
      <c r="C637" s="815"/>
      <c r="D637" s="815"/>
      <c r="E637" s="816"/>
      <c r="F637" s="128">
        <f>'MANO DE OBRA'!D59</f>
        <v>0</v>
      </c>
      <c r="G637" s="122">
        <f>ROUND(G636*F637,0)</f>
        <v>0</v>
      </c>
    </row>
    <row r="638" spans="2:8" ht="13.5" thickBot="1">
      <c r="B638" s="805" t="s">
        <v>1049</v>
      </c>
      <c r="C638" s="806"/>
      <c r="D638" s="806"/>
      <c r="E638" s="806"/>
      <c r="F638" s="807"/>
      <c r="G638" s="118">
        <f>ROUND(G636+G637,-2)</f>
        <v>11400</v>
      </c>
      <c r="H638" s="506" t="s">
        <v>1670</v>
      </c>
    </row>
    <row r="639" spans="2:8" ht="15" thickTop="1">
      <c r="B639" s="225" t="s">
        <v>303</v>
      </c>
      <c r="C639" s="843"/>
      <c r="D639" s="843"/>
      <c r="E639" s="843"/>
      <c r="F639" s="92" t="s">
        <v>781</v>
      </c>
      <c r="G639" s="93" t="s">
        <v>1067</v>
      </c>
    </row>
    <row r="640" spans="2:8">
      <c r="B640" s="226" t="s">
        <v>834</v>
      </c>
      <c r="C640" s="844" t="s">
        <v>343</v>
      </c>
      <c r="D640" s="844"/>
      <c r="E640" s="844"/>
      <c r="F640" s="15" t="s">
        <v>833</v>
      </c>
      <c r="G640" s="165" t="str">
        <f>'MANO DE OBRA'!D61</f>
        <v>Agosto de 2010</v>
      </c>
    </row>
    <row r="641" spans="1:7" ht="13.5" thickBot="1">
      <c r="A641" s="127"/>
      <c r="B641" s="228" t="s">
        <v>835</v>
      </c>
      <c r="C641" s="845" t="s">
        <v>182</v>
      </c>
      <c r="D641" s="845"/>
      <c r="E641" s="845"/>
      <c r="F641" s="845"/>
      <c r="G641" s="846"/>
    </row>
    <row r="642" spans="1:7" ht="14.25" thickTop="1" thickBot="1">
      <c r="B642" s="847"/>
      <c r="C642" s="847"/>
      <c r="D642" s="847"/>
      <c r="E642" s="847"/>
      <c r="F642" s="847"/>
      <c r="G642" s="847"/>
    </row>
    <row r="643" spans="1:7" ht="13.5" thickTop="1">
      <c r="B643" s="811" t="s">
        <v>304</v>
      </c>
      <c r="C643" s="812"/>
      <c r="D643" s="812"/>
      <c r="E643" s="812"/>
      <c r="F643" s="812"/>
      <c r="G643" s="825"/>
    </row>
    <row r="644" spans="1:7">
      <c r="B644" s="229"/>
      <c r="C644" s="97"/>
      <c r="D644" s="98" t="s">
        <v>301</v>
      </c>
      <c r="E644" s="98" t="s">
        <v>1072</v>
      </c>
      <c r="F644" s="99" t="s">
        <v>839</v>
      </c>
      <c r="G644" s="107" t="s">
        <v>840</v>
      </c>
    </row>
    <row r="645" spans="1:7">
      <c r="B645" s="821" t="s">
        <v>838</v>
      </c>
      <c r="C645" s="822"/>
      <c r="D645" s="100" t="s">
        <v>308</v>
      </c>
      <c r="E645" s="100" t="s">
        <v>305</v>
      </c>
      <c r="F645" s="101" t="s">
        <v>306</v>
      </c>
      <c r="G645" s="108" t="s">
        <v>310</v>
      </c>
    </row>
    <row r="646" spans="1:7">
      <c r="B646" s="230"/>
      <c r="C646" s="102"/>
      <c r="D646" s="103"/>
      <c r="E646" s="103" t="s">
        <v>309</v>
      </c>
      <c r="F646" s="104" t="s">
        <v>307</v>
      </c>
      <c r="G646" s="109"/>
    </row>
    <row r="647" spans="1:7">
      <c r="A647" s="127"/>
      <c r="B647" s="823" t="str">
        <f>'MAQUINARIA Y EQUIPOS'!$C$28</f>
        <v>HERRAMIENTAS MENORES</v>
      </c>
      <c r="C647" s="824"/>
      <c r="D647" s="87">
        <v>1</v>
      </c>
      <c r="E647" s="82">
        <f>ROUND(G680*0.25,0)</f>
        <v>1062</v>
      </c>
      <c r="F647" s="81">
        <v>1</v>
      </c>
      <c r="G647" s="110">
        <f>ROUND(D647*E647/F647,0)</f>
        <v>1062</v>
      </c>
    </row>
    <row r="648" spans="1:7">
      <c r="A648" s="127"/>
      <c r="B648" s="835" t="str">
        <f>'MAQUINARIA Y EQUIPOS'!$C$9</f>
        <v>ANDAMIO TUBULAR 1.50 m</v>
      </c>
      <c r="C648" s="836"/>
      <c r="D648" s="37">
        <v>4</v>
      </c>
      <c r="E648" s="129">
        <f>'MAQUINARIA Y EQUIPOS'!$D$9</f>
        <v>754</v>
      </c>
      <c r="F648" s="83">
        <v>17</v>
      </c>
      <c r="G648" s="111">
        <f>ROUND(D648*E648/F648,0)</f>
        <v>177</v>
      </c>
    </row>
    <row r="649" spans="1:7">
      <c r="A649" s="127"/>
      <c r="B649" s="835" t="str">
        <f>'MAQUINARIA Y EQUIPOS'!$C$47</f>
        <v>TABLONES 3m</v>
      </c>
      <c r="C649" s="836"/>
      <c r="D649" s="37">
        <v>2</v>
      </c>
      <c r="E649" s="129">
        <f>'MAQUINARIA Y EQUIPOS'!$D$47</f>
        <v>348</v>
      </c>
      <c r="F649" s="83">
        <v>17</v>
      </c>
      <c r="G649" s="111">
        <f>ROUND(D649*E649/F649,0)</f>
        <v>41</v>
      </c>
    </row>
    <row r="650" spans="1:7">
      <c r="B650" s="835"/>
      <c r="C650" s="836"/>
      <c r="D650" s="37"/>
      <c r="E650" s="129"/>
      <c r="F650" s="53"/>
      <c r="G650" s="111"/>
    </row>
    <row r="651" spans="1:7">
      <c r="B651" s="835" t="s">
        <v>841</v>
      </c>
      <c r="C651" s="836"/>
      <c r="D651" s="37"/>
      <c r="E651" s="82"/>
      <c r="F651" s="83"/>
      <c r="G651" s="111"/>
    </row>
    <row r="652" spans="1:7" ht="13.5" thickBot="1">
      <c r="B652" s="839" t="s">
        <v>841</v>
      </c>
      <c r="C652" s="840"/>
      <c r="D652" s="77"/>
      <c r="E652" s="106"/>
      <c r="F652" s="86"/>
      <c r="G652" s="112"/>
    </row>
    <row r="653" spans="1:7" ht="14.25" thickTop="1" thickBot="1">
      <c r="B653" s="808"/>
      <c r="C653" s="808"/>
      <c r="D653" s="808"/>
      <c r="E653" s="809"/>
      <c r="F653" s="119" t="s">
        <v>856</v>
      </c>
      <c r="G653" s="118">
        <f>SUM(G647:G652)</f>
        <v>1280</v>
      </c>
    </row>
    <row r="654" spans="1:7" ht="14.25" thickTop="1" thickBot="1">
      <c r="B654" s="830"/>
      <c r="C654" s="830"/>
      <c r="D654" s="830"/>
      <c r="E654" s="830"/>
      <c r="F654" s="830"/>
      <c r="G654" s="830"/>
    </row>
    <row r="655" spans="1:7" ht="13.5" thickTop="1">
      <c r="B655" s="811" t="s">
        <v>311</v>
      </c>
      <c r="C655" s="812"/>
      <c r="D655" s="812"/>
      <c r="E655" s="812"/>
      <c r="F655" s="812"/>
      <c r="G655" s="825"/>
    </row>
    <row r="656" spans="1:7">
      <c r="B656" s="817" t="s">
        <v>838</v>
      </c>
      <c r="C656" s="818"/>
      <c r="D656" s="98" t="s">
        <v>842</v>
      </c>
      <c r="E656" s="98" t="s">
        <v>853</v>
      </c>
      <c r="F656" s="99" t="s">
        <v>1047</v>
      </c>
      <c r="G656" s="107" t="s">
        <v>840</v>
      </c>
    </row>
    <row r="657" spans="1:8">
      <c r="B657" s="230"/>
      <c r="C657" s="102"/>
      <c r="D657" s="100"/>
      <c r="E657" s="100" t="s">
        <v>312</v>
      </c>
      <c r="F657" s="101" t="s">
        <v>313</v>
      </c>
      <c r="G657" s="108" t="s">
        <v>314</v>
      </c>
    </row>
    <row r="658" spans="1:8">
      <c r="A658" s="125"/>
      <c r="B658" s="875"/>
      <c r="C658" s="876"/>
      <c r="D658" s="87"/>
      <c r="E658" s="10"/>
      <c r="F658" s="80"/>
      <c r="G658" s="110"/>
    </row>
    <row r="659" spans="1:8">
      <c r="A659" s="123"/>
      <c r="B659" s="877"/>
      <c r="C659" s="878"/>
      <c r="D659" s="88"/>
      <c r="E659" s="53"/>
      <c r="F659" s="82"/>
      <c r="G659" s="111"/>
    </row>
    <row r="660" spans="1:8">
      <c r="B660" s="835"/>
      <c r="C660" s="836"/>
      <c r="D660" s="37"/>
      <c r="E660" s="55"/>
      <c r="F660" s="82"/>
      <c r="G660" s="111"/>
    </row>
    <row r="661" spans="1:8">
      <c r="B661" s="835"/>
      <c r="C661" s="836"/>
      <c r="D661" s="37"/>
      <c r="E661" s="55"/>
      <c r="F661" s="82"/>
      <c r="G661" s="111"/>
    </row>
    <row r="662" spans="1:8">
      <c r="B662" s="837"/>
      <c r="C662" s="838"/>
      <c r="D662" s="37"/>
      <c r="E662" s="55"/>
      <c r="F662" s="82"/>
      <c r="G662" s="111"/>
      <c r="H662" s="506" t="s">
        <v>1670</v>
      </c>
    </row>
    <row r="663" spans="1:8">
      <c r="B663" s="837"/>
      <c r="C663" s="838"/>
      <c r="D663" s="53" t="s">
        <v>841</v>
      </c>
      <c r="E663" s="53"/>
      <c r="F663" s="82"/>
      <c r="G663" s="111"/>
    </row>
    <row r="664" spans="1:8">
      <c r="B664" s="837" t="s">
        <v>841</v>
      </c>
      <c r="C664" s="838"/>
      <c r="D664" s="53" t="s">
        <v>841</v>
      </c>
      <c r="E664" s="53"/>
      <c r="F664" s="82"/>
      <c r="G664" s="111"/>
    </row>
    <row r="665" spans="1:8">
      <c r="B665" s="837" t="s">
        <v>841</v>
      </c>
      <c r="C665" s="838"/>
      <c r="D665" s="53" t="s">
        <v>841</v>
      </c>
      <c r="E665" s="53"/>
      <c r="F665" s="82"/>
      <c r="G665" s="111"/>
    </row>
    <row r="666" spans="1:8" ht="13.5" thickBot="1">
      <c r="B666" s="839" t="s">
        <v>841</v>
      </c>
      <c r="C666" s="840"/>
      <c r="D666" s="84" t="s">
        <v>841</v>
      </c>
      <c r="E666" s="84"/>
      <c r="F666" s="85"/>
      <c r="G666" s="112"/>
    </row>
    <row r="667" spans="1:8" ht="13.5" thickTop="1">
      <c r="B667" s="808"/>
      <c r="C667" s="809"/>
      <c r="D667" s="801" t="s">
        <v>856</v>
      </c>
      <c r="E667" s="802"/>
      <c r="F667" s="9"/>
      <c r="G667" s="113">
        <f>SUM(G658:G666)</f>
        <v>0</v>
      </c>
    </row>
    <row r="668" spans="1:8">
      <c r="B668" s="819"/>
      <c r="C668" s="820"/>
      <c r="D668" s="801" t="s">
        <v>857</v>
      </c>
      <c r="E668" s="802"/>
      <c r="F668" s="79">
        <f>'MANO DE OBRA'!$D$60</f>
        <v>0.05</v>
      </c>
      <c r="G668" s="113">
        <f>ROUND(G667*F668,0)</f>
        <v>0</v>
      </c>
    </row>
    <row r="669" spans="1:8" ht="13.5" thickBot="1">
      <c r="B669" s="819"/>
      <c r="C669" s="820"/>
      <c r="D669" s="803" t="s">
        <v>320</v>
      </c>
      <c r="E669" s="804"/>
      <c r="F669" s="114"/>
      <c r="G669" s="118">
        <f>+G667+G668</f>
        <v>0</v>
      </c>
    </row>
    <row r="670" spans="1:8" ht="14.25" thickTop="1" thickBot="1">
      <c r="B670" s="830"/>
      <c r="C670" s="830"/>
      <c r="D670" s="830"/>
      <c r="E670" s="830"/>
      <c r="F670" s="830"/>
      <c r="G670" s="830"/>
    </row>
    <row r="671" spans="1:8" ht="13.5" thickTop="1">
      <c r="B671" s="811" t="s">
        <v>858</v>
      </c>
      <c r="C671" s="812"/>
      <c r="D671" s="812"/>
      <c r="E671" s="812"/>
      <c r="F671" s="812"/>
      <c r="G671" s="825"/>
    </row>
    <row r="672" spans="1:8">
      <c r="B672" s="817"/>
      <c r="C672" s="818"/>
      <c r="D672" s="98" t="s">
        <v>301</v>
      </c>
      <c r="E672" s="98" t="s">
        <v>859</v>
      </c>
      <c r="F672" s="99" t="s">
        <v>839</v>
      </c>
      <c r="G672" s="107" t="s">
        <v>840</v>
      </c>
    </row>
    <row r="673" spans="2:7">
      <c r="B673" s="821" t="s">
        <v>838</v>
      </c>
      <c r="C673" s="822"/>
      <c r="D673" s="100" t="s">
        <v>316</v>
      </c>
      <c r="E673" s="100" t="s">
        <v>315</v>
      </c>
      <c r="F673" s="101" t="s">
        <v>306</v>
      </c>
      <c r="G673" s="108" t="s">
        <v>319</v>
      </c>
    </row>
    <row r="674" spans="2:7">
      <c r="B674" s="230"/>
      <c r="C674" s="102"/>
      <c r="D674" s="103"/>
      <c r="E674" s="103" t="s">
        <v>317</v>
      </c>
      <c r="F674" s="104" t="s">
        <v>318</v>
      </c>
      <c r="G674" s="109"/>
    </row>
    <row r="675" spans="2:7">
      <c r="B675" s="823" t="str">
        <f>'MANO DE OBRA'!$B$10</f>
        <v>AYUDANTE CUAD. TIPO AA</v>
      </c>
      <c r="C675" s="824"/>
      <c r="D675" s="87">
        <v>1</v>
      </c>
      <c r="E675" s="80">
        <f>'MANO DE OBRA'!$E$10</f>
        <v>34680</v>
      </c>
      <c r="F675" s="81">
        <v>25</v>
      </c>
      <c r="G675" s="110">
        <f>ROUND(D675*E675/F675,0)</f>
        <v>1387</v>
      </c>
    </row>
    <row r="676" spans="2:7">
      <c r="B676" s="835" t="str">
        <f>'MANO DE OBRA'!$B$15</f>
        <v xml:space="preserve">OFICIAL CUAD. TIPO AA </v>
      </c>
      <c r="C676" s="836"/>
      <c r="D676" s="37">
        <v>1</v>
      </c>
      <c r="E676" s="82">
        <f>'MANO DE OBRA'!$E$15</f>
        <v>71474</v>
      </c>
      <c r="F676" s="83">
        <v>25</v>
      </c>
      <c r="G676" s="111">
        <f>ROUND(D676*E676/F676,0)</f>
        <v>2859</v>
      </c>
    </row>
    <row r="677" spans="2:7">
      <c r="B677" s="835"/>
      <c r="C677" s="836"/>
      <c r="D677" s="37"/>
      <c r="E677" s="82"/>
      <c r="F677" s="83"/>
      <c r="G677" s="111"/>
    </row>
    <row r="678" spans="2:7">
      <c r="B678" s="835" t="s">
        <v>841</v>
      </c>
      <c r="C678" s="836"/>
      <c r="D678" s="37"/>
      <c r="E678" s="82"/>
      <c r="F678" s="83"/>
      <c r="G678" s="111"/>
    </row>
    <row r="679" spans="2:7" ht="13.5" thickBot="1">
      <c r="B679" s="828" t="s">
        <v>841</v>
      </c>
      <c r="C679" s="829"/>
      <c r="D679" s="77"/>
      <c r="E679" s="82"/>
      <c r="F679" s="86"/>
      <c r="G679" s="112"/>
    </row>
    <row r="680" spans="2:7" ht="14.25" thickTop="1" thickBot="1">
      <c r="B680" s="808"/>
      <c r="C680" s="808"/>
      <c r="D680" s="808"/>
      <c r="E680" s="809"/>
      <c r="F680" s="120" t="s">
        <v>856</v>
      </c>
      <c r="G680" s="118">
        <f>SUM(G675:G679)</f>
        <v>4246</v>
      </c>
    </row>
    <row r="681" spans="2:7" ht="14.25" thickTop="1" thickBot="1">
      <c r="B681" s="810"/>
      <c r="C681" s="810"/>
      <c r="D681" s="810"/>
      <c r="E681" s="810"/>
      <c r="F681" s="810"/>
      <c r="G681" s="810"/>
    </row>
    <row r="682" spans="2:7" ht="13.5" thickTop="1">
      <c r="B682" s="811" t="s">
        <v>321</v>
      </c>
      <c r="C682" s="812"/>
      <c r="D682" s="812"/>
      <c r="E682" s="812"/>
      <c r="F682" s="812"/>
      <c r="G682" s="825"/>
    </row>
    <row r="683" spans="2:7">
      <c r="B683" s="817" t="s">
        <v>838</v>
      </c>
      <c r="C683" s="818"/>
      <c r="D683" s="98" t="s">
        <v>301</v>
      </c>
      <c r="E683" s="98" t="s">
        <v>297</v>
      </c>
      <c r="F683" s="99" t="s">
        <v>839</v>
      </c>
      <c r="G683" s="107" t="s">
        <v>840</v>
      </c>
    </row>
    <row r="684" spans="2:7">
      <c r="B684" s="230"/>
      <c r="C684" s="102"/>
      <c r="D684" s="103" t="s">
        <v>322</v>
      </c>
      <c r="E684" s="103" t="s">
        <v>323</v>
      </c>
      <c r="F684" s="104" t="s">
        <v>324</v>
      </c>
      <c r="G684" s="109" t="s">
        <v>325</v>
      </c>
    </row>
    <row r="685" spans="2:7">
      <c r="B685" s="826"/>
      <c r="C685" s="827"/>
      <c r="D685" s="96"/>
      <c r="E685" s="96"/>
      <c r="F685" s="96"/>
      <c r="G685" s="116"/>
    </row>
    <row r="686" spans="2:7" ht="13.5" thickBot="1">
      <c r="B686" s="828" t="s">
        <v>841</v>
      </c>
      <c r="C686" s="829"/>
      <c r="D686" s="77"/>
      <c r="E686" s="82"/>
      <c r="F686" s="86"/>
      <c r="G686" s="112"/>
    </row>
    <row r="687" spans="2:7" ht="14.25" thickTop="1" thickBot="1">
      <c r="B687" s="808"/>
      <c r="C687" s="808"/>
      <c r="D687" s="808"/>
      <c r="E687" s="809"/>
      <c r="F687" s="120" t="s">
        <v>856</v>
      </c>
      <c r="G687" s="118">
        <f>SUM(G682:G686)</f>
        <v>0</v>
      </c>
    </row>
    <row r="688" spans="2:7" ht="14.25" thickTop="1" thickBot="1">
      <c r="B688" s="810"/>
      <c r="C688" s="810"/>
      <c r="D688" s="810"/>
      <c r="E688" s="810"/>
      <c r="F688" s="810"/>
      <c r="G688" s="834"/>
    </row>
    <row r="689" spans="1:8" ht="13.5" thickTop="1">
      <c r="B689" s="811" t="s">
        <v>326</v>
      </c>
      <c r="C689" s="812"/>
      <c r="D689" s="812"/>
      <c r="E689" s="812"/>
      <c r="F689" s="813"/>
      <c r="G689" s="121">
        <f>+G653+G669+G680</f>
        <v>5526</v>
      </c>
    </row>
    <row r="690" spans="1:8">
      <c r="B690" s="814" t="s">
        <v>861</v>
      </c>
      <c r="C690" s="815"/>
      <c r="D690" s="815"/>
      <c r="E690" s="816"/>
      <c r="F690" s="128">
        <f>'MANO DE OBRA'!D165</f>
        <v>0</v>
      </c>
      <c r="G690" s="122">
        <f>ROUND(G689*F690,0)</f>
        <v>0</v>
      </c>
    </row>
    <row r="691" spans="1:8" ht="13.5" thickBot="1">
      <c r="B691" s="805" t="s">
        <v>1049</v>
      </c>
      <c r="C691" s="806"/>
      <c r="D691" s="806"/>
      <c r="E691" s="806"/>
      <c r="F691" s="807"/>
      <c r="G691" s="118">
        <f>ROUND(G689+G690,-2)</f>
        <v>5500</v>
      </c>
      <c r="H691" s="506" t="s">
        <v>1670</v>
      </c>
    </row>
    <row r="692" spans="1:8" ht="15" thickTop="1">
      <c r="B692" s="225" t="s">
        <v>303</v>
      </c>
      <c r="C692" s="843"/>
      <c r="D692" s="843"/>
      <c r="E692" s="843"/>
      <c r="F692" s="92" t="s">
        <v>781</v>
      </c>
      <c r="G692" s="93" t="s">
        <v>1067</v>
      </c>
    </row>
    <row r="693" spans="1:8">
      <c r="B693" s="226" t="s">
        <v>834</v>
      </c>
      <c r="C693" s="844" t="s">
        <v>343</v>
      </c>
      <c r="D693" s="844"/>
      <c r="E693" s="844"/>
      <c r="F693" s="15" t="s">
        <v>833</v>
      </c>
      <c r="G693" s="165" t="str">
        <f>'MANO DE OBRA'!D61</f>
        <v>Agosto de 2010</v>
      </c>
    </row>
    <row r="694" spans="1:8" ht="13.5" thickBot="1">
      <c r="A694" s="127"/>
      <c r="B694" s="228" t="s">
        <v>835</v>
      </c>
      <c r="C694" s="845" t="s">
        <v>441</v>
      </c>
      <c r="D694" s="845"/>
      <c r="E694" s="845"/>
      <c r="F694" s="845"/>
      <c r="G694" s="846"/>
    </row>
    <row r="695" spans="1:8" ht="14.25" thickTop="1" thickBot="1">
      <c r="B695" s="847"/>
      <c r="C695" s="847"/>
      <c r="D695" s="847"/>
      <c r="E695" s="847"/>
      <c r="F695" s="847"/>
      <c r="G695" s="847"/>
    </row>
    <row r="696" spans="1:8" ht="13.5" thickTop="1">
      <c r="B696" s="811" t="s">
        <v>304</v>
      </c>
      <c r="C696" s="812"/>
      <c r="D696" s="812"/>
      <c r="E696" s="812"/>
      <c r="F696" s="812"/>
      <c r="G696" s="825"/>
    </row>
    <row r="697" spans="1:8">
      <c r="B697" s="229"/>
      <c r="C697" s="97"/>
      <c r="D697" s="98" t="s">
        <v>301</v>
      </c>
      <c r="E697" s="98" t="s">
        <v>1072</v>
      </c>
      <c r="F697" s="99" t="s">
        <v>839</v>
      </c>
      <c r="G697" s="107" t="s">
        <v>840</v>
      </c>
    </row>
    <row r="698" spans="1:8">
      <c r="B698" s="821" t="s">
        <v>838</v>
      </c>
      <c r="C698" s="822"/>
      <c r="D698" s="100" t="s">
        <v>308</v>
      </c>
      <c r="E698" s="100" t="s">
        <v>305</v>
      </c>
      <c r="F698" s="101" t="s">
        <v>306</v>
      </c>
      <c r="G698" s="108" t="s">
        <v>310</v>
      </c>
    </row>
    <row r="699" spans="1:8">
      <c r="B699" s="230"/>
      <c r="C699" s="102"/>
      <c r="D699" s="103"/>
      <c r="E699" s="103" t="s">
        <v>309</v>
      </c>
      <c r="F699" s="104" t="s">
        <v>307</v>
      </c>
      <c r="G699" s="109"/>
    </row>
    <row r="700" spans="1:8">
      <c r="A700" s="127"/>
      <c r="B700" s="823" t="str">
        <f>'MAQUINARIA Y EQUIPOS'!$C$28</f>
        <v>HERRAMIENTAS MENORES</v>
      </c>
      <c r="C700" s="824"/>
      <c r="D700" s="87">
        <v>1</v>
      </c>
      <c r="E700" s="82">
        <f>ROUND(G733*0.25,0)</f>
        <v>2654</v>
      </c>
      <c r="F700" s="81">
        <v>25</v>
      </c>
      <c r="G700" s="110">
        <f>ROUND(D700*E700/F700,0)</f>
        <v>106</v>
      </c>
    </row>
    <row r="701" spans="1:8">
      <c r="A701" s="127"/>
      <c r="B701" s="835" t="str">
        <f>'MAQUINARIA Y EQUIPOS'!$C$9</f>
        <v>ANDAMIO TUBULAR 1.50 m</v>
      </c>
      <c r="C701" s="836"/>
      <c r="D701" s="37">
        <v>4</v>
      </c>
      <c r="E701" s="129">
        <f>'MAQUINARIA Y EQUIPOS'!$D$9</f>
        <v>754</v>
      </c>
      <c r="F701" s="83">
        <v>10</v>
      </c>
      <c r="G701" s="111">
        <f>ROUND(D701*E701/F701,0)</f>
        <v>302</v>
      </c>
    </row>
    <row r="702" spans="1:8">
      <c r="A702" s="127"/>
      <c r="B702" s="835" t="str">
        <f>'MAQUINARIA Y EQUIPOS'!$C$47</f>
        <v>TABLONES 3m</v>
      </c>
      <c r="C702" s="836"/>
      <c r="D702" s="37">
        <v>2</v>
      </c>
      <c r="E702" s="129">
        <f>'MAQUINARIA Y EQUIPOS'!$D$47</f>
        <v>348</v>
      </c>
      <c r="F702" s="83">
        <v>10</v>
      </c>
      <c r="G702" s="111">
        <f>ROUND(D702*E702/F702,0)</f>
        <v>70</v>
      </c>
    </row>
    <row r="703" spans="1:8">
      <c r="B703" s="835"/>
      <c r="C703" s="836"/>
      <c r="D703" s="37"/>
      <c r="E703" s="129"/>
      <c r="F703" s="53"/>
      <c r="G703" s="111"/>
    </row>
    <row r="704" spans="1:8">
      <c r="B704" s="835" t="s">
        <v>841</v>
      </c>
      <c r="C704" s="836"/>
      <c r="D704" s="37"/>
      <c r="E704" s="82"/>
      <c r="F704" s="83"/>
      <c r="G704" s="111"/>
    </row>
    <row r="705" spans="1:8" ht="13.5" thickBot="1">
      <c r="B705" s="839" t="s">
        <v>841</v>
      </c>
      <c r="C705" s="840"/>
      <c r="D705" s="77"/>
      <c r="E705" s="106"/>
      <c r="F705" s="86"/>
      <c r="G705" s="112"/>
    </row>
    <row r="706" spans="1:8" ht="14.25" thickTop="1" thickBot="1">
      <c r="B706" s="808"/>
      <c r="C706" s="808"/>
      <c r="D706" s="808"/>
      <c r="E706" s="809"/>
      <c r="F706" s="119" t="s">
        <v>856</v>
      </c>
      <c r="G706" s="118">
        <f>SUM(G700:G705)</f>
        <v>478</v>
      </c>
    </row>
    <row r="707" spans="1:8" ht="14.25" thickTop="1" thickBot="1">
      <c r="B707" s="830"/>
      <c r="C707" s="830"/>
      <c r="D707" s="830"/>
      <c r="E707" s="830"/>
      <c r="F707" s="830"/>
      <c r="G707" s="830"/>
    </row>
    <row r="708" spans="1:8" ht="13.5" thickTop="1">
      <c r="B708" s="811" t="s">
        <v>311</v>
      </c>
      <c r="C708" s="812"/>
      <c r="D708" s="812"/>
      <c r="E708" s="812"/>
      <c r="F708" s="812"/>
      <c r="G708" s="825"/>
    </row>
    <row r="709" spans="1:8">
      <c r="B709" s="817" t="s">
        <v>838</v>
      </c>
      <c r="C709" s="818"/>
      <c r="D709" s="98" t="s">
        <v>842</v>
      </c>
      <c r="E709" s="98" t="s">
        <v>853</v>
      </c>
      <c r="F709" s="99" t="s">
        <v>1047</v>
      </c>
      <c r="G709" s="107" t="s">
        <v>840</v>
      </c>
    </row>
    <row r="710" spans="1:8">
      <c r="B710" s="230"/>
      <c r="C710" s="102"/>
      <c r="D710" s="100"/>
      <c r="E710" s="100" t="s">
        <v>312</v>
      </c>
      <c r="F710" s="101" t="s">
        <v>313</v>
      </c>
      <c r="G710" s="108" t="s">
        <v>314</v>
      </c>
    </row>
    <row r="711" spans="1:8">
      <c r="A711" s="125"/>
      <c r="B711" s="875"/>
      <c r="C711" s="876"/>
      <c r="D711" s="87"/>
      <c r="E711" s="10"/>
      <c r="F711" s="80"/>
      <c r="G711" s="110"/>
    </row>
    <row r="712" spans="1:8">
      <c r="A712" s="123"/>
      <c r="B712" s="877"/>
      <c r="C712" s="878"/>
      <c r="D712" s="88"/>
      <c r="E712" s="53"/>
      <c r="F712" s="82"/>
      <c r="G712" s="111"/>
    </row>
    <row r="713" spans="1:8">
      <c r="B713" s="835"/>
      <c r="C713" s="836"/>
      <c r="D713" s="37"/>
      <c r="E713" s="55"/>
      <c r="F713" s="82"/>
      <c r="G713" s="111"/>
    </row>
    <row r="714" spans="1:8">
      <c r="B714" s="835"/>
      <c r="C714" s="836"/>
      <c r="D714" s="37"/>
      <c r="E714" s="55"/>
      <c r="F714" s="82"/>
      <c r="G714" s="111"/>
    </row>
    <row r="715" spans="1:8">
      <c r="B715" s="837"/>
      <c r="C715" s="838"/>
      <c r="D715" s="37"/>
      <c r="E715" s="55"/>
      <c r="F715" s="82"/>
      <c r="G715" s="111"/>
      <c r="H715" s="506" t="s">
        <v>1670</v>
      </c>
    </row>
    <row r="716" spans="1:8">
      <c r="B716" s="837"/>
      <c r="C716" s="838"/>
      <c r="D716" s="53" t="s">
        <v>841</v>
      </c>
      <c r="E716" s="53"/>
      <c r="F716" s="82"/>
      <c r="G716" s="111"/>
    </row>
    <row r="717" spans="1:8">
      <c r="B717" s="837" t="s">
        <v>841</v>
      </c>
      <c r="C717" s="838"/>
      <c r="D717" s="53" t="s">
        <v>841</v>
      </c>
      <c r="E717" s="53"/>
      <c r="F717" s="82"/>
      <c r="G717" s="111"/>
    </row>
    <row r="718" spans="1:8">
      <c r="B718" s="837" t="s">
        <v>841</v>
      </c>
      <c r="C718" s="838"/>
      <c r="D718" s="53" t="s">
        <v>841</v>
      </c>
      <c r="E718" s="53"/>
      <c r="F718" s="82"/>
      <c r="G718" s="111"/>
    </row>
    <row r="719" spans="1:8" ht="13.5" thickBot="1">
      <c r="B719" s="839" t="s">
        <v>841</v>
      </c>
      <c r="C719" s="840"/>
      <c r="D719" s="84" t="s">
        <v>841</v>
      </c>
      <c r="E719" s="84"/>
      <c r="F719" s="85"/>
      <c r="G719" s="112"/>
    </row>
    <row r="720" spans="1:8" ht="13.5" thickTop="1">
      <c r="B720" s="808"/>
      <c r="C720" s="809"/>
      <c r="D720" s="801" t="s">
        <v>856</v>
      </c>
      <c r="E720" s="802"/>
      <c r="F720" s="9"/>
      <c r="G720" s="113">
        <f>SUM(G711:G719)</f>
        <v>0</v>
      </c>
    </row>
    <row r="721" spans="2:7">
      <c r="B721" s="819"/>
      <c r="C721" s="820"/>
      <c r="D721" s="801" t="s">
        <v>857</v>
      </c>
      <c r="E721" s="802"/>
      <c r="F721" s="79">
        <f>'MANO DE OBRA'!$D$60</f>
        <v>0.05</v>
      </c>
      <c r="G721" s="113">
        <f>ROUND(G720*F721,0)</f>
        <v>0</v>
      </c>
    </row>
    <row r="722" spans="2:7" ht="13.5" thickBot="1">
      <c r="B722" s="819"/>
      <c r="C722" s="820"/>
      <c r="D722" s="803" t="s">
        <v>320</v>
      </c>
      <c r="E722" s="804"/>
      <c r="F722" s="114"/>
      <c r="G722" s="118">
        <f>+G720+G721</f>
        <v>0</v>
      </c>
    </row>
    <row r="723" spans="2:7" ht="14.25" thickTop="1" thickBot="1">
      <c r="B723" s="830"/>
      <c r="C723" s="830"/>
      <c r="D723" s="830"/>
      <c r="E723" s="830"/>
      <c r="F723" s="830"/>
      <c r="G723" s="830"/>
    </row>
    <row r="724" spans="2:7" ht="13.5" thickTop="1">
      <c r="B724" s="811" t="s">
        <v>858</v>
      </c>
      <c r="C724" s="812"/>
      <c r="D724" s="812"/>
      <c r="E724" s="812"/>
      <c r="F724" s="812"/>
      <c r="G724" s="825"/>
    </row>
    <row r="725" spans="2:7">
      <c r="B725" s="817"/>
      <c r="C725" s="818"/>
      <c r="D725" s="98" t="s">
        <v>301</v>
      </c>
      <c r="E725" s="98" t="s">
        <v>859</v>
      </c>
      <c r="F725" s="99" t="s">
        <v>839</v>
      </c>
      <c r="G725" s="107" t="s">
        <v>840</v>
      </c>
    </row>
    <row r="726" spans="2:7">
      <c r="B726" s="821" t="s">
        <v>838</v>
      </c>
      <c r="C726" s="822"/>
      <c r="D726" s="100" t="s">
        <v>316</v>
      </c>
      <c r="E726" s="100" t="s">
        <v>315</v>
      </c>
      <c r="F726" s="101" t="s">
        <v>306</v>
      </c>
      <c r="G726" s="108" t="s">
        <v>319</v>
      </c>
    </row>
    <row r="727" spans="2:7">
      <c r="B727" s="230"/>
      <c r="C727" s="102"/>
      <c r="D727" s="103"/>
      <c r="E727" s="103" t="s">
        <v>317</v>
      </c>
      <c r="F727" s="104" t="s">
        <v>318</v>
      </c>
      <c r="G727" s="109"/>
    </row>
    <row r="728" spans="2:7">
      <c r="B728" s="823" t="str">
        <f>'MANO DE OBRA'!B10</f>
        <v>AYUDANTE CUAD. TIPO AA</v>
      </c>
      <c r="C728" s="824"/>
      <c r="D728" s="87">
        <v>1</v>
      </c>
      <c r="E728" s="80">
        <f>'MANO DE OBRA'!E10</f>
        <v>34680</v>
      </c>
      <c r="F728" s="81">
        <v>10</v>
      </c>
      <c r="G728" s="110">
        <f>ROUND(D728*E728/F728,0)</f>
        <v>3468</v>
      </c>
    </row>
    <row r="729" spans="2:7">
      <c r="B729" s="835" t="str">
        <f>'MANO DE OBRA'!B15</f>
        <v xml:space="preserve">OFICIAL CUAD. TIPO AA </v>
      </c>
      <c r="C729" s="836"/>
      <c r="D729" s="37">
        <v>1</v>
      </c>
      <c r="E729" s="82">
        <f>'MANO DE OBRA'!E15</f>
        <v>71474</v>
      </c>
      <c r="F729" s="83">
        <v>10</v>
      </c>
      <c r="G729" s="111">
        <f>ROUND(D729*E729/F729,0)</f>
        <v>7147</v>
      </c>
    </row>
    <row r="730" spans="2:7">
      <c r="B730" s="835"/>
      <c r="C730" s="836"/>
      <c r="D730" s="37"/>
      <c r="E730" s="82"/>
      <c r="F730" s="83"/>
      <c r="G730" s="111"/>
    </row>
    <row r="731" spans="2:7">
      <c r="B731" s="835" t="s">
        <v>841</v>
      </c>
      <c r="C731" s="836"/>
      <c r="D731" s="37"/>
      <c r="E731" s="82"/>
      <c r="F731" s="83"/>
      <c r="G731" s="111"/>
    </row>
    <row r="732" spans="2:7" ht="13.5" thickBot="1">
      <c r="B732" s="828" t="s">
        <v>841</v>
      </c>
      <c r="C732" s="829"/>
      <c r="D732" s="77"/>
      <c r="E732" s="82"/>
      <c r="F732" s="86"/>
      <c r="G732" s="112"/>
    </row>
    <row r="733" spans="2:7" ht="14.25" thickTop="1" thickBot="1">
      <c r="B733" s="808"/>
      <c r="C733" s="808"/>
      <c r="D733" s="808"/>
      <c r="E733" s="809"/>
      <c r="F733" s="120" t="s">
        <v>856</v>
      </c>
      <c r="G733" s="118">
        <f>SUM(G728:G732)</f>
        <v>10615</v>
      </c>
    </row>
    <row r="734" spans="2:7" ht="14.25" thickTop="1" thickBot="1">
      <c r="B734" s="810"/>
      <c r="C734" s="810"/>
      <c r="D734" s="810"/>
      <c r="E734" s="810"/>
      <c r="F734" s="810"/>
      <c r="G734" s="810"/>
    </row>
    <row r="735" spans="2:7" ht="13.5" thickTop="1">
      <c r="B735" s="811" t="s">
        <v>321</v>
      </c>
      <c r="C735" s="812"/>
      <c r="D735" s="812"/>
      <c r="E735" s="812"/>
      <c r="F735" s="812"/>
      <c r="G735" s="825"/>
    </row>
    <row r="736" spans="2:7">
      <c r="B736" s="817" t="s">
        <v>838</v>
      </c>
      <c r="C736" s="818"/>
      <c r="D736" s="98" t="s">
        <v>301</v>
      </c>
      <c r="E736" s="98" t="s">
        <v>297</v>
      </c>
      <c r="F736" s="99" t="s">
        <v>839</v>
      </c>
      <c r="G736" s="107" t="s">
        <v>840</v>
      </c>
    </row>
    <row r="737" spans="1:8">
      <c r="B737" s="230"/>
      <c r="C737" s="102"/>
      <c r="D737" s="103" t="s">
        <v>322</v>
      </c>
      <c r="E737" s="103" t="s">
        <v>323</v>
      </c>
      <c r="F737" s="104" t="s">
        <v>324</v>
      </c>
      <c r="G737" s="109" t="s">
        <v>325</v>
      </c>
    </row>
    <row r="738" spans="1:8">
      <c r="B738" s="826"/>
      <c r="C738" s="827"/>
      <c r="D738" s="96"/>
      <c r="E738" s="96"/>
      <c r="F738" s="96"/>
      <c r="G738" s="116"/>
    </row>
    <row r="739" spans="1:8" ht="13.5" thickBot="1">
      <c r="B739" s="828" t="s">
        <v>841</v>
      </c>
      <c r="C739" s="829"/>
      <c r="D739" s="77"/>
      <c r="E739" s="82"/>
      <c r="F739" s="86"/>
      <c r="G739" s="112"/>
    </row>
    <row r="740" spans="1:8" ht="14.25" thickTop="1" thickBot="1">
      <c r="B740" s="808"/>
      <c r="C740" s="808"/>
      <c r="D740" s="808"/>
      <c r="E740" s="809"/>
      <c r="F740" s="120" t="s">
        <v>856</v>
      </c>
      <c r="G740" s="118">
        <f>SUM(G735:G739)</f>
        <v>0</v>
      </c>
    </row>
    <row r="741" spans="1:8" ht="14.25" thickTop="1" thickBot="1">
      <c r="B741" s="810"/>
      <c r="C741" s="810"/>
      <c r="D741" s="810"/>
      <c r="E741" s="810"/>
      <c r="F741" s="810"/>
      <c r="G741" s="834"/>
    </row>
    <row r="742" spans="1:8" ht="13.5" thickTop="1">
      <c r="B742" s="811" t="s">
        <v>326</v>
      </c>
      <c r="C742" s="812"/>
      <c r="D742" s="812"/>
      <c r="E742" s="812"/>
      <c r="F742" s="813"/>
      <c r="G742" s="121">
        <f>+G706+G722+G733</f>
        <v>11093</v>
      </c>
    </row>
    <row r="743" spans="1:8">
      <c r="B743" s="814" t="s">
        <v>861</v>
      </c>
      <c r="C743" s="815"/>
      <c r="D743" s="815"/>
      <c r="E743" s="816"/>
      <c r="F743" s="128">
        <f>'MANO DE OBRA'!D218</f>
        <v>0</v>
      </c>
      <c r="G743" s="122">
        <f>ROUND(G742*F743,0)</f>
        <v>0</v>
      </c>
    </row>
    <row r="744" spans="1:8" ht="13.5" thickBot="1">
      <c r="B744" s="805" t="s">
        <v>1049</v>
      </c>
      <c r="C744" s="806"/>
      <c r="D744" s="806"/>
      <c r="E744" s="806"/>
      <c r="F744" s="807"/>
      <c r="G744" s="118">
        <f>ROUND(G742+G743,-2)</f>
        <v>11100</v>
      </c>
      <c r="H744" s="506" t="s">
        <v>1670</v>
      </c>
    </row>
    <row r="745" spans="1:8" ht="13.5" thickTop="1">
      <c r="B745" s="225" t="s">
        <v>303</v>
      </c>
      <c r="C745" s="843"/>
      <c r="D745" s="843"/>
      <c r="E745" s="843"/>
      <c r="F745" s="92" t="s">
        <v>781</v>
      </c>
      <c r="G745" s="93" t="s">
        <v>865</v>
      </c>
    </row>
    <row r="746" spans="1:8">
      <c r="B746" s="226" t="s">
        <v>834</v>
      </c>
      <c r="C746" s="844" t="s">
        <v>343</v>
      </c>
      <c r="D746" s="844"/>
      <c r="E746" s="844"/>
      <c r="F746" s="15" t="s">
        <v>833</v>
      </c>
      <c r="G746" s="165" t="str">
        <f>'MANO DE OBRA'!D61</f>
        <v>Agosto de 2010</v>
      </c>
    </row>
    <row r="747" spans="1:8" ht="13.5" thickBot="1">
      <c r="A747" s="127"/>
      <c r="B747" s="228" t="s">
        <v>835</v>
      </c>
      <c r="C747" s="845" t="s">
        <v>1243</v>
      </c>
      <c r="D747" s="845"/>
      <c r="E747" s="845"/>
      <c r="F747" s="845"/>
      <c r="G747" s="846"/>
    </row>
    <row r="748" spans="1:8" ht="14.25" thickTop="1" thickBot="1">
      <c r="B748" s="847"/>
      <c r="C748" s="847"/>
      <c r="D748" s="847"/>
      <c r="E748" s="847"/>
      <c r="F748" s="847"/>
      <c r="G748" s="847"/>
    </row>
    <row r="749" spans="1:8" ht="13.5" thickTop="1">
      <c r="B749" s="811" t="s">
        <v>304</v>
      </c>
      <c r="C749" s="812"/>
      <c r="D749" s="812"/>
      <c r="E749" s="812"/>
      <c r="F749" s="812"/>
      <c r="G749" s="825"/>
    </row>
    <row r="750" spans="1:8">
      <c r="B750" s="229"/>
      <c r="C750" s="97"/>
      <c r="D750" s="98" t="s">
        <v>301</v>
      </c>
      <c r="E750" s="98" t="s">
        <v>1072</v>
      </c>
      <c r="F750" s="99" t="s">
        <v>839</v>
      </c>
      <c r="G750" s="107" t="s">
        <v>840</v>
      </c>
    </row>
    <row r="751" spans="1:8">
      <c r="B751" s="821" t="s">
        <v>838</v>
      </c>
      <c r="C751" s="822"/>
      <c r="D751" s="100" t="s">
        <v>308</v>
      </c>
      <c r="E751" s="100" t="s">
        <v>305</v>
      </c>
      <c r="F751" s="101" t="s">
        <v>306</v>
      </c>
      <c r="G751" s="108" t="s">
        <v>310</v>
      </c>
    </row>
    <row r="752" spans="1:8">
      <c r="B752" s="230"/>
      <c r="C752" s="102"/>
      <c r="D752" s="103"/>
      <c r="E752" s="103" t="s">
        <v>309</v>
      </c>
      <c r="F752" s="104" t="s">
        <v>307</v>
      </c>
      <c r="G752" s="109"/>
    </row>
    <row r="753" spans="1:8">
      <c r="A753" s="127"/>
      <c r="B753" s="823" t="str">
        <f>'MAQUINARIA Y EQUIPOS'!$C$28</f>
        <v>HERRAMIENTAS MENORES</v>
      </c>
      <c r="C753" s="824"/>
      <c r="D753" s="87">
        <v>1</v>
      </c>
      <c r="E753" s="82">
        <f>ROUND(G786*0.25,0)</f>
        <v>1659</v>
      </c>
      <c r="F753" s="81">
        <v>1</v>
      </c>
      <c r="G753" s="110">
        <f>ROUND(D753*E753/F753,0)</f>
        <v>1659</v>
      </c>
    </row>
    <row r="754" spans="1:8">
      <c r="B754" s="835"/>
      <c r="C754" s="836"/>
      <c r="D754" s="37"/>
      <c r="E754" s="129"/>
      <c r="F754" s="53"/>
      <c r="G754" s="111"/>
    </row>
    <row r="755" spans="1:8">
      <c r="B755" s="835"/>
      <c r="C755" s="836"/>
      <c r="D755" s="37"/>
      <c r="E755" s="129"/>
      <c r="F755" s="53"/>
      <c r="G755" s="111"/>
    </row>
    <row r="756" spans="1:8">
      <c r="B756" s="835"/>
      <c r="C756" s="836"/>
      <c r="D756" s="37"/>
      <c r="E756" s="129"/>
      <c r="F756" s="53"/>
      <c r="G756" s="111"/>
    </row>
    <row r="757" spans="1:8">
      <c r="B757" s="835" t="s">
        <v>841</v>
      </c>
      <c r="C757" s="836"/>
      <c r="D757" s="37"/>
      <c r="E757" s="82"/>
      <c r="F757" s="83"/>
      <c r="G757" s="111"/>
    </row>
    <row r="758" spans="1:8" ht="13.5" thickBot="1">
      <c r="B758" s="839" t="s">
        <v>841</v>
      </c>
      <c r="C758" s="840"/>
      <c r="D758" s="77"/>
      <c r="E758" s="106"/>
      <c r="F758" s="86"/>
      <c r="G758" s="112"/>
    </row>
    <row r="759" spans="1:8" ht="14.25" thickTop="1" thickBot="1">
      <c r="B759" s="808"/>
      <c r="C759" s="808"/>
      <c r="D759" s="808"/>
      <c r="E759" s="809"/>
      <c r="F759" s="119" t="s">
        <v>856</v>
      </c>
      <c r="G759" s="118">
        <f>SUM(G753:G758)</f>
        <v>1659</v>
      </c>
    </row>
    <row r="760" spans="1:8" ht="14.25" thickTop="1" thickBot="1">
      <c r="B760" s="830"/>
      <c r="C760" s="830"/>
      <c r="D760" s="830"/>
      <c r="E760" s="830"/>
      <c r="F760" s="830"/>
      <c r="G760" s="830"/>
    </row>
    <row r="761" spans="1:8" ht="13.5" thickTop="1">
      <c r="B761" s="811" t="s">
        <v>311</v>
      </c>
      <c r="C761" s="812"/>
      <c r="D761" s="812"/>
      <c r="E761" s="812"/>
      <c r="F761" s="812"/>
      <c r="G761" s="825"/>
    </row>
    <row r="762" spans="1:8">
      <c r="B762" s="817" t="s">
        <v>838</v>
      </c>
      <c r="C762" s="818"/>
      <c r="D762" s="98" t="s">
        <v>842</v>
      </c>
      <c r="E762" s="98" t="s">
        <v>853</v>
      </c>
      <c r="F762" s="99" t="s">
        <v>1047</v>
      </c>
      <c r="G762" s="107" t="s">
        <v>840</v>
      </c>
    </row>
    <row r="763" spans="1:8">
      <c r="B763" s="230"/>
      <c r="C763" s="102"/>
      <c r="D763" s="100"/>
      <c r="E763" s="100" t="s">
        <v>312</v>
      </c>
      <c r="F763" s="101" t="s">
        <v>313</v>
      </c>
      <c r="G763" s="108" t="s">
        <v>314</v>
      </c>
    </row>
    <row r="764" spans="1:8">
      <c r="A764" s="125"/>
      <c r="B764" s="875"/>
      <c r="C764" s="876"/>
      <c r="D764" s="87"/>
      <c r="E764" s="10"/>
      <c r="F764" s="80"/>
      <c r="G764" s="110"/>
    </row>
    <row r="765" spans="1:8">
      <c r="A765" s="123"/>
      <c r="B765" s="877"/>
      <c r="C765" s="878"/>
      <c r="D765" s="88"/>
      <c r="E765" s="53"/>
      <c r="F765" s="82"/>
      <c r="G765" s="111"/>
    </row>
    <row r="766" spans="1:8">
      <c r="B766" s="835"/>
      <c r="C766" s="836"/>
      <c r="D766" s="37"/>
      <c r="E766" s="55"/>
      <c r="F766" s="82"/>
      <c r="G766" s="111"/>
    </row>
    <row r="767" spans="1:8">
      <c r="B767" s="835"/>
      <c r="C767" s="836"/>
      <c r="D767" s="37"/>
      <c r="E767" s="55"/>
      <c r="F767" s="82"/>
      <c r="G767" s="111"/>
    </row>
    <row r="768" spans="1:8">
      <c r="B768" s="837"/>
      <c r="C768" s="838"/>
      <c r="D768" s="37"/>
      <c r="E768" s="55"/>
      <c r="F768" s="82"/>
      <c r="G768" s="111"/>
      <c r="H768" s="506" t="s">
        <v>1670</v>
      </c>
    </row>
    <row r="769" spans="2:7">
      <c r="B769" s="837"/>
      <c r="C769" s="838"/>
      <c r="D769" s="53" t="s">
        <v>841</v>
      </c>
      <c r="E769" s="53"/>
      <c r="F769" s="82"/>
      <c r="G769" s="111"/>
    </row>
    <row r="770" spans="2:7">
      <c r="B770" s="837" t="s">
        <v>841</v>
      </c>
      <c r="C770" s="838"/>
      <c r="D770" s="53" t="s">
        <v>841</v>
      </c>
      <c r="E770" s="53"/>
      <c r="F770" s="82"/>
      <c r="G770" s="111"/>
    </row>
    <row r="771" spans="2:7">
      <c r="B771" s="837" t="s">
        <v>841</v>
      </c>
      <c r="C771" s="838"/>
      <c r="D771" s="53" t="s">
        <v>841</v>
      </c>
      <c r="E771" s="53"/>
      <c r="F771" s="82"/>
      <c r="G771" s="111"/>
    </row>
    <row r="772" spans="2:7" ht="13.5" thickBot="1">
      <c r="B772" s="839" t="s">
        <v>841</v>
      </c>
      <c r="C772" s="840"/>
      <c r="D772" s="84" t="s">
        <v>841</v>
      </c>
      <c r="E772" s="84"/>
      <c r="F772" s="85"/>
      <c r="G772" s="112"/>
    </row>
    <row r="773" spans="2:7" ht="13.5" thickTop="1">
      <c r="B773" s="808"/>
      <c r="C773" s="809"/>
      <c r="D773" s="801" t="s">
        <v>856</v>
      </c>
      <c r="E773" s="802"/>
      <c r="F773" s="9"/>
      <c r="G773" s="113">
        <f>SUM(G764:G772)</f>
        <v>0</v>
      </c>
    </row>
    <row r="774" spans="2:7">
      <c r="B774" s="819"/>
      <c r="C774" s="820"/>
      <c r="D774" s="801" t="s">
        <v>857</v>
      </c>
      <c r="E774" s="802"/>
      <c r="F774" s="79">
        <f>'MANO DE OBRA'!$D$60</f>
        <v>0.05</v>
      </c>
      <c r="G774" s="113">
        <f>ROUND(G773*F774,0)</f>
        <v>0</v>
      </c>
    </row>
    <row r="775" spans="2:7" ht="13.5" thickBot="1">
      <c r="B775" s="819"/>
      <c r="C775" s="820"/>
      <c r="D775" s="803" t="s">
        <v>320</v>
      </c>
      <c r="E775" s="804"/>
      <c r="F775" s="114"/>
      <c r="G775" s="118">
        <f>+G773+G774</f>
        <v>0</v>
      </c>
    </row>
    <row r="776" spans="2:7" ht="14.25" thickTop="1" thickBot="1">
      <c r="B776" s="830"/>
      <c r="C776" s="830"/>
      <c r="D776" s="830"/>
      <c r="E776" s="830"/>
      <c r="F776" s="830"/>
      <c r="G776" s="830"/>
    </row>
    <row r="777" spans="2:7" ht="13.5" thickTop="1">
      <c r="B777" s="811" t="s">
        <v>858</v>
      </c>
      <c r="C777" s="812"/>
      <c r="D777" s="812"/>
      <c r="E777" s="812"/>
      <c r="F777" s="812"/>
      <c r="G777" s="825"/>
    </row>
    <row r="778" spans="2:7">
      <c r="B778" s="817"/>
      <c r="C778" s="818"/>
      <c r="D778" s="98" t="s">
        <v>301</v>
      </c>
      <c r="E778" s="98" t="s">
        <v>859</v>
      </c>
      <c r="F778" s="99" t="s">
        <v>839</v>
      </c>
      <c r="G778" s="107" t="s">
        <v>840</v>
      </c>
    </row>
    <row r="779" spans="2:7">
      <c r="B779" s="821" t="s">
        <v>838</v>
      </c>
      <c r="C779" s="822"/>
      <c r="D779" s="100" t="s">
        <v>316</v>
      </c>
      <c r="E779" s="100" t="s">
        <v>315</v>
      </c>
      <c r="F779" s="101" t="s">
        <v>306</v>
      </c>
      <c r="G779" s="108" t="s">
        <v>319</v>
      </c>
    </row>
    <row r="780" spans="2:7">
      <c r="B780" s="230"/>
      <c r="C780" s="102"/>
      <c r="D780" s="103"/>
      <c r="E780" s="103" t="s">
        <v>317</v>
      </c>
      <c r="F780" s="104" t="s">
        <v>318</v>
      </c>
      <c r="G780" s="109"/>
    </row>
    <row r="781" spans="2:7">
      <c r="B781" s="823" t="str">
        <f>'MANO DE OBRA'!$B$10</f>
        <v>AYUDANTE CUAD. TIPO AA</v>
      </c>
      <c r="C781" s="824"/>
      <c r="D781" s="87">
        <v>1</v>
      </c>
      <c r="E781" s="80">
        <f>'MANO DE OBRA'!$E$10</f>
        <v>34680</v>
      </c>
      <c r="F781" s="81">
        <v>16</v>
      </c>
      <c r="G781" s="110">
        <f>ROUND(D781*E781/F781,0)</f>
        <v>2168</v>
      </c>
    </row>
    <row r="782" spans="2:7">
      <c r="B782" s="835" t="str">
        <f>'MANO DE OBRA'!$B$15</f>
        <v xml:space="preserve">OFICIAL CUAD. TIPO AA </v>
      </c>
      <c r="C782" s="836"/>
      <c r="D782" s="37">
        <v>1</v>
      </c>
      <c r="E782" s="82">
        <f>'MANO DE OBRA'!$E$15</f>
        <v>71474</v>
      </c>
      <c r="F782" s="83">
        <v>16</v>
      </c>
      <c r="G782" s="111">
        <f>ROUND(D782*E782/F782,0)</f>
        <v>4467</v>
      </c>
    </row>
    <row r="783" spans="2:7">
      <c r="B783" s="835"/>
      <c r="C783" s="836"/>
      <c r="D783" s="37"/>
      <c r="E783" s="82"/>
      <c r="F783" s="83"/>
      <c r="G783" s="111"/>
    </row>
    <row r="784" spans="2:7">
      <c r="B784" s="835" t="s">
        <v>841</v>
      </c>
      <c r="C784" s="836"/>
      <c r="D784" s="37"/>
      <c r="E784" s="82"/>
      <c r="F784" s="83"/>
      <c r="G784" s="111"/>
    </row>
    <row r="785" spans="1:8" ht="13.5" thickBot="1">
      <c r="B785" s="828" t="s">
        <v>841</v>
      </c>
      <c r="C785" s="829"/>
      <c r="D785" s="77"/>
      <c r="E785" s="82"/>
      <c r="F785" s="86"/>
      <c r="G785" s="112"/>
    </row>
    <row r="786" spans="1:8" ht="14.25" thickTop="1" thickBot="1">
      <c r="B786" s="808"/>
      <c r="C786" s="808"/>
      <c r="D786" s="808"/>
      <c r="E786" s="809"/>
      <c r="F786" s="120" t="s">
        <v>856</v>
      </c>
      <c r="G786" s="118">
        <f>SUM(G781:G785)</f>
        <v>6635</v>
      </c>
    </row>
    <row r="787" spans="1:8" ht="14.25" thickTop="1" thickBot="1">
      <c r="B787" s="810"/>
      <c r="C787" s="810"/>
      <c r="D787" s="810"/>
      <c r="E787" s="810"/>
      <c r="F787" s="810"/>
      <c r="G787" s="810"/>
    </row>
    <row r="788" spans="1:8" ht="13.5" thickTop="1">
      <c r="B788" s="811" t="s">
        <v>321</v>
      </c>
      <c r="C788" s="812"/>
      <c r="D788" s="812"/>
      <c r="E788" s="812"/>
      <c r="F788" s="812"/>
      <c r="G788" s="825"/>
    </row>
    <row r="789" spans="1:8">
      <c r="B789" s="817" t="s">
        <v>838</v>
      </c>
      <c r="C789" s="818"/>
      <c r="D789" s="98" t="s">
        <v>301</v>
      </c>
      <c r="E789" s="98" t="s">
        <v>297</v>
      </c>
      <c r="F789" s="99" t="s">
        <v>839</v>
      </c>
      <c r="G789" s="107" t="s">
        <v>840</v>
      </c>
    </row>
    <row r="790" spans="1:8">
      <c r="B790" s="230"/>
      <c r="C790" s="102"/>
      <c r="D790" s="103" t="s">
        <v>322</v>
      </c>
      <c r="E790" s="103" t="s">
        <v>323</v>
      </c>
      <c r="F790" s="104" t="s">
        <v>324</v>
      </c>
      <c r="G790" s="109" t="s">
        <v>325</v>
      </c>
    </row>
    <row r="791" spans="1:8">
      <c r="B791" s="826"/>
      <c r="C791" s="827"/>
      <c r="D791" s="96"/>
      <c r="E791" s="96"/>
      <c r="F791" s="96"/>
      <c r="G791" s="116"/>
    </row>
    <row r="792" spans="1:8" ht="13.5" thickBot="1">
      <c r="B792" s="828" t="s">
        <v>841</v>
      </c>
      <c r="C792" s="829"/>
      <c r="D792" s="77"/>
      <c r="E792" s="82"/>
      <c r="F792" s="86"/>
      <c r="G792" s="112"/>
    </row>
    <row r="793" spans="1:8" ht="14.25" thickTop="1" thickBot="1">
      <c r="B793" s="808"/>
      <c r="C793" s="808"/>
      <c r="D793" s="808"/>
      <c r="E793" s="809"/>
      <c r="F793" s="120" t="s">
        <v>856</v>
      </c>
      <c r="G793" s="118">
        <f>SUM(G788:G792)</f>
        <v>0</v>
      </c>
    </row>
    <row r="794" spans="1:8" ht="14.25" thickTop="1" thickBot="1">
      <c r="B794" s="810"/>
      <c r="C794" s="810"/>
      <c r="D794" s="810"/>
      <c r="E794" s="810"/>
      <c r="F794" s="810"/>
      <c r="G794" s="834"/>
    </row>
    <row r="795" spans="1:8" ht="13.5" thickTop="1">
      <c r="B795" s="811" t="s">
        <v>326</v>
      </c>
      <c r="C795" s="812"/>
      <c r="D795" s="812"/>
      <c r="E795" s="812"/>
      <c r="F795" s="813"/>
      <c r="G795" s="121">
        <f>+G759+G775+G786</f>
        <v>8294</v>
      </c>
    </row>
    <row r="796" spans="1:8">
      <c r="B796" s="814" t="s">
        <v>861</v>
      </c>
      <c r="C796" s="815"/>
      <c r="D796" s="815"/>
      <c r="E796" s="816"/>
      <c r="F796" s="128">
        <f>'MANO DE OBRA'!D59</f>
        <v>0</v>
      </c>
      <c r="G796" s="122">
        <f>ROUND(G795*F796,0)</f>
        <v>0</v>
      </c>
    </row>
    <row r="797" spans="1:8" ht="13.5" thickBot="1">
      <c r="B797" s="805" t="s">
        <v>1049</v>
      </c>
      <c r="C797" s="806"/>
      <c r="D797" s="806"/>
      <c r="E797" s="806"/>
      <c r="F797" s="807"/>
      <c r="G797" s="118">
        <f>ROUND(G795+G796,-2)</f>
        <v>8300</v>
      </c>
      <c r="H797" s="506" t="s">
        <v>1670</v>
      </c>
    </row>
    <row r="798" spans="1:8" ht="13.5" thickTop="1">
      <c r="B798" s="225" t="s">
        <v>303</v>
      </c>
      <c r="C798" s="843"/>
      <c r="D798" s="843"/>
      <c r="E798" s="843"/>
      <c r="F798" s="92" t="s">
        <v>781</v>
      </c>
      <c r="G798" s="93" t="s">
        <v>865</v>
      </c>
    </row>
    <row r="799" spans="1:8">
      <c r="B799" s="226" t="s">
        <v>834</v>
      </c>
      <c r="C799" s="844" t="s">
        <v>343</v>
      </c>
      <c r="D799" s="844"/>
      <c r="E799" s="844"/>
      <c r="F799" s="15" t="s">
        <v>833</v>
      </c>
      <c r="G799" s="165" t="str">
        <f>'MANO DE OBRA'!D61</f>
        <v>Agosto de 2010</v>
      </c>
    </row>
    <row r="800" spans="1:8" ht="13.5" thickBot="1">
      <c r="A800" s="127"/>
      <c r="B800" s="228" t="s">
        <v>835</v>
      </c>
      <c r="C800" s="845" t="s">
        <v>771</v>
      </c>
      <c r="D800" s="845"/>
      <c r="E800" s="845"/>
      <c r="F800" s="845"/>
      <c r="G800" s="846"/>
    </row>
    <row r="801" spans="1:7" ht="14.25" thickTop="1" thickBot="1">
      <c r="B801" s="847"/>
      <c r="C801" s="847"/>
      <c r="D801" s="847"/>
      <c r="E801" s="847"/>
      <c r="F801" s="847"/>
      <c r="G801" s="847"/>
    </row>
    <row r="802" spans="1:7" ht="13.5" thickTop="1">
      <c r="B802" s="811" t="s">
        <v>304</v>
      </c>
      <c r="C802" s="812"/>
      <c r="D802" s="812"/>
      <c r="E802" s="812"/>
      <c r="F802" s="812"/>
      <c r="G802" s="825"/>
    </row>
    <row r="803" spans="1:7">
      <c r="B803" s="229"/>
      <c r="C803" s="97"/>
      <c r="D803" s="98" t="s">
        <v>301</v>
      </c>
      <c r="E803" s="98" t="s">
        <v>1072</v>
      </c>
      <c r="F803" s="99" t="s">
        <v>839</v>
      </c>
      <c r="G803" s="107" t="s">
        <v>840</v>
      </c>
    </row>
    <row r="804" spans="1:7">
      <c r="B804" s="821" t="s">
        <v>838</v>
      </c>
      <c r="C804" s="822"/>
      <c r="D804" s="100" t="s">
        <v>308</v>
      </c>
      <c r="E804" s="100" t="s">
        <v>305</v>
      </c>
      <c r="F804" s="101" t="s">
        <v>306</v>
      </c>
      <c r="G804" s="108" t="s">
        <v>310</v>
      </c>
    </row>
    <row r="805" spans="1:7">
      <c r="B805" s="230"/>
      <c r="C805" s="102"/>
      <c r="D805" s="103"/>
      <c r="E805" s="103" t="s">
        <v>309</v>
      </c>
      <c r="F805" s="104" t="s">
        <v>307</v>
      </c>
      <c r="G805" s="109"/>
    </row>
    <row r="806" spans="1:7">
      <c r="A806" s="127"/>
      <c r="B806" s="823" t="str">
        <f>'MAQUINARIA Y EQUIPOS'!C28</f>
        <v>HERRAMIENTAS MENORES</v>
      </c>
      <c r="C806" s="824"/>
      <c r="D806" s="87">
        <v>1</v>
      </c>
      <c r="E806" s="82">
        <f>ROUND(G839*0.25,0)</f>
        <v>3791</v>
      </c>
      <c r="F806" s="81">
        <v>0.5</v>
      </c>
      <c r="G806" s="110">
        <f>ROUND(D806*E806/F806,0)</f>
        <v>7582</v>
      </c>
    </row>
    <row r="807" spans="1:7">
      <c r="B807" s="835"/>
      <c r="C807" s="836"/>
      <c r="D807" s="37"/>
      <c r="E807" s="129"/>
      <c r="F807" s="53"/>
      <c r="G807" s="111"/>
    </row>
    <row r="808" spans="1:7">
      <c r="B808" s="835"/>
      <c r="C808" s="836"/>
      <c r="D808" s="37"/>
      <c r="E808" s="129"/>
      <c r="F808" s="53"/>
      <c r="G808" s="111"/>
    </row>
    <row r="809" spans="1:7">
      <c r="B809" s="835"/>
      <c r="C809" s="836"/>
      <c r="D809" s="37"/>
      <c r="E809" s="129"/>
      <c r="F809" s="53"/>
      <c r="G809" s="111"/>
    </row>
    <row r="810" spans="1:7">
      <c r="B810" s="835" t="s">
        <v>841</v>
      </c>
      <c r="C810" s="836"/>
      <c r="D810" s="37"/>
      <c r="E810" s="82"/>
      <c r="F810" s="83"/>
      <c r="G810" s="111"/>
    </row>
    <row r="811" spans="1:7" ht="13.5" thickBot="1">
      <c r="B811" s="839" t="s">
        <v>841</v>
      </c>
      <c r="C811" s="840"/>
      <c r="D811" s="77"/>
      <c r="E811" s="106"/>
      <c r="F811" s="86"/>
      <c r="G811" s="112"/>
    </row>
    <row r="812" spans="1:7" ht="14.25" thickTop="1" thickBot="1">
      <c r="B812" s="808"/>
      <c r="C812" s="808"/>
      <c r="D812" s="808"/>
      <c r="E812" s="809"/>
      <c r="F812" s="119" t="s">
        <v>856</v>
      </c>
      <c r="G812" s="118">
        <f>SUM(G806:G811)</f>
        <v>7582</v>
      </c>
    </row>
    <row r="813" spans="1:7" ht="14.25" thickTop="1" thickBot="1">
      <c r="B813" s="830"/>
      <c r="C813" s="830"/>
      <c r="D813" s="830"/>
      <c r="E813" s="830"/>
      <c r="F813" s="830"/>
      <c r="G813" s="830"/>
    </row>
    <row r="814" spans="1:7" ht="13.5" thickTop="1">
      <c r="B814" s="811" t="s">
        <v>311</v>
      </c>
      <c r="C814" s="812"/>
      <c r="D814" s="812"/>
      <c r="E814" s="812"/>
      <c r="F814" s="812"/>
      <c r="G814" s="825"/>
    </row>
    <row r="815" spans="1:7">
      <c r="B815" s="817" t="s">
        <v>838</v>
      </c>
      <c r="C815" s="818"/>
      <c r="D815" s="98" t="s">
        <v>842</v>
      </c>
      <c r="E815" s="98" t="s">
        <v>853</v>
      </c>
      <c r="F815" s="99" t="s">
        <v>1047</v>
      </c>
      <c r="G815" s="107" t="s">
        <v>840</v>
      </c>
    </row>
    <row r="816" spans="1:7">
      <c r="B816" s="230"/>
      <c r="C816" s="102"/>
      <c r="D816" s="100"/>
      <c r="E816" s="100" t="s">
        <v>312</v>
      </c>
      <c r="F816" s="101" t="s">
        <v>313</v>
      </c>
      <c r="G816" s="108" t="s">
        <v>314</v>
      </c>
    </row>
    <row r="817" spans="1:8">
      <c r="A817" s="125"/>
      <c r="B817" s="875"/>
      <c r="C817" s="876"/>
      <c r="D817" s="87"/>
      <c r="E817" s="10"/>
      <c r="F817" s="80"/>
      <c r="G817" s="110"/>
    </row>
    <row r="818" spans="1:8">
      <c r="A818" s="123"/>
      <c r="B818" s="877"/>
      <c r="C818" s="878"/>
      <c r="D818" s="88"/>
      <c r="E818" s="53"/>
      <c r="F818" s="82"/>
      <c r="G818" s="111"/>
    </row>
    <row r="819" spans="1:8">
      <c r="B819" s="835"/>
      <c r="C819" s="836"/>
      <c r="D819" s="37"/>
      <c r="E819" s="55"/>
      <c r="F819" s="82"/>
      <c r="G819" s="111"/>
    </row>
    <row r="820" spans="1:8">
      <c r="B820" s="835"/>
      <c r="C820" s="836"/>
      <c r="D820" s="37"/>
      <c r="E820" s="55"/>
      <c r="F820" s="82"/>
      <c r="G820" s="111"/>
    </row>
    <row r="821" spans="1:8">
      <c r="B821" s="837"/>
      <c r="C821" s="838"/>
      <c r="D821" s="37"/>
      <c r="E821" s="55"/>
      <c r="F821" s="82"/>
      <c r="G821" s="111"/>
      <c r="H821" s="506" t="s">
        <v>1670</v>
      </c>
    </row>
    <row r="822" spans="1:8">
      <c r="B822" s="837"/>
      <c r="C822" s="838"/>
      <c r="D822" s="53" t="s">
        <v>841</v>
      </c>
      <c r="E822" s="53"/>
      <c r="F822" s="82"/>
      <c r="G822" s="111"/>
    </row>
    <row r="823" spans="1:8">
      <c r="B823" s="837" t="s">
        <v>841</v>
      </c>
      <c r="C823" s="838"/>
      <c r="D823" s="53" t="s">
        <v>841</v>
      </c>
      <c r="E823" s="53"/>
      <c r="F823" s="82"/>
      <c r="G823" s="111"/>
    </row>
    <row r="824" spans="1:8">
      <c r="B824" s="837" t="s">
        <v>841</v>
      </c>
      <c r="C824" s="838"/>
      <c r="D824" s="53" t="s">
        <v>841</v>
      </c>
      <c r="E824" s="53"/>
      <c r="F824" s="82"/>
      <c r="G824" s="111"/>
    </row>
    <row r="825" spans="1:8" ht="13.5" thickBot="1">
      <c r="B825" s="839" t="s">
        <v>841</v>
      </c>
      <c r="C825" s="840"/>
      <c r="D825" s="84" t="s">
        <v>841</v>
      </c>
      <c r="E825" s="84"/>
      <c r="F825" s="85"/>
      <c r="G825" s="112"/>
    </row>
    <row r="826" spans="1:8" ht="13.5" thickTop="1">
      <c r="B826" s="808"/>
      <c r="C826" s="809"/>
      <c r="D826" s="801" t="s">
        <v>856</v>
      </c>
      <c r="E826" s="802"/>
      <c r="F826" s="9"/>
      <c r="G826" s="113">
        <f>SUM(G817:G825)</f>
        <v>0</v>
      </c>
    </row>
    <row r="827" spans="1:8">
      <c r="B827" s="819"/>
      <c r="C827" s="820"/>
      <c r="D827" s="801" t="s">
        <v>857</v>
      </c>
      <c r="E827" s="802"/>
      <c r="F827" s="79">
        <f>'MANO DE OBRA'!D60</f>
        <v>0.05</v>
      </c>
      <c r="G827" s="113">
        <f>ROUND(G826*F827,0)</f>
        <v>0</v>
      </c>
    </row>
    <row r="828" spans="1:8" ht="13.5" thickBot="1">
      <c r="B828" s="819"/>
      <c r="C828" s="820"/>
      <c r="D828" s="803" t="s">
        <v>320</v>
      </c>
      <c r="E828" s="804"/>
      <c r="F828" s="114"/>
      <c r="G828" s="118">
        <f>+G826+G827</f>
        <v>0</v>
      </c>
    </row>
    <row r="829" spans="1:8" ht="14.25" thickTop="1" thickBot="1">
      <c r="B829" s="830"/>
      <c r="C829" s="830"/>
      <c r="D829" s="830"/>
      <c r="E829" s="830"/>
      <c r="F829" s="830"/>
      <c r="G829" s="830"/>
    </row>
    <row r="830" spans="1:8" ht="13.5" thickTop="1">
      <c r="B830" s="811" t="s">
        <v>858</v>
      </c>
      <c r="C830" s="812"/>
      <c r="D830" s="812"/>
      <c r="E830" s="812"/>
      <c r="F830" s="812"/>
      <c r="G830" s="825"/>
    </row>
    <row r="831" spans="1:8">
      <c r="B831" s="817"/>
      <c r="C831" s="818"/>
      <c r="D831" s="98" t="s">
        <v>301</v>
      </c>
      <c r="E831" s="98" t="s">
        <v>859</v>
      </c>
      <c r="F831" s="99" t="s">
        <v>839</v>
      </c>
      <c r="G831" s="107" t="s">
        <v>840</v>
      </c>
    </row>
    <row r="832" spans="1:8">
      <c r="B832" s="821" t="s">
        <v>838</v>
      </c>
      <c r="C832" s="822"/>
      <c r="D832" s="100" t="s">
        <v>316</v>
      </c>
      <c r="E832" s="100" t="s">
        <v>315</v>
      </c>
      <c r="F832" s="101" t="s">
        <v>306</v>
      </c>
      <c r="G832" s="108" t="s">
        <v>319</v>
      </c>
    </row>
    <row r="833" spans="2:7">
      <c r="B833" s="230"/>
      <c r="C833" s="102"/>
      <c r="D833" s="103"/>
      <c r="E833" s="103" t="s">
        <v>317</v>
      </c>
      <c r="F833" s="104" t="s">
        <v>318</v>
      </c>
      <c r="G833" s="109"/>
    </row>
    <row r="834" spans="2:7">
      <c r="B834" s="823" t="str">
        <f>'MANO DE OBRA'!B10</f>
        <v>AYUDANTE CUAD. TIPO AA</v>
      </c>
      <c r="C834" s="824"/>
      <c r="D834" s="87">
        <v>1</v>
      </c>
      <c r="E834" s="80">
        <f>'MANO DE OBRA'!E10</f>
        <v>34680</v>
      </c>
      <c r="F834" s="81">
        <v>7</v>
      </c>
      <c r="G834" s="110">
        <f>ROUND(D834*E834/F834,0)</f>
        <v>4954</v>
      </c>
    </row>
    <row r="835" spans="2:7">
      <c r="B835" s="835" t="str">
        <f>'MANO DE OBRA'!B15</f>
        <v xml:space="preserve">OFICIAL CUAD. TIPO AA </v>
      </c>
      <c r="C835" s="836"/>
      <c r="D835" s="37">
        <v>1</v>
      </c>
      <c r="E835" s="82">
        <f>'MANO DE OBRA'!E15</f>
        <v>71474</v>
      </c>
      <c r="F835" s="83">
        <v>7</v>
      </c>
      <c r="G835" s="111">
        <f>ROUND(D835*E835/F835,0)</f>
        <v>10211</v>
      </c>
    </row>
    <row r="836" spans="2:7">
      <c r="B836" s="835"/>
      <c r="C836" s="836"/>
      <c r="D836" s="37"/>
      <c r="E836" s="82"/>
      <c r="F836" s="83"/>
      <c r="G836" s="111"/>
    </row>
    <row r="837" spans="2:7">
      <c r="B837" s="835" t="s">
        <v>841</v>
      </c>
      <c r="C837" s="836"/>
      <c r="D837" s="37"/>
      <c r="E837" s="82"/>
      <c r="F837" s="83"/>
      <c r="G837" s="111"/>
    </row>
    <row r="838" spans="2:7" ht="13.5" thickBot="1">
      <c r="B838" s="828" t="s">
        <v>841</v>
      </c>
      <c r="C838" s="829"/>
      <c r="D838" s="77"/>
      <c r="E838" s="82"/>
      <c r="F838" s="86"/>
      <c r="G838" s="112"/>
    </row>
    <row r="839" spans="2:7" ht="14.25" thickTop="1" thickBot="1">
      <c r="B839" s="808"/>
      <c r="C839" s="808"/>
      <c r="D839" s="808"/>
      <c r="E839" s="809"/>
      <c r="F839" s="120" t="s">
        <v>856</v>
      </c>
      <c r="G839" s="118">
        <f>SUM(G834:G838)</f>
        <v>15165</v>
      </c>
    </row>
    <row r="840" spans="2:7" ht="14.25" thickTop="1" thickBot="1">
      <c r="B840" s="810"/>
      <c r="C840" s="810"/>
      <c r="D840" s="810"/>
      <c r="E840" s="810"/>
      <c r="F840" s="810"/>
      <c r="G840" s="810"/>
    </row>
    <row r="841" spans="2:7" ht="13.5" thickTop="1">
      <c r="B841" s="811" t="s">
        <v>321</v>
      </c>
      <c r="C841" s="812"/>
      <c r="D841" s="812"/>
      <c r="E841" s="812"/>
      <c r="F841" s="812"/>
      <c r="G841" s="825"/>
    </row>
    <row r="842" spans="2:7">
      <c r="B842" s="817" t="s">
        <v>838</v>
      </c>
      <c r="C842" s="818"/>
      <c r="D842" s="98" t="s">
        <v>301</v>
      </c>
      <c r="E842" s="98" t="s">
        <v>297</v>
      </c>
      <c r="F842" s="99" t="s">
        <v>839</v>
      </c>
      <c r="G842" s="107" t="s">
        <v>840</v>
      </c>
    </row>
    <row r="843" spans="2:7">
      <c r="B843" s="230"/>
      <c r="C843" s="102"/>
      <c r="D843" s="103" t="s">
        <v>322</v>
      </c>
      <c r="E843" s="103" t="s">
        <v>323</v>
      </c>
      <c r="F843" s="104" t="s">
        <v>324</v>
      </c>
      <c r="G843" s="109" t="s">
        <v>325</v>
      </c>
    </row>
    <row r="844" spans="2:7">
      <c r="B844" s="826"/>
      <c r="C844" s="827"/>
      <c r="D844" s="96"/>
      <c r="E844" s="96"/>
      <c r="F844" s="96"/>
      <c r="G844" s="116"/>
    </row>
    <row r="845" spans="2:7" ht="13.5" thickBot="1">
      <c r="B845" s="828" t="s">
        <v>841</v>
      </c>
      <c r="C845" s="829"/>
      <c r="D845" s="77"/>
      <c r="E845" s="82"/>
      <c r="F845" s="86"/>
      <c r="G845" s="112"/>
    </row>
    <row r="846" spans="2:7" ht="14.25" thickTop="1" thickBot="1">
      <c r="B846" s="808"/>
      <c r="C846" s="808"/>
      <c r="D846" s="808"/>
      <c r="E846" s="809"/>
      <c r="F846" s="120" t="s">
        <v>856</v>
      </c>
      <c r="G846" s="118">
        <f>SUM(G841:G845)</f>
        <v>0</v>
      </c>
    </row>
    <row r="847" spans="2:7" ht="14.25" thickTop="1" thickBot="1">
      <c r="B847" s="810"/>
      <c r="C847" s="810"/>
      <c r="D847" s="810"/>
      <c r="E847" s="810"/>
      <c r="F847" s="810"/>
      <c r="G847" s="834"/>
    </row>
    <row r="848" spans="2:7" ht="13.5" thickTop="1">
      <c r="B848" s="811" t="s">
        <v>326</v>
      </c>
      <c r="C848" s="812"/>
      <c r="D848" s="812"/>
      <c r="E848" s="812"/>
      <c r="F848" s="813"/>
      <c r="G848" s="121">
        <f>+G812+G828+G839</f>
        <v>22747</v>
      </c>
    </row>
    <row r="849" spans="1:8">
      <c r="B849" s="814" t="s">
        <v>861</v>
      </c>
      <c r="C849" s="815"/>
      <c r="D849" s="815"/>
      <c r="E849" s="816"/>
      <c r="F849" s="128">
        <f>'MANO DE OBRA'!D59</f>
        <v>0</v>
      </c>
      <c r="G849" s="122">
        <f>ROUND(G848*F849,0)</f>
        <v>0</v>
      </c>
    </row>
    <row r="850" spans="1:8" ht="13.5" thickBot="1">
      <c r="B850" s="805" t="s">
        <v>1049</v>
      </c>
      <c r="C850" s="806"/>
      <c r="D850" s="806"/>
      <c r="E850" s="806"/>
      <c r="F850" s="807"/>
      <c r="G850" s="118">
        <f>ROUND(G848+G849,-2)</f>
        <v>22700</v>
      </c>
      <c r="H850" s="506" t="s">
        <v>1670</v>
      </c>
    </row>
    <row r="851" spans="1:8" ht="13.5" thickTop="1">
      <c r="B851" s="225" t="s">
        <v>303</v>
      </c>
      <c r="C851" s="843"/>
      <c r="D851" s="843"/>
      <c r="E851" s="843"/>
      <c r="F851" s="92" t="s">
        <v>781</v>
      </c>
      <c r="G851" s="93" t="s">
        <v>865</v>
      </c>
    </row>
    <row r="852" spans="1:8">
      <c r="B852" s="226" t="s">
        <v>834</v>
      </c>
      <c r="C852" s="844" t="s">
        <v>343</v>
      </c>
      <c r="D852" s="844"/>
      <c r="E852" s="844"/>
      <c r="F852" s="15" t="s">
        <v>833</v>
      </c>
      <c r="G852" s="165" t="str">
        <f>'MANO DE OBRA'!D61</f>
        <v>Agosto de 2010</v>
      </c>
    </row>
    <row r="853" spans="1:8" ht="13.5" thickBot="1">
      <c r="A853" s="127"/>
      <c r="B853" s="228" t="s">
        <v>835</v>
      </c>
      <c r="C853" s="845" t="s">
        <v>276</v>
      </c>
      <c r="D853" s="845"/>
      <c r="E853" s="845"/>
      <c r="F853" s="845"/>
      <c r="G853" s="846"/>
    </row>
    <row r="854" spans="1:8" ht="14.25" thickTop="1" thickBot="1">
      <c r="B854" s="847"/>
      <c r="C854" s="847"/>
      <c r="D854" s="847"/>
      <c r="E854" s="847"/>
      <c r="F854" s="847"/>
      <c r="G854" s="847"/>
    </row>
    <row r="855" spans="1:8" ht="13.5" thickTop="1">
      <c r="B855" s="811" t="s">
        <v>304</v>
      </c>
      <c r="C855" s="812"/>
      <c r="D855" s="812"/>
      <c r="E855" s="812"/>
      <c r="F855" s="812"/>
      <c r="G855" s="825"/>
    </row>
    <row r="856" spans="1:8">
      <c r="B856" s="229"/>
      <c r="C856" s="97"/>
      <c r="D856" s="98" t="s">
        <v>301</v>
      </c>
      <c r="E856" s="98" t="s">
        <v>1072</v>
      </c>
      <c r="F856" s="99" t="s">
        <v>839</v>
      </c>
      <c r="G856" s="107" t="s">
        <v>840</v>
      </c>
    </row>
    <row r="857" spans="1:8">
      <c r="B857" s="821" t="s">
        <v>838</v>
      </c>
      <c r="C857" s="822"/>
      <c r="D857" s="100" t="s">
        <v>308</v>
      </c>
      <c r="E857" s="100" t="s">
        <v>305</v>
      </c>
      <c r="F857" s="101" t="s">
        <v>306</v>
      </c>
      <c r="G857" s="108" t="s">
        <v>310</v>
      </c>
    </row>
    <row r="858" spans="1:8">
      <c r="B858" s="230"/>
      <c r="C858" s="102"/>
      <c r="D858" s="103"/>
      <c r="E858" s="103" t="s">
        <v>309</v>
      </c>
      <c r="F858" s="104" t="s">
        <v>307</v>
      </c>
      <c r="G858" s="109"/>
    </row>
    <row r="859" spans="1:8">
      <c r="A859" s="127"/>
      <c r="B859" s="823" t="str">
        <f>'MAQUINARIA Y EQUIPOS'!C28</f>
        <v>HERRAMIENTAS MENORES</v>
      </c>
      <c r="C859" s="824"/>
      <c r="D859" s="87">
        <v>1</v>
      </c>
      <c r="E859" s="82">
        <f>ROUND(G892*0.25,0)</f>
        <v>6635</v>
      </c>
      <c r="F859" s="81">
        <v>1</v>
      </c>
      <c r="G859" s="110">
        <f>ROUND(D859*E859/F859,0)</f>
        <v>6635</v>
      </c>
    </row>
    <row r="860" spans="1:8">
      <c r="B860" s="835"/>
      <c r="C860" s="836"/>
      <c r="D860" s="37"/>
      <c r="E860" s="129"/>
      <c r="F860" s="53"/>
      <c r="G860" s="111"/>
    </row>
    <row r="861" spans="1:8">
      <c r="B861" s="835"/>
      <c r="C861" s="836"/>
      <c r="D861" s="37"/>
      <c r="E861" s="129"/>
      <c r="F861" s="53"/>
      <c r="G861" s="111"/>
    </row>
    <row r="862" spans="1:8">
      <c r="B862" s="835"/>
      <c r="C862" s="836"/>
      <c r="D862" s="37"/>
      <c r="E862" s="129"/>
      <c r="F862" s="53"/>
      <c r="G862" s="111"/>
    </row>
    <row r="863" spans="1:8">
      <c r="B863" s="835" t="s">
        <v>841</v>
      </c>
      <c r="C863" s="836"/>
      <c r="D863" s="37"/>
      <c r="E863" s="82"/>
      <c r="F863" s="83"/>
      <c r="G863" s="111"/>
    </row>
    <row r="864" spans="1:8" ht="13.5" thickBot="1">
      <c r="B864" s="839" t="s">
        <v>841</v>
      </c>
      <c r="C864" s="840"/>
      <c r="D864" s="77"/>
      <c r="E864" s="106"/>
      <c r="F864" s="86"/>
      <c r="G864" s="112"/>
    </row>
    <row r="865" spans="1:8" ht="14.25" thickTop="1" thickBot="1">
      <c r="B865" s="808"/>
      <c r="C865" s="808"/>
      <c r="D865" s="808"/>
      <c r="E865" s="809"/>
      <c r="F865" s="119" t="s">
        <v>856</v>
      </c>
      <c r="G865" s="118">
        <f>SUM(G859:G864)</f>
        <v>6635</v>
      </c>
    </row>
    <row r="866" spans="1:8" ht="14.25" thickTop="1" thickBot="1">
      <c r="B866" s="830"/>
      <c r="C866" s="830"/>
      <c r="D866" s="830"/>
      <c r="E866" s="830"/>
      <c r="F866" s="830"/>
      <c r="G866" s="830"/>
    </row>
    <row r="867" spans="1:8" ht="13.5" thickTop="1">
      <c r="B867" s="811" t="s">
        <v>311</v>
      </c>
      <c r="C867" s="812"/>
      <c r="D867" s="812"/>
      <c r="E867" s="812"/>
      <c r="F867" s="812"/>
      <c r="G867" s="825"/>
    </row>
    <row r="868" spans="1:8">
      <c r="B868" s="817" t="s">
        <v>838</v>
      </c>
      <c r="C868" s="818"/>
      <c r="D868" s="98" t="s">
        <v>842</v>
      </c>
      <c r="E868" s="98" t="s">
        <v>853</v>
      </c>
      <c r="F868" s="99" t="s">
        <v>1047</v>
      </c>
      <c r="G868" s="107" t="s">
        <v>840</v>
      </c>
    </row>
    <row r="869" spans="1:8">
      <c r="B869" s="230"/>
      <c r="C869" s="102"/>
      <c r="D869" s="100"/>
      <c r="E869" s="100" t="s">
        <v>312</v>
      </c>
      <c r="F869" s="101" t="s">
        <v>313</v>
      </c>
      <c r="G869" s="108" t="s">
        <v>314</v>
      </c>
    </row>
    <row r="870" spans="1:8">
      <c r="A870" s="125"/>
      <c r="B870" s="875"/>
      <c r="C870" s="876"/>
      <c r="D870" s="87"/>
      <c r="E870" s="10"/>
      <c r="F870" s="80"/>
      <c r="G870" s="110"/>
    </row>
    <row r="871" spans="1:8">
      <c r="A871" s="123"/>
      <c r="B871" s="877"/>
      <c r="C871" s="878"/>
      <c r="D871" s="88"/>
      <c r="E871" s="53"/>
      <c r="F871" s="82"/>
      <c r="G871" s="111"/>
    </row>
    <row r="872" spans="1:8">
      <c r="B872" s="835"/>
      <c r="C872" s="836"/>
      <c r="D872" s="37"/>
      <c r="E872" s="55"/>
      <c r="F872" s="82"/>
      <c r="G872" s="111"/>
    </row>
    <row r="873" spans="1:8">
      <c r="B873" s="835"/>
      <c r="C873" s="836"/>
      <c r="D873" s="37"/>
      <c r="E873" s="55"/>
      <c r="F873" s="82"/>
      <c r="G873" s="111"/>
    </row>
    <row r="874" spans="1:8">
      <c r="B874" s="837"/>
      <c r="C874" s="838"/>
      <c r="D874" s="37"/>
      <c r="E874" s="55"/>
      <c r="F874" s="82"/>
      <c r="G874" s="111"/>
      <c r="H874" s="506" t="s">
        <v>1670</v>
      </c>
    </row>
    <row r="875" spans="1:8">
      <c r="B875" s="837"/>
      <c r="C875" s="838"/>
      <c r="D875" s="53" t="s">
        <v>841</v>
      </c>
      <c r="E875" s="53"/>
      <c r="F875" s="82"/>
      <c r="G875" s="111"/>
    </row>
    <row r="876" spans="1:8">
      <c r="B876" s="837" t="s">
        <v>841</v>
      </c>
      <c r="C876" s="838"/>
      <c r="D876" s="53" t="s">
        <v>841</v>
      </c>
      <c r="E876" s="53"/>
      <c r="F876" s="82"/>
      <c r="G876" s="111"/>
    </row>
    <row r="877" spans="1:8">
      <c r="B877" s="837" t="s">
        <v>841</v>
      </c>
      <c r="C877" s="838"/>
      <c r="D877" s="53" t="s">
        <v>841</v>
      </c>
      <c r="E877" s="53"/>
      <c r="F877" s="82"/>
      <c r="G877" s="111"/>
    </row>
    <row r="878" spans="1:8" ht="13.5" thickBot="1">
      <c r="B878" s="839" t="s">
        <v>841</v>
      </c>
      <c r="C878" s="840"/>
      <c r="D878" s="84" t="s">
        <v>841</v>
      </c>
      <c r="E878" s="84"/>
      <c r="F878" s="85"/>
      <c r="G878" s="112"/>
    </row>
    <row r="879" spans="1:8" ht="13.5" thickTop="1">
      <c r="B879" s="808"/>
      <c r="C879" s="809"/>
      <c r="D879" s="801" t="s">
        <v>856</v>
      </c>
      <c r="E879" s="802"/>
      <c r="F879" s="9"/>
      <c r="G879" s="113">
        <f>SUM(G870:G878)</f>
        <v>0</v>
      </c>
    </row>
    <row r="880" spans="1:8">
      <c r="B880" s="819"/>
      <c r="C880" s="820"/>
      <c r="D880" s="801" t="s">
        <v>857</v>
      </c>
      <c r="E880" s="802"/>
      <c r="F880" s="79">
        <f>'MANO DE OBRA'!D60</f>
        <v>0.05</v>
      </c>
      <c r="G880" s="113">
        <f>ROUND(G879*F880,0)</f>
        <v>0</v>
      </c>
    </row>
    <row r="881" spans="2:7" ht="13.5" thickBot="1">
      <c r="B881" s="819"/>
      <c r="C881" s="820"/>
      <c r="D881" s="803" t="s">
        <v>320</v>
      </c>
      <c r="E881" s="804"/>
      <c r="F881" s="114"/>
      <c r="G881" s="118">
        <f>+G879+G880</f>
        <v>0</v>
      </c>
    </row>
    <row r="882" spans="2:7" ht="14.25" thickTop="1" thickBot="1">
      <c r="B882" s="830"/>
      <c r="C882" s="830"/>
      <c r="D882" s="830"/>
      <c r="E882" s="830"/>
      <c r="F882" s="830"/>
      <c r="G882" s="830"/>
    </row>
    <row r="883" spans="2:7" ht="13.5" thickTop="1">
      <c r="B883" s="811" t="s">
        <v>858</v>
      </c>
      <c r="C883" s="812"/>
      <c r="D883" s="812"/>
      <c r="E883" s="812"/>
      <c r="F883" s="812"/>
      <c r="G883" s="825"/>
    </row>
    <row r="884" spans="2:7">
      <c r="B884" s="817"/>
      <c r="C884" s="818"/>
      <c r="D884" s="98" t="s">
        <v>301</v>
      </c>
      <c r="E884" s="98" t="s">
        <v>859</v>
      </c>
      <c r="F884" s="99" t="s">
        <v>839</v>
      </c>
      <c r="G884" s="107" t="s">
        <v>840</v>
      </c>
    </row>
    <row r="885" spans="2:7">
      <c r="B885" s="821" t="s">
        <v>838</v>
      </c>
      <c r="C885" s="822"/>
      <c r="D885" s="100" t="s">
        <v>316</v>
      </c>
      <c r="E885" s="100" t="s">
        <v>315</v>
      </c>
      <c r="F885" s="101" t="s">
        <v>306</v>
      </c>
      <c r="G885" s="108" t="s">
        <v>319</v>
      </c>
    </row>
    <row r="886" spans="2:7">
      <c r="B886" s="230"/>
      <c r="C886" s="102"/>
      <c r="D886" s="103"/>
      <c r="E886" s="103" t="s">
        <v>317</v>
      </c>
      <c r="F886" s="104" t="s">
        <v>318</v>
      </c>
      <c r="G886" s="109"/>
    </row>
    <row r="887" spans="2:7">
      <c r="B887" s="823" t="str">
        <f>'MANO DE OBRA'!B10</f>
        <v>AYUDANTE CUAD. TIPO AA</v>
      </c>
      <c r="C887" s="824"/>
      <c r="D887" s="87">
        <v>1</v>
      </c>
      <c r="E887" s="80">
        <f>'MANO DE OBRA'!E10</f>
        <v>34680</v>
      </c>
      <c r="F887" s="81">
        <v>4</v>
      </c>
      <c r="G887" s="110">
        <f>ROUND(D887*E887/F887,0)</f>
        <v>8670</v>
      </c>
    </row>
    <row r="888" spans="2:7">
      <c r="B888" s="835" t="str">
        <f>'MANO DE OBRA'!B15</f>
        <v xml:space="preserve">OFICIAL CUAD. TIPO AA </v>
      </c>
      <c r="C888" s="836"/>
      <c r="D888" s="37">
        <v>1</v>
      </c>
      <c r="E888" s="82">
        <f>'MANO DE OBRA'!E15</f>
        <v>71474</v>
      </c>
      <c r="F888" s="83">
        <v>4</v>
      </c>
      <c r="G888" s="111">
        <f>ROUND(D888*E888/F888,0)</f>
        <v>17869</v>
      </c>
    </row>
    <row r="889" spans="2:7">
      <c r="B889" s="835"/>
      <c r="C889" s="836"/>
      <c r="D889" s="37"/>
      <c r="E889" s="82"/>
      <c r="F889" s="83"/>
      <c r="G889" s="111"/>
    </row>
    <row r="890" spans="2:7">
      <c r="B890" s="835" t="s">
        <v>841</v>
      </c>
      <c r="C890" s="836"/>
      <c r="D890" s="37"/>
      <c r="E890" s="82"/>
      <c r="F890" s="83"/>
      <c r="G890" s="111"/>
    </row>
    <row r="891" spans="2:7" ht="13.5" thickBot="1">
      <c r="B891" s="828" t="s">
        <v>841</v>
      </c>
      <c r="C891" s="829"/>
      <c r="D891" s="77"/>
      <c r="E891" s="82"/>
      <c r="F891" s="86"/>
      <c r="G891" s="112"/>
    </row>
    <row r="892" spans="2:7" ht="14.25" thickTop="1" thickBot="1">
      <c r="B892" s="808"/>
      <c r="C892" s="808"/>
      <c r="D892" s="808"/>
      <c r="E892" s="809"/>
      <c r="F892" s="120" t="s">
        <v>856</v>
      </c>
      <c r="G892" s="118">
        <f>SUM(G887:G891)</f>
        <v>26539</v>
      </c>
    </row>
    <row r="893" spans="2:7" ht="14.25" thickTop="1" thickBot="1">
      <c r="B893" s="810"/>
      <c r="C893" s="810"/>
      <c r="D893" s="810"/>
      <c r="E893" s="810"/>
      <c r="F893" s="810"/>
      <c r="G893" s="810"/>
    </row>
    <row r="894" spans="2:7" ht="13.5" thickTop="1">
      <c r="B894" s="811" t="s">
        <v>321</v>
      </c>
      <c r="C894" s="812"/>
      <c r="D894" s="812"/>
      <c r="E894" s="812"/>
      <c r="F894" s="812"/>
      <c r="G894" s="825"/>
    </row>
    <row r="895" spans="2:7">
      <c r="B895" s="817" t="s">
        <v>838</v>
      </c>
      <c r="C895" s="818"/>
      <c r="D895" s="98" t="s">
        <v>301</v>
      </c>
      <c r="E895" s="98" t="s">
        <v>297</v>
      </c>
      <c r="F895" s="99" t="s">
        <v>839</v>
      </c>
      <c r="G895" s="107" t="s">
        <v>840</v>
      </c>
    </row>
    <row r="896" spans="2:7">
      <c r="B896" s="230"/>
      <c r="C896" s="102"/>
      <c r="D896" s="103" t="s">
        <v>322</v>
      </c>
      <c r="E896" s="103" t="s">
        <v>323</v>
      </c>
      <c r="F896" s="104" t="s">
        <v>324</v>
      </c>
      <c r="G896" s="109" t="s">
        <v>325</v>
      </c>
    </row>
    <row r="897" spans="1:8">
      <c r="B897" s="826"/>
      <c r="C897" s="827"/>
      <c r="D897" s="96"/>
      <c r="E897" s="96"/>
      <c r="F897" s="96"/>
      <c r="G897" s="116"/>
    </row>
    <row r="898" spans="1:8" ht="13.5" thickBot="1">
      <c r="B898" s="828" t="s">
        <v>841</v>
      </c>
      <c r="C898" s="829"/>
      <c r="D898" s="77"/>
      <c r="E898" s="82"/>
      <c r="F898" s="86"/>
      <c r="G898" s="112"/>
    </row>
    <row r="899" spans="1:8" ht="14.25" thickTop="1" thickBot="1">
      <c r="B899" s="808"/>
      <c r="C899" s="808"/>
      <c r="D899" s="808"/>
      <c r="E899" s="809"/>
      <c r="F899" s="120" t="s">
        <v>856</v>
      </c>
      <c r="G899" s="118">
        <f>SUM(G894:G898)</f>
        <v>0</v>
      </c>
    </row>
    <row r="900" spans="1:8" ht="14.25" thickTop="1" thickBot="1">
      <c r="B900" s="810"/>
      <c r="C900" s="810"/>
      <c r="D900" s="810"/>
      <c r="E900" s="810"/>
      <c r="F900" s="810"/>
      <c r="G900" s="834"/>
    </row>
    <row r="901" spans="1:8" ht="13.5" thickTop="1">
      <c r="B901" s="811" t="s">
        <v>326</v>
      </c>
      <c r="C901" s="812"/>
      <c r="D901" s="812"/>
      <c r="E901" s="812"/>
      <c r="F901" s="813"/>
      <c r="G901" s="121">
        <f>+G865+G881+G892</f>
        <v>33174</v>
      </c>
    </row>
    <row r="902" spans="1:8">
      <c r="B902" s="814" t="s">
        <v>861</v>
      </c>
      <c r="C902" s="815"/>
      <c r="D902" s="815"/>
      <c r="E902" s="816"/>
      <c r="F902" s="128">
        <f>'MANO DE OBRA'!D59</f>
        <v>0</v>
      </c>
      <c r="G902" s="122">
        <f>ROUND(G901*F902,0)</f>
        <v>0</v>
      </c>
    </row>
    <row r="903" spans="1:8" ht="13.5" thickBot="1">
      <c r="B903" s="805" t="s">
        <v>1049</v>
      </c>
      <c r="C903" s="806"/>
      <c r="D903" s="806"/>
      <c r="E903" s="806"/>
      <c r="F903" s="807"/>
      <c r="G903" s="118">
        <f>ROUND(G901+G902,-2)</f>
        <v>33200</v>
      </c>
      <c r="H903" s="506" t="s">
        <v>1670</v>
      </c>
    </row>
    <row r="904" spans="1:8" ht="13.5" thickTop="1">
      <c r="B904" s="225" t="s">
        <v>303</v>
      </c>
      <c r="C904" s="843"/>
      <c r="D904" s="843"/>
      <c r="E904" s="843"/>
      <c r="F904" s="92" t="s">
        <v>781</v>
      </c>
      <c r="G904" s="93" t="s">
        <v>865</v>
      </c>
    </row>
    <row r="905" spans="1:8">
      <c r="B905" s="226" t="s">
        <v>834</v>
      </c>
      <c r="C905" s="844" t="s">
        <v>343</v>
      </c>
      <c r="D905" s="844"/>
      <c r="E905" s="844"/>
      <c r="F905" s="15" t="s">
        <v>833</v>
      </c>
      <c r="G905" s="165" t="str">
        <f>'MANO DE OBRA'!D61</f>
        <v>Agosto de 2010</v>
      </c>
    </row>
    <row r="906" spans="1:8" ht="13.5" thickBot="1">
      <c r="A906" s="127"/>
      <c r="B906" s="228" t="s">
        <v>835</v>
      </c>
      <c r="C906" s="845" t="s">
        <v>432</v>
      </c>
      <c r="D906" s="845"/>
      <c r="E906" s="845"/>
      <c r="F906" s="845"/>
      <c r="G906" s="846"/>
    </row>
    <row r="907" spans="1:8" ht="14.25" thickTop="1" thickBot="1">
      <c r="B907" s="847"/>
      <c r="C907" s="847"/>
      <c r="D907" s="847"/>
      <c r="E907" s="847"/>
      <c r="F907" s="847"/>
      <c r="G907" s="847"/>
    </row>
    <row r="908" spans="1:8" ht="13.5" thickTop="1">
      <c r="B908" s="811" t="s">
        <v>304</v>
      </c>
      <c r="C908" s="812"/>
      <c r="D908" s="812"/>
      <c r="E908" s="812"/>
      <c r="F908" s="812"/>
      <c r="G908" s="825"/>
    </row>
    <row r="909" spans="1:8">
      <c r="B909" s="229"/>
      <c r="C909" s="97"/>
      <c r="D909" s="98" t="s">
        <v>301</v>
      </c>
      <c r="E909" s="98" t="s">
        <v>1072</v>
      </c>
      <c r="F909" s="99" t="s">
        <v>839</v>
      </c>
      <c r="G909" s="107" t="s">
        <v>840</v>
      </c>
    </row>
    <row r="910" spans="1:8">
      <c r="B910" s="821" t="s">
        <v>838</v>
      </c>
      <c r="C910" s="822"/>
      <c r="D910" s="100" t="s">
        <v>308</v>
      </c>
      <c r="E910" s="100" t="s">
        <v>305</v>
      </c>
      <c r="F910" s="101" t="s">
        <v>306</v>
      </c>
      <c r="G910" s="108" t="s">
        <v>310</v>
      </c>
    </row>
    <row r="911" spans="1:8">
      <c r="B911" s="230"/>
      <c r="C911" s="102"/>
      <c r="D911" s="103"/>
      <c r="E911" s="103" t="s">
        <v>309</v>
      </c>
      <c r="F911" s="104" t="s">
        <v>307</v>
      </c>
      <c r="G911" s="109"/>
    </row>
    <row r="912" spans="1:8">
      <c r="A912" s="127"/>
      <c r="B912" s="823" t="str">
        <f>'MAQUINARIA Y EQUIPOS'!C28</f>
        <v>HERRAMIENTAS MENORES</v>
      </c>
      <c r="C912" s="824"/>
      <c r="D912" s="87">
        <v>1</v>
      </c>
      <c r="E912" s="82">
        <f>ROUND(G945*0.25,0)</f>
        <v>1327</v>
      </c>
      <c r="F912" s="81">
        <v>1</v>
      </c>
      <c r="G912" s="110">
        <f>ROUND(D912*E912/F912,0)</f>
        <v>1327</v>
      </c>
    </row>
    <row r="913" spans="1:8">
      <c r="B913" s="835"/>
      <c r="C913" s="836"/>
      <c r="D913" s="37"/>
      <c r="E913" s="129"/>
      <c r="F913" s="53"/>
      <c r="G913" s="111"/>
    </row>
    <row r="914" spans="1:8">
      <c r="B914" s="835"/>
      <c r="C914" s="836"/>
      <c r="D914" s="37"/>
      <c r="E914" s="129"/>
      <c r="F914" s="53"/>
      <c r="G914" s="111"/>
    </row>
    <row r="915" spans="1:8">
      <c r="B915" s="835"/>
      <c r="C915" s="836"/>
      <c r="D915" s="37"/>
      <c r="E915" s="129"/>
      <c r="F915" s="53"/>
      <c r="G915" s="111"/>
    </row>
    <row r="916" spans="1:8">
      <c r="B916" s="835" t="s">
        <v>841</v>
      </c>
      <c r="C916" s="836"/>
      <c r="D916" s="37"/>
      <c r="E916" s="82"/>
      <c r="F916" s="83"/>
      <c r="G916" s="111"/>
    </row>
    <row r="917" spans="1:8" ht="13.5" thickBot="1">
      <c r="B917" s="839" t="s">
        <v>841</v>
      </c>
      <c r="C917" s="840"/>
      <c r="D917" s="77"/>
      <c r="E917" s="106"/>
      <c r="F917" s="86"/>
      <c r="G917" s="112"/>
    </row>
    <row r="918" spans="1:8" ht="14.25" thickTop="1" thickBot="1">
      <c r="B918" s="808"/>
      <c r="C918" s="808"/>
      <c r="D918" s="808"/>
      <c r="E918" s="809"/>
      <c r="F918" s="119" t="s">
        <v>856</v>
      </c>
      <c r="G918" s="118">
        <f>SUM(G912:G917)</f>
        <v>1327</v>
      </c>
    </row>
    <row r="919" spans="1:8" ht="14.25" thickTop="1" thickBot="1">
      <c r="B919" s="830"/>
      <c r="C919" s="830"/>
      <c r="D919" s="830"/>
      <c r="E919" s="830"/>
      <c r="F919" s="830"/>
      <c r="G919" s="830"/>
    </row>
    <row r="920" spans="1:8" ht="13.5" thickTop="1">
      <c r="B920" s="811" t="s">
        <v>311</v>
      </c>
      <c r="C920" s="812"/>
      <c r="D920" s="812"/>
      <c r="E920" s="812"/>
      <c r="F920" s="812"/>
      <c r="G920" s="825"/>
    </row>
    <row r="921" spans="1:8">
      <c r="B921" s="817" t="s">
        <v>838</v>
      </c>
      <c r="C921" s="818"/>
      <c r="D921" s="98" t="s">
        <v>842</v>
      </c>
      <c r="E921" s="98" t="s">
        <v>853</v>
      </c>
      <c r="F921" s="99" t="s">
        <v>1047</v>
      </c>
      <c r="G921" s="107" t="s">
        <v>840</v>
      </c>
    </row>
    <row r="922" spans="1:8">
      <c r="B922" s="230"/>
      <c r="C922" s="102"/>
      <c r="D922" s="100"/>
      <c r="E922" s="100" t="s">
        <v>312</v>
      </c>
      <c r="F922" s="101" t="s">
        <v>313</v>
      </c>
      <c r="G922" s="108" t="s">
        <v>314</v>
      </c>
    </row>
    <row r="923" spans="1:8">
      <c r="A923" s="125"/>
      <c r="B923" s="875"/>
      <c r="C923" s="876"/>
      <c r="D923" s="87"/>
      <c r="E923" s="10"/>
      <c r="F923" s="80"/>
      <c r="G923" s="110"/>
    </row>
    <row r="924" spans="1:8">
      <c r="A924" s="123"/>
      <c r="B924" s="877"/>
      <c r="C924" s="878"/>
      <c r="D924" s="88"/>
      <c r="E924" s="53"/>
      <c r="F924" s="82"/>
      <c r="G924" s="111"/>
    </row>
    <row r="925" spans="1:8">
      <c r="B925" s="835"/>
      <c r="C925" s="836"/>
      <c r="D925" s="37"/>
      <c r="E925" s="55"/>
      <c r="F925" s="82"/>
      <c r="G925" s="111"/>
    </row>
    <row r="926" spans="1:8">
      <c r="B926" s="835"/>
      <c r="C926" s="836"/>
      <c r="D926" s="37"/>
      <c r="E926" s="55"/>
      <c r="F926" s="82"/>
      <c r="G926" s="111"/>
    </row>
    <row r="927" spans="1:8">
      <c r="B927" s="837"/>
      <c r="C927" s="838"/>
      <c r="D927" s="37"/>
      <c r="E927" s="55"/>
      <c r="F927" s="82"/>
      <c r="G927" s="111"/>
      <c r="H927" s="506" t="s">
        <v>1670</v>
      </c>
    </row>
    <row r="928" spans="1:8">
      <c r="B928" s="837"/>
      <c r="C928" s="838"/>
      <c r="D928" s="53" t="s">
        <v>841</v>
      </c>
      <c r="E928" s="53"/>
      <c r="F928" s="82"/>
      <c r="G928" s="111"/>
    </row>
    <row r="929" spans="2:7">
      <c r="B929" s="837" t="s">
        <v>841</v>
      </c>
      <c r="C929" s="838"/>
      <c r="D929" s="53" t="s">
        <v>841</v>
      </c>
      <c r="E929" s="53"/>
      <c r="F929" s="82"/>
      <c r="G929" s="111"/>
    </row>
    <row r="930" spans="2:7">
      <c r="B930" s="837" t="s">
        <v>841</v>
      </c>
      <c r="C930" s="838"/>
      <c r="D930" s="53" t="s">
        <v>841</v>
      </c>
      <c r="E930" s="53"/>
      <c r="F930" s="82"/>
      <c r="G930" s="111"/>
    </row>
    <row r="931" spans="2:7" ht="13.5" thickBot="1">
      <c r="B931" s="839" t="s">
        <v>841</v>
      </c>
      <c r="C931" s="840"/>
      <c r="D931" s="84" t="s">
        <v>841</v>
      </c>
      <c r="E931" s="84"/>
      <c r="F931" s="85"/>
      <c r="G931" s="112"/>
    </row>
    <row r="932" spans="2:7" ht="13.5" thickTop="1">
      <c r="B932" s="808"/>
      <c r="C932" s="809"/>
      <c r="D932" s="801" t="s">
        <v>856</v>
      </c>
      <c r="E932" s="802"/>
      <c r="F932" s="9"/>
      <c r="G932" s="113">
        <f>SUM(G923:G931)</f>
        <v>0</v>
      </c>
    </row>
    <row r="933" spans="2:7">
      <c r="B933" s="819"/>
      <c r="C933" s="820"/>
      <c r="D933" s="801" t="s">
        <v>857</v>
      </c>
      <c r="E933" s="802"/>
      <c r="F933" s="79">
        <f>'MANO DE OBRA'!D60</f>
        <v>0.05</v>
      </c>
      <c r="G933" s="113">
        <f>ROUND(G932*F933,0)</f>
        <v>0</v>
      </c>
    </row>
    <row r="934" spans="2:7" ht="13.5" thickBot="1">
      <c r="B934" s="819"/>
      <c r="C934" s="820"/>
      <c r="D934" s="803" t="s">
        <v>320</v>
      </c>
      <c r="E934" s="804"/>
      <c r="F934" s="114"/>
      <c r="G934" s="118">
        <f>+G932+G933</f>
        <v>0</v>
      </c>
    </row>
    <row r="935" spans="2:7" ht="14.25" thickTop="1" thickBot="1">
      <c r="B935" s="830"/>
      <c r="C935" s="830"/>
      <c r="D935" s="830"/>
      <c r="E935" s="830"/>
      <c r="F935" s="830"/>
      <c r="G935" s="830"/>
    </row>
    <row r="936" spans="2:7" ht="13.5" thickTop="1">
      <c r="B936" s="811" t="s">
        <v>858</v>
      </c>
      <c r="C936" s="812"/>
      <c r="D936" s="812"/>
      <c r="E936" s="812"/>
      <c r="F936" s="812"/>
      <c r="G936" s="825"/>
    </row>
    <row r="937" spans="2:7">
      <c r="B937" s="817"/>
      <c r="C937" s="818"/>
      <c r="D937" s="98" t="s">
        <v>301</v>
      </c>
      <c r="E937" s="98" t="s">
        <v>859</v>
      </c>
      <c r="F937" s="99" t="s">
        <v>839</v>
      </c>
      <c r="G937" s="107" t="s">
        <v>840</v>
      </c>
    </row>
    <row r="938" spans="2:7">
      <c r="B938" s="821" t="s">
        <v>838</v>
      </c>
      <c r="C938" s="822"/>
      <c r="D938" s="100" t="s">
        <v>316</v>
      </c>
      <c r="E938" s="100" t="s">
        <v>315</v>
      </c>
      <c r="F938" s="101" t="s">
        <v>306</v>
      </c>
      <c r="G938" s="108" t="s">
        <v>319</v>
      </c>
    </row>
    <row r="939" spans="2:7">
      <c r="B939" s="230"/>
      <c r="C939" s="102"/>
      <c r="D939" s="103"/>
      <c r="E939" s="103" t="s">
        <v>317</v>
      </c>
      <c r="F939" s="104" t="s">
        <v>318</v>
      </c>
      <c r="G939" s="109"/>
    </row>
    <row r="940" spans="2:7">
      <c r="B940" s="823" t="str">
        <f>'MANO DE OBRA'!B10</f>
        <v>AYUDANTE CUAD. TIPO AA</v>
      </c>
      <c r="C940" s="824"/>
      <c r="D940" s="87">
        <v>1</v>
      </c>
      <c r="E940" s="80">
        <f>'MANO DE OBRA'!E10</f>
        <v>34680</v>
      </c>
      <c r="F940" s="81">
        <v>20</v>
      </c>
      <c r="G940" s="110">
        <f>ROUND(D940*E940/F940,0)</f>
        <v>1734</v>
      </c>
    </row>
    <row r="941" spans="2:7">
      <c r="B941" s="835" t="str">
        <f>'MANO DE OBRA'!B15</f>
        <v xml:space="preserve">OFICIAL CUAD. TIPO AA </v>
      </c>
      <c r="C941" s="836"/>
      <c r="D941" s="37">
        <v>1</v>
      </c>
      <c r="E941" s="82">
        <f>'MANO DE OBRA'!E15</f>
        <v>71474</v>
      </c>
      <c r="F941" s="83">
        <v>20</v>
      </c>
      <c r="G941" s="111">
        <f>ROUND(D941*E941/F941,0)</f>
        <v>3574</v>
      </c>
    </row>
    <row r="942" spans="2:7">
      <c r="B942" s="835"/>
      <c r="C942" s="836"/>
      <c r="D942" s="37"/>
      <c r="E942" s="82"/>
      <c r="F942" s="83"/>
      <c r="G942" s="111"/>
    </row>
    <row r="943" spans="2:7">
      <c r="B943" s="835" t="s">
        <v>841</v>
      </c>
      <c r="C943" s="836"/>
      <c r="D943" s="37"/>
      <c r="E943" s="82"/>
      <c r="F943" s="83"/>
      <c r="G943" s="111"/>
    </row>
    <row r="944" spans="2:7" ht="13.5" thickBot="1">
      <c r="B944" s="828" t="s">
        <v>841</v>
      </c>
      <c r="C944" s="829"/>
      <c r="D944" s="77"/>
      <c r="E944" s="82"/>
      <c r="F944" s="86"/>
      <c r="G944" s="112"/>
    </row>
    <row r="945" spans="1:8" ht="14.25" thickTop="1" thickBot="1">
      <c r="B945" s="808"/>
      <c r="C945" s="808"/>
      <c r="D945" s="808"/>
      <c r="E945" s="809"/>
      <c r="F945" s="120" t="s">
        <v>856</v>
      </c>
      <c r="G945" s="118">
        <f>SUM(G940:G944)</f>
        <v>5308</v>
      </c>
    </row>
    <row r="946" spans="1:8" ht="14.25" thickTop="1" thickBot="1">
      <c r="B946" s="810"/>
      <c r="C946" s="810"/>
      <c r="D946" s="810"/>
      <c r="E946" s="810"/>
      <c r="F946" s="810"/>
      <c r="G946" s="810"/>
    </row>
    <row r="947" spans="1:8" ht="13.5" thickTop="1">
      <c r="B947" s="811" t="s">
        <v>321</v>
      </c>
      <c r="C947" s="812"/>
      <c r="D947" s="812"/>
      <c r="E947" s="812"/>
      <c r="F947" s="812"/>
      <c r="G947" s="825"/>
    </row>
    <row r="948" spans="1:8">
      <c r="B948" s="817" t="s">
        <v>838</v>
      </c>
      <c r="C948" s="818"/>
      <c r="D948" s="98" t="s">
        <v>301</v>
      </c>
      <c r="E948" s="98" t="s">
        <v>297</v>
      </c>
      <c r="F948" s="99" t="s">
        <v>839</v>
      </c>
      <c r="G948" s="107" t="s">
        <v>840</v>
      </c>
    </row>
    <row r="949" spans="1:8">
      <c r="B949" s="230"/>
      <c r="C949" s="102"/>
      <c r="D949" s="103" t="s">
        <v>322</v>
      </c>
      <c r="E949" s="103" t="s">
        <v>323</v>
      </c>
      <c r="F949" s="104" t="s">
        <v>324</v>
      </c>
      <c r="G949" s="109" t="s">
        <v>325</v>
      </c>
    </row>
    <row r="950" spans="1:8">
      <c r="B950" s="826"/>
      <c r="C950" s="827"/>
      <c r="D950" s="96"/>
      <c r="E950" s="96"/>
      <c r="F950" s="96"/>
      <c r="G950" s="116"/>
    </row>
    <row r="951" spans="1:8" ht="13.5" thickBot="1">
      <c r="B951" s="828" t="s">
        <v>841</v>
      </c>
      <c r="C951" s="829"/>
      <c r="D951" s="77"/>
      <c r="E951" s="82"/>
      <c r="F951" s="86"/>
      <c r="G951" s="112"/>
    </row>
    <row r="952" spans="1:8" ht="14.25" thickTop="1" thickBot="1">
      <c r="B952" s="808"/>
      <c r="C952" s="808"/>
      <c r="D952" s="808"/>
      <c r="E952" s="809"/>
      <c r="F952" s="120" t="s">
        <v>856</v>
      </c>
      <c r="G952" s="118">
        <f>SUM(G947:G951)</f>
        <v>0</v>
      </c>
    </row>
    <row r="953" spans="1:8" ht="14.25" thickTop="1" thickBot="1">
      <c r="B953" s="810"/>
      <c r="C953" s="810"/>
      <c r="D953" s="810"/>
      <c r="E953" s="810"/>
      <c r="F953" s="810"/>
      <c r="G953" s="834"/>
    </row>
    <row r="954" spans="1:8" ht="13.5" thickTop="1">
      <c r="B954" s="811" t="s">
        <v>326</v>
      </c>
      <c r="C954" s="812"/>
      <c r="D954" s="812"/>
      <c r="E954" s="812"/>
      <c r="F954" s="813"/>
      <c r="G954" s="121">
        <f>+G918+G934+G945</f>
        <v>6635</v>
      </c>
    </row>
    <row r="955" spans="1:8">
      <c r="B955" s="814" t="s">
        <v>861</v>
      </c>
      <c r="C955" s="815"/>
      <c r="D955" s="815"/>
      <c r="E955" s="816"/>
      <c r="F955" s="128">
        <f>'MANO DE OBRA'!D59</f>
        <v>0</v>
      </c>
      <c r="G955" s="122">
        <f>ROUND(G954*F955,0)</f>
        <v>0</v>
      </c>
    </row>
    <row r="956" spans="1:8" ht="13.5" thickBot="1">
      <c r="B956" s="805" t="s">
        <v>1049</v>
      </c>
      <c r="C956" s="806"/>
      <c r="D956" s="806"/>
      <c r="E956" s="806"/>
      <c r="F956" s="807"/>
      <c r="G956" s="118">
        <f>ROUND(G954+G955,-2)</f>
        <v>6600</v>
      </c>
      <c r="H956" s="506" t="s">
        <v>1670</v>
      </c>
    </row>
    <row r="957" spans="1:8" ht="13.5" thickTop="1">
      <c r="B957" s="225" t="s">
        <v>303</v>
      </c>
      <c r="C957" s="843"/>
      <c r="D957" s="843"/>
      <c r="E957" s="843"/>
      <c r="F957" s="92" t="s">
        <v>781</v>
      </c>
      <c r="G957" s="93" t="s">
        <v>865</v>
      </c>
    </row>
    <row r="958" spans="1:8">
      <c r="B958" s="226" t="s">
        <v>834</v>
      </c>
      <c r="C958" s="844" t="s">
        <v>343</v>
      </c>
      <c r="D958" s="844"/>
      <c r="E958" s="844"/>
      <c r="F958" s="15" t="s">
        <v>833</v>
      </c>
      <c r="G958" s="165" t="str">
        <f>'MANO DE OBRA'!D61</f>
        <v>Agosto de 2010</v>
      </c>
    </row>
    <row r="959" spans="1:8" ht="13.5" thickBot="1">
      <c r="A959" s="127"/>
      <c r="B959" s="228" t="s">
        <v>835</v>
      </c>
      <c r="C959" s="845" t="s">
        <v>300</v>
      </c>
      <c r="D959" s="845"/>
      <c r="E959" s="845"/>
      <c r="F959" s="845"/>
      <c r="G959" s="846"/>
    </row>
    <row r="960" spans="1:8" ht="14.25" thickTop="1" thickBot="1">
      <c r="B960" s="847"/>
      <c r="C960" s="847"/>
      <c r="D960" s="847"/>
      <c r="E960" s="847"/>
      <c r="F960" s="847"/>
      <c r="G960" s="847"/>
    </row>
    <row r="961" spans="1:7" ht="13.5" thickTop="1">
      <c r="B961" s="811" t="s">
        <v>304</v>
      </c>
      <c r="C961" s="812"/>
      <c r="D961" s="812"/>
      <c r="E961" s="812"/>
      <c r="F961" s="812"/>
      <c r="G961" s="825"/>
    </row>
    <row r="962" spans="1:7">
      <c r="B962" s="229"/>
      <c r="C962" s="97"/>
      <c r="D962" s="98" t="s">
        <v>301</v>
      </c>
      <c r="E962" s="98" t="s">
        <v>1072</v>
      </c>
      <c r="F962" s="99" t="s">
        <v>839</v>
      </c>
      <c r="G962" s="107" t="s">
        <v>840</v>
      </c>
    </row>
    <row r="963" spans="1:7">
      <c r="B963" s="821" t="s">
        <v>838</v>
      </c>
      <c r="C963" s="822"/>
      <c r="D963" s="100" t="s">
        <v>308</v>
      </c>
      <c r="E963" s="100" t="s">
        <v>305</v>
      </c>
      <c r="F963" s="101" t="s">
        <v>306</v>
      </c>
      <c r="G963" s="108" t="s">
        <v>310</v>
      </c>
    </row>
    <row r="964" spans="1:7">
      <c r="B964" s="230"/>
      <c r="C964" s="102"/>
      <c r="D964" s="103"/>
      <c r="E964" s="103" t="s">
        <v>309</v>
      </c>
      <c r="F964" s="104" t="s">
        <v>307</v>
      </c>
      <c r="G964" s="109"/>
    </row>
    <row r="965" spans="1:7">
      <c r="A965" s="127"/>
      <c r="B965" s="823" t="str">
        <f>'MAQUINARIA Y EQUIPOS'!C28</f>
        <v>HERRAMIENTAS MENORES</v>
      </c>
      <c r="C965" s="824"/>
      <c r="D965" s="87">
        <v>1</v>
      </c>
      <c r="E965" s="82">
        <f>ROUND(G998*0.25,0)</f>
        <v>1991</v>
      </c>
      <c r="F965" s="81">
        <v>1</v>
      </c>
      <c r="G965" s="110">
        <f>ROUND(D965*E965/F965,0)</f>
        <v>1991</v>
      </c>
    </row>
    <row r="966" spans="1:7">
      <c r="B966" s="835"/>
      <c r="C966" s="836"/>
      <c r="D966" s="37"/>
      <c r="E966" s="129"/>
      <c r="F966" s="53"/>
      <c r="G966" s="111"/>
    </row>
    <row r="967" spans="1:7">
      <c r="B967" s="835"/>
      <c r="C967" s="836"/>
      <c r="D967" s="37"/>
      <c r="E967" s="129"/>
      <c r="F967" s="53"/>
      <c r="G967" s="111"/>
    </row>
    <row r="968" spans="1:7">
      <c r="B968" s="835"/>
      <c r="C968" s="836"/>
      <c r="D968" s="37"/>
      <c r="E968" s="129"/>
      <c r="F968" s="53"/>
      <c r="G968" s="111"/>
    </row>
    <row r="969" spans="1:7">
      <c r="B969" s="835" t="s">
        <v>841</v>
      </c>
      <c r="C969" s="836"/>
      <c r="D969" s="37"/>
      <c r="E969" s="82"/>
      <c r="F969" s="83"/>
      <c r="G969" s="111"/>
    </row>
    <row r="970" spans="1:7" ht="13.5" thickBot="1">
      <c r="B970" s="839" t="s">
        <v>841</v>
      </c>
      <c r="C970" s="840"/>
      <c r="D970" s="77"/>
      <c r="E970" s="106"/>
      <c r="F970" s="86"/>
      <c r="G970" s="112"/>
    </row>
    <row r="971" spans="1:7" ht="14.25" thickTop="1" thickBot="1">
      <c r="B971" s="808"/>
      <c r="C971" s="808"/>
      <c r="D971" s="808"/>
      <c r="E971" s="809"/>
      <c r="F971" s="119" t="s">
        <v>856</v>
      </c>
      <c r="G971" s="118">
        <f>SUM(G965:G970)</f>
        <v>1991</v>
      </c>
    </row>
    <row r="972" spans="1:7" ht="14.25" thickTop="1" thickBot="1">
      <c r="B972" s="830"/>
      <c r="C972" s="830"/>
      <c r="D972" s="830"/>
      <c r="E972" s="830"/>
      <c r="F972" s="830"/>
      <c r="G972" s="830"/>
    </row>
    <row r="973" spans="1:7" ht="13.5" thickTop="1">
      <c r="B973" s="811" t="s">
        <v>311</v>
      </c>
      <c r="C973" s="812"/>
      <c r="D973" s="812"/>
      <c r="E973" s="812"/>
      <c r="F973" s="812"/>
      <c r="G973" s="825"/>
    </row>
    <row r="974" spans="1:7">
      <c r="B974" s="817" t="s">
        <v>838</v>
      </c>
      <c r="C974" s="818"/>
      <c r="D974" s="98" t="s">
        <v>842</v>
      </c>
      <c r="E974" s="98" t="s">
        <v>853</v>
      </c>
      <c r="F974" s="99" t="s">
        <v>1047</v>
      </c>
      <c r="G974" s="107" t="s">
        <v>840</v>
      </c>
    </row>
    <row r="975" spans="1:7">
      <c r="B975" s="230"/>
      <c r="C975" s="102"/>
      <c r="D975" s="100"/>
      <c r="E975" s="100" t="s">
        <v>312</v>
      </c>
      <c r="F975" s="101" t="s">
        <v>313</v>
      </c>
      <c r="G975" s="108" t="s">
        <v>314</v>
      </c>
    </row>
    <row r="976" spans="1:7">
      <c r="A976" s="125"/>
      <c r="B976" s="875"/>
      <c r="C976" s="876"/>
      <c r="D976" s="87"/>
      <c r="E976" s="10"/>
      <c r="F976" s="80"/>
      <c r="G976" s="110"/>
    </row>
    <row r="977" spans="1:8">
      <c r="A977" s="123"/>
      <c r="B977" s="877"/>
      <c r="C977" s="878"/>
      <c r="D977" s="88"/>
      <c r="E977" s="53"/>
      <c r="F977" s="82"/>
      <c r="G977" s="111"/>
    </row>
    <row r="978" spans="1:8">
      <c r="B978" s="835"/>
      <c r="C978" s="836"/>
      <c r="D978" s="37"/>
      <c r="E978" s="55"/>
      <c r="F978" s="82"/>
      <c r="G978" s="111"/>
    </row>
    <row r="979" spans="1:8">
      <c r="B979" s="835"/>
      <c r="C979" s="836"/>
      <c r="D979" s="37"/>
      <c r="E979" s="55"/>
      <c r="F979" s="82"/>
      <c r="G979" s="111"/>
    </row>
    <row r="980" spans="1:8">
      <c r="B980" s="837"/>
      <c r="C980" s="838"/>
      <c r="D980" s="37"/>
      <c r="E980" s="55"/>
      <c r="F980" s="82"/>
      <c r="G980" s="111"/>
    </row>
    <row r="981" spans="1:8">
      <c r="B981" s="837"/>
      <c r="C981" s="838"/>
      <c r="D981" s="53" t="s">
        <v>841</v>
      </c>
      <c r="E981" s="53"/>
      <c r="F981" s="82"/>
      <c r="G981" s="111"/>
      <c r="H981" s="506" t="s">
        <v>1670</v>
      </c>
    </row>
    <row r="982" spans="1:8">
      <c r="B982" s="837" t="s">
        <v>841</v>
      </c>
      <c r="C982" s="838"/>
      <c r="D982" s="53" t="s">
        <v>841</v>
      </c>
      <c r="E982" s="53"/>
      <c r="F982" s="82"/>
      <c r="G982" s="111"/>
    </row>
    <row r="983" spans="1:8">
      <c r="B983" s="837" t="s">
        <v>841</v>
      </c>
      <c r="C983" s="838"/>
      <c r="D983" s="53" t="s">
        <v>841</v>
      </c>
      <c r="E983" s="53"/>
      <c r="F983" s="82"/>
      <c r="G983" s="111"/>
    </row>
    <row r="984" spans="1:8" ht="13.5" thickBot="1">
      <c r="B984" s="839" t="s">
        <v>841</v>
      </c>
      <c r="C984" s="840"/>
      <c r="D984" s="84" t="s">
        <v>841</v>
      </c>
      <c r="E984" s="84"/>
      <c r="F984" s="85"/>
      <c r="G984" s="112"/>
    </row>
    <row r="985" spans="1:8" ht="13.5" thickTop="1">
      <c r="B985" s="808"/>
      <c r="C985" s="809"/>
      <c r="D985" s="801" t="s">
        <v>856</v>
      </c>
      <c r="E985" s="802"/>
      <c r="F985" s="9"/>
      <c r="G985" s="113">
        <f>SUM(G976:G984)</f>
        <v>0</v>
      </c>
    </row>
    <row r="986" spans="1:8">
      <c r="B986" s="819"/>
      <c r="C986" s="820"/>
      <c r="D986" s="801" t="s">
        <v>857</v>
      </c>
      <c r="E986" s="802"/>
      <c r="F986" s="79">
        <f>'MANO DE OBRA'!D60</f>
        <v>0.05</v>
      </c>
      <c r="G986" s="113">
        <f>ROUND(G985*F986,0)</f>
        <v>0</v>
      </c>
    </row>
    <row r="987" spans="1:8" ht="13.5" thickBot="1">
      <c r="B987" s="819"/>
      <c r="C987" s="820"/>
      <c r="D987" s="803" t="s">
        <v>320</v>
      </c>
      <c r="E987" s="804"/>
      <c r="F987" s="114"/>
      <c r="G987" s="118">
        <f>+G985+G986</f>
        <v>0</v>
      </c>
    </row>
    <row r="988" spans="1:8" ht="14.25" thickTop="1" thickBot="1">
      <c r="B988" s="830"/>
      <c r="C988" s="830"/>
      <c r="D988" s="830"/>
      <c r="E988" s="830"/>
      <c r="F988" s="830"/>
      <c r="G988" s="830"/>
    </row>
    <row r="989" spans="1:8" ht="13.5" thickTop="1">
      <c r="B989" s="811" t="s">
        <v>858</v>
      </c>
      <c r="C989" s="812"/>
      <c r="D989" s="812"/>
      <c r="E989" s="812"/>
      <c r="F989" s="812"/>
      <c r="G989" s="825"/>
    </row>
    <row r="990" spans="1:8">
      <c r="B990" s="817"/>
      <c r="C990" s="818"/>
      <c r="D990" s="98" t="s">
        <v>301</v>
      </c>
      <c r="E990" s="98" t="s">
        <v>859</v>
      </c>
      <c r="F990" s="99" t="s">
        <v>839</v>
      </c>
      <c r="G990" s="107" t="s">
        <v>840</v>
      </c>
    </row>
    <row r="991" spans="1:8">
      <c r="B991" s="821" t="s">
        <v>838</v>
      </c>
      <c r="C991" s="822"/>
      <c r="D991" s="100" t="s">
        <v>316</v>
      </c>
      <c r="E991" s="100" t="s">
        <v>315</v>
      </c>
      <c r="F991" s="101" t="s">
        <v>306</v>
      </c>
      <c r="G991" s="108" t="s">
        <v>319</v>
      </c>
    </row>
    <row r="992" spans="1:8">
      <c r="B992" s="230"/>
      <c r="C992" s="102"/>
      <c r="D992" s="103"/>
      <c r="E992" s="103" t="s">
        <v>317</v>
      </c>
      <c r="F992" s="104" t="s">
        <v>318</v>
      </c>
      <c r="G992" s="109"/>
    </row>
    <row r="993" spans="2:7">
      <c r="B993" s="823" t="str">
        <f>'MANO DE OBRA'!B10</f>
        <v>AYUDANTE CUAD. TIPO AA</v>
      </c>
      <c r="C993" s="824"/>
      <c r="D993" s="87">
        <v>1</v>
      </c>
      <c r="E993" s="80">
        <f>'MANO DE OBRA'!E10</f>
        <v>34680</v>
      </c>
      <c r="F993" s="81">
        <v>13.33</v>
      </c>
      <c r="G993" s="110">
        <f>ROUND(D993*E993/F993,0)</f>
        <v>2602</v>
      </c>
    </row>
    <row r="994" spans="2:7">
      <c r="B994" s="835" t="str">
        <f>'MANO DE OBRA'!B15</f>
        <v xml:space="preserve">OFICIAL CUAD. TIPO AA </v>
      </c>
      <c r="C994" s="836"/>
      <c r="D994" s="37">
        <v>1</v>
      </c>
      <c r="E994" s="82">
        <f>'MANO DE OBRA'!E15</f>
        <v>71474</v>
      </c>
      <c r="F994" s="83">
        <v>13.33</v>
      </c>
      <c r="G994" s="111">
        <f>ROUND(D994*E994/F994,0)</f>
        <v>5362</v>
      </c>
    </row>
    <row r="995" spans="2:7">
      <c r="B995" s="835"/>
      <c r="C995" s="836"/>
      <c r="D995" s="37"/>
      <c r="E995" s="82"/>
      <c r="F995" s="83"/>
      <c r="G995" s="111"/>
    </row>
    <row r="996" spans="2:7">
      <c r="B996" s="835" t="s">
        <v>841</v>
      </c>
      <c r="C996" s="836"/>
      <c r="D996" s="37"/>
      <c r="E996" s="82"/>
      <c r="F996" s="83"/>
      <c r="G996" s="111"/>
    </row>
    <row r="997" spans="2:7" ht="13.5" thickBot="1">
      <c r="B997" s="828" t="s">
        <v>841</v>
      </c>
      <c r="C997" s="829"/>
      <c r="D997" s="77"/>
      <c r="E997" s="82"/>
      <c r="F997" s="86"/>
      <c r="G997" s="112"/>
    </row>
    <row r="998" spans="2:7" ht="14.25" thickTop="1" thickBot="1">
      <c r="B998" s="808"/>
      <c r="C998" s="808"/>
      <c r="D998" s="808"/>
      <c r="E998" s="809"/>
      <c r="F998" s="120" t="s">
        <v>856</v>
      </c>
      <c r="G998" s="118">
        <f>SUM(G993:G997)</f>
        <v>7964</v>
      </c>
    </row>
    <row r="999" spans="2:7" ht="14.25" thickTop="1" thickBot="1">
      <c r="B999" s="810"/>
      <c r="C999" s="810"/>
      <c r="D999" s="810"/>
      <c r="E999" s="810"/>
      <c r="F999" s="810"/>
      <c r="G999" s="810"/>
    </row>
    <row r="1000" spans="2:7" ht="13.5" thickTop="1">
      <c r="B1000" s="811" t="s">
        <v>321</v>
      </c>
      <c r="C1000" s="812"/>
      <c r="D1000" s="812"/>
      <c r="E1000" s="812"/>
      <c r="F1000" s="812"/>
      <c r="G1000" s="825"/>
    </row>
    <row r="1001" spans="2:7">
      <c r="B1001" s="817" t="s">
        <v>838</v>
      </c>
      <c r="C1001" s="818"/>
      <c r="D1001" s="98" t="s">
        <v>301</v>
      </c>
      <c r="E1001" s="98" t="s">
        <v>297</v>
      </c>
      <c r="F1001" s="99" t="s">
        <v>839</v>
      </c>
      <c r="G1001" s="107" t="s">
        <v>840</v>
      </c>
    </row>
    <row r="1002" spans="2:7">
      <c r="B1002" s="230"/>
      <c r="C1002" s="102"/>
      <c r="D1002" s="103" t="s">
        <v>322</v>
      </c>
      <c r="E1002" s="103" t="s">
        <v>323</v>
      </c>
      <c r="F1002" s="104" t="s">
        <v>324</v>
      </c>
      <c r="G1002" s="109" t="s">
        <v>325</v>
      </c>
    </row>
    <row r="1003" spans="2:7">
      <c r="B1003" s="826"/>
      <c r="C1003" s="827"/>
      <c r="D1003" s="96"/>
      <c r="E1003" s="96"/>
      <c r="F1003" s="96"/>
      <c r="G1003" s="116"/>
    </row>
    <row r="1004" spans="2:7" ht="13.5" thickBot="1">
      <c r="B1004" s="828" t="s">
        <v>841</v>
      </c>
      <c r="C1004" s="829"/>
      <c r="D1004" s="77"/>
      <c r="E1004" s="82"/>
      <c r="F1004" s="86"/>
      <c r="G1004" s="112"/>
    </row>
    <row r="1005" spans="2:7" ht="14.25" thickTop="1" thickBot="1">
      <c r="B1005" s="808"/>
      <c r="C1005" s="808"/>
      <c r="D1005" s="808"/>
      <c r="E1005" s="809"/>
      <c r="F1005" s="120" t="s">
        <v>856</v>
      </c>
      <c r="G1005" s="118">
        <f>SUM(G1000:G1004)</f>
        <v>0</v>
      </c>
    </row>
    <row r="1006" spans="2:7" ht="14.25" thickTop="1" thickBot="1">
      <c r="B1006" s="810"/>
      <c r="C1006" s="810"/>
      <c r="D1006" s="810"/>
      <c r="E1006" s="810"/>
      <c r="F1006" s="810"/>
      <c r="G1006" s="834"/>
    </row>
    <row r="1007" spans="2:7" ht="13.5" thickTop="1">
      <c r="B1007" s="811" t="s">
        <v>326</v>
      </c>
      <c r="C1007" s="812"/>
      <c r="D1007" s="812"/>
      <c r="E1007" s="812"/>
      <c r="F1007" s="813"/>
      <c r="G1007" s="121">
        <f>+G971+G987+G998</f>
        <v>9955</v>
      </c>
    </row>
    <row r="1008" spans="2:7">
      <c r="B1008" s="814" t="s">
        <v>861</v>
      </c>
      <c r="C1008" s="815"/>
      <c r="D1008" s="815"/>
      <c r="E1008" s="816"/>
      <c r="F1008" s="128">
        <f>'MANO DE OBRA'!D59</f>
        <v>0</v>
      </c>
      <c r="G1008" s="122">
        <f>ROUND(G1007*F1008,0)</f>
        <v>0</v>
      </c>
    </row>
    <row r="1009" spans="1:8" ht="13.5" thickBot="1">
      <c r="B1009" s="805" t="s">
        <v>1049</v>
      </c>
      <c r="C1009" s="806"/>
      <c r="D1009" s="806"/>
      <c r="E1009" s="806"/>
      <c r="F1009" s="807"/>
      <c r="G1009" s="118">
        <f>ROUND(G1007+G1008,-2)</f>
        <v>10000</v>
      </c>
      <c r="H1009" s="506" t="s">
        <v>1670</v>
      </c>
    </row>
    <row r="1010" spans="1:8" ht="15" thickTop="1">
      <c r="B1010" s="225" t="s">
        <v>303</v>
      </c>
      <c r="C1010" s="843"/>
      <c r="D1010" s="843"/>
      <c r="E1010" s="843"/>
      <c r="F1010" s="92" t="s">
        <v>781</v>
      </c>
      <c r="G1010" s="93" t="s">
        <v>1066</v>
      </c>
    </row>
    <row r="1011" spans="1:8">
      <c r="B1011" s="226" t="s">
        <v>834</v>
      </c>
      <c r="C1011" s="844" t="s">
        <v>429</v>
      </c>
      <c r="D1011" s="844"/>
      <c r="E1011" s="844"/>
      <c r="F1011" s="15" t="s">
        <v>833</v>
      </c>
      <c r="G1011" s="165" t="str">
        <f>'MANO DE OBRA'!D61</f>
        <v>Agosto de 2010</v>
      </c>
    </row>
    <row r="1012" spans="1:8" ht="13.5" thickBot="1">
      <c r="A1012" s="127"/>
      <c r="B1012" s="228" t="s">
        <v>835</v>
      </c>
      <c r="C1012" s="845" t="s">
        <v>584</v>
      </c>
      <c r="D1012" s="845"/>
      <c r="E1012" s="845"/>
      <c r="F1012" s="845"/>
      <c r="G1012" s="846"/>
    </row>
    <row r="1013" spans="1:8" ht="14.25" thickTop="1" thickBot="1">
      <c r="B1013" s="847"/>
      <c r="C1013" s="847"/>
      <c r="D1013" s="847"/>
      <c r="E1013" s="847"/>
      <c r="F1013" s="847"/>
      <c r="G1013" s="847"/>
    </row>
    <row r="1014" spans="1:8" ht="13.5" thickTop="1">
      <c r="B1014" s="811" t="s">
        <v>304</v>
      </c>
      <c r="C1014" s="812"/>
      <c r="D1014" s="812"/>
      <c r="E1014" s="812"/>
      <c r="F1014" s="812"/>
      <c r="G1014" s="825"/>
    </row>
    <row r="1015" spans="1:8">
      <c r="B1015" s="229"/>
      <c r="C1015" s="97"/>
      <c r="D1015" s="98" t="s">
        <v>301</v>
      </c>
      <c r="E1015" s="98" t="s">
        <v>1072</v>
      </c>
      <c r="F1015" s="99" t="s">
        <v>839</v>
      </c>
      <c r="G1015" s="107" t="s">
        <v>840</v>
      </c>
    </row>
    <row r="1016" spans="1:8">
      <c r="B1016" s="821" t="s">
        <v>838</v>
      </c>
      <c r="C1016" s="822"/>
      <c r="D1016" s="100" t="s">
        <v>308</v>
      </c>
      <c r="E1016" s="100" t="s">
        <v>305</v>
      </c>
      <c r="F1016" s="101" t="s">
        <v>306</v>
      </c>
      <c r="G1016" s="108" t="s">
        <v>310</v>
      </c>
    </row>
    <row r="1017" spans="1:8">
      <c r="B1017" s="230"/>
      <c r="C1017" s="102"/>
      <c r="D1017" s="103"/>
      <c r="E1017" s="103" t="s">
        <v>309</v>
      </c>
      <c r="F1017" s="104" t="s">
        <v>307</v>
      </c>
      <c r="G1017" s="109"/>
    </row>
    <row r="1018" spans="1:8">
      <c r="A1018" s="127"/>
      <c r="B1018" s="823" t="str">
        <f>'MAQUINARIA Y EQUIPOS'!C28</f>
        <v>HERRAMIENTAS MENORES</v>
      </c>
      <c r="C1018" s="824"/>
      <c r="D1018" s="87">
        <v>1</v>
      </c>
      <c r="E1018" s="82">
        <f>ROUND(G1051*0.25,0)</f>
        <v>1327</v>
      </c>
      <c r="F1018" s="81">
        <v>1</v>
      </c>
      <c r="G1018" s="110">
        <f>ROUND(D1018*E1018/F1018,0)</f>
        <v>1327</v>
      </c>
    </row>
    <row r="1019" spans="1:8">
      <c r="B1019" s="835" t="str">
        <f>'MAQUINARIA Y EQUIPOS'!C60</f>
        <v>VOLQUETA</v>
      </c>
      <c r="C1019" s="836"/>
      <c r="D1019" s="37">
        <v>1</v>
      </c>
      <c r="E1019" s="129">
        <f>'MAQUINARIA Y EQUIPOS'!D60</f>
        <v>57800</v>
      </c>
      <c r="F1019" s="83">
        <v>75</v>
      </c>
      <c r="G1019" s="111">
        <f>ROUND(D1019*E1019/F1019,0)</f>
        <v>771</v>
      </c>
    </row>
    <row r="1020" spans="1:8">
      <c r="B1020" s="835"/>
      <c r="C1020" s="836"/>
      <c r="D1020" s="37"/>
      <c r="E1020" s="129"/>
      <c r="F1020" s="53"/>
      <c r="G1020" s="111"/>
    </row>
    <row r="1021" spans="1:8">
      <c r="B1021" s="835"/>
      <c r="C1021" s="836"/>
      <c r="D1021" s="37"/>
      <c r="E1021" s="129"/>
      <c r="F1021" s="53"/>
      <c r="G1021" s="111"/>
    </row>
    <row r="1022" spans="1:8">
      <c r="B1022" s="835" t="s">
        <v>841</v>
      </c>
      <c r="C1022" s="836"/>
      <c r="D1022" s="37"/>
      <c r="E1022" s="82"/>
      <c r="F1022" s="83"/>
      <c r="G1022" s="111"/>
    </row>
    <row r="1023" spans="1:8" ht="13.5" thickBot="1">
      <c r="B1023" s="839" t="s">
        <v>841</v>
      </c>
      <c r="C1023" s="840"/>
      <c r="D1023" s="77"/>
      <c r="E1023" s="106"/>
      <c r="F1023" s="86"/>
      <c r="G1023" s="112"/>
    </row>
    <row r="1024" spans="1:8" ht="14.25" thickTop="1" thickBot="1">
      <c r="B1024" s="808"/>
      <c r="C1024" s="808"/>
      <c r="D1024" s="808"/>
      <c r="E1024" s="809"/>
      <c r="F1024" s="119" t="s">
        <v>856</v>
      </c>
      <c r="G1024" s="118">
        <f>SUM(G1018:G1023)</f>
        <v>2098</v>
      </c>
    </row>
    <row r="1025" spans="1:8" ht="14.25" thickTop="1" thickBot="1">
      <c r="B1025" s="830"/>
      <c r="C1025" s="830"/>
      <c r="D1025" s="830"/>
      <c r="E1025" s="830"/>
      <c r="F1025" s="830"/>
      <c r="G1025" s="830"/>
    </row>
    <row r="1026" spans="1:8" ht="13.5" thickTop="1">
      <c r="B1026" s="811" t="s">
        <v>311</v>
      </c>
      <c r="C1026" s="812"/>
      <c r="D1026" s="812"/>
      <c r="E1026" s="812"/>
      <c r="F1026" s="812"/>
      <c r="G1026" s="825"/>
    </row>
    <row r="1027" spans="1:8">
      <c r="B1027" s="817" t="s">
        <v>838</v>
      </c>
      <c r="C1027" s="818"/>
      <c r="D1027" s="98" t="s">
        <v>842</v>
      </c>
      <c r="E1027" s="98" t="s">
        <v>853</v>
      </c>
      <c r="F1027" s="99" t="s">
        <v>1047</v>
      </c>
      <c r="G1027" s="107" t="s">
        <v>840</v>
      </c>
    </row>
    <row r="1028" spans="1:8">
      <c r="B1028" s="230"/>
      <c r="C1028" s="102"/>
      <c r="D1028" s="100"/>
      <c r="E1028" s="100" t="s">
        <v>312</v>
      </c>
      <c r="F1028" s="101" t="s">
        <v>313</v>
      </c>
      <c r="G1028" s="108" t="s">
        <v>314</v>
      </c>
    </row>
    <row r="1029" spans="1:8">
      <c r="A1029" s="125"/>
      <c r="B1029" s="875"/>
      <c r="C1029" s="876"/>
      <c r="D1029" s="87"/>
      <c r="E1029" s="10"/>
      <c r="F1029" s="80"/>
      <c r="G1029" s="110"/>
    </row>
    <row r="1030" spans="1:8">
      <c r="A1030" s="123"/>
      <c r="B1030" s="877"/>
      <c r="C1030" s="878"/>
      <c r="D1030" s="88"/>
      <c r="E1030" s="53"/>
      <c r="F1030" s="82"/>
      <c r="G1030" s="111"/>
    </row>
    <row r="1031" spans="1:8">
      <c r="B1031" s="835"/>
      <c r="C1031" s="836"/>
      <c r="D1031" s="37"/>
      <c r="E1031" s="55"/>
      <c r="F1031" s="82"/>
      <c r="G1031" s="111"/>
    </row>
    <row r="1032" spans="1:8">
      <c r="B1032" s="835"/>
      <c r="C1032" s="836"/>
      <c r="D1032" s="37"/>
      <c r="E1032" s="55"/>
      <c r="F1032" s="82"/>
      <c r="G1032" s="111"/>
    </row>
    <row r="1033" spans="1:8">
      <c r="B1033" s="837"/>
      <c r="C1033" s="838"/>
      <c r="D1033" s="37"/>
      <c r="E1033" s="55"/>
      <c r="F1033" s="82"/>
      <c r="G1033" s="111"/>
      <c r="H1033" s="506" t="s">
        <v>1670</v>
      </c>
    </row>
    <row r="1034" spans="1:8">
      <c r="B1034" s="837"/>
      <c r="C1034" s="838"/>
      <c r="D1034" s="53" t="s">
        <v>841</v>
      </c>
      <c r="E1034" s="53"/>
      <c r="F1034" s="82"/>
      <c r="G1034" s="111"/>
    </row>
    <row r="1035" spans="1:8">
      <c r="B1035" s="837" t="s">
        <v>841</v>
      </c>
      <c r="C1035" s="838"/>
      <c r="D1035" s="53" t="s">
        <v>841</v>
      </c>
      <c r="E1035" s="53"/>
      <c r="F1035" s="82"/>
      <c r="G1035" s="111"/>
    </row>
    <row r="1036" spans="1:8">
      <c r="B1036" s="837" t="s">
        <v>841</v>
      </c>
      <c r="C1036" s="838"/>
      <c r="D1036" s="53" t="s">
        <v>841</v>
      </c>
      <c r="E1036" s="53"/>
      <c r="F1036" s="82"/>
      <c r="G1036" s="111"/>
    </row>
    <row r="1037" spans="1:8" ht="13.5" thickBot="1">
      <c r="B1037" s="839" t="s">
        <v>841</v>
      </c>
      <c r="C1037" s="840"/>
      <c r="D1037" s="84" t="s">
        <v>841</v>
      </c>
      <c r="E1037" s="84"/>
      <c r="F1037" s="85"/>
      <c r="G1037" s="112"/>
    </row>
    <row r="1038" spans="1:8" ht="13.5" thickTop="1">
      <c r="B1038" s="808"/>
      <c r="C1038" s="809"/>
      <c r="D1038" s="801" t="s">
        <v>856</v>
      </c>
      <c r="E1038" s="802"/>
      <c r="F1038" s="9"/>
      <c r="G1038" s="113">
        <f>SUM(G1029:G1037)</f>
        <v>0</v>
      </c>
    </row>
    <row r="1039" spans="1:8">
      <c r="B1039" s="819"/>
      <c r="C1039" s="820"/>
      <c r="D1039" s="801" t="s">
        <v>857</v>
      </c>
      <c r="E1039" s="802"/>
      <c r="F1039" s="79">
        <f>'MANO DE OBRA'!D60</f>
        <v>0.05</v>
      </c>
      <c r="G1039" s="113">
        <f>ROUND(G1038*F1039,0)</f>
        <v>0</v>
      </c>
    </row>
    <row r="1040" spans="1:8" ht="13.5" thickBot="1">
      <c r="B1040" s="819"/>
      <c r="C1040" s="820"/>
      <c r="D1040" s="803" t="s">
        <v>320</v>
      </c>
      <c r="E1040" s="804"/>
      <c r="F1040" s="114"/>
      <c r="G1040" s="118">
        <f>+G1038+G1039</f>
        <v>0</v>
      </c>
    </row>
    <row r="1041" spans="2:7" ht="14.25" thickTop="1" thickBot="1">
      <c r="B1041" s="830"/>
      <c r="C1041" s="830"/>
      <c r="D1041" s="830"/>
      <c r="E1041" s="830"/>
      <c r="F1041" s="830"/>
      <c r="G1041" s="830"/>
    </row>
    <row r="1042" spans="2:7" ht="13.5" thickTop="1">
      <c r="B1042" s="811" t="s">
        <v>858</v>
      </c>
      <c r="C1042" s="812"/>
      <c r="D1042" s="812"/>
      <c r="E1042" s="812"/>
      <c r="F1042" s="812"/>
      <c r="G1042" s="825"/>
    </row>
    <row r="1043" spans="2:7">
      <c r="B1043" s="817"/>
      <c r="C1043" s="818"/>
      <c r="D1043" s="98" t="s">
        <v>301</v>
      </c>
      <c r="E1043" s="98" t="s">
        <v>859</v>
      </c>
      <c r="F1043" s="99" t="s">
        <v>839</v>
      </c>
      <c r="G1043" s="107" t="s">
        <v>840</v>
      </c>
    </row>
    <row r="1044" spans="2:7">
      <c r="B1044" s="821" t="s">
        <v>838</v>
      </c>
      <c r="C1044" s="822"/>
      <c r="D1044" s="100" t="s">
        <v>316</v>
      </c>
      <c r="E1044" s="100" t="s">
        <v>315</v>
      </c>
      <c r="F1044" s="101" t="s">
        <v>306</v>
      </c>
      <c r="G1044" s="108" t="s">
        <v>319</v>
      </c>
    </row>
    <row r="1045" spans="2:7">
      <c r="B1045" s="230"/>
      <c r="C1045" s="102"/>
      <c r="D1045" s="103"/>
      <c r="E1045" s="103" t="s">
        <v>317</v>
      </c>
      <c r="F1045" s="104" t="s">
        <v>318</v>
      </c>
      <c r="G1045" s="109"/>
    </row>
    <row r="1046" spans="2:7">
      <c r="B1046" s="823" t="str">
        <f>'MANO DE OBRA'!B10</f>
        <v>AYUDANTE CUAD. TIPO AA</v>
      </c>
      <c r="C1046" s="824"/>
      <c r="D1046" s="87">
        <v>1</v>
      </c>
      <c r="E1046" s="80">
        <f>'MANO DE OBRA'!E10</f>
        <v>34680</v>
      </c>
      <c r="F1046" s="81">
        <v>20</v>
      </c>
      <c r="G1046" s="110">
        <f>ROUND(D1046*E1046/F1046,0)</f>
        <v>1734</v>
      </c>
    </row>
    <row r="1047" spans="2:7">
      <c r="B1047" s="835" t="str">
        <f>'MANO DE OBRA'!B15</f>
        <v xml:space="preserve">OFICIAL CUAD. TIPO AA </v>
      </c>
      <c r="C1047" s="836"/>
      <c r="D1047" s="37">
        <v>1</v>
      </c>
      <c r="E1047" s="82">
        <f>'MANO DE OBRA'!E15</f>
        <v>71474</v>
      </c>
      <c r="F1047" s="83">
        <v>20</v>
      </c>
      <c r="G1047" s="111">
        <f>ROUND(D1047*E1047/F1047,0)</f>
        <v>3574</v>
      </c>
    </row>
    <row r="1048" spans="2:7">
      <c r="B1048" s="835"/>
      <c r="C1048" s="836"/>
      <c r="D1048" s="37"/>
      <c r="E1048" s="82"/>
      <c r="F1048" s="83"/>
      <c r="G1048" s="111"/>
    </row>
    <row r="1049" spans="2:7">
      <c r="B1049" s="835" t="s">
        <v>841</v>
      </c>
      <c r="C1049" s="836"/>
      <c r="D1049" s="37"/>
      <c r="E1049" s="82"/>
      <c r="F1049" s="83"/>
      <c r="G1049" s="111"/>
    </row>
    <row r="1050" spans="2:7" ht="13.5" thickBot="1">
      <c r="B1050" s="828" t="s">
        <v>841</v>
      </c>
      <c r="C1050" s="829"/>
      <c r="D1050" s="77"/>
      <c r="E1050" s="82"/>
      <c r="F1050" s="86"/>
      <c r="G1050" s="112"/>
    </row>
    <row r="1051" spans="2:7" ht="14.25" thickTop="1" thickBot="1">
      <c r="B1051" s="808"/>
      <c r="C1051" s="808"/>
      <c r="D1051" s="808"/>
      <c r="E1051" s="809"/>
      <c r="F1051" s="120" t="s">
        <v>856</v>
      </c>
      <c r="G1051" s="118">
        <f>SUM(G1046:G1050)</f>
        <v>5308</v>
      </c>
    </row>
    <row r="1052" spans="2:7" ht="14.25" thickTop="1" thickBot="1">
      <c r="B1052" s="810"/>
      <c r="C1052" s="810"/>
      <c r="D1052" s="810"/>
      <c r="E1052" s="810"/>
      <c r="F1052" s="810"/>
      <c r="G1052" s="810"/>
    </row>
    <row r="1053" spans="2:7" ht="13.5" thickTop="1">
      <c r="B1053" s="811" t="s">
        <v>321</v>
      </c>
      <c r="C1053" s="812"/>
      <c r="D1053" s="812"/>
      <c r="E1053" s="812"/>
      <c r="F1053" s="812"/>
      <c r="G1053" s="825"/>
    </row>
    <row r="1054" spans="2:7">
      <c r="B1054" s="817" t="s">
        <v>838</v>
      </c>
      <c r="C1054" s="818"/>
      <c r="D1054" s="98" t="s">
        <v>301</v>
      </c>
      <c r="E1054" s="98" t="s">
        <v>297</v>
      </c>
      <c r="F1054" s="99" t="s">
        <v>839</v>
      </c>
      <c r="G1054" s="107" t="s">
        <v>840</v>
      </c>
    </row>
    <row r="1055" spans="2:7">
      <c r="B1055" s="230"/>
      <c r="C1055" s="102"/>
      <c r="D1055" s="103" t="s">
        <v>322</v>
      </c>
      <c r="E1055" s="103" t="s">
        <v>323</v>
      </c>
      <c r="F1055" s="104" t="s">
        <v>324</v>
      </c>
      <c r="G1055" s="109" t="s">
        <v>325</v>
      </c>
    </row>
    <row r="1056" spans="2:7">
      <c r="B1056" s="826"/>
      <c r="C1056" s="827"/>
      <c r="D1056" s="96"/>
      <c r="E1056" s="96"/>
      <c r="F1056" s="96"/>
      <c r="G1056" s="116"/>
    </row>
    <row r="1057" spans="1:8" ht="13.5" thickBot="1">
      <c r="B1057" s="828" t="s">
        <v>841</v>
      </c>
      <c r="C1057" s="829"/>
      <c r="D1057" s="77"/>
      <c r="E1057" s="82"/>
      <c r="F1057" s="86"/>
      <c r="G1057" s="112"/>
    </row>
    <row r="1058" spans="1:8" ht="14.25" thickTop="1" thickBot="1">
      <c r="B1058" s="808"/>
      <c r="C1058" s="808"/>
      <c r="D1058" s="808"/>
      <c r="E1058" s="809"/>
      <c r="F1058" s="120" t="s">
        <v>856</v>
      </c>
      <c r="G1058" s="118">
        <f>SUM(G1053:G1057)</f>
        <v>0</v>
      </c>
    </row>
    <row r="1059" spans="1:8" ht="14.25" thickTop="1" thickBot="1">
      <c r="B1059" s="810"/>
      <c r="C1059" s="810"/>
      <c r="D1059" s="810"/>
      <c r="E1059" s="810"/>
      <c r="F1059" s="810"/>
      <c r="G1059" s="834"/>
    </row>
    <row r="1060" spans="1:8" ht="13.5" thickTop="1">
      <c r="B1060" s="811" t="s">
        <v>326</v>
      </c>
      <c r="C1060" s="812"/>
      <c r="D1060" s="812"/>
      <c r="E1060" s="812"/>
      <c r="F1060" s="813"/>
      <c r="G1060" s="121">
        <f>+G1024+G1040+G1051</f>
        <v>7406</v>
      </c>
    </row>
    <row r="1061" spans="1:8">
      <c r="B1061" s="814" t="s">
        <v>861</v>
      </c>
      <c r="C1061" s="815"/>
      <c r="D1061" s="815"/>
      <c r="E1061" s="816"/>
      <c r="F1061" s="128">
        <f>'MANO DE OBRA'!D59</f>
        <v>0</v>
      </c>
      <c r="G1061" s="122">
        <f>ROUND(G1060*F1061,0)</f>
        <v>0</v>
      </c>
    </row>
    <row r="1062" spans="1:8" s="346" customFormat="1" ht="13.5" thickBot="1">
      <c r="A1062" s="408"/>
      <c r="B1062" s="882" t="s">
        <v>1049</v>
      </c>
      <c r="C1062" s="883"/>
      <c r="D1062" s="883"/>
      <c r="E1062" s="883"/>
      <c r="F1062" s="884"/>
      <c r="G1062" s="409">
        <f>ROUND(G1060+G1061,-2)</f>
        <v>7400</v>
      </c>
      <c r="H1062" s="506" t="s">
        <v>1670</v>
      </c>
    </row>
    <row r="1063" spans="1:8" ht="15" thickTop="1">
      <c r="B1063" s="225" t="s">
        <v>303</v>
      </c>
      <c r="C1063" s="843"/>
      <c r="D1063" s="843"/>
      <c r="E1063" s="843"/>
      <c r="F1063" s="92" t="s">
        <v>781</v>
      </c>
      <c r="G1063" s="93" t="s">
        <v>1067</v>
      </c>
    </row>
    <row r="1064" spans="1:8">
      <c r="B1064" s="226" t="s">
        <v>834</v>
      </c>
      <c r="C1064" s="844" t="s">
        <v>343</v>
      </c>
      <c r="D1064" s="844"/>
      <c r="E1064" s="844"/>
      <c r="F1064" s="15" t="s">
        <v>833</v>
      </c>
      <c r="G1064" s="165" t="str">
        <f>'MANO DE OBRA'!D61</f>
        <v>Agosto de 2010</v>
      </c>
    </row>
    <row r="1065" spans="1:8" ht="13.5" thickBot="1">
      <c r="A1065" s="127"/>
      <c r="B1065" s="228" t="s">
        <v>835</v>
      </c>
      <c r="C1065" s="845" t="s">
        <v>331</v>
      </c>
      <c r="D1065" s="845"/>
      <c r="E1065" s="845"/>
      <c r="F1065" s="845"/>
      <c r="G1065" s="846"/>
    </row>
    <row r="1066" spans="1:8" ht="14.25" thickTop="1" thickBot="1">
      <c r="B1066" s="847"/>
      <c r="C1066" s="847"/>
      <c r="D1066" s="847"/>
      <c r="E1066" s="847"/>
      <c r="F1066" s="847"/>
      <c r="G1066" s="847"/>
    </row>
    <row r="1067" spans="1:8" ht="13.5" thickTop="1">
      <c r="B1067" s="811" t="s">
        <v>304</v>
      </c>
      <c r="C1067" s="812"/>
      <c r="D1067" s="812"/>
      <c r="E1067" s="812"/>
      <c r="F1067" s="812"/>
      <c r="G1067" s="825"/>
    </row>
    <row r="1068" spans="1:8">
      <c r="B1068" s="229"/>
      <c r="C1068" s="97"/>
      <c r="D1068" s="98" t="s">
        <v>301</v>
      </c>
      <c r="E1068" s="98" t="s">
        <v>1072</v>
      </c>
      <c r="F1068" s="99" t="s">
        <v>839</v>
      </c>
      <c r="G1068" s="107" t="s">
        <v>840</v>
      </c>
    </row>
    <row r="1069" spans="1:8">
      <c r="B1069" s="821" t="s">
        <v>838</v>
      </c>
      <c r="C1069" s="822"/>
      <c r="D1069" s="100" t="s">
        <v>308</v>
      </c>
      <c r="E1069" s="100" t="s">
        <v>305</v>
      </c>
      <c r="F1069" s="101" t="s">
        <v>306</v>
      </c>
      <c r="G1069" s="108" t="s">
        <v>310</v>
      </c>
    </row>
    <row r="1070" spans="1:8">
      <c r="B1070" s="230"/>
      <c r="C1070" s="102"/>
      <c r="D1070" s="103"/>
      <c r="E1070" s="103" t="s">
        <v>309</v>
      </c>
      <c r="F1070" s="104" t="s">
        <v>307</v>
      </c>
      <c r="G1070" s="109"/>
    </row>
    <row r="1071" spans="1:8">
      <c r="A1071" s="127"/>
      <c r="B1071" s="823" t="str">
        <f>'MAQUINARIA Y EQUIPOS'!C28</f>
        <v>HERRAMIENTAS MENORES</v>
      </c>
      <c r="C1071" s="824"/>
      <c r="D1071" s="87">
        <v>1</v>
      </c>
      <c r="E1071" s="82">
        <f>ROUND(G1104*0.25,0)</f>
        <v>2168</v>
      </c>
      <c r="F1071" s="81">
        <v>1</v>
      </c>
      <c r="G1071" s="110">
        <f>ROUND(D1071*E1071/F1071,0)</f>
        <v>2168</v>
      </c>
    </row>
    <row r="1072" spans="1:8">
      <c r="B1072" s="835"/>
      <c r="C1072" s="836"/>
      <c r="D1072" s="37"/>
      <c r="E1072" s="129"/>
      <c r="F1072" s="53"/>
      <c r="G1072" s="111"/>
    </row>
    <row r="1073" spans="1:8">
      <c r="B1073" s="835"/>
      <c r="C1073" s="836"/>
      <c r="D1073" s="37"/>
      <c r="E1073" s="129"/>
      <c r="F1073" s="53"/>
      <c r="G1073" s="111"/>
    </row>
    <row r="1074" spans="1:8">
      <c r="B1074" s="835"/>
      <c r="C1074" s="836"/>
      <c r="D1074" s="37"/>
      <c r="E1074" s="129"/>
      <c r="F1074" s="53"/>
      <c r="G1074" s="111"/>
    </row>
    <row r="1075" spans="1:8">
      <c r="B1075" s="835" t="s">
        <v>841</v>
      </c>
      <c r="C1075" s="836"/>
      <c r="D1075" s="37"/>
      <c r="E1075" s="82"/>
      <c r="F1075" s="83"/>
      <c r="G1075" s="111"/>
    </row>
    <row r="1076" spans="1:8" ht="13.5" thickBot="1">
      <c r="B1076" s="839" t="s">
        <v>841</v>
      </c>
      <c r="C1076" s="840"/>
      <c r="D1076" s="77"/>
      <c r="E1076" s="106"/>
      <c r="F1076" s="86"/>
      <c r="G1076" s="112"/>
    </row>
    <row r="1077" spans="1:8" ht="14.25" thickTop="1" thickBot="1">
      <c r="B1077" s="808"/>
      <c r="C1077" s="808"/>
      <c r="D1077" s="808"/>
      <c r="E1077" s="809"/>
      <c r="F1077" s="119" t="s">
        <v>856</v>
      </c>
      <c r="G1077" s="118">
        <f>SUM(G1071:G1076)</f>
        <v>2168</v>
      </c>
    </row>
    <row r="1078" spans="1:8" ht="14.25" thickTop="1" thickBot="1">
      <c r="B1078" s="830"/>
      <c r="C1078" s="830"/>
      <c r="D1078" s="830"/>
      <c r="E1078" s="830"/>
      <c r="F1078" s="830"/>
      <c r="G1078" s="830"/>
    </row>
    <row r="1079" spans="1:8" ht="13.5" thickTop="1">
      <c r="B1079" s="811" t="s">
        <v>311</v>
      </c>
      <c r="C1079" s="812"/>
      <c r="D1079" s="812"/>
      <c r="E1079" s="812"/>
      <c r="F1079" s="812"/>
      <c r="G1079" s="825"/>
    </row>
    <row r="1080" spans="1:8">
      <c r="B1080" s="817" t="s">
        <v>838</v>
      </c>
      <c r="C1080" s="818"/>
      <c r="D1080" s="98" t="s">
        <v>842</v>
      </c>
      <c r="E1080" s="98" t="s">
        <v>853</v>
      </c>
      <c r="F1080" s="99" t="s">
        <v>1047</v>
      </c>
      <c r="G1080" s="107" t="s">
        <v>840</v>
      </c>
    </row>
    <row r="1081" spans="1:8">
      <c r="B1081" s="230"/>
      <c r="C1081" s="102"/>
      <c r="D1081" s="100"/>
      <c r="E1081" s="100" t="s">
        <v>312</v>
      </c>
      <c r="F1081" s="101" t="s">
        <v>313</v>
      </c>
      <c r="G1081" s="108" t="s">
        <v>314</v>
      </c>
    </row>
    <row r="1082" spans="1:8">
      <c r="A1082" s="125"/>
      <c r="B1082" s="875"/>
      <c r="C1082" s="876"/>
      <c r="D1082" s="87"/>
      <c r="E1082" s="10"/>
      <c r="F1082" s="80"/>
      <c r="G1082" s="110"/>
    </row>
    <row r="1083" spans="1:8">
      <c r="A1083" s="123"/>
      <c r="B1083" s="877"/>
      <c r="C1083" s="878"/>
      <c r="D1083" s="88"/>
      <c r="E1083" s="53"/>
      <c r="F1083" s="82"/>
      <c r="G1083" s="111"/>
    </row>
    <row r="1084" spans="1:8">
      <c r="B1084" s="835"/>
      <c r="C1084" s="836"/>
      <c r="D1084" s="37"/>
      <c r="E1084" s="55"/>
      <c r="F1084" s="82"/>
      <c r="G1084" s="111"/>
    </row>
    <row r="1085" spans="1:8">
      <c r="B1085" s="835"/>
      <c r="C1085" s="836"/>
      <c r="D1085" s="37"/>
      <c r="E1085" s="55"/>
      <c r="F1085" s="82"/>
      <c r="G1085" s="111"/>
    </row>
    <row r="1086" spans="1:8">
      <c r="B1086" s="837"/>
      <c r="C1086" s="838"/>
      <c r="D1086" s="37"/>
      <c r="E1086" s="55"/>
      <c r="F1086" s="82"/>
      <c r="G1086" s="111"/>
      <c r="H1086" s="506" t="s">
        <v>1670</v>
      </c>
    </row>
    <row r="1087" spans="1:8">
      <c r="B1087" s="837"/>
      <c r="C1087" s="838"/>
      <c r="D1087" s="53" t="s">
        <v>841</v>
      </c>
      <c r="E1087" s="53"/>
      <c r="F1087" s="82"/>
      <c r="G1087" s="111"/>
    </row>
    <row r="1088" spans="1:8">
      <c r="B1088" s="837" t="s">
        <v>841</v>
      </c>
      <c r="C1088" s="838"/>
      <c r="D1088" s="53" t="s">
        <v>841</v>
      </c>
      <c r="E1088" s="53"/>
      <c r="F1088" s="82"/>
      <c r="G1088" s="111"/>
    </row>
    <row r="1089" spans="2:7">
      <c r="B1089" s="837" t="s">
        <v>841</v>
      </c>
      <c r="C1089" s="838"/>
      <c r="D1089" s="53" t="s">
        <v>841</v>
      </c>
      <c r="E1089" s="53"/>
      <c r="F1089" s="82"/>
      <c r="G1089" s="111"/>
    </row>
    <row r="1090" spans="2:7" ht="13.5" thickBot="1">
      <c r="B1090" s="839" t="s">
        <v>841</v>
      </c>
      <c r="C1090" s="840"/>
      <c r="D1090" s="84" t="s">
        <v>841</v>
      </c>
      <c r="E1090" s="84"/>
      <c r="F1090" s="85"/>
      <c r="G1090" s="112"/>
    </row>
    <row r="1091" spans="2:7" ht="13.5" thickTop="1">
      <c r="B1091" s="808"/>
      <c r="C1091" s="809"/>
      <c r="D1091" s="801" t="s">
        <v>856</v>
      </c>
      <c r="E1091" s="802"/>
      <c r="F1091" s="9"/>
      <c r="G1091" s="113">
        <f>SUM(G1082:G1090)</f>
        <v>0</v>
      </c>
    </row>
    <row r="1092" spans="2:7">
      <c r="B1092" s="819"/>
      <c r="C1092" s="820"/>
      <c r="D1092" s="801" t="s">
        <v>857</v>
      </c>
      <c r="E1092" s="802"/>
      <c r="F1092" s="79">
        <f>'MANO DE OBRA'!D60</f>
        <v>0.05</v>
      </c>
      <c r="G1092" s="113">
        <f>ROUND(G1091*F1092,0)</f>
        <v>0</v>
      </c>
    </row>
    <row r="1093" spans="2:7" ht="13.5" thickBot="1">
      <c r="B1093" s="819"/>
      <c r="C1093" s="820"/>
      <c r="D1093" s="803" t="s">
        <v>320</v>
      </c>
      <c r="E1093" s="804"/>
      <c r="F1093" s="114"/>
      <c r="G1093" s="118">
        <f>+G1091+G1092</f>
        <v>0</v>
      </c>
    </row>
    <row r="1094" spans="2:7" ht="14.25" thickTop="1" thickBot="1">
      <c r="B1094" s="830"/>
      <c r="C1094" s="830"/>
      <c r="D1094" s="830"/>
      <c r="E1094" s="830"/>
      <c r="F1094" s="830"/>
      <c r="G1094" s="830"/>
    </row>
    <row r="1095" spans="2:7" ht="13.5" thickTop="1">
      <c r="B1095" s="811" t="s">
        <v>858</v>
      </c>
      <c r="C1095" s="812"/>
      <c r="D1095" s="812"/>
      <c r="E1095" s="812"/>
      <c r="F1095" s="812"/>
      <c r="G1095" s="825"/>
    </row>
    <row r="1096" spans="2:7">
      <c r="B1096" s="817"/>
      <c r="C1096" s="818"/>
      <c r="D1096" s="98" t="s">
        <v>301</v>
      </c>
      <c r="E1096" s="98" t="s">
        <v>859</v>
      </c>
      <c r="F1096" s="99" t="s">
        <v>839</v>
      </c>
      <c r="G1096" s="107" t="s">
        <v>840</v>
      </c>
    </row>
    <row r="1097" spans="2:7">
      <c r="B1097" s="821" t="s">
        <v>838</v>
      </c>
      <c r="C1097" s="822"/>
      <c r="D1097" s="100" t="s">
        <v>316</v>
      </c>
      <c r="E1097" s="100" t="s">
        <v>315</v>
      </c>
      <c r="F1097" s="101" t="s">
        <v>306</v>
      </c>
      <c r="G1097" s="108" t="s">
        <v>319</v>
      </c>
    </row>
    <row r="1098" spans="2:7">
      <c r="B1098" s="230"/>
      <c r="C1098" s="102"/>
      <c r="D1098" s="103"/>
      <c r="E1098" s="103" t="s">
        <v>317</v>
      </c>
      <c r="F1098" s="104" t="s">
        <v>318</v>
      </c>
      <c r="G1098" s="109"/>
    </row>
    <row r="1099" spans="2:7">
      <c r="B1099" s="823" t="str">
        <f>'MANO DE OBRA'!B10</f>
        <v>AYUDANTE CUAD. TIPO AA</v>
      </c>
      <c r="C1099" s="824"/>
      <c r="D1099" s="87">
        <v>4</v>
      </c>
      <c r="E1099" s="80">
        <f>'MANO DE OBRA'!E10</f>
        <v>34680</v>
      </c>
      <c r="F1099" s="81">
        <v>16</v>
      </c>
      <c r="G1099" s="110">
        <f>ROUND(D1099*E1099/F1099,0)</f>
        <v>8670</v>
      </c>
    </row>
    <row r="1100" spans="2:7">
      <c r="B1100" s="835"/>
      <c r="C1100" s="836"/>
      <c r="D1100" s="37"/>
      <c r="E1100" s="82"/>
      <c r="F1100" s="83"/>
      <c r="G1100" s="111"/>
    </row>
    <row r="1101" spans="2:7">
      <c r="B1101" s="835"/>
      <c r="C1101" s="836"/>
      <c r="D1101" s="37"/>
      <c r="E1101" s="82"/>
      <c r="F1101" s="83"/>
      <c r="G1101" s="111"/>
    </row>
    <row r="1102" spans="2:7">
      <c r="B1102" s="835" t="s">
        <v>841</v>
      </c>
      <c r="C1102" s="836"/>
      <c r="D1102" s="37"/>
      <c r="E1102" s="82"/>
      <c r="F1102" s="83"/>
      <c r="G1102" s="111"/>
    </row>
    <row r="1103" spans="2:7" ht="13.5" thickBot="1">
      <c r="B1103" s="828" t="s">
        <v>841</v>
      </c>
      <c r="C1103" s="829"/>
      <c r="D1103" s="77"/>
      <c r="E1103" s="82"/>
      <c r="F1103" s="86"/>
      <c r="G1103" s="112"/>
    </row>
    <row r="1104" spans="2:7" ht="14.25" thickTop="1" thickBot="1">
      <c r="B1104" s="808"/>
      <c r="C1104" s="808"/>
      <c r="D1104" s="808"/>
      <c r="E1104" s="809"/>
      <c r="F1104" s="120" t="s">
        <v>856</v>
      </c>
      <c r="G1104" s="118">
        <f>SUM(G1099:G1103)</f>
        <v>8670</v>
      </c>
    </row>
    <row r="1105" spans="1:8" ht="14.25" thickTop="1" thickBot="1">
      <c r="B1105" s="810"/>
      <c r="C1105" s="810"/>
      <c r="D1105" s="810"/>
      <c r="E1105" s="810"/>
      <c r="F1105" s="810"/>
      <c r="G1105" s="810"/>
    </row>
    <row r="1106" spans="1:8" ht="13.5" thickTop="1">
      <c r="B1106" s="811" t="s">
        <v>321</v>
      </c>
      <c r="C1106" s="812"/>
      <c r="D1106" s="812"/>
      <c r="E1106" s="812"/>
      <c r="F1106" s="812"/>
      <c r="G1106" s="825"/>
    </row>
    <row r="1107" spans="1:8">
      <c r="B1107" s="817" t="s">
        <v>838</v>
      </c>
      <c r="C1107" s="818"/>
      <c r="D1107" s="98" t="s">
        <v>301</v>
      </c>
      <c r="E1107" s="98" t="s">
        <v>297</v>
      </c>
      <c r="F1107" s="99" t="s">
        <v>839</v>
      </c>
      <c r="G1107" s="107" t="s">
        <v>840</v>
      </c>
    </row>
    <row r="1108" spans="1:8">
      <c r="B1108" s="230"/>
      <c r="C1108" s="102"/>
      <c r="D1108" s="103" t="s">
        <v>322</v>
      </c>
      <c r="E1108" s="103" t="s">
        <v>323</v>
      </c>
      <c r="F1108" s="104" t="s">
        <v>324</v>
      </c>
      <c r="G1108" s="109" t="s">
        <v>325</v>
      </c>
    </row>
    <row r="1109" spans="1:8">
      <c r="B1109" s="826"/>
      <c r="C1109" s="827"/>
      <c r="D1109" s="96"/>
      <c r="E1109" s="96"/>
      <c r="F1109" s="96"/>
      <c r="G1109" s="116"/>
    </row>
    <row r="1110" spans="1:8" ht="13.5" thickBot="1">
      <c r="B1110" s="828" t="s">
        <v>841</v>
      </c>
      <c r="C1110" s="829"/>
      <c r="D1110" s="77"/>
      <c r="E1110" s="82"/>
      <c r="F1110" s="86"/>
      <c r="G1110" s="112"/>
    </row>
    <row r="1111" spans="1:8" ht="14.25" thickTop="1" thickBot="1">
      <c r="B1111" s="808"/>
      <c r="C1111" s="808"/>
      <c r="D1111" s="808"/>
      <c r="E1111" s="809"/>
      <c r="F1111" s="120" t="s">
        <v>856</v>
      </c>
      <c r="G1111" s="118">
        <f>SUM(G1106:G1110)</f>
        <v>0</v>
      </c>
    </row>
    <row r="1112" spans="1:8" ht="14.25" thickTop="1" thickBot="1">
      <c r="B1112" s="810"/>
      <c r="C1112" s="810"/>
      <c r="D1112" s="810"/>
      <c r="E1112" s="810"/>
      <c r="F1112" s="810"/>
      <c r="G1112" s="834"/>
    </row>
    <row r="1113" spans="1:8" ht="13.5" thickTop="1">
      <c r="B1113" s="811" t="s">
        <v>326</v>
      </c>
      <c r="C1113" s="812"/>
      <c r="D1113" s="812"/>
      <c r="E1113" s="812"/>
      <c r="F1113" s="813"/>
      <c r="G1113" s="121">
        <f>+G1077+G1093+G1104</f>
        <v>10838</v>
      </c>
    </row>
    <row r="1114" spans="1:8">
      <c r="B1114" s="814" t="s">
        <v>861</v>
      </c>
      <c r="C1114" s="815"/>
      <c r="D1114" s="815"/>
      <c r="E1114" s="816"/>
      <c r="F1114" s="128">
        <f>'MANO DE OBRA'!D59</f>
        <v>0</v>
      </c>
      <c r="G1114" s="122">
        <f>ROUND(G1113*F1114,0)</f>
        <v>0</v>
      </c>
    </row>
    <row r="1115" spans="1:8" ht="13.5" thickBot="1">
      <c r="B1115" s="805" t="s">
        <v>1049</v>
      </c>
      <c r="C1115" s="806"/>
      <c r="D1115" s="806"/>
      <c r="E1115" s="806"/>
      <c r="F1115" s="807"/>
      <c r="G1115" s="118">
        <f>ROUND(G1113+G1114,-2)</f>
        <v>10800</v>
      </c>
      <c r="H1115" s="506" t="s">
        <v>1670</v>
      </c>
    </row>
    <row r="1116" spans="1:8" ht="13.5" thickTop="1">
      <c r="B1116" s="225" t="s">
        <v>303</v>
      </c>
      <c r="C1116" s="843"/>
      <c r="D1116" s="843"/>
      <c r="E1116" s="843"/>
      <c r="F1116" s="92" t="s">
        <v>781</v>
      </c>
      <c r="G1116" s="93" t="s">
        <v>865</v>
      </c>
    </row>
    <row r="1117" spans="1:8">
      <c r="B1117" s="226" t="s">
        <v>834</v>
      </c>
      <c r="C1117" s="844" t="s">
        <v>343</v>
      </c>
      <c r="D1117" s="844"/>
      <c r="E1117" s="844"/>
      <c r="F1117" s="15" t="s">
        <v>833</v>
      </c>
      <c r="G1117" s="165" t="str">
        <f>'MANO DE OBRA'!D61</f>
        <v>Agosto de 2010</v>
      </c>
    </row>
    <row r="1118" spans="1:8" ht="15" thickBot="1">
      <c r="A1118" s="127"/>
      <c r="B1118" s="228" t="s">
        <v>835</v>
      </c>
      <c r="C1118" s="845" t="s">
        <v>332</v>
      </c>
      <c r="D1118" s="845"/>
      <c r="E1118" s="845"/>
      <c r="F1118" s="845"/>
      <c r="G1118" s="846"/>
    </row>
    <row r="1119" spans="1:8" ht="14.25" thickTop="1" thickBot="1">
      <c r="B1119" s="847"/>
      <c r="C1119" s="847"/>
      <c r="D1119" s="847"/>
      <c r="E1119" s="847"/>
      <c r="F1119" s="847"/>
      <c r="G1119" s="847"/>
    </row>
    <row r="1120" spans="1:8" ht="13.5" thickTop="1">
      <c r="B1120" s="811" t="s">
        <v>304</v>
      </c>
      <c r="C1120" s="812"/>
      <c r="D1120" s="812"/>
      <c r="E1120" s="812"/>
      <c r="F1120" s="812"/>
      <c r="G1120" s="825"/>
    </row>
    <row r="1121" spans="1:7">
      <c r="B1121" s="229"/>
      <c r="C1121" s="97"/>
      <c r="D1121" s="98" t="s">
        <v>301</v>
      </c>
      <c r="E1121" s="98" t="s">
        <v>1072</v>
      </c>
      <c r="F1121" s="99" t="s">
        <v>839</v>
      </c>
      <c r="G1121" s="107" t="s">
        <v>840</v>
      </c>
    </row>
    <row r="1122" spans="1:7">
      <c r="B1122" s="821" t="s">
        <v>838</v>
      </c>
      <c r="C1122" s="822"/>
      <c r="D1122" s="100" t="s">
        <v>308</v>
      </c>
      <c r="E1122" s="100" t="s">
        <v>305</v>
      </c>
      <c r="F1122" s="101" t="s">
        <v>306</v>
      </c>
      <c r="G1122" s="108" t="s">
        <v>310</v>
      </c>
    </row>
    <row r="1123" spans="1:7">
      <c r="B1123" s="230"/>
      <c r="C1123" s="102"/>
      <c r="D1123" s="103"/>
      <c r="E1123" s="103" t="s">
        <v>309</v>
      </c>
      <c r="F1123" s="104" t="s">
        <v>307</v>
      </c>
      <c r="G1123" s="109"/>
    </row>
    <row r="1124" spans="1:7">
      <c r="A1124" s="127"/>
      <c r="B1124" s="823" t="str">
        <f>'MAQUINARIA Y EQUIPOS'!C28</f>
        <v>HERRAMIENTAS MENORES</v>
      </c>
      <c r="C1124" s="824"/>
      <c r="D1124" s="87">
        <v>1</v>
      </c>
      <c r="E1124" s="82">
        <f>ROUND(G1157*0.25,0)</f>
        <v>100596</v>
      </c>
      <c r="F1124" s="81">
        <v>16</v>
      </c>
      <c r="G1124" s="110">
        <f>ROUND(D1124*E1124/F1124,0)</f>
        <v>6287</v>
      </c>
    </row>
    <row r="1125" spans="1:7">
      <c r="B1125" s="835"/>
      <c r="C1125" s="836"/>
      <c r="D1125" s="37"/>
      <c r="E1125" s="129"/>
      <c r="F1125" s="53"/>
      <c r="G1125" s="111"/>
    </row>
    <row r="1126" spans="1:7">
      <c r="B1126" s="835"/>
      <c r="C1126" s="836"/>
      <c r="D1126" s="37"/>
      <c r="E1126" s="129"/>
      <c r="F1126" s="53"/>
      <c r="G1126" s="111"/>
    </row>
    <row r="1127" spans="1:7">
      <c r="B1127" s="835"/>
      <c r="C1127" s="836"/>
      <c r="D1127" s="37"/>
      <c r="E1127" s="129"/>
      <c r="F1127" s="53"/>
      <c r="G1127" s="111"/>
    </row>
    <row r="1128" spans="1:7">
      <c r="B1128" s="835" t="s">
        <v>841</v>
      </c>
      <c r="C1128" s="836"/>
      <c r="D1128" s="37"/>
      <c r="E1128" s="82"/>
      <c r="F1128" s="83"/>
      <c r="G1128" s="111"/>
    </row>
    <row r="1129" spans="1:7" ht="13.5" thickBot="1">
      <c r="B1129" s="839" t="s">
        <v>841</v>
      </c>
      <c r="C1129" s="840"/>
      <c r="D1129" s="77"/>
      <c r="E1129" s="106"/>
      <c r="F1129" s="86"/>
      <c r="G1129" s="112"/>
    </row>
    <row r="1130" spans="1:7" ht="14.25" thickTop="1" thickBot="1">
      <c r="B1130" s="808"/>
      <c r="C1130" s="808"/>
      <c r="D1130" s="808"/>
      <c r="E1130" s="809"/>
      <c r="F1130" s="119" t="s">
        <v>856</v>
      </c>
      <c r="G1130" s="118">
        <f>SUM(G1124:G1129)</f>
        <v>6287</v>
      </c>
    </row>
    <row r="1131" spans="1:7" ht="14.25" thickTop="1" thickBot="1">
      <c r="B1131" s="830"/>
      <c r="C1131" s="830"/>
      <c r="D1131" s="830"/>
      <c r="E1131" s="830"/>
      <c r="F1131" s="830"/>
      <c r="G1131" s="830"/>
    </row>
    <row r="1132" spans="1:7" ht="13.5" thickTop="1">
      <c r="B1132" s="811" t="s">
        <v>311</v>
      </c>
      <c r="C1132" s="812"/>
      <c r="D1132" s="812"/>
      <c r="E1132" s="812"/>
      <c r="F1132" s="812"/>
      <c r="G1132" s="825"/>
    </row>
    <row r="1133" spans="1:7">
      <c r="B1133" s="817" t="s">
        <v>838</v>
      </c>
      <c r="C1133" s="818"/>
      <c r="D1133" s="98" t="s">
        <v>842</v>
      </c>
      <c r="E1133" s="98" t="s">
        <v>853</v>
      </c>
      <c r="F1133" s="99" t="s">
        <v>1047</v>
      </c>
      <c r="G1133" s="107" t="s">
        <v>840</v>
      </c>
    </row>
    <row r="1134" spans="1:7">
      <c r="B1134" s="230"/>
      <c r="C1134" s="102"/>
      <c r="D1134" s="100"/>
      <c r="E1134" s="100" t="s">
        <v>312</v>
      </c>
      <c r="F1134" s="101" t="s">
        <v>313</v>
      </c>
      <c r="G1134" s="108" t="s">
        <v>314</v>
      </c>
    </row>
    <row r="1135" spans="1:7">
      <c r="A1135" s="125"/>
      <c r="B1135" s="871" t="str">
        <f>MATERIALES2!C918</f>
        <v>PUNTILLAS DE 2"</v>
      </c>
      <c r="C1135" s="872"/>
      <c r="D1135" s="87" t="s">
        <v>922</v>
      </c>
      <c r="E1135" s="130">
        <v>4</v>
      </c>
      <c r="F1135" s="80">
        <f>MATERIALES2!E918</f>
        <v>1500</v>
      </c>
      <c r="G1135" s="110">
        <f t="shared" ref="G1135:G1141" si="0">ROUND(E1135*F1135,0)</f>
        <v>6000</v>
      </c>
    </row>
    <row r="1136" spans="1:7">
      <c r="A1136" s="123"/>
      <c r="B1136" s="873" t="str">
        <f>MATERIALES2!C159</f>
        <v>TABLA 1X10X10</v>
      </c>
      <c r="C1136" s="874"/>
      <c r="D1136" s="88" t="s">
        <v>865</v>
      </c>
      <c r="E1136" s="131">
        <v>38</v>
      </c>
      <c r="F1136" s="82">
        <f>MATERIALES2!E159</f>
        <v>8400</v>
      </c>
      <c r="G1136" s="111">
        <f t="shared" si="0"/>
        <v>319200</v>
      </c>
    </row>
    <row r="1137" spans="2:8">
      <c r="B1137" s="873" t="str">
        <f>MATERIALES2!C174</f>
        <v>MADERA REDONDA</v>
      </c>
      <c r="C1137" s="836"/>
      <c r="D1137" s="37" t="s">
        <v>865</v>
      </c>
      <c r="E1137" s="132">
        <v>20</v>
      </c>
      <c r="F1137" s="82">
        <f>MATERIALES2!E174</f>
        <v>1400</v>
      </c>
      <c r="G1137" s="111">
        <f t="shared" si="0"/>
        <v>28000</v>
      </c>
    </row>
    <row r="1138" spans="2:8">
      <c r="B1138" s="835" t="str">
        <f>MATERIALES2!C23</f>
        <v>CASCAJILLO</v>
      </c>
      <c r="C1138" s="836"/>
      <c r="D1138" s="37" t="str">
        <f>MATERIALES2!D23</f>
        <v>M3</v>
      </c>
      <c r="E1138" s="132">
        <v>1</v>
      </c>
      <c r="F1138" s="82">
        <f>MATERIALES2!E23</f>
        <v>35000</v>
      </c>
      <c r="G1138" s="111">
        <f t="shared" si="0"/>
        <v>35000</v>
      </c>
      <c r="H1138" s="506" t="s">
        <v>1670</v>
      </c>
    </row>
    <row r="1139" spans="2:8">
      <c r="B1139" s="879" t="str">
        <f>MATERIALES2!C13</f>
        <v>CEMENTO GRIS</v>
      </c>
      <c r="C1139" s="880"/>
      <c r="D1139" s="37" t="s">
        <v>925</v>
      </c>
      <c r="E1139" s="132">
        <v>200</v>
      </c>
      <c r="F1139" s="82">
        <f>MATERIALES2!E13</f>
        <v>420</v>
      </c>
      <c r="G1139" s="111">
        <f t="shared" si="0"/>
        <v>84000</v>
      </c>
    </row>
    <row r="1140" spans="2:8">
      <c r="B1140" s="835" t="str">
        <f>MATERIALES2!C386</f>
        <v>TEJA ONDULADA Nº 4</v>
      </c>
      <c r="C1140" s="836"/>
      <c r="D1140" s="37" t="s">
        <v>865</v>
      </c>
      <c r="E1140" s="131">
        <v>20</v>
      </c>
      <c r="F1140" s="82">
        <f>MATERIALES2!E386</f>
        <v>14400</v>
      </c>
      <c r="G1140" s="111">
        <f t="shared" si="0"/>
        <v>288000</v>
      </c>
    </row>
    <row r="1141" spans="2:8">
      <c r="B1141" s="835" t="str">
        <f>MATERIALES2!C401</f>
        <v>GANCHO TEJA 150 mm.</v>
      </c>
      <c r="C1141" s="836"/>
      <c r="D1141" s="37" t="s">
        <v>865</v>
      </c>
      <c r="E1141" s="131">
        <v>40</v>
      </c>
      <c r="F1141" s="82">
        <f>MATERIALES2!E401</f>
        <v>322</v>
      </c>
      <c r="G1141" s="111">
        <f t="shared" si="0"/>
        <v>12880</v>
      </c>
    </row>
    <row r="1142" spans="2:8">
      <c r="B1142" s="837" t="s">
        <v>841</v>
      </c>
      <c r="C1142" s="838"/>
      <c r="D1142" s="53" t="s">
        <v>841</v>
      </c>
      <c r="E1142" s="131"/>
      <c r="F1142" s="82"/>
      <c r="G1142" s="111"/>
    </row>
    <row r="1143" spans="2:8" ht="13.5" thickBot="1">
      <c r="B1143" s="839" t="s">
        <v>841</v>
      </c>
      <c r="C1143" s="840"/>
      <c r="D1143" s="84" t="s">
        <v>841</v>
      </c>
      <c r="E1143" s="133"/>
      <c r="F1143" s="85"/>
      <c r="G1143" s="112"/>
    </row>
    <row r="1144" spans="2:8" ht="13.5" thickTop="1">
      <c r="B1144" s="808"/>
      <c r="C1144" s="809"/>
      <c r="D1144" s="801" t="s">
        <v>856</v>
      </c>
      <c r="E1144" s="802"/>
      <c r="F1144" s="9"/>
      <c r="G1144" s="113">
        <f>SUM(G1135:G1143)</f>
        <v>773080</v>
      </c>
    </row>
    <row r="1145" spans="2:8">
      <c r="B1145" s="819"/>
      <c r="C1145" s="820"/>
      <c r="D1145" s="801" t="s">
        <v>857</v>
      </c>
      <c r="E1145" s="802"/>
      <c r="F1145" s="79">
        <f>'MANO DE OBRA'!D60</f>
        <v>0.05</v>
      </c>
      <c r="G1145" s="113">
        <f>ROUND(G1144*F1145,0)</f>
        <v>38654</v>
      </c>
    </row>
    <row r="1146" spans="2:8" ht="13.5" thickBot="1">
      <c r="B1146" s="819"/>
      <c r="C1146" s="820"/>
      <c r="D1146" s="803" t="s">
        <v>320</v>
      </c>
      <c r="E1146" s="804"/>
      <c r="F1146" s="114"/>
      <c r="G1146" s="118">
        <f>+G1144+G1145</f>
        <v>811734</v>
      </c>
    </row>
    <row r="1147" spans="2:8" ht="14.25" thickTop="1" thickBot="1">
      <c r="B1147" s="830"/>
      <c r="C1147" s="830"/>
      <c r="D1147" s="830"/>
      <c r="E1147" s="830"/>
      <c r="F1147" s="830"/>
      <c r="G1147" s="830"/>
    </row>
    <row r="1148" spans="2:8" ht="13.5" thickTop="1">
      <c r="B1148" s="811" t="s">
        <v>858</v>
      </c>
      <c r="C1148" s="812"/>
      <c r="D1148" s="812"/>
      <c r="E1148" s="812"/>
      <c r="F1148" s="812"/>
      <c r="G1148" s="825"/>
    </row>
    <row r="1149" spans="2:8">
      <c r="B1149" s="817"/>
      <c r="C1149" s="818"/>
      <c r="D1149" s="98" t="s">
        <v>301</v>
      </c>
      <c r="E1149" s="98" t="s">
        <v>859</v>
      </c>
      <c r="F1149" s="99" t="s">
        <v>839</v>
      </c>
      <c r="G1149" s="107" t="s">
        <v>840</v>
      </c>
    </row>
    <row r="1150" spans="2:8">
      <c r="B1150" s="821" t="s">
        <v>838</v>
      </c>
      <c r="C1150" s="822"/>
      <c r="D1150" s="100" t="s">
        <v>316</v>
      </c>
      <c r="E1150" s="100" t="s">
        <v>315</v>
      </c>
      <c r="F1150" s="101" t="s">
        <v>306</v>
      </c>
      <c r="G1150" s="108" t="s">
        <v>319</v>
      </c>
    </row>
    <row r="1151" spans="2:8">
      <c r="B1151" s="230"/>
      <c r="C1151" s="102"/>
      <c r="D1151" s="103"/>
      <c r="E1151" s="103" t="s">
        <v>317</v>
      </c>
      <c r="F1151" s="104" t="s">
        <v>318</v>
      </c>
      <c r="G1151" s="109"/>
    </row>
    <row r="1152" spans="2:8">
      <c r="B1152" s="823" t="str">
        <f>'MANO DE OBRA'!B10</f>
        <v>AYUDANTE CUAD. TIPO AA</v>
      </c>
      <c r="C1152" s="824"/>
      <c r="D1152" s="87">
        <v>2</v>
      </c>
      <c r="E1152" s="80">
        <f>'MANO DE OBRA'!E10</f>
        <v>34680</v>
      </c>
      <c r="F1152" s="81">
        <v>0.35</v>
      </c>
      <c r="G1152" s="110">
        <f>ROUND(D1152*E1152/F1152,0)</f>
        <v>198171</v>
      </c>
    </row>
    <row r="1153" spans="2:8">
      <c r="B1153" s="835" t="str">
        <f>'MANO DE OBRA'!B15</f>
        <v xml:space="preserve">OFICIAL CUAD. TIPO AA </v>
      </c>
      <c r="C1153" s="836"/>
      <c r="D1153" s="37">
        <v>1</v>
      </c>
      <c r="E1153" s="82">
        <f>'MANO DE OBRA'!E15</f>
        <v>71474</v>
      </c>
      <c r="F1153" s="83">
        <v>0.35</v>
      </c>
      <c r="G1153" s="111">
        <f>ROUND(D1153*E1153/F1153,0)</f>
        <v>204211</v>
      </c>
    </row>
    <row r="1154" spans="2:8">
      <c r="B1154" s="835"/>
      <c r="C1154" s="836"/>
      <c r="D1154" s="37"/>
      <c r="E1154" s="82"/>
      <c r="F1154" s="83"/>
      <c r="G1154" s="111"/>
    </row>
    <row r="1155" spans="2:8">
      <c r="B1155" s="835" t="s">
        <v>841</v>
      </c>
      <c r="C1155" s="836"/>
      <c r="D1155" s="37"/>
      <c r="E1155" s="82"/>
      <c r="F1155" s="83"/>
      <c r="G1155" s="111"/>
    </row>
    <row r="1156" spans="2:8" ht="13.5" thickBot="1">
      <c r="B1156" s="828" t="s">
        <v>841</v>
      </c>
      <c r="C1156" s="829"/>
      <c r="D1156" s="77"/>
      <c r="E1156" s="82"/>
      <c r="F1156" s="86"/>
      <c r="G1156" s="112"/>
    </row>
    <row r="1157" spans="2:8" ht="14.25" thickTop="1" thickBot="1">
      <c r="B1157" s="808"/>
      <c r="C1157" s="808"/>
      <c r="D1157" s="808"/>
      <c r="E1157" s="809"/>
      <c r="F1157" s="120" t="s">
        <v>856</v>
      </c>
      <c r="G1157" s="118">
        <f>SUM(G1152:G1156)</f>
        <v>402382</v>
      </c>
    </row>
    <row r="1158" spans="2:8" ht="14.25" thickTop="1" thickBot="1">
      <c r="B1158" s="810"/>
      <c r="C1158" s="810"/>
      <c r="D1158" s="810"/>
      <c r="E1158" s="810"/>
      <c r="F1158" s="810"/>
      <c r="G1158" s="810"/>
    </row>
    <row r="1159" spans="2:8" ht="13.5" thickTop="1">
      <c r="B1159" s="811" t="s">
        <v>321</v>
      </c>
      <c r="C1159" s="812"/>
      <c r="D1159" s="812"/>
      <c r="E1159" s="812"/>
      <c r="F1159" s="812"/>
      <c r="G1159" s="825"/>
    </row>
    <row r="1160" spans="2:8">
      <c r="B1160" s="817" t="s">
        <v>838</v>
      </c>
      <c r="C1160" s="818"/>
      <c r="D1160" s="98" t="s">
        <v>301</v>
      </c>
      <c r="E1160" s="98" t="s">
        <v>297</v>
      </c>
      <c r="F1160" s="99" t="s">
        <v>839</v>
      </c>
      <c r="G1160" s="107" t="s">
        <v>840</v>
      </c>
    </row>
    <row r="1161" spans="2:8">
      <c r="B1161" s="230"/>
      <c r="C1161" s="102"/>
      <c r="D1161" s="103" t="s">
        <v>322</v>
      </c>
      <c r="E1161" s="103" t="s">
        <v>323</v>
      </c>
      <c r="F1161" s="104" t="s">
        <v>324</v>
      </c>
      <c r="G1161" s="109" t="s">
        <v>325</v>
      </c>
    </row>
    <row r="1162" spans="2:8">
      <c r="B1162" s="826"/>
      <c r="C1162" s="827"/>
      <c r="D1162" s="96"/>
      <c r="E1162" s="96"/>
      <c r="F1162" s="96"/>
      <c r="G1162" s="116"/>
    </row>
    <row r="1163" spans="2:8" ht="13.5" thickBot="1">
      <c r="B1163" s="828" t="s">
        <v>841</v>
      </c>
      <c r="C1163" s="829"/>
      <c r="D1163" s="77"/>
      <c r="E1163" s="82"/>
      <c r="F1163" s="86"/>
      <c r="G1163" s="112"/>
    </row>
    <row r="1164" spans="2:8" ht="14.25" thickTop="1" thickBot="1">
      <c r="B1164" s="808"/>
      <c r="C1164" s="808"/>
      <c r="D1164" s="808"/>
      <c r="E1164" s="809"/>
      <c r="F1164" s="120" t="s">
        <v>856</v>
      </c>
      <c r="G1164" s="118">
        <f>SUM(G1159:G1163)</f>
        <v>0</v>
      </c>
    </row>
    <row r="1165" spans="2:8" ht="14.25" thickTop="1" thickBot="1">
      <c r="B1165" s="810"/>
      <c r="C1165" s="810"/>
      <c r="D1165" s="810"/>
      <c r="E1165" s="810"/>
      <c r="F1165" s="810"/>
      <c r="G1165" s="834"/>
    </row>
    <row r="1166" spans="2:8" ht="13.5" thickTop="1">
      <c r="B1166" s="811" t="s">
        <v>326</v>
      </c>
      <c r="C1166" s="812"/>
      <c r="D1166" s="812"/>
      <c r="E1166" s="812"/>
      <c r="F1166" s="813"/>
      <c r="G1166" s="121">
        <f>+G1130+G1146+G1157</f>
        <v>1220403</v>
      </c>
    </row>
    <row r="1167" spans="2:8">
      <c r="B1167" s="814" t="s">
        <v>861</v>
      </c>
      <c r="C1167" s="815"/>
      <c r="D1167" s="815"/>
      <c r="E1167" s="816"/>
      <c r="F1167" s="128">
        <f>'MANO DE OBRA'!D59</f>
        <v>0</v>
      </c>
      <c r="G1167" s="122">
        <f>ROUND(G1166*F1167,0)</f>
        <v>0</v>
      </c>
    </row>
    <row r="1168" spans="2:8" ht="13.5" thickBot="1">
      <c r="B1168" s="805" t="s">
        <v>1049</v>
      </c>
      <c r="C1168" s="806"/>
      <c r="D1168" s="806"/>
      <c r="E1168" s="806"/>
      <c r="F1168" s="807"/>
      <c r="G1168" s="118">
        <f>ROUND(G1166+G1167,-2)</f>
        <v>1220400</v>
      </c>
      <c r="H1168" s="506" t="s">
        <v>1670</v>
      </c>
    </row>
    <row r="1169" spans="1:7" ht="13.5" thickTop="1">
      <c r="B1169" s="225" t="s">
        <v>303</v>
      </c>
      <c r="C1169" s="843"/>
      <c r="D1169" s="843"/>
      <c r="E1169" s="843"/>
      <c r="F1169" s="92" t="s">
        <v>781</v>
      </c>
      <c r="G1169" s="93" t="s">
        <v>868</v>
      </c>
    </row>
    <row r="1170" spans="1:7">
      <c r="B1170" s="226" t="s">
        <v>834</v>
      </c>
      <c r="C1170" s="844" t="s">
        <v>343</v>
      </c>
      <c r="D1170" s="844"/>
      <c r="E1170" s="844"/>
      <c r="F1170" s="15" t="s">
        <v>833</v>
      </c>
      <c r="G1170" s="165" t="str">
        <f>'MANO DE OBRA'!D61</f>
        <v>Agosto de 2010</v>
      </c>
    </row>
    <row r="1171" spans="1:7" ht="13.5" thickBot="1">
      <c r="A1171" s="127"/>
      <c r="B1171" s="228" t="s">
        <v>835</v>
      </c>
      <c r="C1171" s="845" t="s">
        <v>585</v>
      </c>
      <c r="D1171" s="845"/>
      <c r="E1171" s="845"/>
      <c r="F1171" s="845"/>
      <c r="G1171" s="846"/>
    </row>
    <row r="1172" spans="1:7" ht="14.25" thickTop="1" thickBot="1">
      <c r="B1172" s="847"/>
      <c r="C1172" s="847"/>
      <c r="D1172" s="847"/>
      <c r="E1172" s="847"/>
      <c r="F1172" s="847"/>
      <c r="G1172" s="847"/>
    </row>
    <row r="1173" spans="1:7" ht="13.5" thickTop="1">
      <c r="B1173" s="811" t="s">
        <v>304</v>
      </c>
      <c r="C1173" s="812"/>
      <c r="D1173" s="812"/>
      <c r="E1173" s="812"/>
      <c r="F1173" s="812"/>
      <c r="G1173" s="825"/>
    </row>
    <row r="1174" spans="1:7">
      <c r="B1174" s="229"/>
      <c r="C1174" s="97"/>
      <c r="D1174" s="98" t="s">
        <v>301</v>
      </c>
      <c r="E1174" s="98" t="s">
        <v>1072</v>
      </c>
      <c r="F1174" s="99" t="s">
        <v>839</v>
      </c>
      <c r="G1174" s="107" t="s">
        <v>840</v>
      </c>
    </row>
    <row r="1175" spans="1:7">
      <c r="B1175" s="821" t="s">
        <v>838</v>
      </c>
      <c r="C1175" s="822"/>
      <c r="D1175" s="100" t="s">
        <v>308</v>
      </c>
      <c r="E1175" s="100" t="s">
        <v>305</v>
      </c>
      <c r="F1175" s="101" t="s">
        <v>306</v>
      </c>
      <c r="G1175" s="108" t="s">
        <v>310</v>
      </c>
    </row>
    <row r="1176" spans="1:7">
      <c r="B1176" s="230"/>
      <c r="C1176" s="102"/>
      <c r="D1176" s="103"/>
      <c r="E1176" s="103" t="s">
        <v>309</v>
      </c>
      <c r="F1176" s="104" t="s">
        <v>307</v>
      </c>
      <c r="G1176" s="109"/>
    </row>
    <row r="1177" spans="1:7">
      <c r="A1177" s="127"/>
      <c r="B1177" s="823" t="str">
        <f>'MAQUINARIA Y EQUIPOS'!C28</f>
        <v>HERRAMIENTAS MENORES</v>
      </c>
      <c r="C1177" s="824"/>
      <c r="D1177" s="87">
        <v>1</v>
      </c>
      <c r="E1177" s="82">
        <f>ROUND(G1210*0.25,0)</f>
        <v>320</v>
      </c>
      <c r="F1177" s="81">
        <v>18</v>
      </c>
      <c r="G1177" s="110">
        <f>ROUND(D1177*E1177/F1177,0)</f>
        <v>18</v>
      </c>
    </row>
    <row r="1178" spans="1:7">
      <c r="B1178" s="835"/>
      <c r="C1178" s="836"/>
      <c r="D1178" s="37"/>
      <c r="E1178" s="129"/>
      <c r="F1178" s="53"/>
      <c r="G1178" s="111"/>
    </row>
    <row r="1179" spans="1:7">
      <c r="B1179" s="835"/>
      <c r="C1179" s="836"/>
      <c r="D1179" s="37"/>
      <c r="E1179" s="129"/>
      <c r="F1179" s="53"/>
      <c r="G1179" s="111"/>
    </row>
    <row r="1180" spans="1:7">
      <c r="B1180" s="835"/>
      <c r="C1180" s="836"/>
      <c r="D1180" s="37"/>
      <c r="E1180" s="129"/>
      <c r="F1180" s="53"/>
      <c r="G1180" s="111"/>
    </row>
    <row r="1181" spans="1:7">
      <c r="B1181" s="835" t="s">
        <v>841</v>
      </c>
      <c r="C1181" s="836"/>
      <c r="D1181" s="37"/>
      <c r="E1181" s="82"/>
      <c r="F1181" s="83"/>
      <c r="G1181" s="111"/>
    </row>
    <row r="1182" spans="1:7" ht="13.5" thickBot="1">
      <c r="B1182" s="839" t="s">
        <v>841</v>
      </c>
      <c r="C1182" s="840"/>
      <c r="D1182" s="77"/>
      <c r="E1182" s="106"/>
      <c r="F1182" s="86"/>
      <c r="G1182" s="112"/>
    </row>
    <row r="1183" spans="1:7" ht="14.25" thickTop="1" thickBot="1">
      <c r="B1183" s="808"/>
      <c r="C1183" s="808"/>
      <c r="D1183" s="808"/>
      <c r="E1183" s="809"/>
      <c r="F1183" s="119" t="s">
        <v>856</v>
      </c>
      <c r="G1183" s="118">
        <f>SUM(G1177:G1182)</f>
        <v>18</v>
      </c>
    </row>
    <row r="1184" spans="1:7" ht="14.25" thickTop="1" thickBot="1">
      <c r="B1184" s="830"/>
      <c r="C1184" s="830"/>
      <c r="D1184" s="830"/>
      <c r="E1184" s="830"/>
      <c r="F1184" s="830"/>
      <c r="G1184" s="830"/>
    </row>
    <row r="1185" spans="1:8" ht="13.5" thickTop="1">
      <c r="B1185" s="811" t="s">
        <v>311</v>
      </c>
      <c r="C1185" s="812"/>
      <c r="D1185" s="812"/>
      <c r="E1185" s="812"/>
      <c r="F1185" s="812"/>
      <c r="G1185" s="825"/>
    </row>
    <row r="1186" spans="1:8">
      <c r="B1186" s="817" t="s">
        <v>838</v>
      </c>
      <c r="C1186" s="818"/>
      <c r="D1186" s="98" t="s">
        <v>842</v>
      </c>
      <c r="E1186" s="98" t="s">
        <v>853</v>
      </c>
      <c r="F1186" s="99" t="s">
        <v>1047</v>
      </c>
      <c r="G1186" s="107" t="s">
        <v>840</v>
      </c>
    </row>
    <row r="1187" spans="1:8">
      <c r="B1187" s="230"/>
      <c r="C1187" s="102"/>
      <c r="D1187" s="100"/>
      <c r="E1187" s="100" t="s">
        <v>312</v>
      </c>
      <c r="F1187" s="101" t="s">
        <v>313</v>
      </c>
      <c r="G1187" s="108" t="s">
        <v>314</v>
      </c>
    </row>
    <row r="1188" spans="1:8">
      <c r="A1188" s="125"/>
      <c r="B1188" s="871" t="str">
        <f>MATERIALES2!C918</f>
        <v>PUNTILLAS DE 2"</v>
      </c>
      <c r="C1188" s="872"/>
      <c r="D1188" s="87" t="s">
        <v>922</v>
      </c>
      <c r="E1188" s="130">
        <v>0.3</v>
      </c>
      <c r="F1188" s="80">
        <f>MATERIALES2!E918</f>
        <v>1500</v>
      </c>
      <c r="G1188" s="110">
        <f>ROUND(E1188*F1188,0)</f>
        <v>450</v>
      </c>
    </row>
    <row r="1189" spans="1:8">
      <c r="A1189" s="123"/>
      <c r="B1189" s="873" t="str">
        <f>MATERIALES2!C174</f>
        <v>MADERA REDONDA</v>
      </c>
      <c r="C1189" s="874"/>
      <c r="D1189" s="88" t="s">
        <v>865</v>
      </c>
      <c r="E1189" s="131">
        <v>0.5</v>
      </c>
      <c r="F1189" s="82">
        <f>MATERIALES2!E174</f>
        <v>1400</v>
      </c>
      <c r="G1189" s="111">
        <f>ROUND(E1189*F1189,0)</f>
        <v>700</v>
      </c>
    </row>
    <row r="1190" spans="1:8">
      <c r="B1190" s="873" t="str">
        <f>MATERIALES2!C926</f>
        <v>FIBRA PARA CERRAMIENTO</v>
      </c>
      <c r="C1190" s="836"/>
      <c r="D1190" s="37" t="s">
        <v>865</v>
      </c>
      <c r="E1190" s="132">
        <v>1</v>
      </c>
      <c r="F1190" s="82">
        <f>MATERIALES2!E926</f>
        <v>2200</v>
      </c>
      <c r="G1190" s="111">
        <f>ROUND(E1190*F1190,0)</f>
        <v>2200</v>
      </c>
    </row>
    <row r="1191" spans="1:8">
      <c r="B1191" s="873"/>
      <c r="C1191" s="836"/>
      <c r="D1191" s="37"/>
      <c r="E1191" s="132"/>
      <c r="F1191" s="82"/>
      <c r="G1191" s="111"/>
    </row>
    <row r="1192" spans="1:8">
      <c r="B1192" s="879"/>
      <c r="C1192" s="880"/>
      <c r="D1192" s="37"/>
      <c r="E1192" s="132"/>
      <c r="F1192" s="82"/>
      <c r="G1192" s="111"/>
      <c r="H1192" s="506" t="s">
        <v>1670</v>
      </c>
    </row>
    <row r="1193" spans="1:8">
      <c r="B1193" s="835"/>
      <c r="C1193" s="836"/>
      <c r="D1193" s="37"/>
      <c r="E1193" s="131"/>
      <c r="F1193" s="82"/>
      <c r="G1193" s="111"/>
    </row>
    <row r="1194" spans="1:8">
      <c r="B1194" s="835"/>
      <c r="C1194" s="836"/>
      <c r="D1194" s="37"/>
      <c r="E1194" s="131"/>
      <c r="F1194" s="82"/>
      <c r="G1194" s="111"/>
    </row>
    <row r="1195" spans="1:8">
      <c r="B1195" s="837" t="s">
        <v>841</v>
      </c>
      <c r="C1195" s="838"/>
      <c r="D1195" s="53" t="s">
        <v>841</v>
      </c>
      <c r="E1195" s="131"/>
      <c r="F1195" s="82"/>
      <c r="G1195" s="111"/>
    </row>
    <row r="1196" spans="1:8" ht="13.5" thickBot="1">
      <c r="B1196" s="839" t="s">
        <v>841</v>
      </c>
      <c r="C1196" s="840"/>
      <c r="D1196" s="84" t="s">
        <v>841</v>
      </c>
      <c r="E1196" s="133"/>
      <c r="F1196" s="85"/>
      <c r="G1196" s="112"/>
    </row>
    <row r="1197" spans="1:8" ht="13.5" thickTop="1">
      <c r="B1197" s="808"/>
      <c r="C1197" s="809"/>
      <c r="D1197" s="801" t="s">
        <v>856</v>
      </c>
      <c r="E1197" s="802"/>
      <c r="F1197" s="9"/>
      <c r="G1197" s="113">
        <f>SUM(G1188:G1196)</f>
        <v>3350</v>
      </c>
    </row>
    <row r="1198" spans="1:8">
      <c r="B1198" s="819"/>
      <c r="C1198" s="820"/>
      <c r="D1198" s="801" t="s">
        <v>857</v>
      </c>
      <c r="E1198" s="802"/>
      <c r="F1198" s="79">
        <f>'MANO DE OBRA'!D60</f>
        <v>0.05</v>
      </c>
      <c r="G1198" s="113">
        <f>ROUND(G1197*F1198,0)</f>
        <v>168</v>
      </c>
    </row>
    <row r="1199" spans="1:8" ht="13.5" thickBot="1">
      <c r="B1199" s="819"/>
      <c r="C1199" s="820"/>
      <c r="D1199" s="803" t="s">
        <v>320</v>
      </c>
      <c r="E1199" s="804"/>
      <c r="F1199" s="114"/>
      <c r="G1199" s="118">
        <f>+G1197+G1198</f>
        <v>3518</v>
      </c>
    </row>
    <row r="1200" spans="1:8" ht="14.25" thickTop="1" thickBot="1">
      <c r="B1200" s="830"/>
      <c r="C1200" s="830"/>
      <c r="D1200" s="830"/>
      <c r="E1200" s="830"/>
      <c r="F1200" s="830"/>
      <c r="G1200" s="830"/>
    </row>
    <row r="1201" spans="2:7" ht="13.5" thickTop="1">
      <c r="B1201" s="811" t="s">
        <v>858</v>
      </c>
      <c r="C1201" s="812"/>
      <c r="D1201" s="812"/>
      <c r="E1201" s="812"/>
      <c r="F1201" s="812"/>
      <c r="G1201" s="825"/>
    </row>
    <row r="1202" spans="2:7">
      <c r="B1202" s="817"/>
      <c r="C1202" s="818"/>
      <c r="D1202" s="98" t="s">
        <v>301</v>
      </c>
      <c r="E1202" s="98" t="s">
        <v>859</v>
      </c>
      <c r="F1202" s="99" t="s">
        <v>839</v>
      </c>
      <c r="G1202" s="107" t="s">
        <v>840</v>
      </c>
    </row>
    <row r="1203" spans="2:7">
      <c r="B1203" s="821" t="s">
        <v>838</v>
      </c>
      <c r="C1203" s="822"/>
      <c r="D1203" s="100" t="s">
        <v>316</v>
      </c>
      <c r="E1203" s="100" t="s">
        <v>315</v>
      </c>
      <c r="F1203" s="101" t="s">
        <v>306</v>
      </c>
      <c r="G1203" s="108" t="s">
        <v>319</v>
      </c>
    </row>
    <row r="1204" spans="2:7">
      <c r="B1204" s="230"/>
      <c r="C1204" s="102"/>
      <c r="D1204" s="103"/>
      <c r="E1204" s="103" t="s">
        <v>317</v>
      </c>
      <c r="F1204" s="104" t="s">
        <v>318</v>
      </c>
      <c r="G1204" s="109"/>
    </row>
    <row r="1205" spans="2:7">
      <c r="B1205" s="823" t="str">
        <f>'MANO DE OBRA'!B10</f>
        <v>AYUDANTE CUAD. TIPO AA</v>
      </c>
      <c r="C1205" s="824"/>
      <c r="D1205" s="87">
        <v>2</v>
      </c>
      <c r="E1205" s="80">
        <f>'MANO DE OBRA'!E10</f>
        <v>34680</v>
      </c>
      <c r="F1205" s="81">
        <v>110</v>
      </c>
      <c r="G1205" s="110">
        <f>ROUND(D1205*E1205/F1205,0)</f>
        <v>631</v>
      </c>
    </row>
    <row r="1206" spans="2:7">
      <c r="B1206" s="835" t="str">
        <f>'MANO DE OBRA'!B15</f>
        <v xml:space="preserve">OFICIAL CUAD. TIPO AA </v>
      </c>
      <c r="C1206" s="836"/>
      <c r="D1206" s="37">
        <v>1</v>
      </c>
      <c r="E1206" s="82">
        <f>'MANO DE OBRA'!E15</f>
        <v>71474</v>
      </c>
      <c r="F1206" s="83">
        <v>110</v>
      </c>
      <c r="G1206" s="111">
        <f>ROUND(D1206*E1206/F1206,0)</f>
        <v>650</v>
      </c>
    </row>
    <row r="1207" spans="2:7">
      <c r="B1207" s="835"/>
      <c r="C1207" s="836"/>
      <c r="D1207" s="37"/>
      <c r="E1207" s="82"/>
      <c r="F1207" s="83"/>
      <c r="G1207" s="111"/>
    </row>
    <row r="1208" spans="2:7">
      <c r="B1208" s="835" t="s">
        <v>841</v>
      </c>
      <c r="C1208" s="836"/>
      <c r="D1208" s="37"/>
      <c r="E1208" s="82"/>
      <c r="F1208" s="83"/>
      <c r="G1208" s="111"/>
    </row>
    <row r="1209" spans="2:7" ht="13.5" thickBot="1">
      <c r="B1209" s="828" t="s">
        <v>841</v>
      </c>
      <c r="C1209" s="829"/>
      <c r="D1209" s="77"/>
      <c r="E1209" s="82"/>
      <c r="F1209" s="86"/>
      <c r="G1209" s="112"/>
    </row>
    <row r="1210" spans="2:7" ht="14.25" thickTop="1" thickBot="1">
      <c r="B1210" s="808"/>
      <c r="C1210" s="808"/>
      <c r="D1210" s="808"/>
      <c r="E1210" s="809"/>
      <c r="F1210" s="120" t="s">
        <v>856</v>
      </c>
      <c r="G1210" s="118">
        <f>SUM(G1205:G1209)</f>
        <v>1281</v>
      </c>
    </row>
    <row r="1211" spans="2:7" ht="14.25" thickTop="1" thickBot="1">
      <c r="B1211" s="810"/>
      <c r="C1211" s="810"/>
      <c r="D1211" s="810"/>
      <c r="E1211" s="810"/>
      <c r="F1211" s="810"/>
      <c r="G1211" s="810"/>
    </row>
    <row r="1212" spans="2:7" ht="13.5" thickTop="1">
      <c r="B1212" s="811" t="s">
        <v>321</v>
      </c>
      <c r="C1212" s="812"/>
      <c r="D1212" s="812"/>
      <c r="E1212" s="812"/>
      <c r="F1212" s="812"/>
      <c r="G1212" s="825"/>
    </row>
    <row r="1213" spans="2:7">
      <c r="B1213" s="817" t="s">
        <v>838</v>
      </c>
      <c r="C1213" s="818"/>
      <c r="D1213" s="98" t="s">
        <v>301</v>
      </c>
      <c r="E1213" s="98" t="s">
        <v>297</v>
      </c>
      <c r="F1213" s="99" t="s">
        <v>839</v>
      </c>
      <c r="G1213" s="107" t="s">
        <v>840</v>
      </c>
    </row>
    <row r="1214" spans="2:7">
      <c r="B1214" s="230"/>
      <c r="C1214" s="102"/>
      <c r="D1214" s="103" t="s">
        <v>322</v>
      </c>
      <c r="E1214" s="103" t="s">
        <v>323</v>
      </c>
      <c r="F1214" s="104" t="s">
        <v>324</v>
      </c>
      <c r="G1214" s="109" t="s">
        <v>325</v>
      </c>
    </row>
    <row r="1215" spans="2:7">
      <c r="B1215" s="826"/>
      <c r="C1215" s="827"/>
      <c r="D1215" s="96"/>
      <c r="E1215" s="96"/>
      <c r="F1215" s="96"/>
      <c r="G1215" s="116"/>
    </row>
    <row r="1216" spans="2:7" ht="13.5" thickBot="1">
      <c r="B1216" s="828" t="s">
        <v>841</v>
      </c>
      <c r="C1216" s="829"/>
      <c r="D1216" s="77"/>
      <c r="E1216" s="82"/>
      <c r="F1216" s="86"/>
      <c r="G1216" s="112"/>
    </row>
    <row r="1217" spans="1:8" ht="14.25" thickTop="1" thickBot="1">
      <c r="B1217" s="808"/>
      <c r="C1217" s="808"/>
      <c r="D1217" s="808"/>
      <c r="E1217" s="809"/>
      <c r="F1217" s="120" t="s">
        <v>856</v>
      </c>
      <c r="G1217" s="118">
        <f>SUM(G1212:G1216)</f>
        <v>0</v>
      </c>
    </row>
    <row r="1218" spans="1:8" ht="14.25" thickTop="1" thickBot="1">
      <c r="B1218" s="810"/>
      <c r="C1218" s="810"/>
      <c r="D1218" s="810"/>
      <c r="E1218" s="810"/>
      <c r="F1218" s="810"/>
      <c r="G1218" s="834"/>
    </row>
    <row r="1219" spans="1:8" ht="13.5" thickTop="1">
      <c r="B1219" s="811" t="s">
        <v>326</v>
      </c>
      <c r="C1219" s="812"/>
      <c r="D1219" s="812"/>
      <c r="E1219" s="812"/>
      <c r="F1219" s="813"/>
      <c r="G1219" s="121">
        <f>+G1183+G1199+G1210</f>
        <v>4817</v>
      </c>
    </row>
    <row r="1220" spans="1:8">
      <c r="B1220" s="814" t="s">
        <v>861</v>
      </c>
      <c r="C1220" s="815"/>
      <c r="D1220" s="815"/>
      <c r="E1220" s="816"/>
      <c r="F1220" s="128">
        <f>'MANO DE OBRA'!D59</f>
        <v>0</v>
      </c>
      <c r="G1220" s="122">
        <f>ROUND(G1219*F1220,0)</f>
        <v>0</v>
      </c>
    </row>
    <row r="1221" spans="1:8" ht="13.5" thickBot="1">
      <c r="B1221" s="805" t="s">
        <v>1049</v>
      </c>
      <c r="C1221" s="806"/>
      <c r="D1221" s="806"/>
      <c r="E1221" s="806"/>
      <c r="F1221" s="807"/>
      <c r="G1221" s="118">
        <f>ROUND(G1219+G1220,-2)</f>
        <v>4800</v>
      </c>
      <c r="H1221" s="506" t="s">
        <v>1670</v>
      </c>
    </row>
    <row r="1222" spans="1:8" ht="13.5" thickTop="1">
      <c r="B1222" s="225" t="s">
        <v>303</v>
      </c>
      <c r="C1222" s="843"/>
      <c r="D1222" s="843"/>
      <c r="E1222" s="843"/>
      <c r="F1222" s="92" t="s">
        <v>781</v>
      </c>
      <c r="G1222" s="93" t="s">
        <v>831</v>
      </c>
    </row>
    <row r="1223" spans="1:8">
      <c r="B1223" s="226" t="s">
        <v>834</v>
      </c>
      <c r="C1223" s="844" t="s">
        <v>343</v>
      </c>
      <c r="D1223" s="844"/>
      <c r="E1223" s="844"/>
      <c r="F1223" s="15" t="s">
        <v>833</v>
      </c>
      <c r="G1223" s="165" t="str">
        <f>'MANO DE OBRA'!$D$61</f>
        <v>Agosto de 2010</v>
      </c>
    </row>
    <row r="1224" spans="1:8" ht="13.5" thickBot="1">
      <c r="A1224" s="127"/>
      <c r="B1224" s="228" t="s">
        <v>835</v>
      </c>
      <c r="C1224" s="845" t="s">
        <v>327</v>
      </c>
      <c r="D1224" s="845"/>
      <c r="E1224" s="845"/>
      <c r="F1224" s="845"/>
      <c r="G1224" s="846"/>
    </row>
    <row r="1225" spans="1:8" ht="14.25" thickTop="1" thickBot="1">
      <c r="B1225" s="847"/>
      <c r="C1225" s="847"/>
      <c r="D1225" s="847"/>
      <c r="E1225" s="847"/>
      <c r="F1225" s="847"/>
      <c r="G1225" s="847"/>
    </row>
    <row r="1226" spans="1:8" ht="13.5" thickTop="1">
      <c r="B1226" s="811" t="s">
        <v>304</v>
      </c>
      <c r="C1226" s="812"/>
      <c r="D1226" s="812"/>
      <c r="E1226" s="812"/>
      <c r="F1226" s="812"/>
      <c r="G1226" s="825"/>
    </row>
    <row r="1227" spans="1:8">
      <c r="B1227" s="229"/>
      <c r="C1227" s="97"/>
      <c r="D1227" s="98" t="s">
        <v>301</v>
      </c>
      <c r="E1227" s="98" t="s">
        <v>1072</v>
      </c>
      <c r="F1227" s="99" t="s">
        <v>839</v>
      </c>
      <c r="G1227" s="107" t="s">
        <v>840</v>
      </c>
    </row>
    <row r="1228" spans="1:8">
      <c r="B1228" s="821" t="s">
        <v>838</v>
      </c>
      <c r="C1228" s="822"/>
      <c r="D1228" s="100" t="s">
        <v>308</v>
      </c>
      <c r="E1228" s="100" t="s">
        <v>305</v>
      </c>
      <c r="F1228" s="101" t="s">
        <v>306</v>
      </c>
      <c r="G1228" s="108" t="s">
        <v>310</v>
      </c>
    </row>
    <row r="1229" spans="1:8">
      <c r="B1229" s="230"/>
      <c r="C1229" s="102"/>
      <c r="D1229" s="103"/>
      <c r="E1229" s="103" t="s">
        <v>309</v>
      </c>
      <c r="F1229" s="104" t="s">
        <v>307</v>
      </c>
      <c r="G1229" s="109"/>
    </row>
    <row r="1230" spans="1:8">
      <c r="A1230" s="127"/>
      <c r="B1230" s="823" t="str">
        <f>'MAQUINARIA Y EQUIPOS'!$C$28</f>
        <v>HERRAMIENTAS MENORES</v>
      </c>
      <c r="C1230" s="824"/>
      <c r="D1230" s="87">
        <v>1</v>
      </c>
      <c r="E1230" s="82">
        <f>ROUND(G1263*0.25,0)</f>
        <v>1062</v>
      </c>
      <c r="F1230" s="81">
        <v>0.5</v>
      </c>
      <c r="G1230" s="110">
        <f>ROUND(D1230*E1230/F1230,0)</f>
        <v>2124</v>
      </c>
    </row>
    <row r="1231" spans="1:8">
      <c r="B1231" s="835"/>
      <c r="C1231" s="836"/>
      <c r="D1231" s="37"/>
      <c r="E1231" s="129"/>
      <c r="F1231" s="53"/>
      <c r="G1231" s="111"/>
    </row>
    <row r="1232" spans="1:8">
      <c r="B1232" s="835"/>
      <c r="C1232" s="836"/>
      <c r="D1232" s="37"/>
      <c r="E1232" s="129"/>
      <c r="F1232" s="53"/>
      <c r="G1232" s="111"/>
    </row>
    <row r="1233" spans="1:8">
      <c r="B1233" s="835"/>
      <c r="C1233" s="836"/>
      <c r="D1233" s="37"/>
      <c r="E1233" s="129"/>
      <c r="F1233" s="53"/>
      <c r="G1233" s="111"/>
    </row>
    <row r="1234" spans="1:8">
      <c r="B1234" s="835" t="s">
        <v>841</v>
      </c>
      <c r="C1234" s="836"/>
      <c r="D1234" s="37"/>
      <c r="E1234" s="82"/>
      <c r="F1234" s="83"/>
      <c r="G1234" s="111"/>
    </row>
    <row r="1235" spans="1:8" ht="13.5" thickBot="1">
      <c r="B1235" s="839" t="s">
        <v>841</v>
      </c>
      <c r="C1235" s="840"/>
      <c r="D1235" s="77"/>
      <c r="E1235" s="106"/>
      <c r="F1235" s="86"/>
      <c r="G1235" s="112"/>
    </row>
    <row r="1236" spans="1:8" ht="14.25" thickTop="1" thickBot="1">
      <c r="B1236" s="808"/>
      <c r="C1236" s="808"/>
      <c r="D1236" s="808"/>
      <c r="E1236" s="809"/>
      <c r="F1236" s="119" t="s">
        <v>856</v>
      </c>
      <c r="G1236" s="118">
        <f>SUM(G1230:G1235)</f>
        <v>2124</v>
      </c>
    </row>
    <row r="1237" spans="1:8" ht="14.25" thickTop="1" thickBot="1">
      <c r="B1237" s="830"/>
      <c r="C1237" s="830"/>
      <c r="D1237" s="830"/>
      <c r="E1237" s="830"/>
      <c r="F1237" s="830"/>
      <c r="G1237" s="830"/>
    </row>
    <row r="1238" spans="1:8" ht="13.5" thickTop="1">
      <c r="B1238" s="811" t="s">
        <v>311</v>
      </c>
      <c r="C1238" s="812"/>
      <c r="D1238" s="812"/>
      <c r="E1238" s="812"/>
      <c r="F1238" s="812"/>
      <c r="G1238" s="825"/>
    </row>
    <row r="1239" spans="1:8">
      <c r="B1239" s="817" t="s">
        <v>838</v>
      </c>
      <c r="C1239" s="818"/>
      <c r="D1239" s="98" t="s">
        <v>842</v>
      </c>
      <c r="E1239" s="98" t="s">
        <v>853</v>
      </c>
      <c r="F1239" s="99" t="s">
        <v>1047</v>
      </c>
      <c r="G1239" s="107" t="s">
        <v>840</v>
      </c>
    </row>
    <row r="1240" spans="1:8">
      <c r="B1240" s="230"/>
      <c r="C1240" s="102"/>
      <c r="D1240" s="100"/>
      <c r="E1240" s="100" t="s">
        <v>312</v>
      </c>
      <c r="F1240" s="101" t="s">
        <v>313</v>
      </c>
      <c r="G1240" s="108" t="s">
        <v>314</v>
      </c>
    </row>
    <row r="1241" spans="1:8">
      <c r="A1241" s="125"/>
      <c r="B1241" s="875"/>
      <c r="C1241" s="876"/>
      <c r="D1241" s="87"/>
      <c r="E1241" s="10"/>
      <c r="F1241" s="80"/>
      <c r="G1241" s="110"/>
    </row>
    <row r="1242" spans="1:8">
      <c r="A1242" s="123"/>
      <c r="B1242" s="877"/>
      <c r="C1242" s="878"/>
      <c r="D1242" s="88"/>
      <c r="E1242" s="53"/>
      <c r="F1242" s="82"/>
      <c r="G1242" s="111"/>
    </row>
    <row r="1243" spans="1:8">
      <c r="B1243" s="835"/>
      <c r="C1243" s="836"/>
      <c r="D1243" s="37"/>
      <c r="E1243" s="55"/>
      <c r="F1243" s="82"/>
      <c r="G1243" s="111"/>
    </row>
    <row r="1244" spans="1:8">
      <c r="B1244" s="835"/>
      <c r="C1244" s="836"/>
      <c r="D1244" s="37"/>
      <c r="E1244" s="55"/>
      <c r="F1244" s="82"/>
      <c r="G1244" s="111"/>
      <c r="H1244" s="506" t="s">
        <v>1670</v>
      </c>
    </row>
    <row r="1245" spans="1:8">
      <c r="B1245" s="837"/>
      <c r="C1245" s="838"/>
      <c r="D1245" s="37"/>
      <c r="E1245" s="55"/>
      <c r="F1245" s="82"/>
      <c r="G1245" s="111"/>
    </row>
    <row r="1246" spans="1:8">
      <c r="B1246" s="837"/>
      <c r="C1246" s="838"/>
      <c r="D1246" s="53" t="s">
        <v>841</v>
      </c>
      <c r="E1246" s="53"/>
      <c r="F1246" s="82"/>
      <c r="G1246" s="111"/>
    </row>
    <row r="1247" spans="1:8">
      <c r="B1247" s="837" t="s">
        <v>841</v>
      </c>
      <c r="C1247" s="838"/>
      <c r="D1247" s="53" t="s">
        <v>841</v>
      </c>
      <c r="E1247" s="53"/>
      <c r="F1247" s="82"/>
      <c r="G1247" s="111"/>
    </row>
    <row r="1248" spans="1:8">
      <c r="B1248" s="837" t="s">
        <v>841</v>
      </c>
      <c r="C1248" s="838"/>
      <c r="D1248" s="53" t="s">
        <v>841</v>
      </c>
      <c r="E1248" s="53"/>
      <c r="F1248" s="82"/>
      <c r="G1248" s="111"/>
    </row>
    <row r="1249" spans="2:7" ht="13.5" thickBot="1">
      <c r="B1249" s="839" t="s">
        <v>841</v>
      </c>
      <c r="C1249" s="840"/>
      <c r="D1249" s="84" t="s">
        <v>841</v>
      </c>
      <c r="E1249" s="84"/>
      <c r="F1249" s="85"/>
      <c r="G1249" s="112"/>
    </row>
    <row r="1250" spans="2:7" ht="13.5" thickTop="1">
      <c r="B1250" s="808"/>
      <c r="C1250" s="809"/>
      <c r="D1250" s="801" t="s">
        <v>856</v>
      </c>
      <c r="E1250" s="802"/>
      <c r="F1250" s="9"/>
      <c r="G1250" s="113">
        <f>SUM(G1241:G1249)</f>
        <v>0</v>
      </c>
    </row>
    <row r="1251" spans="2:7">
      <c r="B1251" s="819"/>
      <c r="C1251" s="820"/>
      <c r="D1251" s="801" t="s">
        <v>857</v>
      </c>
      <c r="E1251" s="802"/>
      <c r="F1251" s="79">
        <f>'MANO DE OBRA'!$D$60</f>
        <v>0.05</v>
      </c>
      <c r="G1251" s="113">
        <f>ROUND(G1250*F1251,0)</f>
        <v>0</v>
      </c>
    </row>
    <row r="1252" spans="2:7" ht="13.5" thickBot="1">
      <c r="B1252" s="819"/>
      <c r="C1252" s="820"/>
      <c r="D1252" s="803" t="s">
        <v>320</v>
      </c>
      <c r="E1252" s="804"/>
      <c r="F1252" s="114"/>
      <c r="G1252" s="118">
        <f>+G1250+G1251</f>
        <v>0</v>
      </c>
    </row>
    <row r="1253" spans="2:7" ht="14.25" thickTop="1" thickBot="1">
      <c r="B1253" s="830"/>
      <c r="C1253" s="830"/>
      <c r="D1253" s="830"/>
      <c r="E1253" s="830"/>
      <c r="F1253" s="830"/>
      <c r="G1253" s="830"/>
    </row>
    <row r="1254" spans="2:7" ht="13.5" thickTop="1">
      <c r="B1254" s="811" t="s">
        <v>858</v>
      </c>
      <c r="C1254" s="812"/>
      <c r="D1254" s="812"/>
      <c r="E1254" s="812"/>
      <c r="F1254" s="812"/>
      <c r="G1254" s="825"/>
    </row>
    <row r="1255" spans="2:7">
      <c r="B1255" s="817"/>
      <c r="C1255" s="818"/>
      <c r="D1255" s="98" t="s">
        <v>301</v>
      </c>
      <c r="E1255" s="98" t="s">
        <v>859</v>
      </c>
      <c r="F1255" s="99" t="s">
        <v>839</v>
      </c>
      <c r="G1255" s="107" t="s">
        <v>840</v>
      </c>
    </row>
    <row r="1256" spans="2:7">
      <c r="B1256" s="821" t="s">
        <v>838</v>
      </c>
      <c r="C1256" s="822"/>
      <c r="D1256" s="100" t="s">
        <v>316</v>
      </c>
      <c r="E1256" s="100" t="s">
        <v>315</v>
      </c>
      <c r="F1256" s="101" t="s">
        <v>306</v>
      </c>
      <c r="G1256" s="108" t="s">
        <v>319</v>
      </c>
    </row>
    <row r="1257" spans="2:7">
      <c r="B1257" s="230"/>
      <c r="C1257" s="102"/>
      <c r="D1257" s="103"/>
      <c r="E1257" s="103" t="s">
        <v>317</v>
      </c>
      <c r="F1257" s="104" t="s">
        <v>318</v>
      </c>
      <c r="G1257" s="109"/>
    </row>
    <row r="1258" spans="2:7">
      <c r="B1258" s="823" t="str">
        <f>'MANO DE OBRA'!$B$10</f>
        <v>AYUDANTE CUAD. TIPO AA</v>
      </c>
      <c r="C1258" s="824"/>
      <c r="D1258" s="87">
        <v>1</v>
      </c>
      <c r="E1258" s="80">
        <f>'MANO DE OBRA'!$E$10</f>
        <v>34680</v>
      </c>
      <c r="F1258" s="81">
        <v>25</v>
      </c>
      <c r="G1258" s="110">
        <f>ROUND(D1258*E1258/F1258,0)</f>
        <v>1387</v>
      </c>
    </row>
    <row r="1259" spans="2:7">
      <c r="B1259" s="835" t="str">
        <f>'MANO DE OBRA'!$B$15</f>
        <v xml:space="preserve">OFICIAL CUAD. TIPO AA </v>
      </c>
      <c r="C1259" s="836"/>
      <c r="D1259" s="37">
        <v>1</v>
      </c>
      <c r="E1259" s="82">
        <f>'MANO DE OBRA'!$E$15</f>
        <v>71474</v>
      </c>
      <c r="F1259" s="83">
        <v>25</v>
      </c>
      <c r="G1259" s="111">
        <f>ROUND(D1259*E1259/F1259,0)</f>
        <v>2859</v>
      </c>
    </row>
    <row r="1260" spans="2:7">
      <c r="B1260" s="835"/>
      <c r="C1260" s="836"/>
      <c r="D1260" s="37"/>
      <c r="E1260" s="82"/>
      <c r="F1260" s="83"/>
      <c r="G1260" s="111"/>
    </row>
    <row r="1261" spans="2:7">
      <c r="B1261" s="835" t="s">
        <v>841</v>
      </c>
      <c r="C1261" s="836"/>
      <c r="D1261" s="37"/>
      <c r="E1261" s="82"/>
      <c r="F1261" s="83"/>
      <c r="G1261" s="111"/>
    </row>
    <row r="1262" spans="2:7" ht="13.5" thickBot="1">
      <c r="B1262" s="828" t="s">
        <v>841</v>
      </c>
      <c r="C1262" s="829"/>
      <c r="D1262" s="77"/>
      <c r="E1262" s="82"/>
      <c r="F1262" s="86"/>
      <c r="G1262" s="112"/>
    </row>
    <row r="1263" spans="2:7" ht="14.25" thickTop="1" thickBot="1">
      <c r="B1263" s="808"/>
      <c r="C1263" s="808"/>
      <c r="D1263" s="808"/>
      <c r="E1263" s="809"/>
      <c r="F1263" s="120" t="s">
        <v>856</v>
      </c>
      <c r="G1263" s="118">
        <f>SUM(G1258:G1262)</f>
        <v>4246</v>
      </c>
    </row>
    <row r="1264" spans="2:7" ht="14.25" thickTop="1" thickBot="1">
      <c r="B1264" s="810"/>
      <c r="C1264" s="810"/>
      <c r="D1264" s="810"/>
      <c r="E1264" s="810"/>
      <c r="F1264" s="810"/>
      <c r="G1264" s="810"/>
    </row>
    <row r="1265" spans="1:8" ht="13.5" thickTop="1">
      <c r="B1265" s="811" t="s">
        <v>321</v>
      </c>
      <c r="C1265" s="812"/>
      <c r="D1265" s="812"/>
      <c r="E1265" s="812"/>
      <c r="F1265" s="812"/>
      <c r="G1265" s="825"/>
    </row>
    <row r="1266" spans="1:8">
      <c r="B1266" s="817" t="s">
        <v>838</v>
      </c>
      <c r="C1266" s="818"/>
      <c r="D1266" s="98" t="s">
        <v>301</v>
      </c>
      <c r="E1266" s="98" t="s">
        <v>297</v>
      </c>
      <c r="F1266" s="99" t="s">
        <v>839</v>
      </c>
      <c r="G1266" s="107" t="s">
        <v>840</v>
      </c>
    </row>
    <row r="1267" spans="1:8">
      <c r="B1267" s="230"/>
      <c r="C1267" s="102"/>
      <c r="D1267" s="103" t="s">
        <v>322</v>
      </c>
      <c r="E1267" s="103" t="s">
        <v>323</v>
      </c>
      <c r="F1267" s="104" t="s">
        <v>324</v>
      </c>
      <c r="G1267" s="109" t="s">
        <v>325</v>
      </c>
    </row>
    <row r="1268" spans="1:8">
      <c r="B1268" s="826"/>
      <c r="C1268" s="827"/>
      <c r="D1268" s="96"/>
      <c r="E1268" s="96"/>
      <c r="F1268" s="96"/>
      <c r="G1268" s="116"/>
    </row>
    <row r="1269" spans="1:8" ht="13.5" thickBot="1">
      <c r="B1269" s="828" t="s">
        <v>841</v>
      </c>
      <c r="C1269" s="829"/>
      <c r="D1269" s="77"/>
      <c r="E1269" s="82"/>
      <c r="F1269" s="86"/>
      <c r="G1269" s="112"/>
    </row>
    <row r="1270" spans="1:8" ht="14.25" thickTop="1" thickBot="1">
      <c r="B1270" s="808"/>
      <c r="C1270" s="808"/>
      <c r="D1270" s="808"/>
      <c r="E1270" s="809"/>
      <c r="F1270" s="120" t="s">
        <v>856</v>
      </c>
      <c r="G1270" s="118">
        <f>SUM(G1265:G1269)</f>
        <v>0</v>
      </c>
    </row>
    <row r="1271" spans="1:8" ht="14.25" thickTop="1" thickBot="1">
      <c r="B1271" s="810"/>
      <c r="C1271" s="810"/>
      <c r="D1271" s="810"/>
      <c r="E1271" s="810"/>
      <c r="F1271" s="810"/>
      <c r="G1271" s="834"/>
    </row>
    <row r="1272" spans="1:8" ht="13.5" thickTop="1">
      <c r="B1272" s="811" t="s">
        <v>326</v>
      </c>
      <c r="C1272" s="812"/>
      <c r="D1272" s="812"/>
      <c r="E1272" s="812"/>
      <c r="F1272" s="813"/>
      <c r="G1272" s="121">
        <f>+G1236+G1252+G1263</f>
        <v>6370</v>
      </c>
    </row>
    <row r="1273" spans="1:8">
      <c r="B1273" s="814" t="s">
        <v>861</v>
      </c>
      <c r="C1273" s="815"/>
      <c r="D1273" s="815"/>
      <c r="E1273" s="816"/>
      <c r="F1273" s="128">
        <f>'MANO DE OBRA'!$D$59</f>
        <v>0</v>
      </c>
      <c r="G1273" s="122">
        <f>ROUND(G1272*F1273,0)</f>
        <v>0</v>
      </c>
    </row>
    <row r="1274" spans="1:8" ht="13.5" thickBot="1">
      <c r="B1274" s="805" t="s">
        <v>1049</v>
      </c>
      <c r="C1274" s="806"/>
      <c r="D1274" s="806"/>
      <c r="E1274" s="806"/>
      <c r="F1274" s="807"/>
      <c r="G1274" s="118">
        <f>ROUND(G1272+G1273,-2)</f>
        <v>6400</v>
      </c>
      <c r="H1274" s="506" t="s">
        <v>1670</v>
      </c>
    </row>
    <row r="1275" spans="1:8" ht="13.5" thickTop="1">
      <c r="B1275" s="225" t="s">
        <v>303</v>
      </c>
      <c r="C1275" s="843"/>
      <c r="D1275" s="843"/>
      <c r="E1275" s="843"/>
      <c r="F1275" s="92" t="s">
        <v>781</v>
      </c>
      <c r="G1275" s="93" t="s">
        <v>831</v>
      </c>
    </row>
    <row r="1276" spans="1:8">
      <c r="B1276" s="226" t="s">
        <v>834</v>
      </c>
      <c r="C1276" s="844" t="s">
        <v>343</v>
      </c>
      <c r="D1276" s="844"/>
      <c r="E1276" s="844"/>
      <c r="F1276" s="15" t="s">
        <v>833</v>
      </c>
      <c r="G1276" s="165" t="str">
        <f>'MANO DE OBRA'!$D$61</f>
        <v>Agosto de 2010</v>
      </c>
    </row>
    <row r="1277" spans="1:8" ht="13.5" thickBot="1">
      <c r="A1277" s="127"/>
      <c r="B1277" s="228" t="s">
        <v>835</v>
      </c>
      <c r="C1277" s="845" t="s">
        <v>328</v>
      </c>
      <c r="D1277" s="845"/>
      <c r="E1277" s="845"/>
      <c r="F1277" s="845"/>
      <c r="G1277" s="846"/>
    </row>
    <row r="1278" spans="1:8" ht="14.25" thickTop="1" thickBot="1">
      <c r="B1278" s="847"/>
      <c r="C1278" s="847"/>
      <c r="D1278" s="847"/>
      <c r="E1278" s="847"/>
      <c r="F1278" s="847"/>
      <c r="G1278" s="847"/>
    </row>
    <row r="1279" spans="1:8" ht="13.5" thickTop="1">
      <c r="B1279" s="811" t="s">
        <v>304</v>
      </c>
      <c r="C1279" s="812"/>
      <c r="D1279" s="812"/>
      <c r="E1279" s="812"/>
      <c r="F1279" s="812"/>
      <c r="G1279" s="825"/>
    </row>
    <row r="1280" spans="1:8">
      <c r="B1280" s="229"/>
      <c r="C1280" s="97"/>
      <c r="D1280" s="98" t="s">
        <v>301</v>
      </c>
      <c r="E1280" s="98" t="s">
        <v>1072</v>
      </c>
      <c r="F1280" s="99" t="s">
        <v>839</v>
      </c>
      <c r="G1280" s="107" t="s">
        <v>840</v>
      </c>
    </row>
    <row r="1281" spans="1:7">
      <c r="B1281" s="821" t="s">
        <v>838</v>
      </c>
      <c r="C1281" s="822"/>
      <c r="D1281" s="100" t="s">
        <v>308</v>
      </c>
      <c r="E1281" s="100" t="s">
        <v>305</v>
      </c>
      <c r="F1281" s="101" t="s">
        <v>306</v>
      </c>
      <c r="G1281" s="108" t="s">
        <v>310</v>
      </c>
    </row>
    <row r="1282" spans="1:7">
      <c r="B1282" s="230"/>
      <c r="C1282" s="102"/>
      <c r="D1282" s="103"/>
      <c r="E1282" s="103" t="s">
        <v>309</v>
      </c>
      <c r="F1282" s="104" t="s">
        <v>307</v>
      </c>
      <c r="G1282" s="109"/>
    </row>
    <row r="1283" spans="1:7">
      <c r="A1283" s="127"/>
      <c r="B1283" s="823" t="str">
        <f>'MAQUINARIA Y EQUIPOS'!$C$28</f>
        <v>HERRAMIENTAS MENORES</v>
      </c>
      <c r="C1283" s="824"/>
      <c r="D1283" s="87">
        <v>1</v>
      </c>
      <c r="E1283" s="82">
        <f>ROUND(G1316*0.25,0)</f>
        <v>2654</v>
      </c>
      <c r="F1283" s="81">
        <v>1</v>
      </c>
      <c r="G1283" s="110">
        <f>ROUND(D1283*E1283/F1283,0)</f>
        <v>2654</v>
      </c>
    </row>
    <row r="1284" spans="1:7">
      <c r="B1284" s="835"/>
      <c r="C1284" s="836"/>
      <c r="D1284" s="37"/>
      <c r="E1284" s="129"/>
      <c r="F1284" s="53"/>
      <c r="G1284" s="111"/>
    </row>
    <row r="1285" spans="1:7">
      <c r="B1285" s="835"/>
      <c r="C1285" s="836"/>
      <c r="D1285" s="37"/>
      <c r="E1285" s="129"/>
      <c r="F1285" s="53"/>
      <c r="G1285" s="111"/>
    </row>
    <row r="1286" spans="1:7">
      <c r="B1286" s="835"/>
      <c r="C1286" s="836"/>
      <c r="D1286" s="37"/>
      <c r="E1286" s="129"/>
      <c r="F1286" s="53"/>
      <c r="G1286" s="111"/>
    </row>
    <row r="1287" spans="1:7">
      <c r="B1287" s="835" t="s">
        <v>841</v>
      </c>
      <c r="C1287" s="836"/>
      <c r="D1287" s="37"/>
      <c r="E1287" s="82"/>
      <c r="F1287" s="83"/>
      <c r="G1287" s="111"/>
    </row>
    <row r="1288" spans="1:7" ht="13.5" thickBot="1">
      <c r="B1288" s="839" t="s">
        <v>841</v>
      </c>
      <c r="C1288" s="840"/>
      <c r="D1288" s="77"/>
      <c r="E1288" s="106"/>
      <c r="F1288" s="86"/>
      <c r="G1288" s="112"/>
    </row>
    <row r="1289" spans="1:7" ht="14.25" thickTop="1" thickBot="1">
      <c r="B1289" s="808"/>
      <c r="C1289" s="808"/>
      <c r="D1289" s="808"/>
      <c r="E1289" s="809"/>
      <c r="F1289" s="119" t="s">
        <v>856</v>
      </c>
      <c r="G1289" s="118">
        <f>SUM(G1283:G1288)</f>
        <v>2654</v>
      </c>
    </row>
    <row r="1290" spans="1:7" ht="14.25" thickTop="1" thickBot="1">
      <c r="B1290" s="830"/>
      <c r="C1290" s="830"/>
      <c r="D1290" s="830"/>
      <c r="E1290" s="830"/>
      <c r="F1290" s="830"/>
      <c r="G1290" s="830"/>
    </row>
    <row r="1291" spans="1:7" ht="13.5" thickTop="1">
      <c r="B1291" s="811" t="s">
        <v>311</v>
      </c>
      <c r="C1291" s="812"/>
      <c r="D1291" s="812"/>
      <c r="E1291" s="812"/>
      <c r="F1291" s="812"/>
      <c r="G1291" s="825"/>
    </row>
    <row r="1292" spans="1:7">
      <c r="B1292" s="817" t="s">
        <v>838</v>
      </c>
      <c r="C1292" s="818"/>
      <c r="D1292" s="98" t="s">
        <v>842</v>
      </c>
      <c r="E1292" s="98" t="s">
        <v>853</v>
      </c>
      <c r="F1292" s="99" t="s">
        <v>1047</v>
      </c>
      <c r="G1292" s="107" t="s">
        <v>840</v>
      </c>
    </row>
    <row r="1293" spans="1:7">
      <c r="B1293" s="230"/>
      <c r="C1293" s="102"/>
      <c r="D1293" s="100"/>
      <c r="E1293" s="100" t="s">
        <v>312</v>
      </c>
      <c r="F1293" s="101" t="s">
        <v>313</v>
      </c>
      <c r="G1293" s="108" t="s">
        <v>314</v>
      </c>
    </row>
    <row r="1294" spans="1:7">
      <c r="A1294" s="125"/>
      <c r="B1294" s="875"/>
      <c r="C1294" s="876"/>
      <c r="D1294" s="87"/>
      <c r="E1294" s="10"/>
      <c r="F1294" s="80"/>
      <c r="G1294" s="110"/>
    </row>
    <row r="1295" spans="1:7">
      <c r="A1295" s="123"/>
      <c r="B1295" s="877"/>
      <c r="C1295" s="878"/>
      <c r="D1295" s="88"/>
      <c r="E1295" s="53"/>
      <c r="F1295" s="82"/>
      <c r="G1295" s="111"/>
    </row>
    <row r="1296" spans="1:7">
      <c r="B1296" s="835"/>
      <c r="C1296" s="836"/>
      <c r="D1296" s="37"/>
      <c r="E1296" s="55"/>
      <c r="F1296" s="82"/>
      <c r="G1296" s="111"/>
    </row>
    <row r="1297" spans="2:8">
      <c r="B1297" s="835"/>
      <c r="C1297" s="836"/>
      <c r="D1297" s="37"/>
      <c r="E1297" s="55"/>
      <c r="F1297" s="82"/>
      <c r="G1297" s="111"/>
    </row>
    <row r="1298" spans="2:8">
      <c r="B1298" s="837"/>
      <c r="C1298" s="838"/>
      <c r="D1298" s="37"/>
      <c r="E1298" s="55"/>
      <c r="F1298" s="82"/>
      <c r="G1298" s="111"/>
      <c r="H1298" s="506" t="s">
        <v>1670</v>
      </c>
    </row>
    <row r="1299" spans="2:8">
      <c r="B1299" s="837"/>
      <c r="C1299" s="838"/>
      <c r="D1299" s="53" t="s">
        <v>841</v>
      </c>
      <c r="E1299" s="53"/>
      <c r="F1299" s="82"/>
      <c r="G1299" s="111"/>
    </row>
    <row r="1300" spans="2:8">
      <c r="B1300" s="837" t="s">
        <v>841</v>
      </c>
      <c r="C1300" s="838"/>
      <c r="D1300" s="53" t="s">
        <v>841</v>
      </c>
      <c r="E1300" s="53"/>
      <c r="F1300" s="82"/>
      <c r="G1300" s="111"/>
    </row>
    <row r="1301" spans="2:8">
      <c r="B1301" s="837" t="s">
        <v>841</v>
      </c>
      <c r="C1301" s="838"/>
      <c r="D1301" s="53" t="s">
        <v>841</v>
      </c>
      <c r="E1301" s="53"/>
      <c r="F1301" s="82"/>
      <c r="G1301" s="111"/>
    </row>
    <row r="1302" spans="2:8" ht="13.5" thickBot="1">
      <c r="B1302" s="839" t="s">
        <v>841</v>
      </c>
      <c r="C1302" s="840"/>
      <c r="D1302" s="84" t="s">
        <v>841</v>
      </c>
      <c r="E1302" s="84"/>
      <c r="F1302" s="85"/>
      <c r="G1302" s="112"/>
    </row>
    <row r="1303" spans="2:8" ht="13.5" thickTop="1">
      <c r="B1303" s="808"/>
      <c r="C1303" s="809"/>
      <c r="D1303" s="801" t="s">
        <v>856</v>
      </c>
      <c r="E1303" s="802"/>
      <c r="F1303" s="9"/>
      <c r="G1303" s="113">
        <f>SUM(G1294:G1302)</f>
        <v>0</v>
      </c>
    </row>
    <row r="1304" spans="2:8">
      <c r="B1304" s="819"/>
      <c r="C1304" s="820"/>
      <c r="D1304" s="801" t="s">
        <v>857</v>
      </c>
      <c r="E1304" s="802"/>
      <c r="F1304" s="79">
        <f>'MANO DE OBRA'!$D$60</f>
        <v>0.05</v>
      </c>
      <c r="G1304" s="113">
        <f>ROUND(G1303*F1304,0)</f>
        <v>0</v>
      </c>
    </row>
    <row r="1305" spans="2:8" ht="13.5" thickBot="1">
      <c r="B1305" s="819"/>
      <c r="C1305" s="820"/>
      <c r="D1305" s="803" t="s">
        <v>320</v>
      </c>
      <c r="E1305" s="804"/>
      <c r="F1305" s="114"/>
      <c r="G1305" s="118">
        <f>+G1303+G1304</f>
        <v>0</v>
      </c>
    </row>
    <row r="1306" spans="2:8" ht="14.25" thickTop="1" thickBot="1">
      <c r="B1306" s="830"/>
      <c r="C1306" s="830"/>
      <c r="D1306" s="830"/>
      <c r="E1306" s="830"/>
      <c r="F1306" s="830"/>
      <c r="G1306" s="830"/>
    </row>
    <row r="1307" spans="2:8" ht="13.5" thickTop="1">
      <c r="B1307" s="811" t="s">
        <v>858</v>
      </c>
      <c r="C1307" s="812"/>
      <c r="D1307" s="812"/>
      <c r="E1307" s="812"/>
      <c r="F1307" s="812"/>
      <c r="G1307" s="825"/>
    </row>
    <row r="1308" spans="2:8">
      <c r="B1308" s="817"/>
      <c r="C1308" s="818"/>
      <c r="D1308" s="98" t="s">
        <v>301</v>
      </c>
      <c r="E1308" s="98" t="s">
        <v>859</v>
      </c>
      <c r="F1308" s="99" t="s">
        <v>839</v>
      </c>
      <c r="G1308" s="107" t="s">
        <v>840</v>
      </c>
    </row>
    <row r="1309" spans="2:8">
      <c r="B1309" s="821" t="s">
        <v>838</v>
      </c>
      <c r="C1309" s="822"/>
      <c r="D1309" s="100" t="s">
        <v>316</v>
      </c>
      <c r="E1309" s="100" t="s">
        <v>315</v>
      </c>
      <c r="F1309" s="101" t="s">
        <v>306</v>
      </c>
      <c r="G1309" s="108" t="s">
        <v>319</v>
      </c>
    </row>
    <row r="1310" spans="2:8">
      <c r="B1310" s="230"/>
      <c r="C1310" s="102"/>
      <c r="D1310" s="103"/>
      <c r="E1310" s="103" t="s">
        <v>317</v>
      </c>
      <c r="F1310" s="104" t="s">
        <v>318</v>
      </c>
      <c r="G1310" s="109"/>
    </row>
    <row r="1311" spans="2:8">
      <c r="B1311" s="823" t="str">
        <f>'MANO DE OBRA'!$B$10</f>
        <v>AYUDANTE CUAD. TIPO AA</v>
      </c>
      <c r="C1311" s="824"/>
      <c r="D1311" s="87">
        <v>1</v>
      </c>
      <c r="E1311" s="80">
        <f>'MANO DE OBRA'!$E$10</f>
        <v>34680</v>
      </c>
      <c r="F1311" s="81">
        <v>10</v>
      </c>
      <c r="G1311" s="110">
        <f>ROUND(D1311*E1311/F1311,0)</f>
        <v>3468</v>
      </c>
    </row>
    <row r="1312" spans="2:8">
      <c r="B1312" s="835" t="str">
        <f>'MANO DE OBRA'!$B$15</f>
        <v xml:space="preserve">OFICIAL CUAD. TIPO AA </v>
      </c>
      <c r="C1312" s="836"/>
      <c r="D1312" s="37">
        <v>1</v>
      </c>
      <c r="E1312" s="82">
        <f>'MANO DE OBRA'!$E$15</f>
        <v>71474</v>
      </c>
      <c r="F1312" s="83">
        <v>10</v>
      </c>
      <c r="G1312" s="111">
        <f>ROUND(D1312*E1312/F1312,0)</f>
        <v>7147</v>
      </c>
    </row>
    <row r="1313" spans="2:8">
      <c r="B1313" s="835"/>
      <c r="C1313" s="836"/>
      <c r="D1313" s="37"/>
      <c r="E1313" s="82"/>
      <c r="F1313" s="83"/>
      <c r="G1313" s="111"/>
    </row>
    <row r="1314" spans="2:8">
      <c r="B1314" s="835" t="s">
        <v>841</v>
      </c>
      <c r="C1314" s="836"/>
      <c r="D1314" s="37"/>
      <c r="E1314" s="82"/>
      <c r="F1314" s="83"/>
      <c r="G1314" s="111"/>
    </row>
    <row r="1315" spans="2:8" ht="13.5" thickBot="1">
      <c r="B1315" s="828" t="s">
        <v>841</v>
      </c>
      <c r="C1315" s="829"/>
      <c r="D1315" s="77"/>
      <c r="E1315" s="82"/>
      <c r="F1315" s="86"/>
      <c r="G1315" s="112"/>
    </row>
    <row r="1316" spans="2:8" ht="14.25" thickTop="1" thickBot="1">
      <c r="B1316" s="808"/>
      <c r="C1316" s="808"/>
      <c r="D1316" s="808"/>
      <c r="E1316" s="809"/>
      <c r="F1316" s="120" t="s">
        <v>856</v>
      </c>
      <c r="G1316" s="118">
        <f>SUM(G1311:G1315)</f>
        <v>10615</v>
      </c>
    </row>
    <row r="1317" spans="2:8" ht="14.25" thickTop="1" thickBot="1">
      <c r="B1317" s="810"/>
      <c r="C1317" s="810"/>
      <c r="D1317" s="810"/>
      <c r="E1317" s="810"/>
      <c r="F1317" s="810"/>
      <c r="G1317" s="810"/>
    </row>
    <row r="1318" spans="2:8" ht="13.5" thickTop="1">
      <c r="B1318" s="811" t="s">
        <v>321</v>
      </c>
      <c r="C1318" s="812"/>
      <c r="D1318" s="812"/>
      <c r="E1318" s="812"/>
      <c r="F1318" s="812"/>
      <c r="G1318" s="825"/>
    </row>
    <row r="1319" spans="2:8">
      <c r="B1319" s="817" t="s">
        <v>838</v>
      </c>
      <c r="C1319" s="818"/>
      <c r="D1319" s="98" t="s">
        <v>301</v>
      </c>
      <c r="E1319" s="98" t="s">
        <v>297</v>
      </c>
      <c r="F1319" s="99" t="s">
        <v>839</v>
      </c>
      <c r="G1319" s="107" t="s">
        <v>840</v>
      </c>
    </row>
    <row r="1320" spans="2:8">
      <c r="B1320" s="230"/>
      <c r="C1320" s="102"/>
      <c r="D1320" s="103" t="s">
        <v>322</v>
      </c>
      <c r="E1320" s="103" t="s">
        <v>323</v>
      </c>
      <c r="F1320" s="104" t="s">
        <v>324</v>
      </c>
      <c r="G1320" s="109" t="s">
        <v>325</v>
      </c>
    </row>
    <row r="1321" spans="2:8">
      <c r="B1321" s="826"/>
      <c r="C1321" s="827"/>
      <c r="D1321" s="96"/>
      <c r="E1321" s="96"/>
      <c r="F1321" s="96"/>
      <c r="G1321" s="116"/>
    </row>
    <row r="1322" spans="2:8" ht="13.5" thickBot="1">
      <c r="B1322" s="828" t="s">
        <v>841</v>
      </c>
      <c r="C1322" s="829"/>
      <c r="D1322" s="77"/>
      <c r="E1322" s="82"/>
      <c r="F1322" s="86"/>
      <c r="G1322" s="112"/>
    </row>
    <row r="1323" spans="2:8" ht="14.25" thickTop="1" thickBot="1">
      <c r="B1323" s="808"/>
      <c r="C1323" s="808"/>
      <c r="D1323" s="808"/>
      <c r="E1323" s="809"/>
      <c r="F1323" s="120" t="s">
        <v>856</v>
      </c>
      <c r="G1323" s="118">
        <f>SUM(G1318:G1322)</f>
        <v>0</v>
      </c>
    </row>
    <row r="1324" spans="2:8" ht="14.25" thickTop="1" thickBot="1">
      <c r="B1324" s="810"/>
      <c r="C1324" s="810"/>
      <c r="D1324" s="810"/>
      <c r="E1324" s="810"/>
      <c r="F1324" s="810"/>
      <c r="G1324" s="834"/>
    </row>
    <row r="1325" spans="2:8" ht="13.5" thickTop="1">
      <c r="B1325" s="811" t="s">
        <v>326</v>
      </c>
      <c r="C1325" s="812"/>
      <c r="D1325" s="812"/>
      <c r="E1325" s="812"/>
      <c r="F1325" s="813"/>
      <c r="G1325" s="121">
        <f>+G1289+G1305+G1316</f>
        <v>13269</v>
      </c>
    </row>
    <row r="1326" spans="2:8">
      <c r="B1326" s="814" t="s">
        <v>861</v>
      </c>
      <c r="C1326" s="815"/>
      <c r="D1326" s="815"/>
      <c r="E1326" s="816"/>
      <c r="F1326" s="128">
        <f>'MANO DE OBRA'!$D$59</f>
        <v>0</v>
      </c>
      <c r="G1326" s="122">
        <f>ROUND(G1325*F1326,0)</f>
        <v>0</v>
      </c>
    </row>
    <row r="1327" spans="2:8" ht="13.5" thickBot="1">
      <c r="B1327" s="805" t="s">
        <v>1049</v>
      </c>
      <c r="C1327" s="806"/>
      <c r="D1327" s="806"/>
      <c r="E1327" s="806"/>
      <c r="F1327" s="807"/>
      <c r="G1327" s="118">
        <f>ROUND(G1325+G1326,-2)</f>
        <v>13300</v>
      </c>
      <c r="H1327" s="506" t="s">
        <v>1670</v>
      </c>
    </row>
    <row r="1328" spans="2:8" ht="13.5" thickTop="1">
      <c r="B1328" s="225" t="s">
        <v>303</v>
      </c>
      <c r="C1328" s="843"/>
      <c r="D1328" s="843"/>
      <c r="E1328" s="843"/>
      <c r="F1328" s="92" t="s">
        <v>781</v>
      </c>
      <c r="G1328" s="93" t="s">
        <v>868</v>
      </c>
    </row>
    <row r="1329" spans="1:7">
      <c r="B1329" s="226" t="s">
        <v>834</v>
      </c>
      <c r="C1329" s="844" t="s">
        <v>343</v>
      </c>
      <c r="D1329" s="844"/>
      <c r="E1329" s="844"/>
      <c r="F1329" s="15" t="s">
        <v>833</v>
      </c>
      <c r="G1329" s="165" t="str">
        <f>'MANO DE OBRA'!$D$61</f>
        <v>Agosto de 2010</v>
      </c>
    </row>
    <row r="1330" spans="1:7" ht="13.5" thickBot="1">
      <c r="A1330" s="127"/>
      <c r="B1330" s="228" t="s">
        <v>835</v>
      </c>
      <c r="C1330" s="845" t="s">
        <v>1259</v>
      </c>
      <c r="D1330" s="845"/>
      <c r="E1330" s="845"/>
      <c r="F1330" s="845"/>
      <c r="G1330" s="846"/>
    </row>
    <row r="1331" spans="1:7" ht="14.25" thickTop="1" thickBot="1">
      <c r="B1331" s="847"/>
      <c r="C1331" s="847"/>
      <c r="D1331" s="847"/>
      <c r="E1331" s="847"/>
      <c r="F1331" s="847"/>
      <c r="G1331" s="847"/>
    </row>
    <row r="1332" spans="1:7" ht="13.5" thickTop="1">
      <c r="B1332" s="811" t="s">
        <v>304</v>
      </c>
      <c r="C1332" s="812"/>
      <c r="D1332" s="812"/>
      <c r="E1332" s="812"/>
      <c r="F1332" s="812"/>
      <c r="G1332" s="825"/>
    </row>
    <row r="1333" spans="1:7">
      <c r="B1333" s="229"/>
      <c r="C1333" s="97"/>
      <c r="D1333" s="98" t="s">
        <v>301</v>
      </c>
      <c r="E1333" s="98" t="s">
        <v>1072</v>
      </c>
      <c r="F1333" s="99" t="s">
        <v>839</v>
      </c>
      <c r="G1333" s="107" t="s">
        <v>840</v>
      </c>
    </row>
    <row r="1334" spans="1:7">
      <c r="B1334" s="821" t="s">
        <v>838</v>
      </c>
      <c r="C1334" s="822"/>
      <c r="D1334" s="100" t="s">
        <v>308</v>
      </c>
      <c r="E1334" s="100" t="s">
        <v>305</v>
      </c>
      <c r="F1334" s="101" t="s">
        <v>306</v>
      </c>
      <c r="G1334" s="108" t="s">
        <v>310</v>
      </c>
    </row>
    <row r="1335" spans="1:7">
      <c r="B1335" s="230"/>
      <c r="C1335" s="102"/>
      <c r="D1335" s="103"/>
      <c r="E1335" s="103" t="s">
        <v>309</v>
      </c>
      <c r="F1335" s="104" t="s">
        <v>307</v>
      </c>
      <c r="G1335" s="109"/>
    </row>
    <row r="1336" spans="1:7">
      <c r="A1336" s="127"/>
      <c r="B1336" s="823" t="str">
        <f>'MAQUINARIA Y EQUIPOS'!$C$28</f>
        <v>HERRAMIENTAS MENORES</v>
      </c>
      <c r="C1336" s="824"/>
      <c r="D1336" s="87">
        <v>1</v>
      </c>
      <c r="E1336" s="82">
        <f>ROUND(G1369*0.25,0)</f>
        <v>1769</v>
      </c>
      <c r="F1336" s="81">
        <v>1</v>
      </c>
      <c r="G1336" s="110">
        <f>ROUND(D1336*E1336/F1336,0)</f>
        <v>1769</v>
      </c>
    </row>
    <row r="1337" spans="1:7">
      <c r="B1337" s="835"/>
      <c r="C1337" s="836"/>
      <c r="D1337" s="37"/>
      <c r="E1337" s="129"/>
      <c r="F1337" s="53"/>
      <c r="G1337" s="111"/>
    </row>
    <row r="1338" spans="1:7">
      <c r="B1338" s="835"/>
      <c r="C1338" s="836"/>
      <c r="D1338" s="37"/>
      <c r="E1338" s="129"/>
      <c r="F1338" s="53"/>
      <c r="G1338" s="111"/>
    </row>
    <row r="1339" spans="1:7">
      <c r="B1339" s="835"/>
      <c r="C1339" s="836"/>
      <c r="D1339" s="37"/>
      <c r="E1339" s="129"/>
      <c r="F1339" s="53"/>
      <c r="G1339" s="111"/>
    </row>
    <row r="1340" spans="1:7">
      <c r="B1340" s="835" t="s">
        <v>841</v>
      </c>
      <c r="C1340" s="836"/>
      <c r="D1340" s="37"/>
      <c r="E1340" s="82"/>
      <c r="F1340" s="83"/>
      <c r="G1340" s="111"/>
    </row>
    <row r="1341" spans="1:7" ht="13.5" thickBot="1">
      <c r="B1341" s="839" t="s">
        <v>841</v>
      </c>
      <c r="C1341" s="840"/>
      <c r="D1341" s="77"/>
      <c r="E1341" s="106"/>
      <c r="F1341" s="86"/>
      <c r="G1341" s="112"/>
    </row>
    <row r="1342" spans="1:7" ht="14.25" thickTop="1" thickBot="1">
      <c r="B1342" s="808"/>
      <c r="C1342" s="808"/>
      <c r="D1342" s="808"/>
      <c r="E1342" s="809"/>
      <c r="F1342" s="119" t="s">
        <v>856</v>
      </c>
      <c r="G1342" s="118">
        <f>SUM(G1336:G1341)</f>
        <v>1769</v>
      </c>
    </row>
    <row r="1343" spans="1:7" ht="14.25" thickTop="1" thickBot="1">
      <c r="B1343" s="830"/>
      <c r="C1343" s="830"/>
      <c r="D1343" s="830"/>
      <c r="E1343" s="830"/>
      <c r="F1343" s="830"/>
      <c r="G1343" s="830"/>
    </row>
    <row r="1344" spans="1:7" ht="13.5" thickTop="1">
      <c r="B1344" s="811" t="s">
        <v>311</v>
      </c>
      <c r="C1344" s="812"/>
      <c r="D1344" s="812"/>
      <c r="E1344" s="812"/>
      <c r="F1344" s="812"/>
      <c r="G1344" s="825"/>
    </row>
    <row r="1345" spans="1:8">
      <c r="B1345" s="817" t="s">
        <v>838</v>
      </c>
      <c r="C1345" s="818"/>
      <c r="D1345" s="98" t="s">
        <v>842</v>
      </c>
      <c r="E1345" s="98" t="s">
        <v>853</v>
      </c>
      <c r="F1345" s="99" t="s">
        <v>1047</v>
      </c>
      <c r="G1345" s="107" t="s">
        <v>840</v>
      </c>
    </row>
    <row r="1346" spans="1:8">
      <c r="B1346" s="230"/>
      <c r="C1346" s="102"/>
      <c r="D1346" s="100"/>
      <c r="E1346" s="100" t="s">
        <v>312</v>
      </c>
      <c r="F1346" s="101" t="s">
        <v>313</v>
      </c>
      <c r="G1346" s="108" t="s">
        <v>314</v>
      </c>
    </row>
    <row r="1347" spans="1:8">
      <c r="A1347" s="125"/>
      <c r="B1347" s="875"/>
      <c r="C1347" s="876"/>
      <c r="D1347" s="87"/>
      <c r="E1347" s="10"/>
      <c r="F1347" s="80"/>
      <c r="G1347" s="110"/>
    </row>
    <row r="1348" spans="1:8">
      <c r="A1348" s="123"/>
      <c r="B1348" s="877"/>
      <c r="C1348" s="878"/>
      <c r="D1348" s="88"/>
      <c r="E1348" s="53"/>
      <c r="F1348" s="82"/>
      <c r="G1348" s="111"/>
    </row>
    <row r="1349" spans="1:8">
      <c r="B1349" s="835"/>
      <c r="C1349" s="836"/>
      <c r="D1349" s="37"/>
      <c r="E1349" s="55"/>
      <c r="F1349" s="82"/>
      <c r="G1349" s="111"/>
    </row>
    <row r="1350" spans="1:8">
      <c r="B1350" s="835"/>
      <c r="C1350" s="836"/>
      <c r="D1350" s="37"/>
      <c r="E1350" s="55"/>
      <c r="F1350" s="82"/>
      <c r="G1350" s="111"/>
    </row>
    <row r="1351" spans="1:8">
      <c r="B1351" s="837"/>
      <c r="C1351" s="838"/>
      <c r="D1351" s="37"/>
      <c r="E1351" s="55"/>
      <c r="F1351" s="82"/>
      <c r="G1351" s="111"/>
      <c r="H1351" s="506" t="s">
        <v>1670</v>
      </c>
    </row>
    <row r="1352" spans="1:8">
      <c r="B1352" s="837"/>
      <c r="C1352" s="838"/>
      <c r="D1352" s="53" t="s">
        <v>841</v>
      </c>
      <c r="E1352" s="53"/>
      <c r="F1352" s="82"/>
      <c r="G1352" s="111"/>
    </row>
    <row r="1353" spans="1:8">
      <c r="B1353" s="837" t="s">
        <v>841</v>
      </c>
      <c r="C1353" s="838"/>
      <c r="D1353" s="53" t="s">
        <v>841</v>
      </c>
      <c r="E1353" s="53"/>
      <c r="F1353" s="82"/>
      <c r="G1353" s="111"/>
    </row>
    <row r="1354" spans="1:8">
      <c r="B1354" s="837" t="s">
        <v>841</v>
      </c>
      <c r="C1354" s="838"/>
      <c r="D1354" s="53" t="s">
        <v>841</v>
      </c>
      <c r="E1354" s="53"/>
      <c r="F1354" s="82"/>
      <c r="G1354" s="111"/>
    </row>
    <row r="1355" spans="1:8" ht="13.5" thickBot="1">
      <c r="B1355" s="839" t="s">
        <v>841</v>
      </c>
      <c r="C1355" s="840"/>
      <c r="D1355" s="84" t="s">
        <v>841</v>
      </c>
      <c r="E1355" s="84"/>
      <c r="F1355" s="85"/>
      <c r="G1355" s="112"/>
    </row>
    <row r="1356" spans="1:8" ht="13.5" thickTop="1">
      <c r="B1356" s="808"/>
      <c r="C1356" s="809"/>
      <c r="D1356" s="801" t="s">
        <v>856</v>
      </c>
      <c r="E1356" s="802"/>
      <c r="F1356" s="9"/>
      <c r="G1356" s="113">
        <f>SUM(G1347:G1355)</f>
        <v>0</v>
      </c>
    </row>
    <row r="1357" spans="1:8">
      <c r="B1357" s="819"/>
      <c r="C1357" s="820"/>
      <c r="D1357" s="801" t="s">
        <v>857</v>
      </c>
      <c r="E1357" s="802"/>
      <c r="F1357" s="79">
        <f>'MANO DE OBRA'!$D$60</f>
        <v>0.05</v>
      </c>
      <c r="G1357" s="113">
        <f>ROUND(G1356*F1357,0)</f>
        <v>0</v>
      </c>
    </row>
    <row r="1358" spans="1:8" ht="13.5" thickBot="1">
      <c r="B1358" s="819"/>
      <c r="C1358" s="820"/>
      <c r="D1358" s="803" t="s">
        <v>320</v>
      </c>
      <c r="E1358" s="804"/>
      <c r="F1358" s="114"/>
      <c r="G1358" s="118">
        <f>+G1356+G1357</f>
        <v>0</v>
      </c>
    </row>
    <row r="1359" spans="1:8" ht="14.25" thickTop="1" thickBot="1">
      <c r="B1359" s="830"/>
      <c r="C1359" s="830"/>
      <c r="D1359" s="830"/>
      <c r="E1359" s="830"/>
      <c r="F1359" s="830"/>
      <c r="G1359" s="830"/>
    </row>
    <row r="1360" spans="1:8" ht="13.5" thickTop="1">
      <c r="B1360" s="811" t="s">
        <v>858</v>
      </c>
      <c r="C1360" s="812"/>
      <c r="D1360" s="812"/>
      <c r="E1360" s="812"/>
      <c r="F1360" s="812"/>
      <c r="G1360" s="825"/>
    </row>
    <row r="1361" spans="2:7">
      <c r="B1361" s="817"/>
      <c r="C1361" s="818"/>
      <c r="D1361" s="98" t="s">
        <v>301</v>
      </c>
      <c r="E1361" s="98" t="s">
        <v>859</v>
      </c>
      <c r="F1361" s="99" t="s">
        <v>839</v>
      </c>
      <c r="G1361" s="107" t="s">
        <v>840</v>
      </c>
    </row>
    <row r="1362" spans="2:7">
      <c r="B1362" s="821" t="s">
        <v>838</v>
      </c>
      <c r="C1362" s="822"/>
      <c r="D1362" s="100" t="s">
        <v>316</v>
      </c>
      <c r="E1362" s="100" t="s">
        <v>315</v>
      </c>
      <c r="F1362" s="101" t="s">
        <v>306</v>
      </c>
      <c r="G1362" s="108" t="s">
        <v>319</v>
      </c>
    </row>
    <row r="1363" spans="2:7">
      <c r="B1363" s="230"/>
      <c r="C1363" s="102"/>
      <c r="D1363" s="103"/>
      <c r="E1363" s="103" t="s">
        <v>317</v>
      </c>
      <c r="F1363" s="104" t="s">
        <v>318</v>
      </c>
      <c r="G1363" s="109"/>
    </row>
    <row r="1364" spans="2:7">
      <c r="B1364" s="823" t="str">
        <f>'MANO DE OBRA'!$B$10</f>
        <v>AYUDANTE CUAD. TIPO AA</v>
      </c>
      <c r="C1364" s="824"/>
      <c r="D1364" s="87">
        <v>1</v>
      </c>
      <c r="E1364" s="80">
        <f>'MANO DE OBRA'!$E$10</f>
        <v>34680</v>
      </c>
      <c r="F1364" s="81">
        <v>15</v>
      </c>
      <c r="G1364" s="110">
        <f>ROUND(D1364*E1364/F1364,0)</f>
        <v>2312</v>
      </c>
    </row>
    <row r="1365" spans="2:7">
      <c r="B1365" s="835" t="str">
        <f>'MANO DE OBRA'!$B$15</f>
        <v xml:space="preserve">OFICIAL CUAD. TIPO AA </v>
      </c>
      <c r="C1365" s="836"/>
      <c r="D1365" s="37">
        <v>1</v>
      </c>
      <c r="E1365" s="82">
        <f>'MANO DE OBRA'!$E$15</f>
        <v>71474</v>
      </c>
      <c r="F1365" s="83">
        <v>15</v>
      </c>
      <c r="G1365" s="111">
        <f>ROUND(D1365*E1365/F1365,0)</f>
        <v>4765</v>
      </c>
    </row>
    <row r="1366" spans="2:7">
      <c r="B1366" s="835"/>
      <c r="C1366" s="836"/>
      <c r="D1366" s="37"/>
      <c r="E1366" s="82"/>
      <c r="F1366" s="83"/>
      <c r="G1366" s="111"/>
    </row>
    <row r="1367" spans="2:7">
      <c r="B1367" s="835" t="s">
        <v>841</v>
      </c>
      <c r="C1367" s="836"/>
      <c r="D1367" s="37"/>
      <c r="E1367" s="82"/>
      <c r="F1367" s="83"/>
      <c r="G1367" s="111"/>
    </row>
    <row r="1368" spans="2:7" ht="13.5" thickBot="1">
      <c r="B1368" s="828" t="s">
        <v>841</v>
      </c>
      <c r="C1368" s="829"/>
      <c r="D1368" s="77"/>
      <c r="E1368" s="82"/>
      <c r="F1368" s="86"/>
      <c r="G1368" s="112"/>
    </row>
    <row r="1369" spans="2:7" ht="14.25" thickTop="1" thickBot="1">
      <c r="B1369" s="808"/>
      <c r="C1369" s="808"/>
      <c r="D1369" s="808"/>
      <c r="E1369" s="809"/>
      <c r="F1369" s="120" t="s">
        <v>856</v>
      </c>
      <c r="G1369" s="118">
        <f>SUM(G1364:G1368)</f>
        <v>7077</v>
      </c>
    </row>
    <row r="1370" spans="2:7" ht="14.25" thickTop="1" thickBot="1">
      <c r="B1370" s="810"/>
      <c r="C1370" s="810"/>
      <c r="D1370" s="810"/>
      <c r="E1370" s="810"/>
      <c r="F1370" s="810"/>
      <c r="G1370" s="810"/>
    </row>
    <row r="1371" spans="2:7" ht="13.5" thickTop="1">
      <c r="B1371" s="811" t="s">
        <v>321</v>
      </c>
      <c r="C1371" s="812"/>
      <c r="D1371" s="812"/>
      <c r="E1371" s="812"/>
      <c r="F1371" s="812"/>
      <c r="G1371" s="825"/>
    </row>
    <row r="1372" spans="2:7">
      <c r="B1372" s="817" t="s">
        <v>838</v>
      </c>
      <c r="C1372" s="818"/>
      <c r="D1372" s="98" t="s">
        <v>301</v>
      </c>
      <c r="E1372" s="98" t="s">
        <v>297</v>
      </c>
      <c r="F1372" s="99" t="s">
        <v>839</v>
      </c>
      <c r="G1372" s="107" t="s">
        <v>840</v>
      </c>
    </row>
    <row r="1373" spans="2:7">
      <c r="B1373" s="230"/>
      <c r="C1373" s="102"/>
      <c r="D1373" s="103" t="s">
        <v>322</v>
      </c>
      <c r="E1373" s="103" t="s">
        <v>323</v>
      </c>
      <c r="F1373" s="104" t="s">
        <v>324</v>
      </c>
      <c r="G1373" s="109" t="s">
        <v>325</v>
      </c>
    </row>
    <row r="1374" spans="2:7">
      <c r="B1374" s="826"/>
      <c r="C1374" s="827"/>
      <c r="D1374" s="96"/>
      <c r="E1374" s="96"/>
      <c r="F1374" s="96"/>
      <c r="G1374" s="116"/>
    </row>
    <row r="1375" spans="2:7" ht="13.5" thickBot="1">
      <c r="B1375" s="828" t="s">
        <v>841</v>
      </c>
      <c r="C1375" s="829"/>
      <c r="D1375" s="77"/>
      <c r="E1375" s="82"/>
      <c r="F1375" s="86"/>
      <c r="G1375" s="112"/>
    </row>
    <row r="1376" spans="2:7" ht="14.25" thickTop="1" thickBot="1">
      <c r="B1376" s="808"/>
      <c r="C1376" s="808"/>
      <c r="D1376" s="808"/>
      <c r="E1376" s="809"/>
      <c r="F1376" s="120" t="s">
        <v>856</v>
      </c>
      <c r="G1376" s="118">
        <f>SUM(G1371:G1375)</f>
        <v>0</v>
      </c>
    </row>
    <row r="1377" spans="1:8" ht="14.25" thickTop="1" thickBot="1">
      <c r="B1377" s="810"/>
      <c r="C1377" s="810"/>
      <c r="D1377" s="810"/>
      <c r="E1377" s="810"/>
      <c r="F1377" s="810"/>
      <c r="G1377" s="834"/>
    </row>
    <row r="1378" spans="1:8" ht="13.5" thickTop="1">
      <c r="B1378" s="811" t="s">
        <v>326</v>
      </c>
      <c r="C1378" s="812"/>
      <c r="D1378" s="812"/>
      <c r="E1378" s="812"/>
      <c r="F1378" s="813"/>
      <c r="G1378" s="121">
        <f>+G1342+G1358+G1369</f>
        <v>8846</v>
      </c>
    </row>
    <row r="1379" spans="1:8">
      <c r="B1379" s="814" t="s">
        <v>861</v>
      </c>
      <c r="C1379" s="815"/>
      <c r="D1379" s="815"/>
      <c r="E1379" s="816"/>
      <c r="F1379" s="128">
        <f>'MANO DE OBRA'!$D$59</f>
        <v>0</v>
      </c>
      <c r="G1379" s="122">
        <f>ROUND(G1378*F1379,0)</f>
        <v>0</v>
      </c>
    </row>
    <row r="1380" spans="1:8" ht="13.5" thickBot="1">
      <c r="B1380" s="805" t="s">
        <v>1049</v>
      </c>
      <c r="C1380" s="806"/>
      <c r="D1380" s="806"/>
      <c r="E1380" s="806"/>
      <c r="F1380" s="807"/>
      <c r="G1380" s="118">
        <f>ROUND(G1378+G1379,-2)</f>
        <v>8800</v>
      </c>
      <c r="H1380" s="506" t="s">
        <v>1670</v>
      </c>
    </row>
    <row r="1381" spans="1:8" ht="13.5" thickTop="1">
      <c r="B1381" s="225" t="s">
        <v>303</v>
      </c>
      <c r="C1381" s="843"/>
      <c r="D1381" s="843"/>
      <c r="E1381" s="843"/>
      <c r="F1381" s="92" t="s">
        <v>781</v>
      </c>
      <c r="G1381" s="93" t="s">
        <v>831</v>
      </c>
    </row>
    <row r="1382" spans="1:8">
      <c r="B1382" s="226" t="s">
        <v>834</v>
      </c>
      <c r="C1382" s="844" t="s">
        <v>343</v>
      </c>
      <c r="D1382" s="844"/>
      <c r="E1382" s="844"/>
      <c r="F1382" s="15" t="s">
        <v>833</v>
      </c>
      <c r="G1382" s="165" t="str">
        <f>'MANO DE OBRA'!$D$61</f>
        <v>Agosto de 2010</v>
      </c>
    </row>
    <row r="1383" spans="1:8" ht="13.5" thickBot="1">
      <c r="A1383" s="127"/>
      <c r="B1383" s="228" t="s">
        <v>835</v>
      </c>
      <c r="C1383" s="845" t="s">
        <v>1446</v>
      </c>
      <c r="D1383" s="845"/>
      <c r="E1383" s="845"/>
      <c r="F1383" s="845"/>
      <c r="G1383" s="846"/>
    </row>
    <row r="1384" spans="1:8" ht="14.25" thickTop="1" thickBot="1">
      <c r="B1384" s="847"/>
      <c r="C1384" s="847"/>
      <c r="D1384" s="847"/>
      <c r="E1384" s="847"/>
      <c r="F1384" s="847"/>
      <c r="G1384" s="847"/>
    </row>
    <row r="1385" spans="1:8" ht="13.5" thickTop="1">
      <c r="B1385" s="811" t="s">
        <v>304</v>
      </c>
      <c r="C1385" s="812"/>
      <c r="D1385" s="812"/>
      <c r="E1385" s="812"/>
      <c r="F1385" s="812"/>
      <c r="G1385" s="825"/>
    </row>
    <row r="1386" spans="1:8">
      <c r="B1386" s="229"/>
      <c r="C1386" s="97"/>
      <c r="D1386" s="98" t="s">
        <v>301</v>
      </c>
      <c r="E1386" s="98" t="s">
        <v>1072</v>
      </c>
      <c r="F1386" s="99" t="s">
        <v>839</v>
      </c>
      <c r="G1386" s="107" t="s">
        <v>840</v>
      </c>
    </row>
    <row r="1387" spans="1:8">
      <c r="B1387" s="821" t="s">
        <v>838</v>
      </c>
      <c r="C1387" s="822"/>
      <c r="D1387" s="100" t="s">
        <v>308</v>
      </c>
      <c r="E1387" s="100" t="s">
        <v>305</v>
      </c>
      <c r="F1387" s="101" t="s">
        <v>306</v>
      </c>
      <c r="G1387" s="108" t="s">
        <v>310</v>
      </c>
    </row>
    <row r="1388" spans="1:8">
      <c r="B1388" s="230"/>
      <c r="C1388" s="102"/>
      <c r="D1388" s="103"/>
      <c r="E1388" s="103" t="s">
        <v>309</v>
      </c>
      <c r="F1388" s="104" t="s">
        <v>307</v>
      </c>
      <c r="G1388" s="109"/>
    </row>
    <row r="1389" spans="1:8">
      <c r="A1389" s="127"/>
      <c r="B1389" s="823" t="str">
        <f>'MAQUINARIA Y EQUIPOS'!$C$28</f>
        <v>HERRAMIENTAS MENORES</v>
      </c>
      <c r="C1389" s="824"/>
      <c r="D1389" s="87">
        <v>1</v>
      </c>
      <c r="E1389" s="82">
        <f>ROUND(G1422*0.25,0)</f>
        <v>1206</v>
      </c>
      <c r="F1389" s="81">
        <v>1</v>
      </c>
      <c r="G1389" s="110">
        <f>ROUND(D1389*E1389/F1389,0)</f>
        <v>1206</v>
      </c>
    </row>
    <row r="1390" spans="1:8">
      <c r="B1390" s="835"/>
      <c r="C1390" s="836"/>
      <c r="D1390" s="37"/>
      <c r="E1390" s="129"/>
      <c r="F1390" s="53"/>
      <c r="G1390" s="111"/>
    </row>
    <row r="1391" spans="1:8">
      <c r="B1391" s="835"/>
      <c r="C1391" s="836"/>
      <c r="D1391" s="37"/>
      <c r="E1391" s="129"/>
      <c r="F1391" s="53"/>
      <c r="G1391" s="111"/>
    </row>
    <row r="1392" spans="1:8">
      <c r="B1392" s="835"/>
      <c r="C1392" s="836"/>
      <c r="D1392" s="37"/>
      <c r="E1392" s="129"/>
      <c r="F1392" s="53"/>
      <c r="G1392" s="111"/>
    </row>
    <row r="1393" spans="1:8">
      <c r="B1393" s="835" t="s">
        <v>841</v>
      </c>
      <c r="C1393" s="836"/>
      <c r="D1393" s="37"/>
      <c r="E1393" s="82"/>
      <c r="F1393" s="83"/>
      <c r="G1393" s="111"/>
    </row>
    <row r="1394" spans="1:8" ht="13.5" thickBot="1">
      <c r="B1394" s="839" t="s">
        <v>841</v>
      </c>
      <c r="C1394" s="840"/>
      <c r="D1394" s="77"/>
      <c r="E1394" s="106"/>
      <c r="F1394" s="86"/>
      <c r="G1394" s="112"/>
    </row>
    <row r="1395" spans="1:8" ht="14.25" thickTop="1" thickBot="1">
      <c r="B1395" s="808"/>
      <c r="C1395" s="808"/>
      <c r="D1395" s="808"/>
      <c r="E1395" s="809"/>
      <c r="F1395" s="119" t="s">
        <v>856</v>
      </c>
      <c r="G1395" s="118">
        <f>SUM(G1389:G1394)</f>
        <v>1206</v>
      </c>
    </row>
    <row r="1396" spans="1:8" ht="14.25" thickTop="1" thickBot="1">
      <c r="B1396" s="830"/>
      <c r="C1396" s="830"/>
      <c r="D1396" s="830"/>
      <c r="E1396" s="830"/>
      <c r="F1396" s="830"/>
      <c r="G1396" s="830"/>
    </row>
    <row r="1397" spans="1:8" ht="13.5" thickTop="1">
      <c r="B1397" s="811" t="s">
        <v>311</v>
      </c>
      <c r="C1397" s="812"/>
      <c r="D1397" s="812"/>
      <c r="E1397" s="812"/>
      <c r="F1397" s="812"/>
      <c r="G1397" s="825"/>
    </row>
    <row r="1398" spans="1:8">
      <c r="B1398" s="817" t="s">
        <v>838</v>
      </c>
      <c r="C1398" s="818"/>
      <c r="D1398" s="98" t="s">
        <v>842</v>
      </c>
      <c r="E1398" s="98" t="s">
        <v>853</v>
      </c>
      <c r="F1398" s="99" t="s">
        <v>1047</v>
      </c>
      <c r="G1398" s="107" t="s">
        <v>840</v>
      </c>
    </row>
    <row r="1399" spans="1:8">
      <c r="B1399" s="230"/>
      <c r="C1399" s="102"/>
      <c r="D1399" s="100"/>
      <c r="E1399" s="100" t="s">
        <v>312</v>
      </c>
      <c r="F1399" s="101" t="s">
        <v>313</v>
      </c>
      <c r="G1399" s="108" t="s">
        <v>314</v>
      </c>
    </row>
    <row r="1400" spans="1:8">
      <c r="A1400" s="125"/>
      <c r="B1400" s="875"/>
      <c r="C1400" s="876"/>
      <c r="D1400" s="87"/>
      <c r="E1400" s="10"/>
      <c r="F1400" s="80"/>
      <c r="G1400" s="110"/>
    </row>
    <row r="1401" spans="1:8">
      <c r="A1401" s="123"/>
      <c r="B1401" s="877"/>
      <c r="C1401" s="878"/>
      <c r="D1401" s="88"/>
      <c r="E1401" s="53"/>
      <c r="F1401" s="82"/>
      <c r="G1401" s="111"/>
    </row>
    <row r="1402" spans="1:8">
      <c r="B1402" s="835"/>
      <c r="C1402" s="836"/>
      <c r="D1402" s="37"/>
      <c r="E1402" s="55"/>
      <c r="F1402" s="82"/>
      <c r="G1402" s="111"/>
    </row>
    <row r="1403" spans="1:8">
      <c r="B1403" s="835"/>
      <c r="C1403" s="836"/>
      <c r="D1403" s="37"/>
      <c r="E1403" s="55"/>
      <c r="F1403" s="82"/>
      <c r="G1403" s="111"/>
    </row>
    <row r="1404" spans="1:8">
      <c r="B1404" s="837"/>
      <c r="C1404" s="838"/>
      <c r="D1404" s="37"/>
      <c r="E1404" s="55"/>
      <c r="F1404" s="82"/>
      <c r="G1404" s="111"/>
      <c r="H1404" s="506" t="s">
        <v>1670</v>
      </c>
    </row>
    <row r="1405" spans="1:8">
      <c r="B1405" s="837"/>
      <c r="C1405" s="838"/>
      <c r="D1405" s="53" t="s">
        <v>841</v>
      </c>
      <c r="E1405" s="53"/>
      <c r="F1405" s="82"/>
      <c r="G1405" s="111"/>
    </row>
    <row r="1406" spans="1:8">
      <c r="B1406" s="837" t="s">
        <v>841</v>
      </c>
      <c r="C1406" s="838"/>
      <c r="D1406" s="53" t="s">
        <v>841</v>
      </c>
      <c r="E1406" s="53"/>
      <c r="F1406" s="82"/>
      <c r="G1406" s="111"/>
    </row>
    <row r="1407" spans="1:8">
      <c r="B1407" s="837" t="s">
        <v>841</v>
      </c>
      <c r="C1407" s="838"/>
      <c r="D1407" s="53" t="s">
        <v>841</v>
      </c>
      <c r="E1407" s="53"/>
      <c r="F1407" s="82"/>
      <c r="G1407" s="111"/>
    </row>
    <row r="1408" spans="1:8" ht="13.5" thickBot="1">
      <c r="B1408" s="839" t="s">
        <v>841</v>
      </c>
      <c r="C1408" s="840"/>
      <c r="D1408" s="84" t="s">
        <v>841</v>
      </c>
      <c r="E1408" s="84"/>
      <c r="F1408" s="85"/>
      <c r="G1408" s="112"/>
    </row>
    <row r="1409" spans="2:7" ht="13.5" thickTop="1">
      <c r="B1409" s="808"/>
      <c r="C1409" s="809"/>
      <c r="D1409" s="801" t="s">
        <v>856</v>
      </c>
      <c r="E1409" s="802"/>
      <c r="F1409" s="9"/>
      <c r="G1409" s="113">
        <f>SUM(G1400:G1408)</f>
        <v>0</v>
      </c>
    </row>
    <row r="1410" spans="2:7">
      <c r="B1410" s="819"/>
      <c r="C1410" s="820"/>
      <c r="D1410" s="801" t="s">
        <v>857</v>
      </c>
      <c r="E1410" s="802"/>
      <c r="F1410" s="79">
        <f>'MANO DE OBRA'!$D$60</f>
        <v>0.05</v>
      </c>
      <c r="G1410" s="113">
        <f>ROUND(G1409*F1410,0)</f>
        <v>0</v>
      </c>
    </row>
    <row r="1411" spans="2:7" ht="13.5" thickBot="1">
      <c r="B1411" s="819"/>
      <c r="C1411" s="820"/>
      <c r="D1411" s="803" t="s">
        <v>320</v>
      </c>
      <c r="E1411" s="804"/>
      <c r="F1411" s="114"/>
      <c r="G1411" s="118">
        <f>+G1409+G1410</f>
        <v>0</v>
      </c>
    </row>
    <row r="1412" spans="2:7" ht="14.25" thickTop="1" thickBot="1">
      <c r="B1412" s="830"/>
      <c r="C1412" s="830"/>
      <c r="D1412" s="830"/>
      <c r="E1412" s="830"/>
      <c r="F1412" s="830"/>
      <c r="G1412" s="830"/>
    </row>
    <row r="1413" spans="2:7" ht="13.5" thickTop="1">
      <c r="B1413" s="811" t="s">
        <v>858</v>
      </c>
      <c r="C1413" s="812"/>
      <c r="D1413" s="812"/>
      <c r="E1413" s="812"/>
      <c r="F1413" s="812"/>
      <c r="G1413" s="825"/>
    </row>
    <row r="1414" spans="2:7">
      <c r="B1414" s="817"/>
      <c r="C1414" s="818"/>
      <c r="D1414" s="98" t="s">
        <v>301</v>
      </c>
      <c r="E1414" s="98" t="s">
        <v>859</v>
      </c>
      <c r="F1414" s="99" t="s">
        <v>839</v>
      </c>
      <c r="G1414" s="107" t="s">
        <v>840</v>
      </c>
    </row>
    <row r="1415" spans="2:7">
      <c r="B1415" s="821" t="s">
        <v>838</v>
      </c>
      <c r="C1415" s="822"/>
      <c r="D1415" s="100" t="s">
        <v>316</v>
      </c>
      <c r="E1415" s="100" t="s">
        <v>315</v>
      </c>
      <c r="F1415" s="101" t="s">
        <v>306</v>
      </c>
      <c r="G1415" s="108" t="s">
        <v>319</v>
      </c>
    </row>
    <row r="1416" spans="2:7">
      <c r="B1416" s="230"/>
      <c r="C1416" s="102"/>
      <c r="D1416" s="103"/>
      <c r="E1416" s="103" t="s">
        <v>317</v>
      </c>
      <c r="F1416" s="104" t="s">
        <v>318</v>
      </c>
      <c r="G1416" s="109"/>
    </row>
    <row r="1417" spans="2:7">
      <c r="B1417" s="823" t="str">
        <f>'MANO DE OBRA'!$B$10</f>
        <v>AYUDANTE CUAD. TIPO AA</v>
      </c>
      <c r="C1417" s="824"/>
      <c r="D1417" s="87">
        <v>1</v>
      </c>
      <c r="E1417" s="80">
        <f>'MANO DE OBRA'!$E$10</f>
        <v>34680</v>
      </c>
      <c r="F1417" s="81">
        <v>22</v>
      </c>
      <c r="G1417" s="110">
        <f>ROUND(D1417*E1417/F1417,0)</f>
        <v>1576</v>
      </c>
    </row>
    <row r="1418" spans="2:7">
      <c r="B1418" s="835" t="str">
        <f>'MANO DE OBRA'!$B$15</f>
        <v xml:space="preserve">OFICIAL CUAD. TIPO AA </v>
      </c>
      <c r="C1418" s="836"/>
      <c r="D1418" s="37">
        <v>1</v>
      </c>
      <c r="E1418" s="82">
        <f>'MANO DE OBRA'!$E$15</f>
        <v>71474</v>
      </c>
      <c r="F1418" s="83">
        <v>22</v>
      </c>
      <c r="G1418" s="111">
        <f>ROUND(D1418*E1418/F1418,0)</f>
        <v>3249</v>
      </c>
    </row>
    <row r="1419" spans="2:7">
      <c r="B1419" s="835"/>
      <c r="C1419" s="836"/>
      <c r="D1419" s="37"/>
      <c r="E1419" s="82"/>
      <c r="F1419" s="83"/>
      <c r="G1419" s="111"/>
    </row>
    <row r="1420" spans="2:7">
      <c r="B1420" s="835" t="s">
        <v>841</v>
      </c>
      <c r="C1420" s="836"/>
      <c r="D1420" s="37"/>
      <c r="E1420" s="82"/>
      <c r="F1420" s="83"/>
      <c r="G1420" s="111"/>
    </row>
    <row r="1421" spans="2:7" ht="13.5" thickBot="1">
      <c r="B1421" s="828" t="s">
        <v>841</v>
      </c>
      <c r="C1421" s="829"/>
      <c r="D1421" s="77"/>
      <c r="E1421" s="82"/>
      <c r="F1421" s="86"/>
      <c r="G1421" s="112"/>
    </row>
    <row r="1422" spans="2:7" ht="14.25" thickTop="1" thickBot="1">
      <c r="B1422" s="808"/>
      <c r="C1422" s="808"/>
      <c r="D1422" s="808"/>
      <c r="E1422" s="809"/>
      <c r="F1422" s="120" t="s">
        <v>856</v>
      </c>
      <c r="G1422" s="118">
        <f>SUM(G1417:G1421)</f>
        <v>4825</v>
      </c>
    </row>
    <row r="1423" spans="2:7" ht="14.25" thickTop="1" thickBot="1">
      <c r="B1423" s="810"/>
      <c r="C1423" s="810"/>
      <c r="D1423" s="810"/>
      <c r="E1423" s="810"/>
      <c r="F1423" s="810"/>
      <c r="G1423" s="810"/>
    </row>
    <row r="1424" spans="2:7" ht="13.5" thickTop="1">
      <c r="B1424" s="811" t="s">
        <v>321</v>
      </c>
      <c r="C1424" s="812"/>
      <c r="D1424" s="812"/>
      <c r="E1424" s="812"/>
      <c r="F1424" s="812"/>
      <c r="G1424" s="825"/>
    </row>
    <row r="1425" spans="2:8">
      <c r="B1425" s="817" t="s">
        <v>838</v>
      </c>
      <c r="C1425" s="818"/>
      <c r="D1425" s="98" t="s">
        <v>301</v>
      </c>
      <c r="E1425" s="98" t="s">
        <v>297</v>
      </c>
      <c r="F1425" s="99" t="s">
        <v>839</v>
      </c>
      <c r="G1425" s="107" t="s">
        <v>840</v>
      </c>
    </row>
    <row r="1426" spans="2:8">
      <c r="B1426" s="230"/>
      <c r="C1426" s="102"/>
      <c r="D1426" s="103" t="s">
        <v>322</v>
      </c>
      <c r="E1426" s="103" t="s">
        <v>323</v>
      </c>
      <c r="F1426" s="104" t="s">
        <v>324</v>
      </c>
      <c r="G1426" s="109" t="s">
        <v>325</v>
      </c>
    </row>
    <row r="1427" spans="2:8">
      <c r="B1427" s="826"/>
      <c r="C1427" s="827"/>
      <c r="D1427" s="96"/>
      <c r="E1427" s="96"/>
      <c r="F1427" s="96"/>
      <c r="G1427" s="116"/>
    </row>
    <row r="1428" spans="2:8" ht="13.5" thickBot="1">
      <c r="B1428" s="828" t="s">
        <v>841</v>
      </c>
      <c r="C1428" s="829"/>
      <c r="D1428" s="77"/>
      <c r="E1428" s="82"/>
      <c r="F1428" s="86"/>
      <c r="G1428" s="112"/>
    </row>
    <row r="1429" spans="2:8" ht="14.25" thickTop="1" thickBot="1">
      <c r="B1429" s="808"/>
      <c r="C1429" s="808"/>
      <c r="D1429" s="808"/>
      <c r="E1429" s="809"/>
      <c r="F1429" s="120" t="s">
        <v>856</v>
      </c>
      <c r="G1429" s="118">
        <f>SUM(G1424:G1428)</f>
        <v>0</v>
      </c>
    </row>
    <row r="1430" spans="2:8" ht="14.25" thickTop="1" thickBot="1">
      <c r="B1430" s="810"/>
      <c r="C1430" s="810"/>
      <c r="D1430" s="810"/>
      <c r="E1430" s="810"/>
      <c r="F1430" s="810"/>
      <c r="G1430" s="834"/>
    </row>
    <row r="1431" spans="2:8" ht="13.5" thickTop="1">
      <c r="B1431" s="811" t="s">
        <v>326</v>
      </c>
      <c r="C1431" s="812"/>
      <c r="D1431" s="812"/>
      <c r="E1431" s="812"/>
      <c r="F1431" s="813"/>
      <c r="G1431" s="121">
        <f>+G1395+G1411+G1422</f>
        <v>6031</v>
      </c>
    </row>
    <row r="1432" spans="2:8">
      <c r="B1432" s="814" t="s">
        <v>861</v>
      </c>
      <c r="C1432" s="815"/>
      <c r="D1432" s="815"/>
      <c r="E1432" s="816"/>
      <c r="F1432" s="128">
        <f>'MANO DE OBRA'!$D$59</f>
        <v>0</v>
      </c>
      <c r="G1432" s="122">
        <f>ROUND(G1431*F1432,0)</f>
        <v>0</v>
      </c>
    </row>
    <row r="1433" spans="2:8" ht="13.5" thickBot="1">
      <c r="B1433" s="805" t="s">
        <v>1049</v>
      </c>
      <c r="C1433" s="806"/>
      <c r="D1433" s="806"/>
      <c r="E1433" s="806"/>
      <c r="F1433" s="807"/>
      <c r="G1433" s="118">
        <f>ROUND(G1431+G1432,-2)</f>
        <v>6000</v>
      </c>
      <c r="H1433" s="506" t="s">
        <v>1670</v>
      </c>
    </row>
    <row r="1434" spans="2:8" ht="13.5" thickTop="1">
      <c r="B1434" s="225" t="s">
        <v>303</v>
      </c>
      <c r="C1434" s="843"/>
      <c r="D1434" s="843"/>
      <c r="E1434" s="843"/>
      <c r="F1434" s="92" t="s">
        <v>781</v>
      </c>
      <c r="G1434" s="93" t="s">
        <v>831</v>
      </c>
    </row>
    <row r="1435" spans="2:8">
      <c r="B1435" s="226" t="s">
        <v>834</v>
      </c>
      <c r="C1435" s="844" t="s">
        <v>343</v>
      </c>
      <c r="D1435" s="844"/>
      <c r="E1435" s="844"/>
      <c r="F1435" s="15" t="s">
        <v>833</v>
      </c>
      <c r="G1435" s="165" t="str">
        <f>'MANO DE OBRA'!$D$61</f>
        <v>Agosto de 2010</v>
      </c>
    </row>
    <row r="1436" spans="2:8" ht="13.5" thickBot="1">
      <c r="B1436" s="228" t="s">
        <v>835</v>
      </c>
      <c r="C1436" s="845" t="s">
        <v>772</v>
      </c>
      <c r="D1436" s="845"/>
      <c r="E1436" s="845"/>
      <c r="F1436" s="845"/>
      <c r="G1436" s="846"/>
    </row>
    <row r="1437" spans="2:8" ht="14.25" thickTop="1" thickBot="1">
      <c r="B1437" s="847"/>
      <c r="C1437" s="847"/>
      <c r="D1437" s="847"/>
      <c r="E1437" s="847"/>
      <c r="F1437" s="847"/>
      <c r="G1437" s="847"/>
    </row>
    <row r="1438" spans="2:8" ht="13.5" thickTop="1">
      <c r="B1438" s="811" t="s">
        <v>304</v>
      </c>
      <c r="C1438" s="812"/>
      <c r="D1438" s="812"/>
      <c r="E1438" s="812"/>
      <c r="F1438" s="812"/>
      <c r="G1438" s="825"/>
    </row>
    <row r="1439" spans="2:8">
      <c r="B1439" s="229"/>
      <c r="C1439" s="97"/>
      <c r="D1439" s="98" t="s">
        <v>301</v>
      </c>
      <c r="E1439" s="98" t="s">
        <v>1072</v>
      </c>
      <c r="F1439" s="99" t="s">
        <v>839</v>
      </c>
      <c r="G1439" s="107" t="s">
        <v>840</v>
      </c>
    </row>
    <row r="1440" spans="2:8">
      <c r="B1440" s="821" t="s">
        <v>838</v>
      </c>
      <c r="C1440" s="822"/>
      <c r="D1440" s="100" t="s">
        <v>308</v>
      </c>
      <c r="E1440" s="100" t="s">
        <v>305</v>
      </c>
      <c r="F1440" s="101" t="s">
        <v>306</v>
      </c>
      <c r="G1440" s="108" t="s">
        <v>310</v>
      </c>
    </row>
    <row r="1441" spans="2:7">
      <c r="B1441" s="230"/>
      <c r="C1441" s="102"/>
      <c r="D1441" s="103"/>
      <c r="E1441" s="103" t="s">
        <v>309</v>
      </c>
      <c r="F1441" s="104" t="s">
        <v>307</v>
      </c>
      <c r="G1441" s="109"/>
    </row>
    <row r="1442" spans="2:7">
      <c r="B1442" s="823" t="str">
        <f>'MAQUINARIA Y EQUIPOS'!$C$28</f>
        <v>HERRAMIENTAS MENORES</v>
      </c>
      <c r="C1442" s="824"/>
      <c r="D1442" s="87">
        <v>1</v>
      </c>
      <c r="E1442" s="82">
        <f>ROUND(G1475*0.25,0)</f>
        <v>1769</v>
      </c>
      <c r="F1442" s="81">
        <v>1</v>
      </c>
      <c r="G1442" s="110">
        <f>ROUND(D1442*E1442/F1442,0)</f>
        <v>1769</v>
      </c>
    </row>
    <row r="1443" spans="2:7">
      <c r="B1443" s="835" t="str">
        <f>'MAQUINARIA Y EQUIPOS'!$C$43</f>
        <v>PULIDORA</v>
      </c>
      <c r="C1443" s="836"/>
      <c r="D1443" s="37">
        <v>1</v>
      </c>
      <c r="E1443" s="129">
        <f>'MAQUINARIA Y EQUIPOS'!$D$43</f>
        <v>29000</v>
      </c>
      <c r="F1443" s="53">
        <v>15</v>
      </c>
      <c r="G1443" s="111">
        <f>ROUND(D1443*E1443/F1443,0)</f>
        <v>1933</v>
      </c>
    </row>
    <row r="1444" spans="2:7">
      <c r="B1444" s="835"/>
      <c r="C1444" s="836"/>
      <c r="D1444" s="37"/>
      <c r="E1444" s="129"/>
      <c r="F1444" s="53"/>
      <c r="G1444" s="111"/>
    </row>
    <row r="1445" spans="2:7">
      <c r="B1445" s="835"/>
      <c r="C1445" s="836"/>
      <c r="D1445" s="37"/>
      <c r="E1445" s="129"/>
      <c r="F1445" s="53"/>
      <c r="G1445" s="111"/>
    </row>
    <row r="1446" spans="2:7">
      <c r="B1446" s="835" t="s">
        <v>841</v>
      </c>
      <c r="C1446" s="836"/>
      <c r="D1446" s="37"/>
      <c r="E1446" s="82"/>
      <c r="F1446" s="83"/>
      <c r="G1446" s="111"/>
    </row>
    <row r="1447" spans="2:7" ht="13.5" thickBot="1">
      <c r="B1447" s="839" t="s">
        <v>841</v>
      </c>
      <c r="C1447" s="840"/>
      <c r="D1447" s="77"/>
      <c r="E1447" s="106"/>
      <c r="F1447" s="86"/>
      <c r="G1447" s="112"/>
    </row>
    <row r="1448" spans="2:7" ht="14.25" thickTop="1" thickBot="1">
      <c r="B1448" s="808"/>
      <c r="C1448" s="808"/>
      <c r="D1448" s="808"/>
      <c r="E1448" s="809"/>
      <c r="F1448" s="119" t="s">
        <v>856</v>
      </c>
      <c r="G1448" s="118">
        <f>SUM(G1442:G1447)</f>
        <v>3702</v>
      </c>
    </row>
    <row r="1449" spans="2:7" ht="14.25" thickTop="1" thickBot="1">
      <c r="B1449" s="830"/>
      <c r="C1449" s="830"/>
      <c r="D1449" s="830"/>
      <c r="E1449" s="830"/>
      <c r="F1449" s="830"/>
      <c r="G1449" s="830"/>
    </row>
    <row r="1450" spans="2:7" ht="13.5" thickTop="1">
      <c r="B1450" s="811" t="s">
        <v>311</v>
      </c>
      <c r="C1450" s="812"/>
      <c r="D1450" s="812"/>
      <c r="E1450" s="812"/>
      <c r="F1450" s="812"/>
      <c r="G1450" s="825"/>
    </row>
    <row r="1451" spans="2:7">
      <c r="B1451" s="817" t="s">
        <v>838</v>
      </c>
      <c r="C1451" s="818"/>
      <c r="D1451" s="98" t="s">
        <v>842</v>
      </c>
      <c r="E1451" s="98" t="s">
        <v>853</v>
      </c>
      <c r="F1451" s="99" t="s">
        <v>1047</v>
      </c>
      <c r="G1451" s="107" t="s">
        <v>840</v>
      </c>
    </row>
    <row r="1452" spans="2:7">
      <c r="B1452" s="230"/>
      <c r="C1452" s="102"/>
      <c r="D1452" s="100"/>
      <c r="E1452" s="100" t="s">
        <v>312</v>
      </c>
      <c r="F1452" s="101" t="s">
        <v>313</v>
      </c>
      <c r="G1452" s="108" t="s">
        <v>314</v>
      </c>
    </row>
    <row r="1453" spans="2:7">
      <c r="B1453" s="875"/>
      <c r="C1453" s="876"/>
      <c r="D1453" s="87"/>
      <c r="E1453" s="10"/>
      <c r="F1453" s="80"/>
      <c r="G1453" s="110"/>
    </row>
    <row r="1454" spans="2:7">
      <c r="B1454" s="877"/>
      <c r="C1454" s="878"/>
      <c r="D1454" s="88"/>
      <c r="E1454" s="53"/>
      <c r="F1454" s="82"/>
      <c r="G1454" s="111"/>
    </row>
    <row r="1455" spans="2:7">
      <c r="B1455" s="835"/>
      <c r="C1455" s="836"/>
      <c r="D1455" s="37"/>
      <c r="E1455" s="55"/>
      <c r="F1455" s="82"/>
      <c r="G1455" s="111"/>
    </row>
    <row r="1456" spans="2:7">
      <c r="B1456" s="835"/>
      <c r="C1456" s="836"/>
      <c r="D1456" s="37"/>
      <c r="E1456" s="55"/>
      <c r="F1456" s="82"/>
      <c r="G1456" s="111"/>
    </row>
    <row r="1457" spans="2:8">
      <c r="B1457" s="837"/>
      <c r="C1457" s="838"/>
      <c r="D1457" s="37"/>
      <c r="E1457" s="55"/>
      <c r="F1457" s="82"/>
      <c r="G1457" s="111"/>
      <c r="H1457" s="506" t="s">
        <v>1670</v>
      </c>
    </row>
    <row r="1458" spans="2:8">
      <c r="B1458" s="837"/>
      <c r="C1458" s="838"/>
      <c r="D1458" s="53" t="s">
        <v>841</v>
      </c>
      <c r="E1458" s="53"/>
      <c r="F1458" s="82"/>
      <c r="G1458" s="111"/>
    </row>
    <row r="1459" spans="2:8">
      <c r="B1459" s="837" t="s">
        <v>841</v>
      </c>
      <c r="C1459" s="838"/>
      <c r="D1459" s="53" t="s">
        <v>841</v>
      </c>
      <c r="E1459" s="53"/>
      <c r="F1459" s="82"/>
      <c r="G1459" s="111"/>
    </row>
    <row r="1460" spans="2:8">
      <c r="B1460" s="837" t="s">
        <v>841</v>
      </c>
      <c r="C1460" s="838"/>
      <c r="D1460" s="53" t="s">
        <v>841</v>
      </c>
      <c r="E1460" s="53"/>
      <c r="F1460" s="82"/>
      <c r="G1460" s="111"/>
    </row>
    <row r="1461" spans="2:8" ht="13.5" thickBot="1">
      <c r="B1461" s="839" t="s">
        <v>841</v>
      </c>
      <c r="C1461" s="840"/>
      <c r="D1461" s="84" t="s">
        <v>841</v>
      </c>
      <c r="E1461" s="84"/>
      <c r="F1461" s="85"/>
      <c r="G1461" s="112"/>
    </row>
    <row r="1462" spans="2:8" ht="13.5" thickTop="1">
      <c r="B1462" s="808"/>
      <c r="C1462" s="809"/>
      <c r="D1462" s="801" t="s">
        <v>856</v>
      </c>
      <c r="E1462" s="802"/>
      <c r="F1462" s="9"/>
      <c r="G1462" s="113">
        <f>SUM(G1453:G1461)</f>
        <v>0</v>
      </c>
    </row>
    <row r="1463" spans="2:8">
      <c r="B1463" s="819"/>
      <c r="C1463" s="820"/>
      <c r="D1463" s="801" t="s">
        <v>857</v>
      </c>
      <c r="E1463" s="802"/>
      <c r="F1463" s="79">
        <f>'MANO DE OBRA'!$D$60</f>
        <v>0.05</v>
      </c>
      <c r="G1463" s="113">
        <f>ROUND(G1462*F1463,0)</f>
        <v>0</v>
      </c>
    </row>
    <row r="1464" spans="2:8" ht="13.5" thickBot="1">
      <c r="B1464" s="819"/>
      <c r="C1464" s="820"/>
      <c r="D1464" s="803" t="s">
        <v>320</v>
      </c>
      <c r="E1464" s="804"/>
      <c r="F1464" s="114"/>
      <c r="G1464" s="118">
        <f>+G1462+G1463</f>
        <v>0</v>
      </c>
    </row>
    <row r="1465" spans="2:8" ht="14.25" thickTop="1" thickBot="1">
      <c r="B1465" s="830"/>
      <c r="C1465" s="830"/>
      <c r="D1465" s="830"/>
      <c r="E1465" s="830"/>
      <c r="F1465" s="830"/>
      <c r="G1465" s="830"/>
    </row>
    <row r="1466" spans="2:8" ht="13.5" thickTop="1">
      <c r="B1466" s="811" t="s">
        <v>858</v>
      </c>
      <c r="C1466" s="812"/>
      <c r="D1466" s="812"/>
      <c r="E1466" s="812"/>
      <c r="F1466" s="812"/>
      <c r="G1466" s="825"/>
    </row>
    <row r="1467" spans="2:8">
      <c r="B1467" s="817"/>
      <c r="C1467" s="818"/>
      <c r="D1467" s="98" t="s">
        <v>301</v>
      </c>
      <c r="E1467" s="98" t="s">
        <v>859</v>
      </c>
      <c r="F1467" s="99" t="s">
        <v>839</v>
      </c>
      <c r="G1467" s="107" t="s">
        <v>840</v>
      </c>
    </row>
    <row r="1468" spans="2:8">
      <c r="B1468" s="821" t="s">
        <v>838</v>
      </c>
      <c r="C1468" s="822"/>
      <c r="D1468" s="100" t="s">
        <v>316</v>
      </c>
      <c r="E1468" s="100" t="s">
        <v>315</v>
      </c>
      <c r="F1468" s="101" t="s">
        <v>306</v>
      </c>
      <c r="G1468" s="108" t="s">
        <v>319</v>
      </c>
    </row>
    <row r="1469" spans="2:8">
      <c r="B1469" s="230"/>
      <c r="C1469" s="102"/>
      <c r="D1469" s="103"/>
      <c r="E1469" s="103" t="s">
        <v>317</v>
      </c>
      <c r="F1469" s="104" t="s">
        <v>318</v>
      </c>
      <c r="G1469" s="109"/>
    </row>
    <row r="1470" spans="2:8">
      <c r="B1470" s="823" t="str">
        <f>'MANO DE OBRA'!$B$10</f>
        <v>AYUDANTE CUAD. TIPO AA</v>
      </c>
      <c r="C1470" s="824"/>
      <c r="D1470" s="87">
        <v>1</v>
      </c>
      <c r="E1470" s="80">
        <f>'MANO DE OBRA'!$E$10</f>
        <v>34680</v>
      </c>
      <c r="F1470" s="81">
        <v>15</v>
      </c>
      <c r="G1470" s="110">
        <f>ROUND(D1470*E1470/F1470,0)</f>
        <v>2312</v>
      </c>
    </row>
    <row r="1471" spans="2:8">
      <c r="B1471" s="835" t="str">
        <f>'MANO DE OBRA'!$B$15</f>
        <v xml:space="preserve">OFICIAL CUAD. TIPO AA </v>
      </c>
      <c r="C1471" s="836"/>
      <c r="D1471" s="37">
        <v>1</v>
      </c>
      <c r="E1471" s="82">
        <f>'MANO DE OBRA'!$E$15</f>
        <v>71474</v>
      </c>
      <c r="F1471" s="83">
        <v>15</v>
      </c>
      <c r="G1471" s="111">
        <f>ROUND(D1471*E1471/F1471,0)</f>
        <v>4765</v>
      </c>
    </row>
    <row r="1472" spans="2:8">
      <c r="B1472" s="835"/>
      <c r="C1472" s="836"/>
      <c r="D1472" s="37"/>
      <c r="E1472" s="82"/>
      <c r="F1472" s="83"/>
      <c r="G1472" s="111"/>
    </row>
    <row r="1473" spans="2:8">
      <c r="B1473" s="835" t="s">
        <v>841</v>
      </c>
      <c r="C1473" s="836"/>
      <c r="D1473" s="37"/>
      <c r="E1473" s="82"/>
      <c r="F1473" s="83"/>
      <c r="G1473" s="111"/>
    </row>
    <row r="1474" spans="2:8" ht="13.5" thickBot="1">
      <c r="B1474" s="828" t="s">
        <v>841</v>
      </c>
      <c r="C1474" s="829"/>
      <c r="D1474" s="77"/>
      <c r="E1474" s="82"/>
      <c r="F1474" s="86"/>
      <c r="G1474" s="112"/>
    </row>
    <row r="1475" spans="2:8" ht="14.25" thickTop="1" thickBot="1">
      <c r="B1475" s="808"/>
      <c r="C1475" s="808"/>
      <c r="D1475" s="808"/>
      <c r="E1475" s="809"/>
      <c r="F1475" s="120" t="s">
        <v>856</v>
      </c>
      <c r="G1475" s="118">
        <f>SUM(G1470:G1474)</f>
        <v>7077</v>
      </c>
    </row>
    <row r="1476" spans="2:8" ht="14.25" thickTop="1" thickBot="1">
      <c r="B1476" s="810"/>
      <c r="C1476" s="810"/>
      <c r="D1476" s="810"/>
      <c r="E1476" s="810"/>
      <c r="F1476" s="810"/>
      <c r="G1476" s="810"/>
    </row>
    <row r="1477" spans="2:8" ht="13.5" thickTop="1">
      <c r="B1477" s="811" t="s">
        <v>321</v>
      </c>
      <c r="C1477" s="812"/>
      <c r="D1477" s="812"/>
      <c r="E1477" s="812"/>
      <c r="F1477" s="812"/>
      <c r="G1477" s="825"/>
    </row>
    <row r="1478" spans="2:8">
      <c r="B1478" s="817" t="s">
        <v>838</v>
      </c>
      <c r="C1478" s="818"/>
      <c r="D1478" s="98" t="s">
        <v>301</v>
      </c>
      <c r="E1478" s="98" t="s">
        <v>297</v>
      </c>
      <c r="F1478" s="99" t="s">
        <v>839</v>
      </c>
      <c r="G1478" s="107" t="s">
        <v>840</v>
      </c>
    </row>
    <row r="1479" spans="2:8">
      <c r="B1479" s="230"/>
      <c r="C1479" s="102"/>
      <c r="D1479" s="103" t="s">
        <v>322</v>
      </c>
      <c r="E1479" s="103" t="s">
        <v>323</v>
      </c>
      <c r="F1479" s="104" t="s">
        <v>324</v>
      </c>
      <c r="G1479" s="109" t="s">
        <v>325</v>
      </c>
    </row>
    <row r="1480" spans="2:8">
      <c r="B1480" s="826"/>
      <c r="C1480" s="827"/>
      <c r="D1480" s="96"/>
      <c r="E1480" s="96"/>
      <c r="F1480" s="96"/>
      <c r="G1480" s="116"/>
    </row>
    <row r="1481" spans="2:8" ht="13.5" thickBot="1">
      <c r="B1481" s="828" t="s">
        <v>841</v>
      </c>
      <c r="C1481" s="829"/>
      <c r="D1481" s="77"/>
      <c r="E1481" s="82"/>
      <c r="F1481" s="86"/>
      <c r="G1481" s="112"/>
    </row>
    <row r="1482" spans="2:8" ht="14.25" thickTop="1" thickBot="1">
      <c r="B1482" s="808"/>
      <c r="C1482" s="808"/>
      <c r="D1482" s="808"/>
      <c r="E1482" s="809"/>
      <c r="F1482" s="120" t="s">
        <v>856</v>
      </c>
      <c r="G1482" s="118">
        <f>SUM(G1477:G1481)</f>
        <v>0</v>
      </c>
    </row>
    <row r="1483" spans="2:8" ht="14.25" thickTop="1" thickBot="1">
      <c r="B1483" s="810"/>
      <c r="C1483" s="810"/>
      <c r="D1483" s="810"/>
      <c r="E1483" s="810"/>
      <c r="F1483" s="810"/>
      <c r="G1483" s="834"/>
    </row>
    <row r="1484" spans="2:8" ht="13.5" thickTop="1">
      <c r="B1484" s="811" t="s">
        <v>326</v>
      </c>
      <c r="C1484" s="812"/>
      <c r="D1484" s="812"/>
      <c r="E1484" s="812"/>
      <c r="F1484" s="813"/>
      <c r="G1484" s="121">
        <f>+G1448+G1464+G1475</f>
        <v>10779</v>
      </c>
    </row>
    <row r="1485" spans="2:8">
      <c r="B1485" s="814" t="s">
        <v>861</v>
      </c>
      <c r="C1485" s="815"/>
      <c r="D1485" s="815"/>
      <c r="E1485" s="816"/>
      <c r="F1485" s="128">
        <f>'MANO DE OBRA'!$D$59</f>
        <v>0</v>
      </c>
      <c r="G1485" s="122">
        <f>ROUND(G1484*F1485,0)</f>
        <v>0</v>
      </c>
    </row>
    <row r="1486" spans="2:8" ht="13.5" thickBot="1">
      <c r="B1486" s="805" t="s">
        <v>1049</v>
      </c>
      <c r="C1486" s="806"/>
      <c r="D1486" s="806"/>
      <c r="E1486" s="806"/>
      <c r="F1486" s="807"/>
      <c r="G1486" s="118">
        <f>ROUND(G1484+G1485,-2)</f>
        <v>10800</v>
      </c>
      <c r="H1486" s="506" t="s">
        <v>1670</v>
      </c>
    </row>
    <row r="1487" spans="2:8" ht="13.5" thickTop="1">
      <c r="B1487" s="225" t="s">
        <v>303</v>
      </c>
      <c r="C1487" s="843"/>
      <c r="D1487" s="843"/>
      <c r="E1487" s="843"/>
      <c r="F1487" s="92" t="s">
        <v>781</v>
      </c>
      <c r="G1487" s="93" t="s">
        <v>868</v>
      </c>
    </row>
    <row r="1488" spans="2:8">
      <c r="B1488" s="226" t="s">
        <v>834</v>
      </c>
      <c r="C1488" s="844" t="s">
        <v>343</v>
      </c>
      <c r="D1488" s="844"/>
      <c r="E1488" s="844"/>
      <c r="F1488" s="15" t="s">
        <v>833</v>
      </c>
      <c r="G1488" s="165" t="str">
        <f>'MANO DE OBRA'!$D$61</f>
        <v>Agosto de 2010</v>
      </c>
    </row>
    <row r="1489" spans="2:7" ht="13.5" thickBot="1">
      <c r="B1489" s="228" t="s">
        <v>835</v>
      </c>
      <c r="C1489" s="845" t="s">
        <v>1447</v>
      </c>
      <c r="D1489" s="845"/>
      <c r="E1489" s="845"/>
      <c r="F1489" s="845"/>
      <c r="G1489" s="846"/>
    </row>
    <row r="1490" spans="2:7" ht="14.25" thickTop="1" thickBot="1">
      <c r="B1490" s="847"/>
      <c r="C1490" s="847"/>
      <c r="D1490" s="847"/>
      <c r="E1490" s="847"/>
      <c r="F1490" s="847"/>
      <c r="G1490" s="847"/>
    </row>
    <row r="1491" spans="2:7" ht="13.5" thickTop="1">
      <c r="B1491" s="811" t="s">
        <v>304</v>
      </c>
      <c r="C1491" s="812"/>
      <c r="D1491" s="812"/>
      <c r="E1491" s="812"/>
      <c r="F1491" s="812"/>
      <c r="G1491" s="825"/>
    </row>
    <row r="1492" spans="2:7">
      <c r="B1492" s="229"/>
      <c r="C1492" s="97"/>
      <c r="D1492" s="98" t="s">
        <v>301</v>
      </c>
      <c r="E1492" s="98" t="s">
        <v>1072</v>
      </c>
      <c r="F1492" s="99" t="s">
        <v>839</v>
      </c>
      <c r="G1492" s="107" t="s">
        <v>840</v>
      </c>
    </row>
    <row r="1493" spans="2:7">
      <c r="B1493" s="821" t="s">
        <v>838</v>
      </c>
      <c r="C1493" s="822"/>
      <c r="D1493" s="100" t="s">
        <v>308</v>
      </c>
      <c r="E1493" s="100" t="s">
        <v>305</v>
      </c>
      <c r="F1493" s="101" t="s">
        <v>306</v>
      </c>
      <c r="G1493" s="108" t="s">
        <v>310</v>
      </c>
    </row>
    <row r="1494" spans="2:7">
      <c r="B1494" s="230"/>
      <c r="C1494" s="102"/>
      <c r="D1494" s="103"/>
      <c r="E1494" s="103" t="s">
        <v>309</v>
      </c>
      <c r="F1494" s="104" t="s">
        <v>307</v>
      </c>
      <c r="G1494" s="109"/>
    </row>
    <row r="1495" spans="2:7">
      <c r="B1495" s="823" t="str">
        <f>'MAQUINARIA Y EQUIPOS'!$C$28</f>
        <v>HERRAMIENTAS MENORES</v>
      </c>
      <c r="C1495" s="824"/>
      <c r="D1495" s="87">
        <v>1</v>
      </c>
      <c r="E1495" s="82">
        <f>ROUND(G1528*0.25,0)</f>
        <v>2212</v>
      </c>
      <c r="F1495" s="81">
        <v>1</v>
      </c>
      <c r="G1495" s="110">
        <f>ROUND(D1495*E1495/F1495,0)</f>
        <v>2212</v>
      </c>
    </row>
    <row r="1496" spans="2:7">
      <c r="B1496" s="835"/>
      <c r="C1496" s="836"/>
      <c r="D1496" s="37"/>
      <c r="E1496" s="129"/>
      <c r="F1496" s="53"/>
      <c r="G1496" s="111"/>
    </row>
    <row r="1497" spans="2:7">
      <c r="B1497" s="835"/>
      <c r="C1497" s="836"/>
      <c r="D1497" s="37"/>
      <c r="E1497" s="129"/>
      <c r="F1497" s="53"/>
      <c r="G1497" s="111"/>
    </row>
    <row r="1498" spans="2:7">
      <c r="B1498" s="835"/>
      <c r="C1498" s="836"/>
      <c r="D1498" s="37"/>
      <c r="E1498" s="129"/>
      <c r="F1498" s="53"/>
      <c r="G1498" s="111"/>
    </row>
    <row r="1499" spans="2:7">
      <c r="B1499" s="835" t="s">
        <v>841</v>
      </c>
      <c r="C1499" s="836"/>
      <c r="D1499" s="37"/>
      <c r="E1499" s="82"/>
      <c r="F1499" s="83"/>
      <c r="G1499" s="111"/>
    </row>
    <row r="1500" spans="2:7" ht="13.5" thickBot="1">
      <c r="B1500" s="839" t="s">
        <v>841</v>
      </c>
      <c r="C1500" s="840"/>
      <c r="D1500" s="77"/>
      <c r="E1500" s="106"/>
      <c r="F1500" s="86"/>
      <c r="G1500" s="112"/>
    </row>
    <row r="1501" spans="2:7" ht="14.25" thickTop="1" thickBot="1">
      <c r="B1501" s="808"/>
      <c r="C1501" s="808"/>
      <c r="D1501" s="808"/>
      <c r="E1501" s="809"/>
      <c r="F1501" s="119" t="s">
        <v>856</v>
      </c>
      <c r="G1501" s="118">
        <f>SUM(G1495:G1500)</f>
        <v>2212</v>
      </c>
    </row>
    <row r="1502" spans="2:7" ht="14.25" thickTop="1" thickBot="1">
      <c r="B1502" s="830"/>
      <c r="C1502" s="830"/>
      <c r="D1502" s="830"/>
      <c r="E1502" s="830"/>
      <c r="F1502" s="830"/>
      <c r="G1502" s="830"/>
    </row>
    <row r="1503" spans="2:7" ht="13.5" thickTop="1">
      <c r="B1503" s="811" t="s">
        <v>311</v>
      </c>
      <c r="C1503" s="812"/>
      <c r="D1503" s="812"/>
      <c r="E1503" s="812"/>
      <c r="F1503" s="812"/>
      <c r="G1503" s="825"/>
    </row>
    <row r="1504" spans="2:7">
      <c r="B1504" s="817" t="s">
        <v>838</v>
      </c>
      <c r="C1504" s="818"/>
      <c r="D1504" s="98" t="s">
        <v>842</v>
      </c>
      <c r="E1504" s="98" t="s">
        <v>853</v>
      </c>
      <c r="F1504" s="99" t="s">
        <v>1047</v>
      </c>
      <c r="G1504" s="107" t="s">
        <v>840</v>
      </c>
    </row>
    <row r="1505" spans="2:8">
      <c r="B1505" s="230"/>
      <c r="C1505" s="102"/>
      <c r="D1505" s="100"/>
      <c r="E1505" s="100" t="s">
        <v>312</v>
      </c>
      <c r="F1505" s="101" t="s">
        <v>313</v>
      </c>
      <c r="G1505" s="108" t="s">
        <v>314</v>
      </c>
    </row>
    <row r="1506" spans="2:8">
      <c r="B1506" s="875"/>
      <c r="C1506" s="876"/>
      <c r="D1506" s="87"/>
      <c r="E1506" s="10"/>
      <c r="F1506" s="80"/>
      <c r="G1506" s="110"/>
    </row>
    <row r="1507" spans="2:8">
      <c r="B1507" s="877"/>
      <c r="C1507" s="878"/>
      <c r="D1507" s="88"/>
      <c r="E1507" s="53"/>
      <c r="F1507" s="82"/>
      <c r="G1507" s="111"/>
    </row>
    <row r="1508" spans="2:8">
      <c r="B1508" s="835"/>
      <c r="C1508" s="836"/>
      <c r="D1508" s="37"/>
      <c r="E1508" s="55"/>
      <c r="F1508" s="82"/>
      <c r="G1508" s="111"/>
    </row>
    <row r="1509" spans="2:8">
      <c r="B1509" s="835"/>
      <c r="C1509" s="836"/>
      <c r="D1509" s="37"/>
      <c r="E1509" s="55"/>
      <c r="F1509" s="82"/>
      <c r="G1509" s="111"/>
    </row>
    <row r="1510" spans="2:8">
      <c r="B1510" s="837"/>
      <c r="C1510" s="838"/>
      <c r="D1510" s="37"/>
      <c r="E1510" s="55"/>
      <c r="F1510" s="82"/>
      <c r="G1510" s="111"/>
      <c r="H1510" s="506" t="s">
        <v>1670</v>
      </c>
    </row>
    <row r="1511" spans="2:8">
      <c r="B1511" s="837"/>
      <c r="C1511" s="838"/>
      <c r="D1511" s="53" t="s">
        <v>841</v>
      </c>
      <c r="E1511" s="53"/>
      <c r="F1511" s="82"/>
      <c r="G1511" s="111"/>
    </row>
    <row r="1512" spans="2:8">
      <c r="B1512" s="837" t="s">
        <v>841</v>
      </c>
      <c r="C1512" s="838"/>
      <c r="D1512" s="53" t="s">
        <v>841</v>
      </c>
      <c r="E1512" s="53"/>
      <c r="F1512" s="82"/>
      <c r="G1512" s="111"/>
    </row>
    <row r="1513" spans="2:8">
      <c r="B1513" s="837" t="s">
        <v>841</v>
      </c>
      <c r="C1513" s="838"/>
      <c r="D1513" s="53" t="s">
        <v>841</v>
      </c>
      <c r="E1513" s="53"/>
      <c r="F1513" s="82"/>
      <c r="G1513" s="111"/>
    </row>
    <row r="1514" spans="2:8" ht="13.5" thickBot="1">
      <c r="B1514" s="839" t="s">
        <v>841</v>
      </c>
      <c r="C1514" s="840"/>
      <c r="D1514" s="84" t="s">
        <v>841</v>
      </c>
      <c r="E1514" s="84"/>
      <c r="F1514" s="85"/>
      <c r="G1514" s="112"/>
    </row>
    <row r="1515" spans="2:8" ht="13.5" thickTop="1">
      <c r="B1515" s="808"/>
      <c r="C1515" s="809"/>
      <c r="D1515" s="801" t="s">
        <v>856</v>
      </c>
      <c r="E1515" s="802"/>
      <c r="F1515" s="9"/>
      <c r="G1515" s="113">
        <f>SUM(G1506:G1514)</f>
        <v>0</v>
      </c>
    </row>
    <row r="1516" spans="2:8">
      <c r="B1516" s="819"/>
      <c r="C1516" s="820"/>
      <c r="D1516" s="801" t="s">
        <v>857</v>
      </c>
      <c r="E1516" s="802"/>
      <c r="F1516" s="79">
        <f>'MANO DE OBRA'!$D$60</f>
        <v>0.05</v>
      </c>
      <c r="G1516" s="113">
        <f>ROUND(G1515*F1516,0)</f>
        <v>0</v>
      </c>
    </row>
    <row r="1517" spans="2:8" ht="13.5" thickBot="1">
      <c r="B1517" s="819"/>
      <c r="C1517" s="820"/>
      <c r="D1517" s="803" t="s">
        <v>320</v>
      </c>
      <c r="E1517" s="804"/>
      <c r="F1517" s="114"/>
      <c r="G1517" s="118">
        <f>+G1515+G1516</f>
        <v>0</v>
      </c>
    </row>
    <row r="1518" spans="2:8" ht="14.25" thickTop="1" thickBot="1">
      <c r="B1518" s="830"/>
      <c r="C1518" s="830"/>
      <c r="D1518" s="830"/>
      <c r="E1518" s="830"/>
      <c r="F1518" s="830"/>
      <c r="G1518" s="830"/>
    </row>
    <row r="1519" spans="2:8" ht="13.5" thickTop="1">
      <c r="B1519" s="811" t="s">
        <v>858</v>
      </c>
      <c r="C1519" s="812"/>
      <c r="D1519" s="812"/>
      <c r="E1519" s="812"/>
      <c r="F1519" s="812"/>
      <c r="G1519" s="825"/>
    </row>
    <row r="1520" spans="2:8">
      <c r="B1520" s="817"/>
      <c r="C1520" s="818"/>
      <c r="D1520" s="98" t="s">
        <v>301</v>
      </c>
      <c r="E1520" s="98" t="s">
        <v>859</v>
      </c>
      <c r="F1520" s="99" t="s">
        <v>839</v>
      </c>
      <c r="G1520" s="107" t="s">
        <v>840</v>
      </c>
    </row>
    <row r="1521" spans="2:7">
      <c r="B1521" s="821" t="s">
        <v>838</v>
      </c>
      <c r="C1521" s="822"/>
      <c r="D1521" s="100" t="s">
        <v>316</v>
      </c>
      <c r="E1521" s="100" t="s">
        <v>315</v>
      </c>
      <c r="F1521" s="101" t="s">
        <v>306</v>
      </c>
      <c r="G1521" s="108" t="s">
        <v>319</v>
      </c>
    </row>
    <row r="1522" spans="2:7">
      <c r="B1522" s="230"/>
      <c r="C1522" s="102"/>
      <c r="D1522" s="103"/>
      <c r="E1522" s="103" t="s">
        <v>317</v>
      </c>
      <c r="F1522" s="104" t="s">
        <v>318</v>
      </c>
      <c r="G1522" s="109"/>
    </row>
    <row r="1523" spans="2:7">
      <c r="B1523" s="823" t="str">
        <f>'MANO DE OBRA'!$B$10</f>
        <v>AYUDANTE CUAD. TIPO AA</v>
      </c>
      <c r="C1523" s="824"/>
      <c r="D1523" s="87">
        <v>1</v>
      </c>
      <c r="E1523" s="80">
        <f>'MANO DE OBRA'!$E$10</f>
        <v>34680</v>
      </c>
      <c r="F1523" s="81">
        <v>12</v>
      </c>
      <c r="G1523" s="110">
        <f>ROUND(D1523*E1523/F1523,0)</f>
        <v>2890</v>
      </c>
    </row>
    <row r="1524" spans="2:7">
      <c r="B1524" s="835" t="str">
        <f>'MANO DE OBRA'!$B$15</f>
        <v xml:space="preserve">OFICIAL CUAD. TIPO AA </v>
      </c>
      <c r="C1524" s="836"/>
      <c r="D1524" s="37">
        <v>1</v>
      </c>
      <c r="E1524" s="82">
        <f>'MANO DE OBRA'!$E$15</f>
        <v>71474</v>
      </c>
      <c r="F1524" s="83">
        <v>12</v>
      </c>
      <c r="G1524" s="111">
        <f>ROUND(D1524*E1524/F1524,0)</f>
        <v>5956</v>
      </c>
    </row>
    <row r="1525" spans="2:7">
      <c r="B1525" s="835"/>
      <c r="C1525" s="836"/>
      <c r="D1525" s="37"/>
      <c r="E1525" s="82"/>
      <c r="F1525" s="83"/>
      <c r="G1525" s="111"/>
    </row>
    <row r="1526" spans="2:7">
      <c r="B1526" s="835" t="s">
        <v>841</v>
      </c>
      <c r="C1526" s="836"/>
      <c r="D1526" s="37"/>
      <c r="E1526" s="82"/>
      <c r="F1526" s="83"/>
      <c r="G1526" s="111"/>
    </row>
    <row r="1527" spans="2:7" ht="13.5" thickBot="1">
      <c r="B1527" s="828" t="s">
        <v>841</v>
      </c>
      <c r="C1527" s="829"/>
      <c r="D1527" s="77"/>
      <c r="E1527" s="82"/>
      <c r="F1527" s="86"/>
      <c r="G1527" s="112"/>
    </row>
    <row r="1528" spans="2:7" ht="14.25" thickTop="1" thickBot="1">
      <c r="B1528" s="808"/>
      <c r="C1528" s="808"/>
      <c r="D1528" s="808"/>
      <c r="E1528" s="809"/>
      <c r="F1528" s="120" t="s">
        <v>856</v>
      </c>
      <c r="G1528" s="118">
        <f>SUM(G1523:G1527)</f>
        <v>8846</v>
      </c>
    </row>
    <row r="1529" spans="2:7" ht="14.25" thickTop="1" thickBot="1">
      <c r="B1529" s="810"/>
      <c r="C1529" s="810"/>
      <c r="D1529" s="810"/>
      <c r="E1529" s="810"/>
      <c r="F1529" s="810"/>
      <c r="G1529" s="810"/>
    </row>
    <row r="1530" spans="2:7" ht="13.5" thickTop="1">
      <c r="B1530" s="811" t="s">
        <v>321</v>
      </c>
      <c r="C1530" s="812"/>
      <c r="D1530" s="812"/>
      <c r="E1530" s="812"/>
      <c r="F1530" s="812"/>
      <c r="G1530" s="825"/>
    </row>
    <row r="1531" spans="2:7">
      <c r="B1531" s="817" t="s">
        <v>838</v>
      </c>
      <c r="C1531" s="818"/>
      <c r="D1531" s="98" t="s">
        <v>301</v>
      </c>
      <c r="E1531" s="98" t="s">
        <v>297</v>
      </c>
      <c r="F1531" s="99" t="s">
        <v>839</v>
      </c>
      <c r="G1531" s="107" t="s">
        <v>840</v>
      </c>
    </row>
    <row r="1532" spans="2:7">
      <c r="B1532" s="230"/>
      <c r="C1532" s="102"/>
      <c r="D1532" s="103" t="s">
        <v>322</v>
      </c>
      <c r="E1532" s="103" t="s">
        <v>323</v>
      </c>
      <c r="F1532" s="104" t="s">
        <v>324</v>
      </c>
      <c r="G1532" s="109" t="s">
        <v>325</v>
      </c>
    </row>
    <row r="1533" spans="2:7">
      <c r="B1533" s="826"/>
      <c r="C1533" s="827"/>
      <c r="D1533" s="96"/>
      <c r="E1533" s="96"/>
      <c r="F1533" s="96"/>
      <c r="G1533" s="116"/>
    </row>
    <row r="1534" spans="2:7" ht="13.5" thickBot="1">
      <c r="B1534" s="828" t="s">
        <v>841</v>
      </c>
      <c r="C1534" s="829"/>
      <c r="D1534" s="77"/>
      <c r="E1534" s="82"/>
      <c r="F1534" s="86"/>
      <c r="G1534" s="112"/>
    </row>
    <row r="1535" spans="2:7" ht="14.25" thickTop="1" thickBot="1">
      <c r="B1535" s="808"/>
      <c r="C1535" s="808"/>
      <c r="D1535" s="808"/>
      <c r="E1535" s="809"/>
      <c r="F1535" s="120" t="s">
        <v>856</v>
      </c>
      <c r="G1535" s="118">
        <f>SUM(G1530:G1534)</f>
        <v>0</v>
      </c>
    </row>
    <row r="1536" spans="2:7" ht="14.25" thickTop="1" thickBot="1">
      <c r="B1536" s="810"/>
      <c r="C1536" s="810"/>
      <c r="D1536" s="810"/>
      <c r="E1536" s="810"/>
      <c r="F1536" s="810"/>
      <c r="G1536" s="834"/>
    </row>
    <row r="1537" spans="2:8" ht="13.5" thickTop="1">
      <c r="B1537" s="811" t="s">
        <v>326</v>
      </c>
      <c r="C1537" s="812"/>
      <c r="D1537" s="812"/>
      <c r="E1537" s="812"/>
      <c r="F1537" s="813"/>
      <c r="G1537" s="121">
        <f>+G1501+G1517+G1528</f>
        <v>11058</v>
      </c>
    </row>
    <row r="1538" spans="2:8">
      <c r="B1538" s="814" t="s">
        <v>861</v>
      </c>
      <c r="C1538" s="815"/>
      <c r="D1538" s="815"/>
      <c r="E1538" s="816"/>
      <c r="F1538" s="128">
        <f>'MANO DE OBRA'!$D$59</f>
        <v>0</v>
      </c>
      <c r="G1538" s="122">
        <f>ROUND(G1537*F1538,0)</f>
        <v>0</v>
      </c>
    </row>
    <row r="1539" spans="2:8" ht="13.5" thickBot="1">
      <c r="B1539" s="805" t="s">
        <v>1049</v>
      </c>
      <c r="C1539" s="806"/>
      <c r="D1539" s="806"/>
      <c r="E1539" s="806"/>
      <c r="F1539" s="807"/>
      <c r="G1539" s="118">
        <f>ROUND(G1537+G1538,-2)</f>
        <v>11100</v>
      </c>
      <c r="H1539" s="506" t="s">
        <v>1670</v>
      </c>
    </row>
    <row r="1540" spans="2:8" ht="13.5" thickTop="1">
      <c r="B1540" s="225" t="s">
        <v>303</v>
      </c>
      <c r="C1540" s="843"/>
      <c r="D1540" s="843"/>
      <c r="E1540" s="843"/>
      <c r="F1540" s="92" t="s">
        <v>781</v>
      </c>
      <c r="G1540" s="93" t="s">
        <v>1351</v>
      </c>
    </row>
    <row r="1541" spans="2:8">
      <c r="B1541" s="226" t="s">
        <v>834</v>
      </c>
      <c r="C1541" s="844" t="s">
        <v>343</v>
      </c>
      <c r="D1541" s="844"/>
      <c r="E1541" s="844"/>
      <c r="F1541" s="15" t="s">
        <v>833</v>
      </c>
      <c r="G1541" s="165" t="str">
        <f>'MANO DE OBRA'!$D$61</f>
        <v>Agosto de 2010</v>
      </c>
    </row>
    <row r="1542" spans="2:8" ht="13.5" thickBot="1">
      <c r="B1542" s="228" t="s">
        <v>835</v>
      </c>
      <c r="C1542" s="845" t="s">
        <v>1448</v>
      </c>
      <c r="D1542" s="845"/>
      <c r="E1542" s="845"/>
      <c r="F1542" s="845"/>
      <c r="G1542" s="846"/>
    </row>
    <row r="1543" spans="2:8" ht="14.25" thickTop="1" thickBot="1">
      <c r="B1543" s="847"/>
      <c r="C1543" s="847"/>
      <c r="D1543" s="847"/>
      <c r="E1543" s="847"/>
      <c r="F1543" s="847"/>
      <c r="G1543" s="847"/>
    </row>
    <row r="1544" spans="2:8" ht="13.5" thickTop="1">
      <c r="B1544" s="811" t="s">
        <v>304</v>
      </c>
      <c r="C1544" s="812"/>
      <c r="D1544" s="812"/>
      <c r="E1544" s="812"/>
      <c r="F1544" s="812"/>
      <c r="G1544" s="825"/>
    </row>
    <row r="1545" spans="2:8">
      <c r="B1545" s="229"/>
      <c r="C1545" s="97"/>
      <c r="D1545" s="98" t="s">
        <v>301</v>
      </c>
      <c r="E1545" s="98" t="s">
        <v>1072</v>
      </c>
      <c r="F1545" s="99" t="s">
        <v>839</v>
      </c>
      <c r="G1545" s="107" t="s">
        <v>840</v>
      </c>
    </row>
    <row r="1546" spans="2:8">
      <c r="B1546" s="821" t="s">
        <v>838</v>
      </c>
      <c r="C1546" s="822"/>
      <c r="D1546" s="100" t="s">
        <v>308</v>
      </c>
      <c r="E1546" s="100" t="s">
        <v>305</v>
      </c>
      <c r="F1546" s="101" t="s">
        <v>306</v>
      </c>
      <c r="G1546" s="108" t="s">
        <v>310</v>
      </c>
    </row>
    <row r="1547" spans="2:8">
      <c r="B1547" s="230"/>
      <c r="C1547" s="102"/>
      <c r="D1547" s="103"/>
      <c r="E1547" s="103" t="s">
        <v>309</v>
      </c>
      <c r="F1547" s="104" t="s">
        <v>307</v>
      </c>
      <c r="G1547" s="109"/>
    </row>
    <row r="1548" spans="2:8">
      <c r="B1548" s="823" t="str">
        <f>'MAQUINARIA Y EQUIPOS'!$C$28</f>
        <v>HERRAMIENTAS MENORES</v>
      </c>
      <c r="C1548" s="824"/>
      <c r="D1548" s="87">
        <v>1</v>
      </c>
      <c r="E1548" s="82">
        <f>ROUND(G1581*0.25,0)</f>
        <v>13269</v>
      </c>
      <c r="F1548" s="81">
        <v>1</v>
      </c>
      <c r="G1548" s="110">
        <f>ROUND(D1548*E1548/F1548,0)</f>
        <v>13269</v>
      </c>
    </row>
    <row r="1549" spans="2:8">
      <c r="B1549" s="835"/>
      <c r="C1549" s="836"/>
      <c r="D1549" s="37"/>
      <c r="E1549" s="129"/>
      <c r="F1549" s="53"/>
      <c r="G1549" s="111"/>
    </row>
    <row r="1550" spans="2:8">
      <c r="B1550" s="835"/>
      <c r="C1550" s="836"/>
      <c r="D1550" s="37"/>
      <c r="E1550" s="129"/>
      <c r="F1550" s="53"/>
      <c r="G1550" s="111"/>
    </row>
    <row r="1551" spans="2:8">
      <c r="B1551" s="835"/>
      <c r="C1551" s="836"/>
      <c r="D1551" s="37"/>
      <c r="E1551" s="129"/>
      <c r="F1551" s="53"/>
      <c r="G1551" s="111"/>
    </row>
    <row r="1552" spans="2:8">
      <c r="B1552" s="835" t="s">
        <v>841</v>
      </c>
      <c r="C1552" s="836"/>
      <c r="D1552" s="37"/>
      <c r="E1552" s="82"/>
      <c r="F1552" s="83"/>
      <c r="G1552" s="111"/>
    </row>
    <row r="1553" spans="2:8" ht="13.5" thickBot="1">
      <c r="B1553" s="839" t="s">
        <v>841</v>
      </c>
      <c r="C1553" s="840"/>
      <c r="D1553" s="77"/>
      <c r="E1553" s="106"/>
      <c r="F1553" s="86"/>
      <c r="G1553" s="112"/>
    </row>
    <row r="1554" spans="2:8" ht="14.25" thickTop="1" thickBot="1">
      <c r="B1554" s="808"/>
      <c r="C1554" s="808"/>
      <c r="D1554" s="808"/>
      <c r="E1554" s="809"/>
      <c r="F1554" s="119" t="s">
        <v>856</v>
      </c>
      <c r="G1554" s="118">
        <f>SUM(G1548:G1553)</f>
        <v>13269</v>
      </c>
    </row>
    <row r="1555" spans="2:8" ht="14.25" thickTop="1" thickBot="1">
      <c r="B1555" s="830"/>
      <c r="C1555" s="830"/>
      <c r="D1555" s="830"/>
      <c r="E1555" s="830"/>
      <c r="F1555" s="830"/>
      <c r="G1555" s="830"/>
    </row>
    <row r="1556" spans="2:8" ht="13.5" thickTop="1">
      <c r="B1556" s="811" t="s">
        <v>311</v>
      </c>
      <c r="C1556" s="812"/>
      <c r="D1556" s="812"/>
      <c r="E1556" s="812"/>
      <c r="F1556" s="812"/>
      <c r="G1556" s="825"/>
    </row>
    <row r="1557" spans="2:8">
      <c r="B1557" s="817" t="s">
        <v>838</v>
      </c>
      <c r="C1557" s="818"/>
      <c r="D1557" s="98" t="s">
        <v>842</v>
      </c>
      <c r="E1557" s="98" t="s">
        <v>853</v>
      </c>
      <c r="F1557" s="99" t="s">
        <v>1047</v>
      </c>
      <c r="G1557" s="107" t="s">
        <v>840</v>
      </c>
    </row>
    <row r="1558" spans="2:8">
      <c r="B1558" s="230"/>
      <c r="C1558" s="102"/>
      <c r="D1558" s="100"/>
      <c r="E1558" s="100" t="s">
        <v>312</v>
      </c>
      <c r="F1558" s="101" t="s">
        <v>313</v>
      </c>
      <c r="G1558" s="108" t="s">
        <v>314</v>
      </c>
    </row>
    <row r="1559" spans="2:8">
      <c r="B1559" s="875"/>
      <c r="C1559" s="876"/>
      <c r="D1559" s="87"/>
      <c r="E1559" s="10"/>
      <c r="F1559" s="80"/>
      <c r="G1559" s="110"/>
    </row>
    <row r="1560" spans="2:8">
      <c r="B1560" s="877"/>
      <c r="C1560" s="878"/>
      <c r="D1560" s="88"/>
      <c r="E1560" s="53"/>
      <c r="F1560" s="82"/>
      <c r="G1560" s="111"/>
    </row>
    <row r="1561" spans="2:8">
      <c r="B1561" s="835"/>
      <c r="C1561" s="836"/>
      <c r="D1561" s="37"/>
      <c r="E1561" s="55"/>
      <c r="F1561" s="82"/>
      <c r="G1561" s="111"/>
    </row>
    <row r="1562" spans="2:8">
      <c r="B1562" s="835"/>
      <c r="C1562" s="836"/>
      <c r="D1562" s="37"/>
      <c r="E1562" s="55"/>
      <c r="F1562" s="82"/>
      <c r="G1562" s="111"/>
      <c r="H1562" s="506" t="s">
        <v>1670</v>
      </c>
    </row>
    <row r="1563" spans="2:8">
      <c r="B1563" s="837"/>
      <c r="C1563" s="838"/>
      <c r="D1563" s="37"/>
      <c r="E1563" s="55"/>
      <c r="F1563" s="82"/>
      <c r="G1563" s="111"/>
    </row>
    <row r="1564" spans="2:8">
      <c r="B1564" s="837"/>
      <c r="C1564" s="838"/>
      <c r="D1564" s="53" t="s">
        <v>841</v>
      </c>
      <c r="E1564" s="53"/>
      <c r="F1564" s="82"/>
      <c r="G1564" s="111"/>
    </row>
    <row r="1565" spans="2:8">
      <c r="B1565" s="837" t="s">
        <v>841</v>
      </c>
      <c r="C1565" s="838"/>
      <c r="D1565" s="53" t="s">
        <v>841</v>
      </c>
      <c r="E1565" s="53"/>
      <c r="F1565" s="82"/>
      <c r="G1565" s="111"/>
    </row>
    <row r="1566" spans="2:8">
      <c r="B1566" s="837" t="s">
        <v>841</v>
      </c>
      <c r="C1566" s="838"/>
      <c r="D1566" s="53" t="s">
        <v>841</v>
      </c>
      <c r="E1566" s="53"/>
      <c r="F1566" s="82"/>
      <c r="G1566" s="111"/>
    </row>
    <row r="1567" spans="2:8" ht="13.5" thickBot="1">
      <c r="B1567" s="839" t="s">
        <v>841</v>
      </c>
      <c r="C1567" s="840"/>
      <c r="D1567" s="84" t="s">
        <v>841</v>
      </c>
      <c r="E1567" s="84"/>
      <c r="F1567" s="85"/>
      <c r="G1567" s="112"/>
    </row>
    <row r="1568" spans="2:8" ht="13.5" thickTop="1">
      <c r="B1568" s="808"/>
      <c r="C1568" s="809"/>
      <c r="D1568" s="801" t="s">
        <v>856</v>
      </c>
      <c r="E1568" s="802"/>
      <c r="F1568" s="9"/>
      <c r="G1568" s="113">
        <f>SUM(G1559:G1567)</f>
        <v>0</v>
      </c>
    </row>
    <row r="1569" spans="2:7">
      <c r="B1569" s="819"/>
      <c r="C1569" s="820"/>
      <c r="D1569" s="801" t="s">
        <v>857</v>
      </c>
      <c r="E1569" s="802"/>
      <c r="F1569" s="79">
        <f>'MANO DE OBRA'!$D$60</f>
        <v>0.05</v>
      </c>
      <c r="G1569" s="113">
        <f>ROUND(G1568*F1569,0)</f>
        <v>0</v>
      </c>
    </row>
    <row r="1570" spans="2:7" ht="13.5" thickBot="1">
      <c r="B1570" s="819"/>
      <c r="C1570" s="820"/>
      <c r="D1570" s="803" t="s">
        <v>320</v>
      </c>
      <c r="E1570" s="804"/>
      <c r="F1570" s="114"/>
      <c r="G1570" s="118">
        <f>+G1568+G1569</f>
        <v>0</v>
      </c>
    </row>
    <row r="1571" spans="2:7" ht="14.25" thickTop="1" thickBot="1">
      <c r="B1571" s="830"/>
      <c r="C1571" s="830"/>
      <c r="D1571" s="830"/>
      <c r="E1571" s="830"/>
      <c r="F1571" s="830"/>
      <c r="G1571" s="830"/>
    </row>
    <row r="1572" spans="2:7" ht="13.5" thickTop="1">
      <c r="B1572" s="811" t="s">
        <v>858</v>
      </c>
      <c r="C1572" s="812"/>
      <c r="D1572" s="812"/>
      <c r="E1572" s="812"/>
      <c r="F1572" s="812"/>
      <c r="G1572" s="825"/>
    </row>
    <row r="1573" spans="2:7">
      <c r="B1573" s="817"/>
      <c r="C1573" s="818"/>
      <c r="D1573" s="98" t="s">
        <v>301</v>
      </c>
      <c r="E1573" s="98" t="s">
        <v>859</v>
      </c>
      <c r="F1573" s="99" t="s">
        <v>839</v>
      </c>
      <c r="G1573" s="107" t="s">
        <v>840</v>
      </c>
    </row>
    <row r="1574" spans="2:7">
      <c r="B1574" s="821" t="s">
        <v>838</v>
      </c>
      <c r="C1574" s="822"/>
      <c r="D1574" s="100" t="s">
        <v>316</v>
      </c>
      <c r="E1574" s="100" t="s">
        <v>315</v>
      </c>
      <c r="F1574" s="101" t="s">
        <v>306</v>
      </c>
      <c r="G1574" s="108" t="s">
        <v>319</v>
      </c>
    </row>
    <row r="1575" spans="2:7">
      <c r="B1575" s="230"/>
      <c r="C1575" s="102"/>
      <c r="D1575" s="103"/>
      <c r="E1575" s="103" t="s">
        <v>317</v>
      </c>
      <c r="F1575" s="104" t="s">
        <v>318</v>
      </c>
      <c r="G1575" s="109"/>
    </row>
    <row r="1576" spans="2:7">
      <c r="B1576" s="823" t="str">
        <f>'MANO DE OBRA'!$B$10</f>
        <v>AYUDANTE CUAD. TIPO AA</v>
      </c>
      <c r="C1576" s="824"/>
      <c r="D1576" s="87">
        <v>1</v>
      </c>
      <c r="E1576" s="80">
        <f>'MANO DE OBRA'!$E$10</f>
        <v>34680</v>
      </c>
      <c r="F1576" s="81">
        <v>2</v>
      </c>
      <c r="G1576" s="110">
        <f>ROUND(D1576*E1576/F1576,0)</f>
        <v>17340</v>
      </c>
    </row>
    <row r="1577" spans="2:7">
      <c r="B1577" s="835" t="str">
        <f>'MANO DE OBRA'!$B$15</f>
        <v xml:space="preserve">OFICIAL CUAD. TIPO AA </v>
      </c>
      <c r="C1577" s="836"/>
      <c r="D1577" s="37">
        <v>1</v>
      </c>
      <c r="E1577" s="82">
        <f>'MANO DE OBRA'!$E$15</f>
        <v>71474</v>
      </c>
      <c r="F1577" s="83">
        <v>2</v>
      </c>
      <c r="G1577" s="111">
        <f>ROUND(D1577*E1577/F1577,0)</f>
        <v>35737</v>
      </c>
    </row>
    <row r="1578" spans="2:7">
      <c r="B1578" s="835"/>
      <c r="C1578" s="836"/>
      <c r="D1578" s="37"/>
      <c r="E1578" s="82"/>
      <c r="F1578" s="83"/>
      <c r="G1578" s="111"/>
    </row>
    <row r="1579" spans="2:7">
      <c r="B1579" s="835" t="s">
        <v>841</v>
      </c>
      <c r="C1579" s="836"/>
      <c r="D1579" s="37"/>
      <c r="E1579" s="82"/>
      <c r="F1579" s="83"/>
      <c r="G1579" s="111"/>
    </row>
    <row r="1580" spans="2:7" ht="13.5" thickBot="1">
      <c r="B1580" s="828" t="s">
        <v>841</v>
      </c>
      <c r="C1580" s="829"/>
      <c r="D1580" s="77"/>
      <c r="E1580" s="82"/>
      <c r="F1580" s="86"/>
      <c r="G1580" s="112"/>
    </row>
    <row r="1581" spans="2:7" ht="14.25" thickTop="1" thickBot="1">
      <c r="B1581" s="808"/>
      <c r="C1581" s="808"/>
      <c r="D1581" s="808"/>
      <c r="E1581" s="809"/>
      <c r="F1581" s="120" t="s">
        <v>856</v>
      </c>
      <c r="G1581" s="118">
        <f>SUM(G1576:G1580)</f>
        <v>53077</v>
      </c>
    </row>
    <row r="1582" spans="2:7" ht="14.25" thickTop="1" thickBot="1">
      <c r="B1582" s="810"/>
      <c r="C1582" s="810"/>
      <c r="D1582" s="810"/>
      <c r="E1582" s="810"/>
      <c r="F1582" s="810"/>
      <c r="G1582" s="810"/>
    </row>
    <row r="1583" spans="2:7" ht="13.5" thickTop="1">
      <c r="B1583" s="811" t="s">
        <v>321</v>
      </c>
      <c r="C1583" s="812"/>
      <c r="D1583" s="812"/>
      <c r="E1583" s="812"/>
      <c r="F1583" s="812"/>
      <c r="G1583" s="825"/>
    </row>
    <row r="1584" spans="2:7">
      <c r="B1584" s="817" t="s">
        <v>838</v>
      </c>
      <c r="C1584" s="818"/>
      <c r="D1584" s="98" t="s">
        <v>301</v>
      </c>
      <c r="E1584" s="98" t="s">
        <v>297</v>
      </c>
      <c r="F1584" s="99" t="s">
        <v>839</v>
      </c>
      <c r="G1584" s="107" t="s">
        <v>840</v>
      </c>
    </row>
    <row r="1585" spans="1:8">
      <c r="B1585" s="230"/>
      <c r="C1585" s="102"/>
      <c r="D1585" s="103" t="s">
        <v>322</v>
      </c>
      <c r="E1585" s="103" t="s">
        <v>323</v>
      </c>
      <c r="F1585" s="104" t="s">
        <v>324</v>
      </c>
      <c r="G1585" s="109" t="s">
        <v>325</v>
      </c>
    </row>
    <row r="1586" spans="1:8">
      <c r="B1586" s="826"/>
      <c r="C1586" s="827"/>
      <c r="D1586" s="96"/>
      <c r="E1586" s="96"/>
      <c r="F1586" s="96"/>
      <c r="G1586" s="116"/>
    </row>
    <row r="1587" spans="1:8" ht="13.5" thickBot="1">
      <c r="B1587" s="828" t="s">
        <v>841</v>
      </c>
      <c r="C1587" s="829"/>
      <c r="D1587" s="77"/>
      <c r="E1587" s="82"/>
      <c r="F1587" s="86"/>
      <c r="G1587" s="112"/>
    </row>
    <row r="1588" spans="1:8" ht="14.25" thickTop="1" thickBot="1">
      <c r="B1588" s="808"/>
      <c r="C1588" s="808"/>
      <c r="D1588" s="808"/>
      <c r="E1588" s="809"/>
      <c r="F1588" s="120" t="s">
        <v>856</v>
      </c>
      <c r="G1588" s="118">
        <f>SUM(G1583:G1587)</f>
        <v>0</v>
      </c>
    </row>
    <row r="1589" spans="1:8" ht="14.25" thickTop="1" thickBot="1">
      <c r="B1589" s="810"/>
      <c r="C1589" s="810"/>
      <c r="D1589" s="810"/>
      <c r="E1589" s="810"/>
      <c r="F1589" s="810"/>
      <c r="G1589" s="834"/>
    </row>
    <row r="1590" spans="1:8" ht="13.5" thickTop="1">
      <c r="B1590" s="811" t="s">
        <v>326</v>
      </c>
      <c r="C1590" s="812"/>
      <c r="D1590" s="812"/>
      <c r="E1590" s="812"/>
      <c r="F1590" s="813"/>
      <c r="G1590" s="121">
        <f>+G1554+G1570+G1581</f>
        <v>66346</v>
      </c>
    </row>
    <row r="1591" spans="1:8">
      <c r="B1591" s="814" t="s">
        <v>861</v>
      </c>
      <c r="C1591" s="815"/>
      <c r="D1591" s="815"/>
      <c r="E1591" s="816"/>
      <c r="F1591" s="128">
        <f>'MANO DE OBRA'!$D$59</f>
        <v>0</v>
      </c>
      <c r="G1591" s="122">
        <f>ROUND(G1590*F1591,0)</f>
        <v>0</v>
      </c>
    </row>
    <row r="1592" spans="1:8" ht="13.5" thickBot="1">
      <c r="B1592" s="805" t="s">
        <v>1049</v>
      </c>
      <c r="C1592" s="806"/>
      <c r="D1592" s="806"/>
      <c r="E1592" s="806"/>
      <c r="F1592" s="807"/>
      <c r="G1592" s="118">
        <f>ROUND(G1590+G1591,-2)</f>
        <v>66300</v>
      </c>
      <c r="H1592" s="506" t="s">
        <v>1670</v>
      </c>
    </row>
    <row r="1593" spans="1:8" ht="15" thickTop="1">
      <c r="B1593" s="225" t="s">
        <v>303</v>
      </c>
      <c r="C1593" s="843"/>
      <c r="D1593" s="843"/>
      <c r="E1593" s="843"/>
      <c r="F1593" s="92" t="s">
        <v>781</v>
      </c>
      <c r="G1593" s="93" t="s">
        <v>1067</v>
      </c>
    </row>
    <row r="1594" spans="1:8">
      <c r="B1594" s="226" t="s">
        <v>834</v>
      </c>
      <c r="C1594" s="844" t="s">
        <v>343</v>
      </c>
      <c r="D1594" s="844"/>
      <c r="E1594" s="844"/>
      <c r="F1594" s="15" t="s">
        <v>833</v>
      </c>
      <c r="G1594" s="165" t="str">
        <f>'MANO DE OBRA'!D61</f>
        <v>Agosto de 2010</v>
      </c>
    </row>
    <row r="1595" spans="1:8" ht="13.5" thickBot="1">
      <c r="A1595" s="127"/>
      <c r="B1595" s="228" t="s">
        <v>835</v>
      </c>
      <c r="C1595" s="845" t="s">
        <v>774</v>
      </c>
      <c r="D1595" s="845"/>
      <c r="E1595" s="845"/>
      <c r="F1595" s="845"/>
      <c r="G1595" s="846"/>
    </row>
    <row r="1596" spans="1:8" ht="14.25" thickTop="1" thickBot="1">
      <c r="B1596" s="847"/>
      <c r="C1596" s="847"/>
      <c r="D1596" s="847"/>
      <c r="E1596" s="847"/>
      <c r="F1596" s="847"/>
      <c r="G1596" s="847"/>
    </row>
    <row r="1597" spans="1:8" ht="13.5" thickTop="1">
      <c r="B1597" s="811" t="s">
        <v>304</v>
      </c>
      <c r="C1597" s="812"/>
      <c r="D1597" s="812"/>
      <c r="E1597" s="812"/>
      <c r="F1597" s="812"/>
      <c r="G1597" s="825"/>
    </row>
    <row r="1598" spans="1:8">
      <c r="B1598" s="229"/>
      <c r="C1598" s="97"/>
      <c r="D1598" s="98" t="s">
        <v>301</v>
      </c>
      <c r="E1598" s="98" t="s">
        <v>1072</v>
      </c>
      <c r="F1598" s="99" t="s">
        <v>839</v>
      </c>
      <c r="G1598" s="107" t="s">
        <v>840</v>
      </c>
    </row>
    <row r="1599" spans="1:8">
      <c r="B1599" s="821" t="s">
        <v>838</v>
      </c>
      <c r="C1599" s="822"/>
      <c r="D1599" s="100" t="s">
        <v>308</v>
      </c>
      <c r="E1599" s="100" t="s">
        <v>305</v>
      </c>
      <c r="F1599" s="101" t="s">
        <v>306</v>
      </c>
      <c r="G1599" s="108" t="s">
        <v>310</v>
      </c>
    </row>
    <row r="1600" spans="1:8">
      <c r="B1600" s="230"/>
      <c r="C1600" s="102"/>
      <c r="D1600" s="103"/>
      <c r="E1600" s="103" t="s">
        <v>309</v>
      </c>
      <c r="F1600" s="104" t="s">
        <v>307</v>
      </c>
      <c r="G1600" s="109"/>
    </row>
    <row r="1601" spans="1:8">
      <c r="A1601" s="127"/>
      <c r="B1601" s="823" t="str">
        <f>'MAQUINARIA Y EQUIPOS'!C28</f>
        <v>HERRAMIENTAS MENORES</v>
      </c>
      <c r="C1601" s="824"/>
      <c r="D1601" s="87">
        <v>1</v>
      </c>
      <c r="E1601" s="82">
        <f>ROUND(G1634*0.25,0)</f>
        <v>5308</v>
      </c>
      <c r="F1601" s="81">
        <v>1</v>
      </c>
      <c r="G1601" s="110">
        <f>ROUND(D1601*E1601/F1601,0)</f>
        <v>5308</v>
      </c>
    </row>
    <row r="1602" spans="1:8">
      <c r="B1602" s="835"/>
      <c r="C1602" s="836"/>
      <c r="D1602" s="37"/>
      <c r="E1602" s="129"/>
      <c r="F1602" s="53"/>
      <c r="G1602" s="111"/>
    </row>
    <row r="1603" spans="1:8">
      <c r="B1603" s="835"/>
      <c r="C1603" s="836"/>
      <c r="D1603" s="37"/>
      <c r="E1603" s="129"/>
      <c r="F1603" s="53"/>
      <c r="G1603" s="111"/>
    </row>
    <row r="1604" spans="1:8">
      <c r="B1604" s="835"/>
      <c r="C1604" s="836"/>
      <c r="D1604" s="37"/>
      <c r="E1604" s="129"/>
      <c r="F1604" s="53"/>
      <c r="G1604" s="111"/>
    </row>
    <row r="1605" spans="1:8">
      <c r="B1605" s="835" t="s">
        <v>841</v>
      </c>
      <c r="C1605" s="836"/>
      <c r="D1605" s="37"/>
      <c r="E1605" s="82"/>
      <c r="F1605" s="83"/>
      <c r="G1605" s="111"/>
    </row>
    <row r="1606" spans="1:8" ht="13.5" thickBot="1">
      <c r="B1606" s="839" t="s">
        <v>841</v>
      </c>
      <c r="C1606" s="840"/>
      <c r="D1606" s="77"/>
      <c r="E1606" s="106"/>
      <c r="F1606" s="86"/>
      <c r="G1606" s="112"/>
    </row>
    <row r="1607" spans="1:8" ht="14.25" thickTop="1" thickBot="1">
      <c r="B1607" s="808"/>
      <c r="C1607" s="808"/>
      <c r="D1607" s="808"/>
      <c r="E1607" s="809"/>
      <c r="F1607" s="119" t="s">
        <v>856</v>
      </c>
      <c r="G1607" s="118">
        <f>SUM(G1601:G1606)</f>
        <v>5308</v>
      </c>
    </row>
    <row r="1608" spans="1:8" ht="14.25" thickTop="1" thickBot="1">
      <c r="B1608" s="830"/>
      <c r="C1608" s="830"/>
      <c r="D1608" s="830"/>
      <c r="E1608" s="830"/>
      <c r="F1608" s="830"/>
      <c r="G1608" s="830"/>
    </row>
    <row r="1609" spans="1:8" ht="13.5" thickTop="1">
      <c r="B1609" s="811" t="s">
        <v>311</v>
      </c>
      <c r="C1609" s="812"/>
      <c r="D1609" s="812"/>
      <c r="E1609" s="812"/>
      <c r="F1609" s="812"/>
      <c r="G1609" s="825"/>
    </row>
    <row r="1610" spans="1:8">
      <c r="B1610" s="817" t="s">
        <v>838</v>
      </c>
      <c r="C1610" s="818"/>
      <c r="D1610" s="98" t="s">
        <v>842</v>
      </c>
      <c r="E1610" s="98" t="s">
        <v>853</v>
      </c>
      <c r="F1610" s="99" t="s">
        <v>1047</v>
      </c>
      <c r="G1610" s="107" t="s">
        <v>840</v>
      </c>
    </row>
    <row r="1611" spans="1:8">
      <c r="B1611" s="230"/>
      <c r="C1611" s="102"/>
      <c r="D1611" s="100"/>
      <c r="E1611" s="100" t="s">
        <v>312</v>
      </c>
      <c r="F1611" s="101" t="s">
        <v>313</v>
      </c>
      <c r="G1611" s="108" t="s">
        <v>314</v>
      </c>
    </row>
    <row r="1612" spans="1:8">
      <c r="A1612" s="125"/>
      <c r="B1612" s="875"/>
      <c r="C1612" s="876"/>
      <c r="D1612" s="87"/>
      <c r="E1612" s="10"/>
      <c r="F1612" s="80"/>
      <c r="G1612" s="110"/>
    </row>
    <row r="1613" spans="1:8">
      <c r="A1613" s="123"/>
      <c r="B1613" s="877"/>
      <c r="C1613" s="878"/>
      <c r="D1613" s="88"/>
      <c r="E1613" s="53"/>
      <c r="F1613" s="82"/>
      <c r="G1613" s="111"/>
    </row>
    <row r="1614" spans="1:8">
      <c r="B1614" s="835"/>
      <c r="C1614" s="836"/>
      <c r="D1614" s="37"/>
      <c r="E1614" s="55"/>
      <c r="F1614" s="82"/>
      <c r="G1614" s="111"/>
    </row>
    <row r="1615" spans="1:8">
      <c r="B1615" s="835"/>
      <c r="C1615" s="836"/>
      <c r="D1615" s="37"/>
      <c r="E1615" s="55"/>
      <c r="F1615" s="82"/>
      <c r="G1615" s="111"/>
      <c r="H1615" s="506" t="s">
        <v>1670</v>
      </c>
    </row>
    <row r="1616" spans="1:8">
      <c r="B1616" s="837"/>
      <c r="C1616" s="838"/>
      <c r="D1616" s="37"/>
      <c r="E1616" s="55"/>
      <c r="F1616" s="82"/>
      <c r="G1616" s="111"/>
    </row>
    <row r="1617" spans="2:7">
      <c r="B1617" s="837"/>
      <c r="C1617" s="838"/>
      <c r="D1617" s="53" t="s">
        <v>841</v>
      </c>
      <c r="E1617" s="53"/>
      <c r="F1617" s="82"/>
      <c r="G1617" s="111"/>
    </row>
    <row r="1618" spans="2:7">
      <c r="B1618" s="837" t="s">
        <v>841</v>
      </c>
      <c r="C1618" s="838"/>
      <c r="D1618" s="53" t="s">
        <v>841</v>
      </c>
      <c r="E1618" s="53"/>
      <c r="F1618" s="82"/>
      <c r="G1618" s="111"/>
    </row>
    <row r="1619" spans="2:7">
      <c r="B1619" s="837" t="s">
        <v>841</v>
      </c>
      <c r="C1619" s="838"/>
      <c r="D1619" s="53" t="s">
        <v>841</v>
      </c>
      <c r="E1619" s="53"/>
      <c r="F1619" s="82"/>
      <c r="G1619" s="111"/>
    </row>
    <row r="1620" spans="2:7" ht="13.5" thickBot="1">
      <c r="B1620" s="839" t="s">
        <v>841</v>
      </c>
      <c r="C1620" s="840"/>
      <c r="D1620" s="84" t="s">
        <v>841</v>
      </c>
      <c r="E1620" s="84"/>
      <c r="F1620" s="85"/>
      <c r="G1620" s="112"/>
    </row>
    <row r="1621" spans="2:7" ht="13.5" thickTop="1">
      <c r="B1621" s="808"/>
      <c r="C1621" s="809"/>
      <c r="D1621" s="801" t="s">
        <v>856</v>
      </c>
      <c r="E1621" s="802"/>
      <c r="F1621" s="9"/>
      <c r="G1621" s="113">
        <f>SUM(G1612:G1620)</f>
        <v>0</v>
      </c>
    </row>
    <row r="1622" spans="2:7">
      <c r="B1622" s="819"/>
      <c r="C1622" s="820"/>
      <c r="D1622" s="801" t="s">
        <v>857</v>
      </c>
      <c r="E1622" s="802"/>
      <c r="F1622" s="79">
        <f>'MANO DE OBRA'!D60</f>
        <v>0.05</v>
      </c>
      <c r="G1622" s="113">
        <f>ROUND(G1621*F1622,0)</f>
        <v>0</v>
      </c>
    </row>
    <row r="1623" spans="2:7" ht="13.5" thickBot="1">
      <c r="B1623" s="819"/>
      <c r="C1623" s="820"/>
      <c r="D1623" s="803" t="s">
        <v>320</v>
      </c>
      <c r="E1623" s="804"/>
      <c r="F1623" s="114"/>
      <c r="G1623" s="118">
        <f>+G1621+G1622</f>
        <v>0</v>
      </c>
    </row>
    <row r="1624" spans="2:7" ht="14.25" thickTop="1" thickBot="1">
      <c r="B1624" s="830"/>
      <c r="C1624" s="830"/>
      <c r="D1624" s="830"/>
      <c r="E1624" s="830"/>
      <c r="F1624" s="830"/>
      <c r="G1624" s="830"/>
    </row>
    <row r="1625" spans="2:7" ht="13.5" thickTop="1">
      <c r="B1625" s="811" t="s">
        <v>858</v>
      </c>
      <c r="C1625" s="812"/>
      <c r="D1625" s="812"/>
      <c r="E1625" s="812"/>
      <c r="F1625" s="812"/>
      <c r="G1625" s="825"/>
    </row>
    <row r="1626" spans="2:7">
      <c r="B1626" s="817"/>
      <c r="C1626" s="818"/>
      <c r="D1626" s="98" t="s">
        <v>301</v>
      </c>
      <c r="E1626" s="98" t="s">
        <v>859</v>
      </c>
      <c r="F1626" s="99" t="s">
        <v>839</v>
      </c>
      <c r="G1626" s="107" t="s">
        <v>840</v>
      </c>
    </row>
    <row r="1627" spans="2:7">
      <c r="B1627" s="821" t="s">
        <v>838</v>
      </c>
      <c r="C1627" s="822"/>
      <c r="D1627" s="100" t="s">
        <v>316</v>
      </c>
      <c r="E1627" s="100" t="s">
        <v>315</v>
      </c>
      <c r="F1627" s="101" t="s">
        <v>306</v>
      </c>
      <c r="G1627" s="108" t="s">
        <v>319</v>
      </c>
    </row>
    <row r="1628" spans="2:7">
      <c r="B1628" s="230"/>
      <c r="C1628" s="102"/>
      <c r="D1628" s="103"/>
      <c r="E1628" s="103" t="s">
        <v>317</v>
      </c>
      <c r="F1628" s="104" t="s">
        <v>318</v>
      </c>
      <c r="G1628" s="109"/>
    </row>
    <row r="1629" spans="2:7">
      <c r="B1629" s="823" t="str">
        <f>'MANO DE OBRA'!B10</f>
        <v>AYUDANTE CUAD. TIPO AA</v>
      </c>
      <c r="C1629" s="824"/>
      <c r="D1629" s="87">
        <v>1</v>
      </c>
      <c r="E1629" s="80">
        <f>'MANO DE OBRA'!E10</f>
        <v>34680</v>
      </c>
      <c r="F1629" s="81">
        <v>5</v>
      </c>
      <c r="G1629" s="110">
        <f>ROUND(D1629*E1629/F1629,0)</f>
        <v>6936</v>
      </c>
    </row>
    <row r="1630" spans="2:7">
      <c r="B1630" s="835" t="str">
        <f>'MANO DE OBRA'!B15</f>
        <v xml:space="preserve">OFICIAL CUAD. TIPO AA </v>
      </c>
      <c r="C1630" s="836"/>
      <c r="D1630" s="37">
        <v>1</v>
      </c>
      <c r="E1630" s="82">
        <f>'MANO DE OBRA'!E15</f>
        <v>71474</v>
      </c>
      <c r="F1630" s="83">
        <v>5</v>
      </c>
      <c r="G1630" s="111">
        <f>ROUND(D1630*E1630/F1630,0)</f>
        <v>14295</v>
      </c>
    </row>
    <row r="1631" spans="2:7">
      <c r="B1631" s="835"/>
      <c r="C1631" s="836"/>
      <c r="D1631" s="37"/>
      <c r="E1631" s="82"/>
      <c r="F1631" s="83"/>
      <c r="G1631" s="111"/>
    </row>
    <row r="1632" spans="2:7">
      <c r="B1632" s="835" t="s">
        <v>841</v>
      </c>
      <c r="C1632" s="836"/>
      <c r="D1632" s="37"/>
      <c r="E1632" s="82"/>
      <c r="F1632" s="83"/>
      <c r="G1632" s="111"/>
    </row>
    <row r="1633" spans="1:8" ht="13.5" thickBot="1">
      <c r="B1633" s="828" t="s">
        <v>841</v>
      </c>
      <c r="C1633" s="829"/>
      <c r="D1633" s="77"/>
      <c r="E1633" s="82"/>
      <c r="F1633" s="86"/>
      <c r="G1633" s="112"/>
    </row>
    <row r="1634" spans="1:8" ht="14.25" thickTop="1" thickBot="1">
      <c r="B1634" s="808"/>
      <c r="C1634" s="808"/>
      <c r="D1634" s="808"/>
      <c r="E1634" s="809"/>
      <c r="F1634" s="120" t="s">
        <v>856</v>
      </c>
      <c r="G1634" s="118">
        <f>SUM(G1629:G1633)</f>
        <v>21231</v>
      </c>
    </row>
    <row r="1635" spans="1:8" ht="14.25" thickTop="1" thickBot="1">
      <c r="B1635" s="810"/>
      <c r="C1635" s="810"/>
      <c r="D1635" s="810"/>
      <c r="E1635" s="810"/>
      <c r="F1635" s="810"/>
      <c r="G1635" s="810"/>
    </row>
    <row r="1636" spans="1:8" ht="13.5" thickTop="1">
      <c r="B1636" s="811" t="s">
        <v>321</v>
      </c>
      <c r="C1636" s="812"/>
      <c r="D1636" s="812"/>
      <c r="E1636" s="812"/>
      <c r="F1636" s="812"/>
      <c r="G1636" s="825"/>
    </row>
    <row r="1637" spans="1:8">
      <c r="B1637" s="817" t="s">
        <v>838</v>
      </c>
      <c r="C1637" s="818"/>
      <c r="D1637" s="98" t="s">
        <v>301</v>
      </c>
      <c r="E1637" s="98" t="s">
        <v>297</v>
      </c>
      <c r="F1637" s="99" t="s">
        <v>839</v>
      </c>
      <c r="G1637" s="107" t="s">
        <v>840</v>
      </c>
    </row>
    <row r="1638" spans="1:8">
      <c r="B1638" s="230"/>
      <c r="C1638" s="102"/>
      <c r="D1638" s="103" t="s">
        <v>322</v>
      </c>
      <c r="E1638" s="103" t="s">
        <v>323</v>
      </c>
      <c r="F1638" s="104" t="s">
        <v>324</v>
      </c>
      <c r="G1638" s="109" t="s">
        <v>325</v>
      </c>
    </row>
    <row r="1639" spans="1:8">
      <c r="B1639" s="826"/>
      <c r="C1639" s="827"/>
      <c r="D1639" s="96"/>
      <c r="E1639" s="96"/>
      <c r="F1639" s="96"/>
      <c r="G1639" s="116"/>
    </row>
    <row r="1640" spans="1:8" ht="13.5" thickBot="1">
      <c r="B1640" s="828" t="s">
        <v>841</v>
      </c>
      <c r="C1640" s="829"/>
      <c r="D1640" s="77"/>
      <c r="E1640" s="82"/>
      <c r="F1640" s="86"/>
      <c r="G1640" s="112"/>
    </row>
    <row r="1641" spans="1:8" ht="14.25" thickTop="1" thickBot="1">
      <c r="B1641" s="808"/>
      <c r="C1641" s="808"/>
      <c r="D1641" s="808"/>
      <c r="E1641" s="809"/>
      <c r="F1641" s="120" t="s">
        <v>856</v>
      </c>
      <c r="G1641" s="118">
        <f>SUM(G1636:G1640)</f>
        <v>0</v>
      </c>
    </row>
    <row r="1642" spans="1:8" ht="14.25" thickTop="1" thickBot="1">
      <c r="B1642" s="810"/>
      <c r="C1642" s="810"/>
      <c r="D1642" s="810"/>
      <c r="E1642" s="810"/>
      <c r="F1642" s="810"/>
      <c r="G1642" s="834"/>
    </row>
    <row r="1643" spans="1:8" ht="13.5" thickTop="1">
      <c r="B1643" s="811" t="s">
        <v>326</v>
      </c>
      <c r="C1643" s="812"/>
      <c r="D1643" s="812"/>
      <c r="E1643" s="812"/>
      <c r="F1643" s="813"/>
      <c r="G1643" s="121">
        <f>+G1607+G1623+G1634</f>
        <v>26539</v>
      </c>
    </row>
    <row r="1644" spans="1:8">
      <c r="B1644" s="814" t="s">
        <v>861</v>
      </c>
      <c r="C1644" s="815"/>
      <c r="D1644" s="815"/>
      <c r="E1644" s="816"/>
      <c r="F1644" s="128">
        <f>'MANO DE OBRA'!D1275</f>
        <v>0</v>
      </c>
      <c r="G1644" s="122">
        <f>ROUND(G1643*F1644,0)</f>
        <v>0</v>
      </c>
    </row>
    <row r="1645" spans="1:8" ht="13.5" thickBot="1">
      <c r="B1645" s="805" t="s">
        <v>1049</v>
      </c>
      <c r="C1645" s="806"/>
      <c r="D1645" s="806"/>
      <c r="E1645" s="806"/>
      <c r="F1645" s="807"/>
      <c r="G1645" s="118">
        <f>ROUND(G1643+G1644,-2)</f>
        <v>26500</v>
      </c>
      <c r="H1645" s="506" t="s">
        <v>1670</v>
      </c>
    </row>
    <row r="1646" spans="1:8" ht="13.5" thickTop="1">
      <c r="B1646" s="225" t="s">
        <v>303</v>
      </c>
      <c r="C1646" s="843"/>
      <c r="D1646" s="843"/>
      <c r="E1646" s="843"/>
      <c r="F1646" s="92" t="s">
        <v>781</v>
      </c>
      <c r="G1646" s="93" t="s">
        <v>865</v>
      </c>
    </row>
    <row r="1647" spans="1:8">
      <c r="B1647" s="226" t="s">
        <v>834</v>
      </c>
      <c r="C1647" s="844" t="s">
        <v>343</v>
      </c>
      <c r="D1647" s="844"/>
      <c r="E1647" s="844"/>
      <c r="F1647" s="15" t="s">
        <v>833</v>
      </c>
      <c r="G1647" s="165" t="str">
        <f>'MANO DE OBRA'!D61</f>
        <v>Agosto de 2010</v>
      </c>
    </row>
    <row r="1648" spans="1:8" ht="13.5" thickBot="1">
      <c r="A1648" s="127"/>
      <c r="B1648" s="228" t="s">
        <v>835</v>
      </c>
      <c r="C1648" s="845" t="s">
        <v>69</v>
      </c>
      <c r="D1648" s="845"/>
      <c r="E1648" s="845"/>
      <c r="F1648" s="845"/>
      <c r="G1648" s="846"/>
    </row>
    <row r="1649" spans="1:7" ht="14.25" thickTop="1" thickBot="1">
      <c r="B1649" s="847"/>
      <c r="C1649" s="847"/>
      <c r="D1649" s="847"/>
      <c r="E1649" s="847"/>
      <c r="F1649" s="847"/>
      <c r="G1649" s="847"/>
    </row>
    <row r="1650" spans="1:7" ht="13.5" thickTop="1">
      <c r="B1650" s="811" t="s">
        <v>304</v>
      </c>
      <c r="C1650" s="812"/>
      <c r="D1650" s="812"/>
      <c r="E1650" s="812"/>
      <c r="F1650" s="812"/>
      <c r="G1650" s="825"/>
    </row>
    <row r="1651" spans="1:7">
      <c r="B1651" s="229"/>
      <c r="C1651" s="97"/>
      <c r="D1651" s="98" t="s">
        <v>301</v>
      </c>
      <c r="E1651" s="98" t="s">
        <v>1072</v>
      </c>
      <c r="F1651" s="99" t="s">
        <v>839</v>
      </c>
      <c r="G1651" s="107" t="s">
        <v>840</v>
      </c>
    </row>
    <row r="1652" spans="1:7">
      <c r="B1652" s="821" t="s">
        <v>838</v>
      </c>
      <c r="C1652" s="822"/>
      <c r="D1652" s="100" t="s">
        <v>308</v>
      </c>
      <c r="E1652" s="100" t="s">
        <v>305</v>
      </c>
      <c r="F1652" s="101" t="s">
        <v>306</v>
      </c>
      <c r="G1652" s="108" t="s">
        <v>310</v>
      </c>
    </row>
    <row r="1653" spans="1:7">
      <c r="B1653" s="230"/>
      <c r="C1653" s="102"/>
      <c r="D1653" s="103"/>
      <c r="E1653" s="103" t="s">
        <v>309</v>
      </c>
      <c r="F1653" s="104" t="s">
        <v>307</v>
      </c>
      <c r="G1653" s="109"/>
    </row>
    <row r="1654" spans="1:7">
      <c r="A1654" s="127"/>
      <c r="B1654" s="823" t="str">
        <f>'MAQUINARIA Y EQUIPOS'!C28</f>
        <v>HERRAMIENTAS MENORES</v>
      </c>
      <c r="C1654" s="824"/>
      <c r="D1654" s="87">
        <v>1</v>
      </c>
      <c r="E1654" s="82">
        <f>ROUND(G1687*0.25,0)</f>
        <v>4345</v>
      </c>
      <c r="F1654" s="81">
        <v>1</v>
      </c>
      <c r="G1654" s="110">
        <f>ROUND(D1654*E1654/F1654,0)</f>
        <v>4345</v>
      </c>
    </row>
    <row r="1655" spans="1:7">
      <c r="B1655" s="835"/>
      <c r="C1655" s="836"/>
      <c r="D1655" s="37"/>
      <c r="E1655" s="129"/>
      <c r="F1655" s="53"/>
      <c r="G1655" s="111"/>
    </row>
    <row r="1656" spans="1:7">
      <c r="B1656" s="835"/>
      <c r="C1656" s="836"/>
      <c r="D1656" s="37"/>
      <c r="E1656" s="129"/>
      <c r="F1656" s="53"/>
      <c r="G1656" s="111"/>
    </row>
    <row r="1657" spans="1:7">
      <c r="B1657" s="835"/>
      <c r="C1657" s="836"/>
      <c r="D1657" s="37"/>
      <c r="E1657" s="129"/>
      <c r="F1657" s="53"/>
      <c r="G1657" s="111"/>
    </row>
    <row r="1658" spans="1:7">
      <c r="B1658" s="835" t="s">
        <v>841</v>
      </c>
      <c r="C1658" s="836"/>
      <c r="D1658" s="37"/>
      <c r="E1658" s="82"/>
      <c r="F1658" s="83"/>
      <c r="G1658" s="111"/>
    </row>
    <row r="1659" spans="1:7" ht="13.5" thickBot="1">
      <c r="B1659" s="839" t="s">
        <v>841</v>
      </c>
      <c r="C1659" s="840"/>
      <c r="D1659" s="77"/>
      <c r="E1659" s="106"/>
      <c r="F1659" s="86"/>
      <c r="G1659" s="112"/>
    </row>
    <row r="1660" spans="1:7" ht="14.25" thickTop="1" thickBot="1">
      <c r="B1660" s="808"/>
      <c r="C1660" s="808"/>
      <c r="D1660" s="808"/>
      <c r="E1660" s="809"/>
      <c r="F1660" s="119" t="s">
        <v>856</v>
      </c>
      <c r="G1660" s="118">
        <f>SUM(G1654:G1659)</f>
        <v>4345</v>
      </c>
    </row>
    <row r="1661" spans="1:7" ht="14.25" thickTop="1" thickBot="1">
      <c r="B1661" s="830"/>
      <c r="C1661" s="830"/>
      <c r="D1661" s="830"/>
      <c r="E1661" s="830"/>
      <c r="F1661" s="830"/>
      <c r="G1661" s="830"/>
    </row>
    <row r="1662" spans="1:7" ht="13.5" thickTop="1">
      <c r="B1662" s="811" t="s">
        <v>311</v>
      </c>
      <c r="C1662" s="812"/>
      <c r="D1662" s="812"/>
      <c r="E1662" s="812"/>
      <c r="F1662" s="812"/>
      <c r="G1662" s="825"/>
    </row>
    <row r="1663" spans="1:7">
      <c r="B1663" s="817" t="s">
        <v>838</v>
      </c>
      <c r="C1663" s="818"/>
      <c r="D1663" s="98" t="s">
        <v>842</v>
      </c>
      <c r="E1663" s="98" t="s">
        <v>853</v>
      </c>
      <c r="F1663" s="99" t="s">
        <v>1047</v>
      </c>
      <c r="G1663" s="107" t="s">
        <v>840</v>
      </c>
    </row>
    <row r="1664" spans="1:7">
      <c r="B1664" s="230"/>
      <c r="C1664" s="102"/>
      <c r="D1664" s="100"/>
      <c r="E1664" s="100" t="s">
        <v>312</v>
      </c>
      <c r="F1664" s="101" t="s">
        <v>313</v>
      </c>
      <c r="G1664" s="109" t="s">
        <v>314</v>
      </c>
    </row>
    <row r="1665" spans="1:8">
      <c r="A1665" s="125"/>
      <c r="B1665" s="871" t="str">
        <f>MATERIALES2!C704</f>
        <v>SOLDADURA PVC ¼</v>
      </c>
      <c r="C1665" s="872"/>
      <c r="D1665" s="87" t="s">
        <v>865</v>
      </c>
      <c r="E1665" s="10">
        <v>0.01</v>
      </c>
      <c r="F1665" s="80">
        <f>MATERIALES2!E704</f>
        <v>56298</v>
      </c>
      <c r="G1665" s="111">
        <f>ROUND(E1665*F1665,0)</f>
        <v>563</v>
      </c>
    </row>
    <row r="1666" spans="1:8">
      <c r="A1666" s="123"/>
      <c r="B1666" s="873" t="str">
        <f>MATERIALES2!C720</f>
        <v>TAPON SOLDADO PRESION ½"</v>
      </c>
      <c r="C1666" s="874"/>
      <c r="D1666" s="88" t="s">
        <v>865</v>
      </c>
      <c r="E1666" s="53">
        <v>1</v>
      </c>
      <c r="F1666" s="82">
        <f>MATERIALES2!E720</f>
        <v>253</v>
      </c>
      <c r="G1666" s="111">
        <f>ROUND(E1666*F1666,0)</f>
        <v>253</v>
      </c>
    </row>
    <row r="1667" spans="1:8">
      <c r="B1667" s="835"/>
      <c r="C1667" s="836"/>
      <c r="D1667" s="37"/>
      <c r="E1667" s="55"/>
      <c r="F1667" s="82"/>
      <c r="G1667" s="111"/>
    </row>
    <row r="1668" spans="1:8">
      <c r="B1668" s="835"/>
      <c r="C1668" s="836"/>
      <c r="D1668" s="37"/>
      <c r="E1668" s="55"/>
      <c r="F1668" s="82"/>
      <c r="G1668" s="111"/>
    </row>
    <row r="1669" spans="1:8">
      <c r="B1669" s="837"/>
      <c r="C1669" s="838"/>
      <c r="D1669" s="37"/>
      <c r="E1669" s="55"/>
      <c r="F1669" s="82"/>
      <c r="G1669" s="111"/>
      <c r="H1669" s="506" t="s">
        <v>1670</v>
      </c>
    </row>
    <row r="1670" spans="1:8">
      <c r="B1670" s="837"/>
      <c r="C1670" s="838"/>
      <c r="D1670" s="53" t="s">
        <v>841</v>
      </c>
      <c r="E1670" s="53"/>
      <c r="F1670" s="82"/>
      <c r="G1670" s="111"/>
    </row>
    <row r="1671" spans="1:8">
      <c r="B1671" s="837" t="s">
        <v>841</v>
      </c>
      <c r="C1671" s="838"/>
      <c r="D1671" s="53" t="s">
        <v>841</v>
      </c>
      <c r="E1671" s="53"/>
      <c r="F1671" s="82"/>
      <c r="G1671" s="111"/>
    </row>
    <row r="1672" spans="1:8">
      <c r="B1672" s="837" t="s">
        <v>841</v>
      </c>
      <c r="C1672" s="838"/>
      <c r="D1672" s="53" t="s">
        <v>841</v>
      </c>
      <c r="E1672" s="53"/>
      <c r="F1672" s="82"/>
      <c r="G1672" s="111"/>
    </row>
    <row r="1673" spans="1:8" ht="13.5" thickBot="1">
      <c r="B1673" s="839" t="s">
        <v>841</v>
      </c>
      <c r="C1673" s="840"/>
      <c r="D1673" s="84" t="s">
        <v>841</v>
      </c>
      <c r="E1673" s="84"/>
      <c r="F1673" s="85"/>
      <c r="G1673" s="112"/>
    </row>
    <row r="1674" spans="1:8" ht="13.5" thickTop="1">
      <c r="B1674" s="808"/>
      <c r="C1674" s="809"/>
      <c r="D1674" s="801" t="s">
        <v>856</v>
      </c>
      <c r="E1674" s="802"/>
      <c r="F1674" s="9"/>
      <c r="G1674" s="113">
        <f>SUM(G1665:G1673)</f>
        <v>816</v>
      </c>
    </row>
    <row r="1675" spans="1:8">
      <c r="B1675" s="819"/>
      <c r="C1675" s="820"/>
      <c r="D1675" s="801" t="s">
        <v>857</v>
      </c>
      <c r="E1675" s="802"/>
      <c r="F1675" s="79">
        <f>'MANO DE OBRA'!D60</f>
        <v>0.05</v>
      </c>
      <c r="G1675" s="113">
        <f>ROUND(G1674*F1675,0)</f>
        <v>41</v>
      </c>
    </row>
    <row r="1676" spans="1:8" ht="13.5" thickBot="1">
      <c r="B1676" s="819"/>
      <c r="C1676" s="820"/>
      <c r="D1676" s="803" t="s">
        <v>320</v>
      </c>
      <c r="E1676" s="804"/>
      <c r="F1676" s="114"/>
      <c r="G1676" s="118">
        <f>+G1674+G1675</f>
        <v>857</v>
      </c>
    </row>
    <row r="1677" spans="1:8" ht="14.25" thickTop="1" thickBot="1">
      <c r="B1677" s="830"/>
      <c r="C1677" s="830"/>
      <c r="D1677" s="830"/>
      <c r="E1677" s="830"/>
      <c r="F1677" s="830"/>
      <c r="G1677" s="830"/>
    </row>
    <row r="1678" spans="1:8" ht="13.5" thickTop="1">
      <c r="B1678" s="811" t="s">
        <v>858</v>
      </c>
      <c r="C1678" s="812"/>
      <c r="D1678" s="812"/>
      <c r="E1678" s="812"/>
      <c r="F1678" s="812"/>
      <c r="G1678" s="825"/>
    </row>
    <row r="1679" spans="1:8">
      <c r="B1679" s="817"/>
      <c r="C1679" s="818"/>
      <c r="D1679" s="98" t="s">
        <v>301</v>
      </c>
      <c r="E1679" s="98" t="s">
        <v>859</v>
      </c>
      <c r="F1679" s="99" t="s">
        <v>839</v>
      </c>
      <c r="G1679" s="107" t="s">
        <v>840</v>
      </c>
    </row>
    <row r="1680" spans="1:8">
      <c r="B1680" s="821" t="s">
        <v>838</v>
      </c>
      <c r="C1680" s="822"/>
      <c r="D1680" s="100" t="s">
        <v>316</v>
      </c>
      <c r="E1680" s="100" t="s">
        <v>315</v>
      </c>
      <c r="F1680" s="101" t="s">
        <v>306</v>
      </c>
      <c r="G1680" s="108" t="s">
        <v>319</v>
      </c>
    </row>
    <row r="1681" spans="2:7">
      <c r="B1681" s="230"/>
      <c r="C1681" s="102"/>
      <c r="D1681" s="103"/>
      <c r="E1681" s="103" t="s">
        <v>317</v>
      </c>
      <c r="F1681" s="104" t="s">
        <v>318</v>
      </c>
      <c r="G1681" s="109"/>
    </row>
    <row r="1682" spans="2:7">
      <c r="B1682" s="823" t="str">
        <f>'MANO DE OBRA'!B11</f>
        <v>AYUDANTE CUAD. TIPO BB</v>
      </c>
      <c r="C1682" s="824"/>
      <c r="D1682" s="87">
        <v>1</v>
      </c>
      <c r="E1682" s="80">
        <f>'MANO DE OBRA'!E11</f>
        <v>43077</v>
      </c>
      <c r="F1682" s="81">
        <v>7</v>
      </c>
      <c r="G1682" s="110">
        <f>ROUND(D1682*E1682/F1682,0)</f>
        <v>6154</v>
      </c>
    </row>
    <row r="1683" spans="2:7">
      <c r="B1683" s="835" t="str">
        <f>'MANO DE OBRA'!B16</f>
        <v>OFICIAL CUAD. TIPO BB</v>
      </c>
      <c r="C1683" s="836"/>
      <c r="D1683" s="37">
        <v>1</v>
      </c>
      <c r="E1683" s="82">
        <f>'MANO DE OBRA'!E16</f>
        <v>78577</v>
      </c>
      <c r="F1683" s="83">
        <v>7</v>
      </c>
      <c r="G1683" s="111">
        <f>ROUND(D1683*E1683/F1683,0)</f>
        <v>11225</v>
      </c>
    </row>
    <row r="1684" spans="2:7">
      <c r="B1684" s="835"/>
      <c r="C1684" s="836"/>
      <c r="D1684" s="37"/>
      <c r="E1684" s="82"/>
      <c r="F1684" s="83"/>
      <c r="G1684" s="111"/>
    </row>
    <row r="1685" spans="2:7">
      <c r="B1685" s="835" t="s">
        <v>841</v>
      </c>
      <c r="C1685" s="836"/>
      <c r="D1685" s="37"/>
      <c r="E1685" s="82"/>
      <c r="F1685" s="83"/>
      <c r="G1685" s="111"/>
    </row>
    <row r="1686" spans="2:7" ht="13.5" thickBot="1">
      <c r="B1686" s="828" t="s">
        <v>841</v>
      </c>
      <c r="C1686" s="829"/>
      <c r="D1686" s="77"/>
      <c r="E1686" s="82"/>
      <c r="F1686" s="86"/>
      <c r="G1686" s="112"/>
    </row>
    <row r="1687" spans="2:7" ht="14.25" thickTop="1" thickBot="1">
      <c r="B1687" s="808"/>
      <c r="C1687" s="808"/>
      <c r="D1687" s="808"/>
      <c r="E1687" s="809"/>
      <c r="F1687" s="120" t="s">
        <v>856</v>
      </c>
      <c r="G1687" s="118">
        <f>SUM(G1682:G1686)</f>
        <v>17379</v>
      </c>
    </row>
    <row r="1688" spans="2:7" ht="14.25" thickTop="1" thickBot="1">
      <c r="B1688" s="810"/>
      <c r="C1688" s="810"/>
      <c r="D1688" s="810"/>
      <c r="E1688" s="810"/>
      <c r="F1688" s="810"/>
      <c r="G1688" s="810"/>
    </row>
    <row r="1689" spans="2:7" ht="13.5" thickTop="1">
      <c r="B1689" s="811" t="s">
        <v>321</v>
      </c>
      <c r="C1689" s="812"/>
      <c r="D1689" s="812"/>
      <c r="E1689" s="812"/>
      <c r="F1689" s="812"/>
      <c r="G1689" s="825"/>
    </row>
    <row r="1690" spans="2:7">
      <c r="B1690" s="817" t="s">
        <v>838</v>
      </c>
      <c r="C1690" s="818"/>
      <c r="D1690" s="98" t="s">
        <v>301</v>
      </c>
      <c r="E1690" s="98" t="s">
        <v>297</v>
      </c>
      <c r="F1690" s="99" t="s">
        <v>839</v>
      </c>
      <c r="G1690" s="107" t="s">
        <v>840</v>
      </c>
    </row>
    <row r="1691" spans="2:7">
      <c r="B1691" s="230"/>
      <c r="C1691" s="102"/>
      <c r="D1691" s="103" t="s">
        <v>322</v>
      </c>
      <c r="E1691" s="103" t="s">
        <v>323</v>
      </c>
      <c r="F1691" s="104" t="s">
        <v>324</v>
      </c>
      <c r="G1691" s="109" t="s">
        <v>325</v>
      </c>
    </row>
    <row r="1692" spans="2:7">
      <c r="B1692" s="826"/>
      <c r="C1692" s="827"/>
      <c r="D1692" s="96"/>
      <c r="E1692" s="96"/>
      <c r="F1692" s="96"/>
      <c r="G1692" s="116"/>
    </row>
    <row r="1693" spans="2:7" ht="13.5" thickBot="1">
      <c r="B1693" s="828" t="s">
        <v>841</v>
      </c>
      <c r="C1693" s="829"/>
      <c r="D1693" s="77"/>
      <c r="E1693" s="82"/>
      <c r="F1693" s="86"/>
      <c r="G1693" s="112"/>
    </row>
    <row r="1694" spans="2:7" ht="14.25" thickTop="1" thickBot="1">
      <c r="B1694" s="808"/>
      <c r="C1694" s="808"/>
      <c r="D1694" s="808"/>
      <c r="E1694" s="809"/>
      <c r="F1694" s="120" t="s">
        <v>856</v>
      </c>
      <c r="G1694" s="118">
        <f>SUM(G1689:G1693)</f>
        <v>0</v>
      </c>
    </row>
    <row r="1695" spans="2:7" ht="14.25" thickTop="1" thickBot="1">
      <c r="B1695" s="810"/>
      <c r="C1695" s="810"/>
      <c r="D1695" s="810"/>
      <c r="E1695" s="810"/>
      <c r="F1695" s="810"/>
      <c r="G1695" s="834"/>
    </row>
    <row r="1696" spans="2:7" ht="13.5" thickTop="1">
      <c r="B1696" s="811" t="s">
        <v>326</v>
      </c>
      <c r="C1696" s="812"/>
      <c r="D1696" s="812"/>
      <c r="E1696" s="812"/>
      <c r="F1696" s="813"/>
      <c r="G1696" s="121">
        <f>+G1660+G1676+G1687</f>
        <v>22581</v>
      </c>
    </row>
    <row r="1697" spans="2:8">
      <c r="B1697" s="814" t="s">
        <v>861</v>
      </c>
      <c r="C1697" s="815"/>
      <c r="D1697" s="815"/>
      <c r="E1697" s="816"/>
      <c r="F1697" s="128">
        <f>'MANO DE OBRA'!D1328</f>
        <v>0</v>
      </c>
      <c r="G1697" s="122">
        <f>ROUND(G1696*F1697,0)</f>
        <v>0</v>
      </c>
    </row>
    <row r="1698" spans="2:8" ht="13.5" thickBot="1">
      <c r="B1698" s="805" t="s">
        <v>1049</v>
      </c>
      <c r="C1698" s="806"/>
      <c r="D1698" s="806"/>
      <c r="E1698" s="806"/>
      <c r="F1698" s="807"/>
      <c r="G1698" s="118">
        <f>ROUND(G1696+G1697,-2)</f>
        <v>22600</v>
      </c>
      <c r="H1698" s="506" t="s">
        <v>1670</v>
      </c>
    </row>
    <row r="1699" spans="2:8" ht="13.5" thickTop="1">
      <c r="B1699" s="225" t="s">
        <v>303</v>
      </c>
      <c r="C1699" s="843"/>
      <c r="D1699" s="843"/>
      <c r="E1699" s="843"/>
      <c r="F1699" s="92" t="s">
        <v>781</v>
      </c>
      <c r="G1699" s="93" t="s">
        <v>865</v>
      </c>
    </row>
    <row r="1700" spans="2:8">
      <c r="B1700" s="226" t="s">
        <v>834</v>
      </c>
      <c r="C1700" s="844" t="s">
        <v>343</v>
      </c>
      <c r="D1700" s="844"/>
      <c r="E1700" s="844"/>
      <c r="F1700" s="15" t="s">
        <v>833</v>
      </c>
      <c r="G1700" s="165" t="str">
        <f>'MANO DE OBRA'!D61</f>
        <v>Agosto de 2010</v>
      </c>
    </row>
    <row r="1701" spans="2:8" ht="13.5" thickBot="1">
      <c r="B1701" s="228" t="s">
        <v>835</v>
      </c>
      <c r="C1701" s="845" t="s">
        <v>249</v>
      </c>
      <c r="D1701" s="845"/>
      <c r="E1701" s="845"/>
      <c r="F1701" s="845"/>
      <c r="G1701" s="846"/>
    </row>
    <row r="1702" spans="2:8" ht="14.25" thickTop="1" thickBot="1">
      <c r="B1702" s="847"/>
      <c r="C1702" s="847"/>
      <c r="D1702" s="847"/>
      <c r="E1702" s="847"/>
      <c r="F1702" s="847"/>
      <c r="G1702" s="847"/>
    </row>
    <row r="1703" spans="2:8" ht="13.5" thickTop="1">
      <c r="B1703" s="811" t="s">
        <v>304</v>
      </c>
      <c r="C1703" s="812"/>
      <c r="D1703" s="812"/>
      <c r="E1703" s="812"/>
      <c r="F1703" s="812"/>
      <c r="G1703" s="825"/>
    </row>
    <row r="1704" spans="2:8">
      <c r="B1704" s="229"/>
      <c r="C1704" s="97"/>
      <c r="D1704" s="98" t="s">
        <v>301</v>
      </c>
      <c r="E1704" s="98" t="s">
        <v>1072</v>
      </c>
      <c r="F1704" s="99" t="s">
        <v>839</v>
      </c>
      <c r="G1704" s="107" t="s">
        <v>840</v>
      </c>
    </row>
    <row r="1705" spans="2:8">
      <c r="B1705" s="821" t="s">
        <v>838</v>
      </c>
      <c r="C1705" s="822"/>
      <c r="D1705" s="100" t="s">
        <v>308</v>
      </c>
      <c r="E1705" s="100" t="s">
        <v>305</v>
      </c>
      <c r="F1705" s="101" t="s">
        <v>306</v>
      </c>
      <c r="G1705" s="108" t="s">
        <v>310</v>
      </c>
    </row>
    <row r="1706" spans="2:8">
      <c r="B1706" s="230"/>
      <c r="C1706" s="102"/>
      <c r="D1706" s="103"/>
      <c r="E1706" s="103" t="s">
        <v>309</v>
      </c>
      <c r="F1706" s="104" t="s">
        <v>307</v>
      </c>
      <c r="G1706" s="109"/>
    </row>
    <row r="1707" spans="2:8">
      <c r="B1707" s="823" t="str">
        <f>'MAQUINARIA Y EQUIPOS'!C28</f>
        <v>HERRAMIENTAS MENORES</v>
      </c>
      <c r="C1707" s="824"/>
      <c r="D1707" s="87">
        <v>1</v>
      </c>
      <c r="E1707" s="82">
        <f>ROUND(G1740*0.25,0)</f>
        <v>26539</v>
      </c>
      <c r="F1707" s="81">
        <v>2</v>
      </c>
      <c r="G1707" s="110">
        <f>ROUND(D1707*E1707/F1707,0)</f>
        <v>13270</v>
      </c>
    </row>
    <row r="1708" spans="2:8">
      <c r="B1708" s="835"/>
      <c r="C1708" s="836"/>
      <c r="D1708" s="37"/>
      <c r="E1708" s="129"/>
      <c r="F1708" s="53"/>
      <c r="G1708" s="111"/>
    </row>
    <row r="1709" spans="2:8">
      <c r="B1709" s="835"/>
      <c r="C1709" s="836"/>
      <c r="D1709" s="37"/>
      <c r="E1709" s="129"/>
      <c r="F1709" s="53"/>
      <c r="G1709" s="111"/>
    </row>
    <row r="1710" spans="2:8">
      <c r="B1710" s="835"/>
      <c r="C1710" s="836"/>
      <c r="D1710" s="37"/>
      <c r="E1710" s="129"/>
      <c r="F1710" s="53"/>
      <c r="G1710" s="111"/>
    </row>
    <row r="1711" spans="2:8">
      <c r="B1711" s="835" t="s">
        <v>841</v>
      </c>
      <c r="C1711" s="836"/>
      <c r="D1711" s="37"/>
      <c r="E1711" s="82"/>
      <c r="F1711" s="83"/>
      <c r="G1711" s="111"/>
    </row>
    <row r="1712" spans="2:8" ht="13.5" thickBot="1">
      <c r="B1712" s="839" t="s">
        <v>841</v>
      </c>
      <c r="C1712" s="840"/>
      <c r="D1712" s="77"/>
      <c r="E1712" s="106"/>
      <c r="F1712" s="86"/>
      <c r="G1712" s="112"/>
    </row>
    <row r="1713" spans="2:8" ht="14.25" thickTop="1" thickBot="1">
      <c r="B1713" s="808"/>
      <c r="C1713" s="808"/>
      <c r="D1713" s="808"/>
      <c r="E1713" s="809"/>
      <c r="F1713" s="119" t="s">
        <v>856</v>
      </c>
      <c r="G1713" s="118">
        <f>SUM(G1707:G1712)</f>
        <v>13270</v>
      </c>
    </row>
    <row r="1714" spans="2:8" ht="14.25" thickTop="1" thickBot="1">
      <c r="B1714" s="830"/>
      <c r="C1714" s="830"/>
      <c r="D1714" s="830"/>
      <c r="E1714" s="830"/>
      <c r="F1714" s="830"/>
      <c r="G1714" s="830"/>
    </row>
    <row r="1715" spans="2:8" ht="13.5" thickTop="1">
      <c r="B1715" s="811" t="s">
        <v>311</v>
      </c>
      <c r="C1715" s="812"/>
      <c r="D1715" s="812"/>
      <c r="E1715" s="812"/>
      <c r="F1715" s="812"/>
      <c r="G1715" s="825"/>
    </row>
    <row r="1716" spans="2:8">
      <c r="B1716" s="817" t="s">
        <v>838</v>
      </c>
      <c r="C1716" s="818"/>
      <c r="D1716" s="98" t="s">
        <v>842</v>
      </c>
      <c r="E1716" s="98" t="s">
        <v>853</v>
      </c>
      <c r="F1716" s="99" t="s">
        <v>1047</v>
      </c>
      <c r="G1716" s="107" t="s">
        <v>840</v>
      </c>
    </row>
    <row r="1717" spans="2:8">
      <c r="B1717" s="230"/>
      <c r="C1717" s="102"/>
      <c r="D1717" s="100"/>
      <c r="E1717" s="100" t="s">
        <v>312</v>
      </c>
      <c r="F1717" s="101" t="s">
        <v>313</v>
      </c>
      <c r="G1717" s="108" t="s">
        <v>314</v>
      </c>
    </row>
    <row r="1718" spans="2:8">
      <c r="B1718" s="875"/>
      <c r="C1718" s="876"/>
      <c r="D1718" s="87"/>
      <c r="E1718" s="10"/>
      <c r="F1718" s="80"/>
      <c r="G1718" s="110"/>
    </row>
    <row r="1719" spans="2:8">
      <c r="B1719" s="877"/>
      <c r="C1719" s="878"/>
      <c r="D1719" s="88"/>
      <c r="E1719" s="53"/>
      <c r="F1719" s="82"/>
      <c r="G1719" s="111"/>
    </row>
    <row r="1720" spans="2:8">
      <c r="B1720" s="835"/>
      <c r="C1720" s="836"/>
      <c r="D1720" s="37"/>
      <c r="E1720" s="55"/>
      <c r="F1720" s="82"/>
      <c r="G1720" s="111"/>
    </row>
    <row r="1721" spans="2:8">
      <c r="B1721" s="835"/>
      <c r="C1721" s="836"/>
      <c r="D1721" s="37"/>
      <c r="E1721" s="55"/>
      <c r="F1721" s="82"/>
      <c r="G1721" s="111"/>
    </row>
    <row r="1722" spans="2:8">
      <c r="B1722" s="837"/>
      <c r="C1722" s="838"/>
      <c r="D1722" s="37"/>
      <c r="E1722" s="55"/>
      <c r="F1722" s="82"/>
      <c r="G1722" s="111"/>
      <c r="H1722" s="506" t="s">
        <v>1670</v>
      </c>
    </row>
    <row r="1723" spans="2:8">
      <c r="B1723" s="837"/>
      <c r="C1723" s="838"/>
      <c r="D1723" s="53" t="s">
        <v>841</v>
      </c>
      <c r="E1723" s="53"/>
      <c r="F1723" s="82"/>
      <c r="G1723" s="111"/>
    </row>
    <row r="1724" spans="2:8">
      <c r="B1724" s="837" t="s">
        <v>841</v>
      </c>
      <c r="C1724" s="838"/>
      <c r="D1724" s="53" t="s">
        <v>841</v>
      </c>
      <c r="E1724" s="53"/>
      <c r="F1724" s="82"/>
      <c r="G1724" s="111"/>
    </row>
    <row r="1725" spans="2:8">
      <c r="B1725" s="837" t="s">
        <v>841</v>
      </c>
      <c r="C1725" s="838"/>
      <c r="D1725" s="53" t="s">
        <v>841</v>
      </c>
      <c r="E1725" s="53"/>
      <c r="F1725" s="82"/>
      <c r="G1725" s="111"/>
    </row>
    <row r="1726" spans="2:8" ht="13.5" thickBot="1">
      <c r="B1726" s="839" t="s">
        <v>841</v>
      </c>
      <c r="C1726" s="840"/>
      <c r="D1726" s="84" t="s">
        <v>841</v>
      </c>
      <c r="E1726" s="84"/>
      <c r="F1726" s="85"/>
      <c r="G1726" s="112"/>
    </row>
    <row r="1727" spans="2:8" ht="13.5" thickTop="1">
      <c r="B1727" s="808"/>
      <c r="C1727" s="809"/>
      <c r="D1727" s="801" t="s">
        <v>856</v>
      </c>
      <c r="E1727" s="802"/>
      <c r="F1727" s="9"/>
      <c r="G1727" s="113">
        <f>SUM(G1718:G1726)</f>
        <v>0</v>
      </c>
    </row>
    <row r="1728" spans="2:8">
      <c r="B1728" s="819"/>
      <c r="C1728" s="820"/>
      <c r="D1728" s="801" t="s">
        <v>857</v>
      </c>
      <c r="E1728" s="802"/>
      <c r="F1728" s="79">
        <f>'MANO DE OBRA'!D1280</f>
        <v>0</v>
      </c>
      <c r="G1728" s="113">
        <f>ROUND(G1727*F1728,0)</f>
        <v>0</v>
      </c>
    </row>
    <row r="1729" spans="2:7" ht="13.5" thickBot="1">
      <c r="B1729" s="819"/>
      <c r="C1729" s="820"/>
      <c r="D1729" s="803" t="s">
        <v>320</v>
      </c>
      <c r="E1729" s="804"/>
      <c r="F1729" s="114"/>
      <c r="G1729" s="118">
        <f>+G1727+G1728</f>
        <v>0</v>
      </c>
    </row>
    <row r="1730" spans="2:7" ht="14.25" thickTop="1" thickBot="1">
      <c r="B1730" s="830"/>
      <c r="C1730" s="830"/>
      <c r="D1730" s="830"/>
      <c r="E1730" s="830"/>
      <c r="F1730" s="830"/>
      <c r="G1730" s="830"/>
    </row>
    <row r="1731" spans="2:7" ht="13.5" thickTop="1">
      <c r="B1731" s="811" t="s">
        <v>858</v>
      </c>
      <c r="C1731" s="812"/>
      <c r="D1731" s="812"/>
      <c r="E1731" s="812"/>
      <c r="F1731" s="812"/>
      <c r="G1731" s="825"/>
    </row>
    <row r="1732" spans="2:7">
      <c r="B1732" s="817"/>
      <c r="C1732" s="818"/>
      <c r="D1732" s="98" t="s">
        <v>301</v>
      </c>
      <c r="E1732" s="98" t="s">
        <v>859</v>
      </c>
      <c r="F1732" s="99" t="s">
        <v>839</v>
      </c>
      <c r="G1732" s="107" t="s">
        <v>840</v>
      </c>
    </row>
    <row r="1733" spans="2:7">
      <c r="B1733" s="821" t="s">
        <v>838</v>
      </c>
      <c r="C1733" s="822"/>
      <c r="D1733" s="100" t="s">
        <v>316</v>
      </c>
      <c r="E1733" s="100" t="s">
        <v>315</v>
      </c>
      <c r="F1733" s="101" t="s">
        <v>306</v>
      </c>
      <c r="G1733" s="108" t="s">
        <v>319</v>
      </c>
    </row>
    <row r="1734" spans="2:7">
      <c r="B1734" s="230"/>
      <c r="C1734" s="102"/>
      <c r="D1734" s="103"/>
      <c r="E1734" s="103" t="s">
        <v>317</v>
      </c>
      <c r="F1734" s="104" t="s">
        <v>318</v>
      </c>
      <c r="G1734" s="109"/>
    </row>
    <row r="1735" spans="2:7">
      <c r="B1735" s="823" t="str">
        <f>'MANO DE OBRA'!B10</f>
        <v>AYUDANTE CUAD. TIPO AA</v>
      </c>
      <c r="C1735" s="824"/>
      <c r="D1735" s="87">
        <v>1</v>
      </c>
      <c r="E1735" s="80">
        <f>'MANO DE OBRA'!E10</f>
        <v>34680</v>
      </c>
      <c r="F1735" s="81">
        <v>1</v>
      </c>
      <c r="G1735" s="110">
        <f>ROUND(D1735*E1735/F1735,0)</f>
        <v>34680</v>
      </c>
    </row>
    <row r="1736" spans="2:7">
      <c r="B1736" s="835" t="str">
        <f>'MANO DE OBRA'!B15</f>
        <v xml:space="preserve">OFICIAL CUAD. TIPO AA </v>
      </c>
      <c r="C1736" s="836"/>
      <c r="D1736" s="37">
        <v>1</v>
      </c>
      <c r="E1736" s="82">
        <f>'MANO DE OBRA'!E15</f>
        <v>71474</v>
      </c>
      <c r="F1736" s="83">
        <v>1</v>
      </c>
      <c r="G1736" s="111">
        <f>ROUND(D1736*E1736/F1736,0)</f>
        <v>71474</v>
      </c>
    </row>
    <row r="1737" spans="2:7">
      <c r="B1737" s="835"/>
      <c r="C1737" s="836"/>
      <c r="D1737" s="37"/>
      <c r="E1737" s="82"/>
      <c r="F1737" s="83"/>
      <c r="G1737" s="111"/>
    </row>
    <row r="1738" spans="2:7">
      <c r="B1738" s="835" t="s">
        <v>841</v>
      </c>
      <c r="C1738" s="836"/>
      <c r="D1738" s="37"/>
      <c r="E1738" s="82"/>
      <c r="F1738" s="83"/>
      <c r="G1738" s="111"/>
    </row>
    <row r="1739" spans="2:7" ht="13.5" thickBot="1">
      <c r="B1739" s="828" t="s">
        <v>841</v>
      </c>
      <c r="C1739" s="829"/>
      <c r="D1739" s="77"/>
      <c r="E1739" s="82"/>
      <c r="F1739" s="86"/>
      <c r="G1739" s="112"/>
    </row>
    <row r="1740" spans="2:7" ht="14.25" thickTop="1" thickBot="1">
      <c r="B1740" s="808"/>
      <c r="C1740" s="808"/>
      <c r="D1740" s="808"/>
      <c r="E1740" s="809"/>
      <c r="F1740" s="120" t="s">
        <v>856</v>
      </c>
      <c r="G1740" s="118">
        <f>SUM(G1735:G1739)</f>
        <v>106154</v>
      </c>
    </row>
    <row r="1741" spans="2:7" ht="14.25" thickTop="1" thickBot="1">
      <c r="B1741" s="810"/>
      <c r="C1741" s="810"/>
      <c r="D1741" s="810"/>
      <c r="E1741" s="810"/>
      <c r="F1741" s="810"/>
      <c r="G1741" s="810"/>
    </row>
    <row r="1742" spans="2:7" ht="13.5" thickTop="1">
      <c r="B1742" s="811" t="s">
        <v>321</v>
      </c>
      <c r="C1742" s="812"/>
      <c r="D1742" s="812"/>
      <c r="E1742" s="812"/>
      <c r="F1742" s="812"/>
      <c r="G1742" s="825"/>
    </row>
    <row r="1743" spans="2:7">
      <c r="B1743" s="817" t="s">
        <v>838</v>
      </c>
      <c r="C1743" s="818"/>
      <c r="D1743" s="98" t="s">
        <v>301</v>
      </c>
      <c r="E1743" s="98" t="s">
        <v>297</v>
      </c>
      <c r="F1743" s="99" t="s">
        <v>839</v>
      </c>
      <c r="G1743" s="107" t="s">
        <v>840</v>
      </c>
    </row>
    <row r="1744" spans="2:7">
      <c r="B1744" s="230"/>
      <c r="C1744" s="102"/>
      <c r="D1744" s="103" t="s">
        <v>322</v>
      </c>
      <c r="E1744" s="103" t="s">
        <v>323</v>
      </c>
      <c r="F1744" s="104" t="s">
        <v>324</v>
      </c>
      <c r="G1744" s="109" t="s">
        <v>325</v>
      </c>
    </row>
    <row r="1745" spans="2:8">
      <c r="B1745" s="826"/>
      <c r="C1745" s="827"/>
      <c r="D1745" s="96"/>
      <c r="E1745" s="96"/>
      <c r="F1745" s="96"/>
      <c r="G1745" s="116"/>
    </row>
    <row r="1746" spans="2:8" ht="13.5" thickBot="1">
      <c r="B1746" s="828" t="s">
        <v>841</v>
      </c>
      <c r="C1746" s="829"/>
      <c r="D1746" s="77"/>
      <c r="E1746" s="82"/>
      <c r="F1746" s="86"/>
      <c r="G1746" s="112"/>
    </row>
    <row r="1747" spans="2:8" ht="14.25" thickTop="1" thickBot="1">
      <c r="B1747" s="808"/>
      <c r="C1747" s="808"/>
      <c r="D1747" s="808"/>
      <c r="E1747" s="809"/>
      <c r="F1747" s="120" t="s">
        <v>856</v>
      </c>
      <c r="G1747" s="118">
        <f>SUM(G1742:G1746)</f>
        <v>0</v>
      </c>
    </row>
    <row r="1748" spans="2:8" ht="14.25" thickTop="1" thickBot="1">
      <c r="B1748" s="810"/>
      <c r="C1748" s="810"/>
      <c r="D1748" s="810"/>
      <c r="E1748" s="810"/>
      <c r="F1748" s="810"/>
      <c r="G1748" s="834"/>
    </row>
    <row r="1749" spans="2:8" ht="13.5" thickTop="1">
      <c r="B1749" s="811" t="s">
        <v>326</v>
      </c>
      <c r="C1749" s="812"/>
      <c r="D1749" s="812"/>
      <c r="E1749" s="812"/>
      <c r="F1749" s="813"/>
      <c r="G1749" s="121">
        <f>+G1713+G1729+G1740</f>
        <v>119424</v>
      </c>
    </row>
    <row r="1750" spans="2:8">
      <c r="B1750" s="814" t="s">
        <v>861</v>
      </c>
      <c r="C1750" s="815"/>
      <c r="D1750" s="815"/>
      <c r="E1750" s="816"/>
      <c r="F1750" s="128">
        <f>'MANO DE OBRA'!D1279</f>
        <v>0</v>
      </c>
      <c r="G1750" s="122">
        <f>ROUND(G1749*F1750,0)</f>
        <v>0</v>
      </c>
    </row>
    <row r="1751" spans="2:8" ht="13.5" thickBot="1">
      <c r="B1751" s="805" t="s">
        <v>1049</v>
      </c>
      <c r="C1751" s="806"/>
      <c r="D1751" s="806"/>
      <c r="E1751" s="806"/>
      <c r="F1751" s="807"/>
      <c r="G1751" s="118">
        <f>ROUND(G1749+G1750,-2)</f>
        <v>119400</v>
      </c>
      <c r="H1751" s="506" t="s">
        <v>1670</v>
      </c>
    </row>
    <row r="1752" spans="2:8" ht="13.5" thickTop="1">
      <c r="B1752" s="225" t="s">
        <v>303</v>
      </c>
      <c r="C1752" s="843"/>
      <c r="D1752" s="843"/>
      <c r="E1752" s="843"/>
      <c r="F1752" s="92" t="s">
        <v>781</v>
      </c>
      <c r="G1752" s="93" t="s">
        <v>865</v>
      </c>
    </row>
    <row r="1753" spans="2:8">
      <c r="B1753" s="226" t="s">
        <v>834</v>
      </c>
      <c r="C1753" s="844" t="s">
        <v>343</v>
      </c>
      <c r="D1753" s="844"/>
      <c r="E1753" s="844"/>
      <c r="F1753" s="15" t="s">
        <v>833</v>
      </c>
      <c r="G1753" s="165" t="str">
        <f>'MANO DE OBRA'!D61</f>
        <v>Agosto de 2010</v>
      </c>
    </row>
    <row r="1754" spans="2:8" ht="13.5" thickBot="1">
      <c r="B1754" s="228" t="s">
        <v>835</v>
      </c>
      <c r="C1754" s="845" t="s">
        <v>1019</v>
      </c>
      <c r="D1754" s="845"/>
      <c r="E1754" s="845"/>
      <c r="F1754" s="845"/>
      <c r="G1754" s="846"/>
    </row>
    <row r="1755" spans="2:8" ht="14.25" thickTop="1" thickBot="1">
      <c r="B1755" s="847"/>
      <c r="C1755" s="847"/>
      <c r="D1755" s="847"/>
      <c r="E1755" s="847"/>
      <c r="F1755" s="847"/>
      <c r="G1755" s="847"/>
    </row>
    <row r="1756" spans="2:8" ht="13.5" thickTop="1">
      <c r="B1756" s="811" t="s">
        <v>304</v>
      </c>
      <c r="C1756" s="812"/>
      <c r="D1756" s="812"/>
      <c r="E1756" s="812"/>
      <c r="F1756" s="812"/>
      <c r="G1756" s="825"/>
    </row>
    <row r="1757" spans="2:8">
      <c r="B1757" s="229"/>
      <c r="C1757" s="97"/>
      <c r="D1757" s="98" t="s">
        <v>301</v>
      </c>
      <c r="E1757" s="98" t="s">
        <v>1072</v>
      </c>
      <c r="F1757" s="99" t="s">
        <v>839</v>
      </c>
      <c r="G1757" s="107" t="s">
        <v>840</v>
      </c>
    </row>
    <row r="1758" spans="2:8">
      <c r="B1758" s="821" t="s">
        <v>838</v>
      </c>
      <c r="C1758" s="822"/>
      <c r="D1758" s="100" t="s">
        <v>308</v>
      </c>
      <c r="E1758" s="100" t="s">
        <v>305</v>
      </c>
      <c r="F1758" s="101" t="s">
        <v>306</v>
      </c>
      <c r="G1758" s="108" t="s">
        <v>310</v>
      </c>
    </row>
    <row r="1759" spans="2:8">
      <c r="B1759" s="230"/>
      <c r="C1759" s="102"/>
      <c r="D1759" s="103"/>
      <c r="E1759" s="103" t="s">
        <v>309</v>
      </c>
      <c r="F1759" s="104" t="s">
        <v>307</v>
      </c>
      <c r="G1759" s="109"/>
    </row>
    <row r="1760" spans="2:8">
      <c r="B1760" s="823" t="str">
        <f>'MAQUINARIA Y EQUIPOS'!C28</f>
        <v>HERRAMIENTAS MENORES</v>
      </c>
      <c r="C1760" s="824"/>
      <c r="D1760" s="87">
        <v>1</v>
      </c>
      <c r="E1760" s="82">
        <f>ROUND(G1793*0.25,0)</f>
        <v>3539</v>
      </c>
      <c r="F1760" s="81">
        <v>1</v>
      </c>
      <c r="G1760" s="110">
        <f>ROUND(D1760*E1760/F1760,0)</f>
        <v>3539</v>
      </c>
    </row>
    <row r="1761" spans="2:8">
      <c r="B1761" s="835"/>
      <c r="C1761" s="836"/>
      <c r="D1761" s="37"/>
      <c r="E1761" s="129"/>
      <c r="F1761" s="53"/>
      <c r="G1761" s="111"/>
    </row>
    <row r="1762" spans="2:8">
      <c r="B1762" s="835"/>
      <c r="C1762" s="836"/>
      <c r="D1762" s="37"/>
      <c r="E1762" s="129"/>
      <c r="F1762" s="53"/>
      <c r="G1762" s="111"/>
    </row>
    <row r="1763" spans="2:8">
      <c r="B1763" s="835"/>
      <c r="C1763" s="836"/>
      <c r="D1763" s="37"/>
      <c r="E1763" s="129"/>
      <c r="F1763" s="53"/>
      <c r="G1763" s="111"/>
    </row>
    <row r="1764" spans="2:8">
      <c r="B1764" s="835" t="s">
        <v>841</v>
      </c>
      <c r="C1764" s="836"/>
      <c r="D1764" s="37"/>
      <c r="E1764" s="82"/>
      <c r="F1764" s="83"/>
      <c r="G1764" s="111"/>
    </row>
    <row r="1765" spans="2:8" ht="13.5" thickBot="1">
      <c r="B1765" s="839" t="s">
        <v>841</v>
      </c>
      <c r="C1765" s="840"/>
      <c r="D1765" s="77"/>
      <c r="E1765" s="106"/>
      <c r="F1765" s="86"/>
      <c r="G1765" s="112"/>
    </row>
    <row r="1766" spans="2:8" ht="14.25" thickTop="1" thickBot="1">
      <c r="B1766" s="808"/>
      <c r="C1766" s="808"/>
      <c r="D1766" s="808"/>
      <c r="E1766" s="809"/>
      <c r="F1766" s="119" t="s">
        <v>856</v>
      </c>
      <c r="G1766" s="118">
        <f>SUM(G1760:G1765)</f>
        <v>3539</v>
      </c>
    </row>
    <row r="1767" spans="2:8" ht="14.25" thickTop="1" thickBot="1">
      <c r="B1767" s="830"/>
      <c r="C1767" s="830"/>
      <c r="D1767" s="830"/>
      <c r="E1767" s="830"/>
      <c r="F1767" s="830"/>
      <c r="G1767" s="830"/>
    </row>
    <row r="1768" spans="2:8" ht="13.5" thickTop="1">
      <c r="B1768" s="811" t="s">
        <v>311</v>
      </c>
      <c r="C1768" s="812"/>
      <c r="D1768" s="812"/>
      <c r="E1768" s="812"/>
      <c r="F1768" s="812"/>
      <c r="G1768" s="825"/>
    </row>
    <row r="1769" spans="2:8">
      <c r="B1769" s="817" t="s">
        <v>838</v>
      </c>
      <c r="C1769" s="818"/>
      <c r="D1769" s="98" t="s">
        <v>842</v>
      </c>
      <c r="E1769" s="98" t="s">
        <v>853</v>
      </c>
      <c r="F1769" s="99" t="s">
        <v>1047</v>
      </c>
      <c r="G1769" s="107" t="s">
        <v>840</v>
      </c>
    </row>
    <row r="1770" spans="2:8">
      <c r="B1770" s="230"/>
      <c r="C1770" s="102"/>
      <c r="D1770" s="100"/>
      <c r="E1770" s="100" t="s">
        <v>312</v>
      </c>
      <c r="F1770" s="101" t="s">
        <v>313</v>
      </c>
      <c r="G1770" s="109" t="s">
        <v>314</v>
      </c>
    </row>
    <row r="1771" spans="2:8">
      <c r="B1771" s="871" t="str">
        <f>MATERIALES2!C704</f>
        <v>SOLDADURA PVC ¼</v>
      </c>
      <c r="C1771" s="872"/>
      <c r="D1771" s="87" t="s">
        <v>865</v>
      </c>
      <c r="E1771" s="10">
        <v>0.01</v>
      </c>
      <c r="F1771" s="80">
        <f>MATERIALES2!E704</f>
        <v>56298</v>
      </c>
      <c r="G1771" s="111">
        <f>ROUND(E1771*F1771,0)</f>
        <v>563</v>
      </c>
    </row>
    <row r="1772" spans="2:8">
      <c r="B1772" s="867" t="str">
        <f>MATERIALES2!C804</f>
        <v>TAPON DE PRUEBA 4"</v>
      </c>
      <c r="C1772" s="868"/>
      <c r="D1772" s="344" t="s">
        <v>865</v>
      </c>
      <c r="E1772" s="345">
        <v>1</v>
      </c>
      <c r="F1772" s="156">
        <f>MATERIALES2!E804</f>
        <v>1880</v>
      </c>
      <c r="G1772" s="157">
        <f>ROUND(E1772*F1772,0)</f>
        <v>1880</v>
      </c>
      <c r="H1772" s="346"/>
    </row>
    <row r="1773" spans="2:8">
      <c r="B1773" s="869"/>
      <c r="C1773" s="870"/>
      <c r="D1773" s="154"/>
      <c r="E1773" s="347"/>
      <c r="F1773" s="156"/>
      <c r="G1773" s="157"/>
      <c r="H1773" s="346"/>
    </row>
    <row r="1774" spans="2:8">
      <c r="B1774" s="835"/>
      <c r="C1774" s="836"/>
      <c r="D1774" s="37"/>
      <c r="E1774" s="55"/>
      <c r="F1774" s="82"/>
      <c r="G1774" s="111"/>
    </row>
    <row r="1775" spans="2:8">
      <c r="B1775" s="837"/>
      <c r="C1775" s="838"/>
      <c r="D1775" s="37"/>
      <c r="E1775" s="55"/>
      <c r="F1775" s="82"/>
      <c r="G1775" s="111"/>
      <c r="H1775" s="506" t="s">
        <v>1670</v>
      </c>
    </row>
    <row r="1776" spans="2:8">
      <c r="B1776" s="837"/>
      <c r="C1776" s="838"/>
      <c r="D1776" s="53" t="s">
        <v>841</v>
      </c>
      <c r="E1776" s="53"/>
      <c r="F1776" s="82"/>
      <c r="G1776" s="111"/>
    </row>
    <row r="1777" spans="2:7">
      <c r="B1777" s="837" t="s">
        <v>841</v>
      </c>
      <c r="C1777" s="838"/>
      <c r="D1777" s="53" t="s">
        <v>841</v>
      </c>
      <c r="E1777" s="53"/>
      <c r="F1777" s="82"/>
      <c r="G1777" s="111"/>
    </row>
    <row r="1778" spans="2:7">
      <c r="B1778" s="837" t="s">
        <v>841</v>
      </c>
      <c r="C1778" s="838"/>
      <c r="D1778" s="53" t="s">
        <v>841</v>
      </c>
      <c r="E1778" s="53"/>
      <c r="F1778" s="82"/>
      <c r="G1778" s="111"/>
    </row>
    <row r="1779" spans="2:7" ht="13.5" thickBot="1">
      <c r="B1779" s="839" t="s">
        <v>841</v>
      </c>
      <c r="C1779" s="840"/>
      <c r="D1779" s="84" t="s">
        <v>841</v>
      </c>
      <c r="E1779" s="84"/>
      <c r="F1779" s="85"/>
      <c r="G1779" s="112"/>
    </row>
    <row r="1780" spans="2:7" ht="13.5" thickTop="1">
      <c r="B1780" s="808"/>
      <c r="C1780" s="809"/>
      <c r="D1780" s="801" t="s">
        <v>856</v>
      </c>
      <c r="E1780" s="802"/>
      <c r="F1780" s="9"/>
      <c r="G1780" s="113">
        <f>SUM(G1771:G1779)</f>
        <v>2443</v>
      </c>
    </row>
    <row r="1781" spans="2:7">
      <c r="B1781" s="819"/>
      <c r="C1781" s="820"/>
      <c r="D1781" s="801" t="s">
        <v>857</v>
      </c>
      <c r="E1781" s="802"/>
      <c r="F1781" s="79">
        <f>'MANO DE OBRA'!D169</f>
        <v>0</v>
      </c>
      <c r="G1781" s="113">
        <f>ROUND(G1780*F1781,0)</f>
        <v>0</v>
      </c>
    </row>
    <row r="1782" spans="2:7" ht="13.5" thickBot="1">
      <c r="B1782" s="819"/>
      <c r="C1782" s="820"/>
      <c r="D1782" s="803" t="s">
        <v>320</v>
      </c>
      <c r="E1782" s="804"/>
      <c r="F1782" s="114"/>
      <c r="G1782" s="118">
        <f>+G1780+G1781</f>
        <v>2443</v>
      </c>
    </row>
    <row r="1783" spans="2:7" ht="14.25" thickTop="1" thickBot="1">
      <c r="B1783" s="830"/>
      <c r="C1783" s="830"/>
      <c r="D1783" s="830"/>
      <c r="E1783" s="830"/>
      <c r="F1783" s="830"/>
      <c r="G1783" s="830"/>
    </row>
    <row r="1784" spans="2:7" ht="13.5" thickTop="1">
      <c r="B1784" s="811" t="s">
        <v>858</v>
      </c>
      <c r="C1784" s="812"/>
      <c r="D1784" s="812"/>
      <c r="E1784" s="812"/>
      <c r="F1784" s="812"/>
      <c r="G1784" s="825"/>
    </row>
    <row r="1785" spans="2:7">
      <c r="B1785" s="817"/>
      <c r="C1785" s="818"/>
      <c r="D1785" s="98" t="s">
        <v>301</v>
      </c>
      <c r="E1785" s="98" t="s">
        <v>859</v>
      </c>
      <c r="F1785" s="99" t="s">
        <v>839</v>
      </c>
      <c r="G1785" s="107" t="s">
        <v>840</v>
      </c>
    </row>
    <row r="1786" spans="2:7">
      <c r="B1786" s="821" t="s">
        <v>838</v>
      </c>
      <c r="C1786" s="822"/>
      <c r="D1786" s="100" t="s">
        <v>316</v>
      </c>
      <c r="E1786" s="100" t="s">
        <v>315</v>
      </c>
      <c r="F1786" s="101" t="s">
        <v>306</v>
      </c>
      <c r="G1786" s="108" t="s">
        <v>319</v>
      </c>
    </row>
    <row r="1787" spans="2:7">
      <c r="B1787" s="230"/>
      <c r="C1787" s="102"/>
      <c r="D1787" s="103"/>
      <c r="E1787" s="103" t="s">
        <v>317</v>
      </c>
      <c r="F1787" s="104" t="s">
        <v>318</v>
      </c>
      <c r="G1787" s="109"/>
    </row>
    <row r="1788" spans="2:7">
      <c r="B1788" s="823" t="str">
        <f>'MANO DE OBRA'!B10</f>
        <v>AYUDANTE CUAD. TIPO AA</v>
      </c>
      <c r="C1788" s="824"/>
      <c r="D1788" s="87">
        <v>1</v>
      </c>
      <c r="E1788" s="80">
        <f>'MANO DE OBRA'!E10</f>
        <v>34680</v>
      </c>
      <c r="F1788" s="81">
        <v>7.5</v>
      </c>
      <c r="G1788" s="110">
        <f>ROUND(D1788*E1788/F1788,0)</f>
        <v>4624</v>
      </c>
    </row>
    <row r="1789" spans="2:7">
      <c r="B1789" s="835" t="str">
        <f>'MANO DE OBRA'!B15</f>
        <v xml:space="preserve">OFICIAL CUAD. TIPO AA </v>
      </c>
      <c r="C1789" s="836"/>
      <c r="D1789" s="37">
        <v>1</v>
      </c>
      <c r="E1789" s="82">
        <f>'MANO DE OBRA'!E15</f>
        <v>71474</v>
      </c>
      <c r="F1789" s="83">
        <v>7.5</v>
      </c>
      <c r="G1789" s="111">
        <f>ROUND(D1789*E1789/F1789,0)</f>
        <v>9530</v>
      </c>
    </row>
    <row r="1790" spans="2:7">
      <c r="B1790" s="835"/>
      <c r="C1790" s="836"/>
      <c r="D1790" s="37"/>
      <c r="E1790" s="82"/>
      <c r="F1790" s="83"/>
      <c r="G1790" s="111"/>
    </row>
    <row r="1791" spans="2:7">
      <c r="B1791" s="835" t="s">
        <v>841</v>
      </c>
      <c r="C1791" s="836"/>
      <c r="D1791" s="37"/>
      <c r="E1791" s="82"/>
      <c r="F1791" s="83"/>
      <c r="G1791" s="111"/>
    </row>
    <row r="1792" spans="2:7" ht="13.5" thickBot="1">
      <c r="B1792" s="828" t="s">
        <v>841</v>
      </c>
      <c r="C1792" s="829"/>
      <c r="D1792" s="77"/>
      <c r="E1792" s="82"/>
      <c r="F1792" s="86"/>
      <c r="G1792" s="112"/>
    </row>
    <row r="1793" spans="2:8" ht="14.25" thickTop="1" thickBot="1">
      <c r="B1793" s="808"/>
      <c r="C1793" s="808"/>
      <c r="D1793" s="808"/>
      <c r="E1793" s="809"/>
      <c r="F1793" s="120" t="s">
        <v>856</v>
      </c>
      <c r="G1793" s="118">
        <f>SUM(G1788:G1792)</f>
        <v>14154</v>
      </c>
    </row>
    <row r="1794" spans="2:8" ht="14.25" thickTop="1" thickBot="1">
      <c r="B1794" s="810"/>
      <c r="C1794" s="810"/>
      <c r="D1794" s="810"/>
      <c r="E1794" s="810"/>
      <c r="F1794" s="810"/>
      <c r="G1794" s="810"/>
    </row>
    <row r="1795" spans="2:8" ht="13.5" thickTop="1">
      <c r="B1795" s="811" t="s">
        <v>321</v>
      </c>
      <c r="C1795" s="812"/>
      <c r="D1795" s="812"/>
      <c r="E1795" s="812"/>
      <c r="F1795" s="812"/>
      <c r="G1795" s="825"/>
    </row>
    <row r="1796" spans="2:8">
      <c r="B1796" s="817" t="s">
        <v>838</v>
      </c>
      <c r="C1796" s="818"/>
      <c r="D1796" s="98" t="s">
        <v>301</v>
      </c>
      <c r="E1796" s="98" t="s">
        <v>297</v>
      </c>
      <c r="F1796" s="99" t="s">
        <v>839</v>
      </c>
      <c r="G1796" s="107" t="s">
        <v>840</v>
      </c>
    </row>
    <row r="1797" spans="2:8">
      <c r="B1797" s="230"/>
      <c r="C1797" s="102"/>
      <c r="D1797" s="103" t="s">
        <v>322</v>
      </c>
      <c r="E1797" s="103" t="s">
        <v>323</v>
      </c>
      <c r="F1797" s="104" t="s">
        <v>324</v>
      </c>
      <c r="G1797" s="109" t="s">
        <v>325</v>
      </c>
    </row>
    <row r="1798" spans="2:8">
      <c r="B1798" s="826"/>
      <c r="C1798" s="827"/>
      <c r="D1798" s="96"/>
      <c r="E1798" s="96"/>
      <c r="F1798" s="96"/>
      <c r="G1798" s="116"/>
    </row>
    <row r="1799" spans="2:8" ht="13.5" thickBot="1">
      <c r="B1799" s="828" t="s">
        <v>841</v>
      </c>
      <c r="C1799" s="829"/>
      <c r="D1799" s="77"/>
      <c r="E1799" s="82"/>
      <c r="F1799" s="86"/>
      <c r="G1799" s="112"/>
    </row>
    <row r="1800" spans="2:8" ht="14.25" thickTop="1" thickBot="1">
      <c r="B1800" s="808"/>
      <c r="C1800" s="808"/>
      <c r="D1800" s="808"/>
      <c r="E1800" s="809"/>
      <c r="F1800" s="120" t="s">
        <v>856</v>
      </c>
      <c r="G1800" s="118">
        <f>SUM(G1795:G1799)</f>
        <v>0</v>
      </c>
    </row>
    <row r="1801" spans="2:8" ht="14.25" thickTop="1" thickBot="1">
      <c r="B1801" s="810"/>
      <c r="C1801" s="810"/>
      <c r="D1801" s="810"/>
      <c r="E1801" s="810"/>
      <c r="F1801" s="810"/>
      <c r="G1801" s="834"/>
    </row>
    <row r="1802" spans="2:8" ht="13.5" thickTop="1">
      <c r="B1802" s="811" t="s">
        <v>326</v>
      </c>
      <c r="C1802" s="812"/>
      <c r="D1802" s="812"/>
      <c r="E1802" s="812"/>
      <c r="F1802" s="813"/>
      <c r="G1802" s="121">
        <f>+G1766+G1782+G1793</f>
        <v>20136</v>
      </c>
    </row>
    <row r="1803" spans="2:8">
      <c r="B1803" s="814" t="s">
        <v>861</v>
      </c>
      <c r="C1803" s="815"/>
      <c r="D1803" s="815"/>
      <c r="E1803" s="816"/>
      <c r="F1803" s="128">
        <f>'MANO DE OBRA'!D1437</f>
        <v>0</v>
      </c>
      <c r="G1803" s="122">
        <f>ROUND(G1802*F1803,0)</f>
        <v>0</v>
      </c>
    </row>
    <row r="1804" spans="2:8" ht="13.5" thickBot="1">
      <c r="B1804" s="805" t="s">
        <v>1049</v>
      </c>
      <c r="C1804" s="806"/>
      <c r="D1804" s="806"/>
      <c r="E1804" s="806"/>
      <c r="F1804" s="807"/>
      <c r="G1804" s="118">
        <f>ROUND(G1802+G1803,-2)</f>
        <v>20100</v>
      </c>
      <c r="H1804" s="506" t="s">
        <v>1670</v>
      </c>
    </row>
    <row r="1805" spans="2:8" ht="13.5" thickTop="1">
      <c r="B1805" s="225" t="s">
        <v>303</v>
      </c>
      <c r="C1805" s="843"/>
      <c r="D1805" s="843"/>
      <c r="E1805" s="843"/>
      <c r="F1805" s="92" t="s">
        <v>781</v>
      </c>
      <c r="G1805" s="93" t="s">
        <v>865</v>
      </c>
    </row>
    <row r="1806" spans="2:8">
      <c r="B1806" s="226" t="s">
        <v>834</v>
      </c>
      <c r="C1806" s="844" t="s">
        <v>343</v>
      </c>
      <c r="D1806" s="844"/>
      <c r="E1806" s="844"/>
      <c r="F1806" s="15" t="s">
        <v>833</v>
      </c>
      <c r="G1806" s="165" t="str">
        <f>'MANO DE OBRA'!D61</f>
        <v>Agosto de 2010</v>
      </c>
    </row>
    <row r="1807" spans="2:8" ht="13.5" thickBot="1">
      <c r="B1807" s="228" t="s">
        <v>835</v>
      </c>
      <c r="C1807" s="845" t="s">
        <v>1299</v>
      </c>
      <c r="D1807" s="845"/>
      <c r="E1807" s="845"/>
      <c r="F1807" s="845"/>
      <c r="G1807" s="846"/>
    </row>
    <row r="1808" spans="2:8" ht="14.25" thickTop="1" thickBot="1">
      <c r="B1808" s="847"/>
      <c r="C1808" s="847"/>
      <c r="D1808" s="847"/>
      <c r="E1808" s="847"/>
      <c r="F1808" s="847"/>
      <c r="G1808" s="847"/>
    </row>
    <row r="1809" spans="2:7" ht="13.5" thickTop="1">
      <c r="B1809" s="811" t="s">
        <v>304</v>
      </c>
      <c r="C1809" s="812"/>
      <c r="D1809" s="812"/>
      <c r="E1809" s="812"/>
      <c r="F1809" s="812"/>
      <c r="G1809" s="825"/>
    </row>
    <row r="1810" spans="2:7">
      <c r="B1810" s="229"/>
      <c r="C1810" s="97"/>
      <c r="D1810" s="98" t="s">
        <v>301</v>
      </c>
      <c r="E1810" s="98" t="s">
        <v>1072</v>
      </c>
      <c r="F1810" s="99" t="s">
        <v>839</v>
      </c>
      <c r="G1810" s="107" t="s">
        <v>840</v>
      </c>
    </row>
    <row r="1811" spans="2:7">
      <c r="B1811" s="821" t="s">
        <v>838</v>
      </c>
      <c r="C1811" s="822"/>
      <c r="D1811" s="100" t="s">
        <v>308</v>
      </c>
      <c r="E1811" s="100" t="s">
        <v>305</v>
      </c>
      <c r="F1811" s="101" t="s">
        <v>306</v>
      </c>
      <c r="G1811" s="108" t="s">
        <v>310</v>
      </c>
    </row>
    <row r="1812" spans="2:7">
      <c r="B1812" s="230"/>
      <c r="C1812" s="102"/>
      <c r="D1812" s="103"/>
      <c r="E1812" s="103" t="s">
        <v>309</v>
      </c>
      <c r="F1812" s="104" t="s">
        <v>307</v>
      </c>
      <c r="G1812" s="109"/>
    </row>
    <row r="1813" spans="2:7">
      <c r="B1813" s="823" t="str">
        <f>'MAQUINARIA Y EQUIPOS'!C28</f>
        <v>HERRAMIENTAS MENORES</v>
      </c>
      <c r="C1813" s="824"/>
      <c r="D1813" s="87">
        <v>1</v>
      </c>
      <c r="E1813" s="82">
        <f>ROUND(G1846*0.25,0)</f>
        <v>52549</v>
      </c>
      <c r="F1813" s="81">
        <v>1</v>
      </c>
      <c r="G1813" s="110">
        <f>ROUND(D1813*E1813/F1813,0)</f>
        <v>52549</v>
      </c>
    </row>
    <row r="1814" spans="2:7">
      <c r="B1814" s="835"/>
      <c r="C1814" s="836"/>
      <c r="D1814" s="37"/>
      <c r="E1814" s="129"/>
      <c r="F1814" s="53"/>
      <c r="G1814" s="111"/>
    </row>
    <row r="1815" spans="2:7">
      <c r="B1815" s="835"/>
      <c r="C1815" s="836"/>
      <c r="D1815" s="37"/>
      <c r="E1815" s="129"/>
      <c r="F1815" s="53"/>
      <c r="G1815" s="111"/>
    </row>
    <row r="1816" spans="2:7">
      <c r="B1816" s="835"/>
      <c r="C1816" s="836"/>
      <c r="D1816" s="37"/>
      <c r="E1816" s="129"/>
      <c r="F1816" s="53"/>
      <c r="G1816" s="111"/>
    </row>
    <row r="1817" spans="2:7">
      <c r="B1817" s="835" t="s">
        <v>841</v>
      </c>
      <c r="C1817" s="836"/>
      <c r="D1817" s="37"/>
      <c r="E1817" s="82"/>
      <c r="F1817" s="83"/>
      <c r="G1817" s="111"/>
    </row>
    <row r="1818" spans="2:7" ht="13.5" thickBot="1">
      <c r="B1818" s="839" t="s">
        <v>841</v>
      </c>
      <c r="C1818" s="840"/>
      <c r="D1818" s="77"/>
      <c r="E1818" s="106"/>
      <c r="F1818" s="86"/>
      <c r="G1818" s="112"/>
    </row>
    <row r="1819" spans="2:7" ht="14.25" thickTop="1" thickBot="1">
      <c r="B1819" s="808"/>
      <c r="C1819" s="808"/>
      <c r="D1819" s="808"/>
      <c r="E1819" s="809"/>
      <c r="F1819" s="119" t="s">
        <v>856</v>
      </c>
      <c r="G1819" s="118">
        <f>SUM(G1813:G1818)</f>
        <v>52549</v>
      </c>
    </row>
    <row r="1820" spans="2:7" ht="14.25" thickTop="1" thickBot="1">
      <c r="B1820" s="830"/>
      <c r="C1820" s="830"/>
      <c r="D1820" s="830"/>
      <c r="E1820" s="830"/>
      <c r="F1820" s="830"/>
      <c r="G1820" s="830"/>
    </row>
    <row r="1821" spans="2:7" ht="13.5" thickTop="1">
      <c r="B1821" s="811" t="s">
        <v>311</v>
      </c>
      <c r="C1821" s="812"/>
      <c r="D1821" s="812"/>
      <c r="E1821" s="812"/>
      <c r="F1821" s="812"/>
      <c r="G1821" s="825"/>
    </row>
    <row r="1822" spans="2:7">
      <c r="B1822" s="817" t="s">
        <v>838</v>
      </c>
      <c r="C1822" s="818"/>
      <c r="D1822" s="98" t="s">
        <v>842</v>
      </c>
      <c r="E1822" s="98" t="s">
        <v>853</v>
      </c>
      <c r="F1822" s="99" t="s">
        <v>1047</v>
      </c>
      <c r="G1822" s="107" t="s">
        <v>840</v>
      </c>
    </row>
    <row r="1823" spans="2:7">
      <c r="B1823" s="230"/>
      <c r="C1823" s="102"/>
      <c r="D1823" s="100"/>
      <c r="E1823" s="100" t="s">
        <v>312</v>
      </c>
      <c r="F1823" s="101" t="s">
        <v>313</v>
      </c>
      <c r="G1823" s="109" t="s">
        <v>314</v>
      </c>
    </row>
    <row r="1824" spans="2:7">
      <c r="B1824" s="871"/>
      <c r="C1824" s="872"/>
      <c r="D1824" s="87"/>
      <c r="E1824" s="10"/>
      <c r="F1824" s="80"/>
      <c r="G1824" s="111"/>
    </row>
    <row r="1825" spans="2:8">
      <c r="B1825" s="867"/>
      <c r="C1825" s="868"/>
      <c r="D1825" s="344"/>
      <c r="E1825" s="345"/>
      <c r="F1825" s="156"/>
      <c r="G1825" s="157"/>
    </row>
    <row r="1826" spans="2:8">
      <c r="B1826" s="869"/>
      <c r="C1826" s="870"/>
      <c r="D1826" s="154"/>
      <c r="E1826" s="347"/>
      <c r="F1826" s="156"/>
      <c r="G1826" s="157"/>
    </row>
    <row r="1827" spans="2:8">
      <c r="B1827" s="835"/>
      <c r="C1827" s="836"/>
      <c r="D1827" s="37"/>
      <c r="E1827" s="55"/>
      <c r="F1827" s="82"/>
      <c r="G1827" s="111"/>
    </row>
    <row r="1828" spans="2:8">
      <c r="B1828" s="837"/>
      <c r="C1828" s="838"/>
      <c r="D1828" s="37"/>
      <c r="E1828" s="55"/>
      <c r="F1828" s="82"/>
      <c r="G1828" s="111"/>
    </row>
    <row r="1829" spans="2:8">
      <c r="B1829" s="837"/>
      <c r="C1829" s="838"/>
      <c r="D1829" s="53" t="s">
        <v>841</v>
      </c>
      <c r="E1829" s="53"/>
      <c r="F1829" s="82"/>
      <c r="G1829" s="111"/>
      <c r="H1829" s="506" t="s">
        <v>1670</v>
      </c>
    </row>
    <row r="1830" spans="2:8">
      <c r="B1830" s="837" t="s">
        <v>841</v>
      </c>
      <c r="C1830" s="838"/>
      <c r="D1830" s="53" t="s">
        <v>841</v>
      </c>
      <c r="E1830" s="53"/>
      <c r="F1830" s="82"/>
      <c r="G1830" s="111"/>
    </row>
    <row r="1831" spans="2:8">
      <c r="B1831" s="837" t="s">
        <v>841</v>
      </c>
      <c r="C1831" s="838"/>
      <c r="D1831" s="53" t="s">
        <v>841</v>
      </c>
      <c r="E1831" s="53"/>
      <c r="F1831" s="82"/>
      <c r="G1831" s="111"/>
    </row>
    <row r="1832" spans="2:8" ht="13.5" thickBot="1">
      <c r="B1832" s="839" t="s">
        <v>841</v>
      </c>
      <c r="C1832" s="840"/>
      <c r="D1832" s="84" t="s">
        <v>841</v>
      </c>
      <c r="E1832" s="84"/>
      <c r="F1832" s="85"/>
      <c r="G1832" s="112"/>
    </row>
    <row r="1833" spans="2:8" ht="13.5" thickTop="1">
      <c r="B1833" s="808"/>
      <c r="C1833" s="809"/>
      <c r="D1833" s="801" t="s">
        <v>856</v>
      </c>
      <c r="E1833" s="802"/>
      <c r="F1833" s="9"/>
      <c r="G1833" s="113">
        <f>SUM(G1824:G1832)</f>
        <v>0</v>
      </c>
    </row>
    <row r="1834" spans="2:8">
      <c r="B1834" s="819"/>
      <c r="C1834" s="820"/>
      <c r="D1834" s="801" t="s">
        <v>857</v>
      </c>
      <c r="E1834" s="802"/>
      <c r="F1834" s="79">
        <f>'MANO DE OBRA'!D225</f>
        <v>0</v>
      </c>
      <c r="G1834" s="113">
        <f>ROUND(G1833*F1834,0)</f>
        <v>0</v>
      </c>
    </row>
    <row r="1835" spans="2:8" ht="13.5" thickBot="1">
      <c r="B1835" s="819"/>
      <c r="C1835" s="820"/>
      <c r="D1835" s="803" t="s">
        <v>320</v>
      </c>
      <c r="E1835" s="804"/>
      <c r="F1835" s="114"/>
      <c r="G1835" s="118">
        <f>+G1833+G1834</f>
        <v>0</v>
      </c>
    </row>
    <row r="1836" spans="2:8" ht="14.25" thickTop="1" thickBot="1">
      <c r="B1836" s="830"/>
      <c r="C1836" s="830"/>
      <c r="D1836" s="830"/>
      <c r="E1836" s="830"/>
      <c r="F1836" s="830"/>
      <c r="G1836" s="830"/>
    </row>
    <row r="1837" spans="2:8" ht="13.5" thickTop="1">
      <c r="B1837" s="811" t="s">
        <v>858</v>
      </c>
      <c r="C1837" s="812"/>
      <c r="D1837" s="812"/>
      <c r="E1837" s="812"/>
      <c r="F1837" s="812"/>
      <c r="G1837" s="825"/>
    </row>
    <row r="1838" spans="2:8">
      <c r="B1838" s="817"/>
      <c r="C1838" s="818"/>
      <c r="D1838" s="98" t="s">
        <v>301</v>
      </c>
      <c r="E1838" s="98" t="s">
        <v>859</v>
      </c>
      <c r="F1838" s="99" t="s">
        <v>839</v>
      </c>
      <c r="G1838" s="107" t="s">
        <v>840</v>
      </c>
    </row>
    <row r="1839" spans="2:8">
      <c r="B1839" s="821" t="s">
        <v>838</v>
      </c>
      <c r="C1839" s="822"/>
      <c r="D1839" s="100" t="s">
        <v>316</v>
      </c>
      <c r="E1839" s="100" t="s">
        <v>315</v>
      </c>
      <c r="F1839" s="101" t="s">
        <v>306</v>
      </c>
      <c r="G1839" s="108" t="s">
        <v>319</v>
      </c>
    </row>
    <row r="1840" spans="2:8">
      <c r="B1840" s="230"/>
      <c r="C1840" s="102"/>
      <c r="D1840" s="103"/>
      <c r="E1840" s="103" t="s">
        <v>317</v>
      </c>
      <c r="F1840" s="104" t="s">
        <v>318</v>
      </c>
      <c r="G1840" s="109"/>
    </row>
    <row r="1841" spans="2:7">
      <c r="B1841" s="823" t="str">
        <f>'MANO DE OBRA'!B10</f>
        <v>AYUDANTE CUAD. TIPO AA</v>
      </c>
      <c r="C1841" s="824"/>
      <c r="D1841" s="87">
        <v>4</v>
      </c>
      <c r="E1841" s="80">
        <f>'MANO DE OBRA'!E10</f>
        <v>34680</v>
      </c>
      <c r="F1841" s="81">
        <v>1</v>
      </c>
      <c r="G1841" s="110">
        <f>ROUND(D1841*E1841/F1841,0)</f>
        <v>138720</v>
      </c>
    </row>
    <row r="1842" spans="2:7">
      <c r="B1842" s="835" t="str">
        <f>'MANO DE OBRA'!B15</f>
        <v xml:space="preserve">OFICIAL CUAD. TIPO AA </v>
      </c>
      <c r="C1842" s="836"/>
      <c r="D1842" s="37">
        <v>1</v>
      </c>
      <c r="E1842" s="82">
        <f>'MANO DE OBRA'!E15</f>
        <v>71474</v>
      </c>
      <c r="F1842" s="83">
        <v>1</v>
      </c>
      <c r="G1842" s="111">
        <f>ROUND(D1842*E1842/F1842,0)</f>
        <v>71474</v>
      </c>
    </row>
    <row r="1843" spans="2:7">
      <c r="B1843" s="835"/>
      <c r="C1843" s="836"/>
      <c r="D1843" s="37"/>
      <c r="E1843" s="82"/>
      <c r="F1843" s="83"/>
      <c r="G1843" s="111"/>
    </row>
    <row r="1844" spans="2:7">
      <c r="B1844" s="835" t="s">
        <v>841</v>
      </c>
      <c r="C1844" s="836"/>
      <c r="D1844" s="37"/>
      <c r="E1844" s="82"/>
      <c r="F1844" s="83"/>
      <c r="G1844" s="111"/>
    </row>
    <row r="1845" spans="2:7" ht="13.5" thickBot="1">
      <c r="B1845" s="828" t="s">
        <v>841</v>
      </c>
      <c r="C1845" s="829"/>
      <c r="D1845" s="77"/>
      <c r="E1845" s="82"/>
      <c r="F1845" s="86"/>
      <c r="G1845" s="112"/>
    </row>
    <row r="1846" spans="2:7" ht="14.25" thickTop="1" thickBot="1">
      <c r="B1846" s="808"/>
      <c r="C1846" s="808"/>
      <c r="D1846" s="808"/>
      <c r="E1846" s="809"/>
      <c r="F1846" s="120" t="s">
        <v>856</v>
      </c>
      <c r="G1846" s="118">
        <f>SUM(G1841:G1845)</f>
        <v>210194</v>
      </c>
    </row>
    <row r="1847" spans="2:7" ht="14.25" thickTop="1" thickBot="1">
      <c r="B1847" s="810"/>
      <c r="C1847" s="810"/>
      <c r="D1847" s="810"/>
      <c r="E1847" s="810"/>
      <c r="F1847" s="810"/>
      <c r="G1847" s="810"/>
    </row>
    <row r="1848" spans="2:7" ht="13.5" thickTop="1">
      <c r="B1848" s="811" t="s">
        <v>321</v>
      </c>
      <c r="C1848" s="812"/>
      <c r="D1848" s="812"/>
      <c r="E1848" s="812"/>
      <c r="F1848" s="812"/>
      <c r="G1848" s="825"/>
    </row>
    <row r="1849" spans="2:7">
      <c r="B1849" s="817" t="s">
        <v>838</v>
      </c>
      <c r="C1849" s="818"/>
      <c r="D1849" s="98" t="s">
        <v>301</v>
      </c>
      <c r="E1849" s="98" t="s">
        <v>297</v>
      </c>
      <c r="F1849" s="99" t="s">
        <v>839</v>
      </c>
      <c r="G1849" s="107" t="s">
        <v>840</v>
      </c>
    </row>
    <row r="1850" spans="2:7">
      <c r="B1850" s="230"/>
      <c r="C1850" s="102"/>
      <c r="D1850" s="103" t="s">
        <v>322</v>
      </c>
      <c r="E1850" s="103" t="s">
        <v>323</v>
      </c>
      <c r="F1850" s="104" t="s">
        <v>324</v>
      </c>
      <c r="G1850" s="109" t="s">
        <v>325</v>
      </c>
    </row>
    <row r="1851" spans="2:7">
      <c r="B1851" s="826"/>
      <c r="C1851" s="827"/>
      <c r="D1851" s="96"/>
      <c r="E1851" s="96"/>
      <c r="F1851" s="96"/>
      <c r="G1851" s="116"/>
    </row>
    <row r="1852" spans="2:7" ht="13.5" thickBot="1">
      <c r="B1852" s="828" t="s">
        <v>841</v>
      </c>
      <c r="C1852" s="829"/>
      <c r="D1852" s="77"/>
      <c r="E1852" s="82"/>
      <c r="F1852" s="86"/>
      <c r="G1852" s="112"/>
    </row>
    <row r="1853" spans="2:7" ht="14.25" thickTop="1" thickBot="1">
      <c r="B1853" s="808"/>
      <c r="C1853" s="808"/>
      <c r="D1853" s="808"/>
      <c r="E1853" s="809"/>
      <c r="F1853" s="120" t="s">
        <v>856</v>
      </c>
      <c r="G1853" s="118">
        <f>SUM(G1848:G1852)</f>
        <v>0</v>
      </c>
    </row>
    <row r="1854" spans="2:7" ht="14.25" thickTop="1" thickBot="1">
      <c r="B1854" s="810"/>
      <c r="C1854" s="810"/>
      <c r="D1854" s="810"/>
      <c r="E1854" s="810"/>
      <c r="F1854" s="810"/>
      <c r="G1854" s="834"/>
    </row>
    <row r="1855" spans="2:7" ht="13.5" thickTop="1">
      <c r="B1855" s="811" t="s">
        <v>326</v>
      </c>
      <c r="C1855" s="812"/>
      <c r="D1855" s="812"/>
      <c r="E1855" s="812"/>
      <c r="F1855" s="813"/>
      <c r="G1855" s="121">
        <f>+G1819+G1835+G1846</f>
        <v>262743</v>
      </c>
    </row>
    <row r="1856" spans="2:7">
      <c r="B1856" s="814" t="s">
        <v>861</v>
      </c>
      <c r="C1856" s="815"/>
      <c r="D1856" s="815"/>
      <c r="E1856" s="816"/>
      <c r="F1856" s="128">
        <f>'MANO DE OBRA'!D1493</f>
        <v>0</v>
      </c>
      <c r="G1856" s="122">
        <f>ROUND(G1855*F1856,0)</f>
        <v>0</v>
      </c>
    </row>
    <row r="1857" spans="2:8" ht="13.5" thickBot="1">
      <c r="B1857" s="805" t="s">
        <v>1049</v>
      </c>
      <c r="C1857" s="806"/>
      <c r="D1857" s="806"/>
      <c r="E1857" s="806"/>
      <c r="F1857" s="807"/>
      <c r="G1857" s="118">
        <f>ROUND(G1855+G1856,-2)</f>
        <v>262700</v>
      </c>
      <c r="H1857" s="506" t="s">
        <v>1670</v>
      </c>
    </row>
    <row r="1858" spans="2:8" ht="13.5" thickTop="1">
      <c r="B1858" s="225" t="s">
        <v>303</v>
      </c>
      <c r="C1858" s="843"/>
      <c r="D1858" s="843"/>
      <c r="E1858" s="843"/>
      <c r="F1858" s="92" t="s">
        <v>781</v>
      </c>
      <c r="G1858" s="93" t="s">
        <v>556</v>
      </c>
    </row>
    <row r="1859" spans="2:8">
      <c r="B1859" s="226" t="s">
        <v>834</v>
      </c>
      <c r="C1859" s="844" t="s">
        <v>431</v>
      </c>
      <c r="D1859" s="844"/>
      <c r="E1859" s="844"/>
      <c r="F1859" s="15" t="s">
        <v>833</v>
      </c>
      <c r="G1859" s="165" t="str">
        <f>'MANO DE OBRA'!D61</f>
        <v>Agosto de 2010</v>
      </c>
    </row>
    <row r="1860" spans="2:8" ht="13.5" thickBot="1">
      <c r="B1860" s="228" t="s">
        <v>835</v>
      </c>
      <c r="C1860" s="845" t="s">
        <v>195</v>
      </c>
      <c r="D1860" s="845"/>
      <c r="E1860" s="845"/>
      <c r="F1860" s="845"/>
      <c r="G1860" s="846"/>
    </row>
    <row r="1861" spans="2:8" ht="14.25" thickTop="1" thickBot="1">
      <c r="B1861" s="847"/>
      <c r="C1861" s="847"/>
      <c r="D1861" s="847"/>
      <c r="E1861" s="847"/>
      <c r="F1861" s="847"/>
      <c r="G1861" s="847"/>
    </row>
    <row r="1862" spans="2:8" ht="13.5" thickTop="1">
      <c r="B1862" s="811" t="s">
        <v>304</v>
      </c>
      <c r="C1862" s="812"/>
      <c r="D1862" s="812"/>
      <c r="E1862" s="812"/>
      <c r="F1862" s="812"/>
      <c r="G1862" s="825"/>
    </row>
    <row r="1863" spans="2:8">
      <c r="B1863" s="229"/>
      <c r="C1863" s="97"/>
      <c r="D1863" s="98" t="s">
        <v>301</v>
      </c>
      <c r="E1863" s="98" t="s">
        <v>1072</v>
      </c>
      <c r="F1863" s="99" t="s">
        <v>839</v>
      </c>
      <c r="G1863" s="107" t="s">
        <v>840</v>
      </c>
    </row>
    <row r="1864" spans="2:8">
      <c r="B1864" s="821" t="s">
        <v>838</v>
      </c>
      <c r="C1864" s="822"/>
      <c r="D1864" s="100" t="s">
        <v>308</v>
      </c>
      <c r="E1864" s="100" t="s">
        <v>305</v>
      </c>
      <c r="F1864" s="101" t="s">
        <v>306</v>
      </c>
      <c r="G1864" s="108" t="s">
        <v>310</v>
      </c>
    </row>
    <row r="1865" spans="2:8">
      <c r="B1865" s="230"/>
      <c r="C1865" s="102"/>
      <c r="D1865" s="103"/>
      <c r="E1865" s="103" t="s">
        <v>309</v>
      </c>
      <c r="F1865" s="104" t="s">
        <v>307</v>
      </c>
      <c r="G1865" s="109"/>
    </row>
    <row r="1866" spans="2:8">
      <c r="B1866" s="823" t="str">
        <f>'MAQUINARIA Y EQUIPOS'!C28</f>
        <v>HERRAMIENTAS MENORES</v>
      </c>
      <c r="C1866" s="824"/>
      <c r="D1866" s="87">
        <v>1</v>
      </c>
      <c r="E1866" s="82">
        <f>ROUND(G1899*0.25,0)</f>
        <v>86700</v>
      </c>
      <c r="F1866" s="81">
        <v>1</v>
      </c>
      <c r="G1866" s="110">
        <f>ROUND(D1866*E1866/F1866,0)</f>
        <v>86700</v>
      </c>
    </row>
    <row r="1867" spans="2:8">
      <c r="B1867" s="835"/>
      <c r="C1867" s="836"/>
      <c r="D1867" s="37"/>
      <c r="E1867" s="129"/>
      <c r="F1867" s="53"/>
      <c r="G1867" s="111"/>
    </row>
    <row r="1868" spans="2:8">
      <c r="B1868" s="835"/>
      <c r="C1868" s="836"/>
      <c r="D1868" s="37"/>
      <c r="E1868" s="129"/>
      <c r="F1868" s="53"/>
      <c r="G1868" s="111"/>
    </row>
    <row r="1869" spans="2:8">
      <c r="B1869" s="835"/>
      <c r="C1869" s="836"/>
      <c r="D1869" s="37"/>
      <c r="E1869" s="129"/>
      <c r="F1869" s="53"/>
      <c r="G1869" s="111"/>
    </row>
    <row r="1870" spans="2:8">
      <c r="B1870" s="835" t="s">
        <v>841</v>
      </c>
      <c r="C1870" s="836"/>
      <c r="D1870" s="37"/>
      <c r="E1870" s="82"/>
      <c r="F1870" s="83"/>
      <c r="G1870" s="111"/>
    </row>
    <row r="1871" spans="2:8" ht="13.5" thickBot="1">
      <c r="B1871" s="839" t="s">
        <v>841</v>
      </c>
      <c r="C1871" s="840"/>
      <c r="D1871" s="77"/>
      <c r="E1871" s="106"/>
      <c r="F1871" s="86"/>
      <c r="G1871" s="112"/>
    </row>
    <row r="1872" spans="2:8" ht="14.25" thickTop="1" thickBot="1">
      <c r="B1872" s="808"/>
      <c r="C1872" s="808"/>
      <c r="D1872" s="808"/>
      <c r="E1872" s="809"/>
      <c r="F1872" s="119" t="s">
        <v>856</v>
      </c>
      <c r="G1872" s="118">
        <f>SUM(G1866:G1871)</f>
        <v>86700</v>
      </c>
    </row>
    <row r="1873" spans="2:8" ht="14.25" thickTop="1" thickBot="1">
      <c r="B1873" s="830"/>
      <c r="C1873" s="830"/>
      <c r="D1873" s="830"/>
      <c r="E1873" s="830"/>
      <c r="F1873" s="830"/>
      <c r="G1873" s="830"/>
    </row>
    <row r="1874" spans="2:8" ht="13.5" thickTop="1">
      <c r="B1874" s="811" t="s">
        <v>311</v>
      </c>
      <c r="C1874" s="812"/>
      <c r="D1874" s="812"/>
      <c r="E1874" s="812"/>
      <c r="F1874" s="812"/>
      <c r="G1874" s="825"/>
    </row>
    <row r="1875" spans="2:8">
      <c r="B1875" s="817" t="s">
        <v>838</v>
      </c>
      <c r="C1875" s="818"/>
      <c r="D1875" s="98" t="s">
        <v>842</v>
      </c>
      <c r="E1875" s="98" t="s">
        <v>853</v>
      </c>
      <c r="F1875" s="99" t="s">
        <v>1047</v>
      </c>
      <c r="G1875" s="107" t="s">
        <v>840</v>
      </c>
    </row>
    <row r="1876" spans="2:8">
      <c r="B1876" s="230"/>
      <c r="C1876" s="102"/>
      <c r="D1876" s="100"/>
      <c r="E1876" s="100" t="s">
        <v>312</v>
      </c>
      <c r="F1876" s="101" t="s">
        <v>313</v>
      </c>
      <c r="G1876" s="109" t="s">
        <v>314</v>
      </c>
    </row>
    <row r="1877" spans="2:8">
      <c r="B1877" s="871"/>
      <c r="C1877" s="872"/>
      <c r="D1877" s="87"/>
      <c r="E1877" s="10"/>
      <c r="F1877" s="80"/>
      <c r="G1877" s="111"/>
    </row>
    <row r="1878" spans="2:8">
      <c r="B1878" s="867"/>
      <c r="C1878" s="868"/>
      <c r="D1878" s="344"/>
      <c r="E1878" s="345"/>
      <c r="F1878" s="156"/>
      <c r="G1878" s="157"/>
    </row>
    <row r="1879" spans="2:8">
      <c r="B1879" s="869"/>
      <c r="C1879" s="870"/>
      <c r="D1879" s="154"/>
      <c r="E1879" s="347"/>
      <c r="F1879" s="156"/>
      <c r="G1879" s="157"/>
    </row>
    <row r="1880" spans="2:8">
      <c r="B1880" s="835"/>
      <c r="C1880" s="836"/>
      <c r="D1880" s="37"/>
      <c r="E1880" s="55"/>
      <c r="F1880" s="82"/>
      <c r="G1880" s="111"/>
    </row>
    <row r="1881" spans="2:8">
      <c r="B1881" s="837"/>
      <c r="C1881" s="838"/>
      <c r="D1881" s="37"/>
      <c r="E1881" s="55"/>
      <c r="F1881" s="82"/>
      <c r="G1881" s="111"/>
      <c r="H1881" s="506" t="s">
        <v>1670</v>
      </c>
    </row>
    <row r="1882" spans="2:8">
      <c r="B1882" s="837"/>
      <c r="C1882" s="838"/>
      <c r="D1882" s="53" t="s">
        <v>841</v>
      </c>
      <c r="E1882" s="53"/>
      <c r="F1882" s="82"/>
      <c r="G1882" s="111"/>
    </row>
    <row r="1883" spans="2:8">
      <c r="B1883" s="837" t="s">
        <v>841</v>
      </c>
      <c r="C1883" s="838"/>
      <c r="D1883" s="53" t="s">
        <v>841</v>
      </c>
      <c r="E1883" s="53"/>
      <c r="F1883" s="82"/>
      <c r="G1883" s="111"/>
    </row>
    <row r="1884" spans="2:8">
      <c r="B1884" s="837" t="s">
        <v>841</v>
      </c>
      <c r="C1884" s="838"/>
      <c r="D1884" s="53" t="s">
        <v>841</v>
      </c>
      <c r="E1884" s="53"/>
      <c r="F1884" s="82"/>
      <c r="G1884" s="111"/>
    </row>
    <row r="1885" spans="2:8" ht="13.5" thickBot="1">
      <c r="B1885" s="839" t="s">
        <v>841</v>
      </c>
      <c r="C1885" s="840"/>
      <c r="D1885" s="84" t="s">
        <v>841</v>
      </c>
      <c r="E1885" s="84"/>
      <c r="F1885" s="85"/>
      <c r="G1885" s="112"/>
    </row>
    <row r="1886" spans="2:8" ht="13.5" thickTop="1">
      <c r="B1886" s="808"/>
      <c r="C1886" s="809"/>
      <c r="D1886" s="801" t="s">
        <v>856</v>
      </c>
      <c r="E1886" s="802"/>
      <c r="F1886" s="9"/>
      <c r="G1886" s="113">
        <f>SUM(G1877:G1885)</f>
        <v>0</v>
      </c>
    </row>
    <row r="1887" spans="2:8">
      <c r="B1887" s="819"/>
      <c r="C1887" s="820"/>
      <c r="D1887" s="801" t="s">
        <v>857</v>
      </c>
      <c r="E1887" s="802"/>
      <c r="F1887" s="79">
        <f>'MANO DE OBRA'!D279</f>
        <v>0</v>
      </c>
      <c r="G1887" s="113">
        <f>ROUND(G1886*F1887,0)</f>
        <v>0</v>
      </c>
    </row>
    <row r="1888" spans="2:8" ht="13.5" thickBot="1">
      <c r="B1888" s="819"/>
      <c r="C1888" s="820"/>
      <c r="D1888" s="803" t="s">
        <v>320</v>
      </c>
      <c r="E1888" s="804"/>
      <c r="F1888" s="114"/>
      <c r="G1888" s="118">
        <f>+G1886+G1887</f>
        <v>0</v>
      </c>
    </row>
    <row r="1889" spans="2:7" ht="14.25" thickTop="1" thickBot="1">
      <c r="B1889" s="830"/>
      <c r="C1889" s="830"/>
      <c r="D1889" s="830"/>
      <c r="E1889" s="830"/>
      <c r="F1889" s="830"/>
      <c r="G1889" s="830"/>
    </row>
    <row r="1890" spans="2:7" ht="13.5" thickTop="1">
      <c r="B1890" s="811" t="s">
        <v>858</v>
      </c>
      <c r="C1890" s="812"/>
      <c r="D1890" s="812"/>
      <c r="E1890" s="812"/>
      <c r="F1890" s="812"/>
      <c r="G1890" s="825"/>
    </row>
    <row r="1891" spans="2:7">
      <c r="B1891" s="817"/>
      <c r="C1891" s="818"/>
      <c r="D1891" s="98" t="s">
        <v>301</v>
      </c>
      <c r="E1891" s="98" t="s">
        <v>859</v>
      </c>
      <c r="F1891" s="99" t="s">
        <v>839</v>
      </c>
      <c r="G1891" s="107" t="s">
        <v>840</v>
      </c>
    </row>
    <row r="1892" spans="2:7">
      <c r="B1892" s="821" t="s">
        <v>838</v>
      </c>
      <c r="C1892" s="822"/>
      <c r="D1892" s="100" t="s">
        <v>316</v>
      </c>
      <c r="E1892" s="100" t="s">
        <v>315</v>
      </c>
      <c r="F1892" s="101" t="s">
        <v>306</v>
      </c>
      <c r="G1892" s="108" t="s">
        <v>319</v>
      </c>
    </row>
    <row r="1893" spans="2:7">
      <c r="B1893" s="230"/>
      <c r="C1893" s="102"/>
      <c r="D1893" s="103"/>
      <c r="E1893" s="103" t="s">
        <v>317</v>
      </c>
      <c r="F1893" s="104" t="s">
        <v>318</v>
      </c>
      <c r="G1893" s="109"/>
    </row>
    <row r="1894" spans="2:7">
      <c r="B1894" s="823" t="str">
        <f>'MANO DE OBRA'!B10</f>
        <v>AYUDANTE CUAD. TIPO AA</v>
      </c>
      <c r="C1894" s="824"/>
      <c r="D1894" s="87">
        <v>6</v>
      </c>
      <c r="E1894" s="80">
        <f>'MANO DE OBRA'!E10</f>
        <v>34680</v>
      </c>
      <c r="F1894" s="81">
        <v>0.6</v>
      </c>
      <c r="G1894" s="110">
        <f>ROUND(D1894*E1894/F1894,0)</f>
        <v>346800</v>
      </c>
    </row>
    <row r="1895" spans="2:7">
      <c r="B1895" s="835"/>
      <c r="C1895" s="836"/>
      <c r="D1895" s="37" t="s">
        <v>1312</v>
      </c>
      <c r="E1895" s="82"/>
      <c r="F1895" s="83"/>
      <c r="G1895" s="111"/>
    </row>
    <row r="1896" spans="2:7">
      <c r="B1896" s="835"/>
      <c r="C1896" s="836"/>
      <c r="D1896" s="37"/>
      <c r="E1896" s="82"/>
      <c r="F1896" s="83"/>
      <c r="G1896" s="111"/>
    </row>
    <row r="1897" spans="2:7">
      <c r="B1897" s="835" t="s">
        <v>841</v>
      </c>
      <c r="C1897" s="836"/>
      <c r="D1897" s="37"/>
      <c r="E1897" s="82"/>
      <c r="F1897" s="83"/>
      <c r="G1897" s="111"/>
    </row>
    <row r="1898" spans="2:7" ht="13.5" thickBot="1">
      <c r="B1898" s="828" t="s">
        <v>841</v>
      </c>
      <c r="C1898" s="829"/>
      <c r="D1898" s="77"/>
      <c r="E1898" s="82"/>
      <c r="F1898" s="86"/>
      <c r="G1898" s="112"/>
    </row>
    <row r="1899" spans="2:7" ht="14.25" thickTop="1" thickBot="1">
      <c r="B1899" s="808"/>
      <c r="C1899" s="808"/>
      <c r="D1899" s="808"/>
      <c r="E1899" s="809"/>
      <c r="F1899" s="120" t="s">
        <v>856</v>
      </c>
      <c r="G1899" s="118">
        <f>SUM(G1894:G1898)</f>
        <v>346800</v>
      </c>
    </row>
    <row r="1900" spans="2:7" ht="14.25" thickTop="1" thickBot="1">
      <c r="B1900" s="810"/>
      <c r="C1900" s="810"/>
      <c r="D1900" s="810"/>
      <c r="E1900" s="810"/>
      <c r="F1900" s="810"/>
      <c r="G1900" s="810"/>
    </row>
    <row r="1901" spans="2:7" ht="13.5" thickTop="1">
      <c r="B1901" s="811" t="s">
        <v>321</v>
      </c>
      <c r="C1901" s="812"/>
      <c r="D1901" s="812"/>
      <c r="E1901" s="812"/>
      <c r="F1901" s="812"/>
      <c r="G1901" s="825"/>
    </row>
    <row r="1902" spans="2:7">
      <c r="B1902" s="817" t="s">
        <v>838</v>
      </c>
      <c r="C1902" s="818"/>
      <c r="D1902" s="98" t="s">
        <v>301</v>
      </c>
      <c r="E1902" s="98" t="s">
        <v>297</v>
      </c>
      <c r="F1902" s="99" t="s">
        <v>839</v>
      </c>
      <c r="G1902" s="107" t="s">
        <v>840</v>
      </c>
    </row>
    <row r="1903" spans="2:7">
      <c r="B1903" s="230"/>
      <c r="C1903" s="102"/>
      <c r="D1903" s="103" t="s">
        <v>322</v>
      </c>
      <c r="E1903" s="103" t="s">
        <v>323</v>
      </c>
      <c r="F1903" s="104" t="s">
        <v>324</v>
      </c>
      <c r="G1903" s="109" t="s">
        <v>325</v>
      </c>
    </row>
    <row r="1904" spans="2:7">
      <c r="B1904" s="826"/>
      <c r="C1904" s="827"/>
      <c r="D1904" s="96"/>
      <c r="E1904" s="96"/>
      <c r="F1904" s="96"/>
      <c r="G1904" s="116"/>
    </row>
    <row r="1905" spans="2:8" ht="13.5" thickBot="1">
      <c r="B1905" s="828" t="s">
        <v>841</v>
      </c>
      <c r="C1905" s="829"/>
      <c r="D1905" s="77"/>
      <c r="E1905" s="82"/>
      <c r="F1905" s="86"/>
      <c r="G1905" s="112"/>
    </row>
    <row r="1906" spans="2:8" ht="14.25" thickTop="1" thickBot="1">
      <c r="B1906" s="808"/>
      <c r="C1906" s="808"/>
      <c r="D1906" s="808"/>
      <c r="E1906" s="809"/>
      <c r="F1906" s="120" t="s">
        <v>856</v>
      </c>
      <c r="G1906" s="118">
        <f>SUM(G1901:G1905)</f>
        <v>0</v>
      </c>
    </row>
    <row r="1907" spans="2:8" ht="14.25" thickTop="1" thickBot="1">
      <c r="B1907" s="810"/>
      <c r="C1907" s="810"/>
      <c r="D1907" s="810"/>
      <c r="E1907" s="810"/>
      <c r="F1907" s="810"/>
      <c r="G1907" s="834"/>
    </row>
    <row r="1908" spans="2:8" ht="13.5" thickTop="1">
      <c r="B1908" s="811" t="s">
        <v>326</v>
      </c>
      <c r="C1908" s="812"/>
      <c r="D1908" s="812"/>
      <c r="E1908" s="812"/>
      <c r="F1908" s="813"/>
      <c r="G1908" s="121">
        <f>+G1872+G1888+G1899</f>
        <v>433500</v>
      </c>
    </row>
    <row r="1909" spans="2:8">
      <c r="B1909" s="814" t="s">
        <v>861</v>
      </c>
      <c r="C1909" s="815"/>
      <c r="D1909" s="815"/>
      <c r="E1909" s="816"/>
      <c r="F1909" s="128">
        <f>'MANO DE OBRA'!D1547</f>
        <v>0</v>
      </c>
      <c r="G1909" s="122">
        <f>ROUND(G1908*F1909,0)</f>
        <v>0</v>
      </c>
    </row>
    <row r="1910" spans="2:8" ht="13.5" thickBot="1">
      <c r="B1910" s="805" t="s">
        <v>1049</v>
      </c>
      <c r="C1910" s="806"/>
      <c r="D1910" s="806"/>
      <c r="E1910" s="806"/>
      <c r="F1910" s="807"/>
      <c r="G1910" s="118">
        <f>ROUND(G1908+G1909,-2)</f>
        <v>433500</v>
      </c>
      <c r="H1910" s="506" t="s">
        <v>1670</v>
      </c>
    </row>
    <row r="1911" spans="2:8" ht="13.5" thickTop="1">
      <c r="B1911" s="225" t="s">
        <v>303</v>
      </c>
      <c r="C1911" s="843"/>
      <c r="D1911" s="843"/>
      <c r="E1911" s="843"/>
      <c r="F1911" s="92" t="s">
        <v>781</v>
      </c>
      <c r="G1911" s="93" t="s">
        <v>831</v>
      </c>
    </row>
    <row r="1912" spans="2:8">
      <c r="B1912" s="226" t="s">
        <v>834</v>
      </c>
      <c r="C1912" s="844" t="s">
        <v>429</v>
      </c>
      <c r="D1912" s="844"/>
      <c r="E1912" s="844"/>
      <c r="F1912" s="15" t="s">
        <v>833</v>
      </c>
      <c r="G1912" s="165" t="str">
        <f>'MANO DE OBRA'!D61</f>
        <v>Agosto de 2010</v>
      </c>
    </row>
    <row r="1913" spans="2:8" ht="28.5" customHeight="1" thickBot="1">
      <c r="B1913" s="228" t="s">
        <v>835</v>
      </c>
      <c r="C1913" s="863" t="s">
        <v>1318</v>
      </c>
      <c r="D1913" s="863"/>
      <c r="E1913" s="863"/>
      <c r="F1913" s="863"/>
      <c r="G1913" s="864"/>
    </row>
    <row r="1914" spans="2:8" ht="14.25" thickTop="1" thickBot="1">
      <c r="B1914" s="847"/>
      <c r="C1914" s="847"/>
      <c r="D1914" s="847"/>
      <c r="E1914" s="847"/>
      <c r="F1914" s="847"/>
      <c r="G1914" s="847"/>
    </row>
    <row r="1915" spans="2:8" ht="13.5" thickTop="1">
      <c r="B1915" s="811" t="s">
        <v>304</v>
      </c>
      <c r="C1915" s="812"/>
      <c r="D1915" s="812"/>
      <c r="E1915" s="812"/>
      <c r="F1915" s="812"/>
      <c r="G1915" s="825"/>
    </row>
    <row r="1916" spans="2:8">
      <c r="B1916" s="229"/>
      <c r="C1916" s="97"/>
      <c r="D1916" s="98" t="s">
        <v>301</v>
      </c>
      <c r="E1916" s="98" t="s">
        <v>1072</v>
      </c>
      <c r="F1916" s="99" t="s">
        <v>839</v>
      </c>
      <c r="G1916" s="107" t="s">
        <v>840</v>
      </c>
    </row>
    <row r="1917" spans="2:8">
      <c r="B1917" s="821" t="s">
        <v>838</v>
      </c>
      <c r="C1917" s="822"/>
      <c r="D1917" s="100" t="s">
        <v>308</v>
      </c>
      <c r="E1917" s="100" t="s">
        <v>305</v>
      </c>
      <c r="F1917" s="101" t="s">
        <v>306</v>
      </c>
      <c r="G1917" s="108" t="s">
        <v>310</v>
      </c>
    </row>
    <row r="1918" spans="2:8">
      <c r="B1918" s="230"/>
      <c r="C1918" s="102"/>
      <c r="D1918" s="103"/>
      <c r="E1918" s="103" t="s">
        <v>309</v>
      </c>
      <c r="F1918" s="104" t="s">
        <v>307</v>
      </c>
      <c r="G1918" s="109"/>
    </row>
    <row r="1919" spans="2:8">
      <c r="B1919" s="823" t="str">
        <f>'MAQUINARIA Y EQUIPOS'!C28</f>
        <v>HERRAMIENTAS MENORES</v>
      </c>
      <c r="C1919" s="824"/>
      <c r="D1919" s="87">
        <v>1</v>
      </c>
      <c r="E1919" s="82">
        <f>ROUND(G1952*0.25,0)</f>
        <v>11736</v>
      </c>
      <c r="F1919" s="81">
        <v>0.5</v>
      </c>
      <c r="G1919" s="110">
        <f>ROUND(D1919*E1919/F1919,0)</f>
        <v>23472</v>
      </c>
    </row>
    <row r="1920" spans="2:8">
      <c r="B1920" s="835"/>
      <c r="C1920" s="836"/>
      <c r="D1920" s="37"/>
      <c r="E1920" s="129"/>
      <c r="F1920" s="53"/>
      <c r="G1920" s="111"/>
    </row>
    <row r="1921" spans="2:8">
      <c r="B1921" s="835"/>
      <c r="C1921" s="836"/>
      <c r="D1921" s="37"/>
      <c r="E1921" s="129"/>
      <c r="F1921" s="53"/>
      <c r="G1921" s="111"/>
    </row>
    <row r="1922" spans="2:8">
      <c r="B1922" s="835"/>
      <c r="C1922" s="836"/>
      <c r="D1922" s="37"/>
      <c r="E1922" s="129"/>
      <c r="F1922" s="53"/>
      <c r="G1922" s="111"/>
    </row>
    <row r="1923" spans="2:8">
      <c r="B1923" s="835" t="s">
        <v>841</v>
      </c>
      <c r="C1923" s="836"/>
      <c r="D1923" s="37"/>
      <c r="E1923" s="82"/>
      <c r="F1923" s="83"/>
      <c r="G1923" s="111"/>
    </row>
    <row r="1924" spans="2:8" ht="13.5" thickBot="1">
      <c r="B1924" s="839" t="s">
        <v>841</v>
      </c>
      <c r="C1924" s="840"/>
      <c r="D1924" s="77"/>
      <c r="E1924" s="106"/>
      <c r="F1924" s="86"/>
      <c r="G1924" s="112"/>
    </row>
    <row r="1925" spans="2:8" ht="14.25" thickTop="1" thickBot="1">
      <c r="B1925" s="808"/>
      <c r="C1925" s="808"/>
      <c r="D1925" s="808"/>
      <c r="E1925" s="809"/>
      <c r="F1925" s="119" t="s">
        <v>856</v>
      </c>
      <c r="G1925" s="118">
        <f>SUM(G1919:G1924)</f>
        <v>23472</v>
      </c>
    </row>
    <row r="1926" spans="2:8" ht="14.25" thickTop="1" thickBot="1">
      <c r="B1926" s="830"/>
      <c r="C1926" s="830"/>
      <c r="D1926" s="830"/>
      <c r="E1926" s="830"/>
      <c r="F1926" s="830"/>
      <c r="G1926" s="830"/>
    </row>
    <row r="1927" spans="2:8" ht="13.5" thickTop="1">
      <c r="B1927" s="811" t="s">
        <v>311</v>
      </c>
      <c r="C1927" s="812"/>
      <c r="D1927" s="812"/>
      <c r="E1927" s="812"/>
      <c r="F1927" s="812"/>
      <c r="G1927" s="825"/>
    </row>
    <row r="1928" spans="2:8">
      <c r="B1928" s="817" t="s">
        <v>838</v>
      </c>
      <c r="C1928" s="818"/>
      <c r="D1928" s="98" t="s">
        <v>842</v>
      </c>
      <c r="E1928" s="98" t="s">
        <v>853</v>
      </c>
      <c r="F1928" s="99" t="s">
        <v>1047</v>
      </c>
      <c r="G1928" s="107" t="s">
        <v>840</v>
      </c>
    </row>
    <row r="1929" spans="2:8">
      <c r="B1929" s="230"/>
      <c r="C1929" s="102"/>
      <c r="D1929" s="100"/>
      <c r="E1929" s="100" t="s">
        <v>312</v>
      </c>
      <c r="F1929" s="101" t="s">
        <v>313</v>
      </c>
      <c r="G1929" s="109" t="s">
        <v>314</v>
      </c>
    </row>
    <row r="1930" spans="2:8">
      <c r="B1930" s="381" t="s">
        <v>1314</v>
      </c>
      <c r="C1930" s="382"/>
      <c r="D1930" s="383" t="s">
        <v>868</v>
      </c>
      <c r="E1930" s="384">
        <v>1.2</v>
      </c>
      <c r="F1930" s="385">
        <v>95000</v>
      </c>
      <c r="G1930" s="386">
        <f>ROUND(E1930*F1930,0)</f>
        <v>114000</v>
      </c>
    </row>
    <row r="1931" spans="2:8">
      <c r="B1931" s="381" t="s">
        <v>1315</v>
      </c>
      <c r="C1931" s="382"/>
      <c r="D1931" s="387" t="s">
        <v>556</v>
      </c>
      <c r="E1931" s="388">
        <v>1</v>
      </c>
      <c r="F1931" s="389">
        <v>8000</v>
      </c>
      <c r="G1931" s="386">
        <f>ROUND(E1931*F1931,0)</f>
        <v>8000</v>
      </c>
    </row>
    <row r="1932" spans="2:8">
      <c r="B1932" s="381" t="s">
        <v>1316</v>
      </c>
      <c r="C1932" s="382"/>
      <c r="D1932" s="390" t="s">
        <v>556</v>
      </c>
      <c r="E1932" s="391">
        <v>1</v>
      </c>
      <c r="F1932" s="389">
        <v>45000</v>
      </c>
      <c r="G1932" s="386">
        <f>ROUND(E1932*F1932,0)</f>
        <v>45000</v>
      </c>
    </row>
    <row r="1933" spans="2:8">
      <c r="B1933" s="865" t="s">
        <v>1317</v>
      </c>
      <c r="C1933" s="866"/>
      <c r="D1933" s="390" t="s">
        <v>556</v>
      </c>
      <c r="E1933" s="391">
        <v>1</v>
      </c>
      <c r="F1933" s="389">
        <v>50000</v>
      </c>
      <c r="G1933" s="386">
        <f>ROUND(E1933*F1933,0)</f>
        <v>50000</v>
      </c>
    </row>
    <row r="1934" spans="2:8">
      <c r="B1934" s="865" t="s">
        <v>1313</v>
      </c>
      <c r="C1934" s="866"/>
      <c r="D1934" s="390" t="s">
        <v>556</v>
      </c>
      <c r="E1934" s="391">
        <v>1</v>
      </c>
      <c r="F1934" s="389">
        <v>3000</v>
      </c>
      <c r="G1934" s="386">
        <f>ROUND(E1934*F1934,0)</f>
        <v>3000</v>
      </c>
      <c r="H1934" s="506" t="s">
        <v>1670</v>
      </c>
    </row>
    <row r="1935" spans="2:8">
      <c r="B1935" s="837"/>
      <c r="C1935" s="838"/>
      <c r="D1935" s="239"/>
      <c r="E1935" s="239"/>
      <c r="F1935" s="82"/>
      <c r="G1935" s="111"/>
    </row>
    <row r="1936" spans="2:8">
      <c r="B1936" s="837" t="s">
        <v>841</v>
      </c>
      <c r="C1936" s="838"/>
      <c r="D1936" s="53" t="s">
        <v>841</v>
      </c>
      <c r="E1936" s="53"/>
      <c r="F1936" s="82"/>
      <c r="G1936" s="111"/>
    </row>
    <row r="1937" spans="2:7">
      <c r="B1937" s="837" t="s">
        <v>841</v>
      </c>
      <c r="C1937" s="838"/>
      <c r="D1937" s="53" t="s">
        <v>841</v>
      </c>
      <c r="E1937" s="53"/>
      <c r="F1937" s="82"/>
      <c r="G1937" s="111"/>
    </row>
    <row r="1938" spans="2:7" ht="13.5" thickBot="1">
      <c r="B1938" s="839" t="s">
        <v>841</v>
      </c>
      <c r="C1938" s="840"/>
      <c r="D1938" s="84" t="s">
        <v>841</v>
      </c>
      <c r="E1938" s="84"/>
      <c r="F1938" s="85"/>
      <c r="G1938" s="112"/>
    </row>
    <row r="1939" spans="2:7" ht="13.5" thickTop="1">
      <c r="B1939" s="808"/>
      <c r="C1939" s="809"/>
      <c r="D1939" s="801" t="s">
        <v>856</v>
      </c>
      <c r="E1939" s="802"/>
      <c r="F1939" s="9"/>
      <c r="G1939" s="113">
        <f>SUM(G1930:G1938)</f>
        <v>220000</v>
      </c>
    </row>
    <row r="1940" spans="2:7">
      <c r="B1940" s="819"/>
      <c r="C1940" s="820"/>
      <c r="D1940" s="801" t="s">
        <v>857</v>
      </c>
      <c r="E1940" s="802"/>
      <c r="F1940" s="79">
        <f>'MANO DE OBRA'!D333</f>
        <v>0</v>
      </c>
      <c r="G1940" s="113">
        <f>ROUND(G1939*F1940,0)</f>
        <v>0</v>
      </c>
    </row>
    <row r="1941" spans="2:7" ht="13.5" thickBot="1">
      <c r="B1941" s="819"/>
      <c r="C1941" s="820"/>
      <c r="D1941" s="803" t="s">
        <v>320</v>
      </c>
      <c r="E1941" s="804"/>
      <c r="F1941" s="114"/>
      <c r="G1941" s="118">
        <f>+G1939+G1940</f>
        <v>220000</v>
      </c>
    </row>
    <row r="1942" spans="2:7" ht="14.25" thickTop="1" thickBot="1">
      <c r="B1942" s="830"/>
      <c r="C1942" s="830"/>
      <c r="D1942" s="830"/>
      <c r="E1942" s="830"/>
      <c r="F1942" s="830"/>
      <c r="G1942" s="830"/>
    </row>
    <row r="1943" spans="2:7" ht="13.5" thickTop="1">
      <c r="B1943" s="811" t="s">
        <v>858</v>
      </c>
      <c r="C1943" s="812"/>
      <c r="D1943" s="812"/>
      <c r="E1943" s="812"/>
      <c r="F1943" s="812"/>
      <c r="G1943" s="825"/>
    </row>
    <row r="1944" spans="2:7">
      <c r="B1944" s="817"/>
      <c r="C1944" s="818"/>
      <c r="D1944" s="98" t="s">
        <v>301</v>
      </c>
      <c r="E1944" s="98" t="s">
        <v>859</v>
      </c>
      <c r="F1944" s="99" t="s">
        <v>839</v>
      </c>
      <c r="G1944" s="107" t="s">
        <v>840</v>
      </c>
    </row>
    <row r="1945" spans="2:7">
      <c r="B1945" s="821" t="s">
        <v>838</v>
      </c>
      <c r="C1945" s="822"/>
      <c r="D1945" s="100" t="s">
        <v>316</v>
      </c>
      <c r="E1945" s="100" t="s">
        <v>315</v>
      </c>
      <c r="F1945" s="101" t="s">
        <v>306</v>
      </c>
      <c r="G1945" s="108" t="s">
        <v>319</v>
      </c>
    </row>
    <row r="1946" spans="2:7">
      <c r="B1946" s="230"/>
      <c r="C1946" s="102"/>
      <c r="D1946" s="103"/>
      <c r="E1946" s="103" t="s">
        <v>317</v>
      </c>
      <c r="F1946" s="104" t="s">
        <v>318</v>
      </c>
      <c r="G1946" s="109"/>
    </row>
    <row r="1947" spans="2:7">
      <c r="B1947" s="823" t="str">
        <f>'MANO DE OBRA'!B10</f>
        <v>AYUDANTE CUAD. TIPO AA</v>
      </c>
      <c r="C1947" s="824"/>
      <c r="D1947" s="87">
        <v>2</v>
      </c>
      <c r="E1947" s="80">
        <f>'MANO DE OBRA'!E10</f>
        <v>34680</v>
      </c>
      <c r="F1947" s="81">
        <v>3</v>
      </c>
      <c r="G1947" s="110">
        <f>ROUND(D1947*E1947/F1947,0)</f>
        <v>23120</v>
      </c>
    </row>
    <row r="1948" spans="2:7">
      <c r="B1948" s="835" t="str">
        <f>'MANO DE OBRA'!B15</f>
        <v xml:space="preserve">OFICIAL CUAD. TIPO AA </v>
      </c>
      <c r="C1948" s="836"/>
      <c r="D1948" s="37">
        <v>1</v>
      </c>
      <c r="E1948" s="82">
        <f>'MANO DE OBRA'!E15</f>
        <v>71474</v>
      </c>
      <c r="F1948" s="83">
        <v>3</v>
      </c>
      <c r="G1948" s="111">
        <f>ROUND(D1948*E1948/F1948,0)</f>
        <v>23825</v>
      </c>
    </row>
    <row r="1949" spans="2:7">
      <c r="B1949" s="835"/>
      <c r="C1949" s="836"/>
      <c r="D1949" s="37"/>
      <c r="E1949" s="82"/>
      <c r="F1949" s="83"/>
      <c r="G1949" s="111"/>
    </row>
    <row r="1950" spans="2:7">
      <c r="B1950" s="835" t="s">
        <v>841</v>
      </c>
      <c r="C1950" s="836"/>
      <c r="D1950" s="37"/>
      <c r="E1950" s="82"/>
      <c r="F1950" s="83"/>
      <c r="G1950" s="111"/>
    </row>
    <row r="1951" spans="2:7" ht="13.5" thickBot="1">
      <c r="B1951" s="828" t="s">
        <v>841</v>
      </c>
      <c r="C1951" s="829"/>
      <c r="D1951" s="77"/>
      <c r="E1951" s="82"/>
      <c r="F1951" s="86"/>
      <c r="G1951" s="112"/>
    </row>
    <row r="1952" spans="2:7" ht="14.25" thickTop="1" thickBot="1">
      <c r="B1952" s="808"/>
      <c r="C1952" s="808"/>
      <c r="D1952" s="808"/>
      <c r="E1952" s="809"/>
      <c r="F1952" s="120" t="s">
        <v>856</v>
      </c>
      <c r="G1952" s="118">
        <f>SUM(G1947:G1951)</f>
        <v>46945</v>
      </c>
    </row>
    <row r="1953" spans="2:8" ht="14.25" thickTop="1" thickBot="1">
      <c r="B1953" s="810"/>
      <c r="C1953" s="810"/>
      <c r="D1953" s="810"/>
      <c r="E1953" s="810"/>
      <c r="F1953" s="810"/>
      <c r="G1953" s="810"/>
    </row>
    <row r="1954" spans="2:8" ht="13.5" thickTop="1">
      <c r="B1954" s="811" t="s">
        <v>321</v>
      </c>
      <c r="C1954" s="812"/>
      <c r="D1954" s="812"/>
      <c r="E1954" s="812"/>
      <c r="F1954" s="812"/>
      <c r="G1954" s="825"/>
    </row>
    <row r="1955" spans="2:8">
      <c r="B1955" s="817" t="s">
        <v>838</v>
      </c>
      <c r="C1955" s="818"/>
      <c r="D1955" s="98" t="s">
        <v>301</v>
      </c>
      <c r="E1955" s="98" t="s">
        <v>297</v>
      </c>
      <c r="F1955" s="99" t="s">
        <v>839</v>
      </c>
      <c r="G1955" s="107" t="s">
        <v>840</v>
      </c>
    </row>
    <row r="1956" spans="2:8">
      <c r="B1956" s="230"/>
      <c r="C1956" s="102"/>
      <c r="D1956" s="103" t="s">
        <v>322</v>
      </c>
      <c r="E1956" s="103" t="s">
        <v>323</v>
      </c>
      <c r="F1956" s="104" t="s">
        <v>324</v>
      </c>
      <c r="G1956" s="109" t="s">
        <v>325</v>
      </c>
    </row>
    <row r="1957" spans="2:8">
      <c r="B1957" s="826"/>
      <c r="C1957" s="827"/>
      <c r="D1957" s="96"/>
      <c r="E1957" s="96"/>
      <c r="F1957" s="96"/>
      <c r="G1957" s="116"/>
    </row>
    <row r="1958" spans="2:8" ht="13.5" thickBot="1">
      <c r="B1958" s="828" t="s">
        <v>841</v>
      </c>
      <c r="C1958" s="829"/>
      <c r="D1958" s="77"/>
      <c r="E1958" s="82"/>
      <c r="F1958" s="86"/>
      <c r="G1958" s="112"/>
    </row>
    <row r="1959" spans="2:8" ht="14.25" thickTop="1" thickBot="1">
      <c r="B1959" s="808"/>
      <c r="C1959" s="808"/>
      <c r="D1959" s="808"/>
      <c r="E1959" s="809"/>
      <c r="F1959" s="120" t="s">
        <v>856</v>
      </c>
      <c r="G1959" s="118">
        <f>SUM(G1954:G1958)</f>
        <v>0</v>
      </c>
    </row>
    <row r="1960" spans="2:8" ht="14.25" thickTop="1" thickBot="1">
      <c r="B1960" s="810"/>
      <c r="C1960" s="810"/>
      <c r="D1960" s="810"/>
      <c r="E1960" s="810"/>
      <c r="F1960" s="810"/>
      <c r="G1960" s="834"/>
    </row>
    <row r="1961" spans="2:8" ht="13.5" thickTop="1">
      <c r="B1961" s="811" t="s">
        <v>326</v>
      </c>
      <c r="C1961" s="812"/>
      <c r="D1961" s="812"/>
      <c r="E1961" s="812"/>
      <c r="F1961" s="813"/>
      <c r="G1961" s="121">
        <f>+G1925+G1941+G1952</f>
        <v>290417</v>
      </c>
    </row>
    <row r="1962" spans="2:8">
      <c r="B1962" s="814" t="s">
        <v>861</v>
      </c>
      <c r="C1962" s="815"/>
      <c r="D1962" s="815"/>
      <c r="E1962" s="816"/>
      <c r="F1962" s="128">
        <f>'MANO DE OBRA'!D1601</f>
        <v>0</v>
      </c>
      <c r="G1962" s="122">
        <f>ROUND(G1961*F1962,0)</f>
        <v>0</v>
      </c>
    </row>
    <row r="1963" spans="2:8" ht="13.5" thickBot="1">
      <c r="B1963" s="805" t="s">
        <v>1049</v>
      </c>
      <c r="C1963" s="806"/>
      <c r="D1963" s="806"/>
      <c r="E1963" s="806"/>
      <c r="F1963" s="807"/>
      <c r="G1963" s="118">
        <f>ROUND(G1961+G1962,-2)</f>
        <v>290400</v>
      </c>
      <c r="H1963" s="506" t="s">
        <v>1670</v>
      </c>
    </row>
    <row r="1964" spans="2:8" ht="13.5" thickTop="1">
      <c r="B1964" s="225" t="s">
        <v>303</v>
      </c>
      <c r="C1964" s="843"/>
      <c r="D1964" s="843"/>
      <c r="E1964" s="843"/>
      <c r="F1964" s="92" t="s">
        <v>781</v>
      </c>
      <c r="G1964" s="93" t="s">
        <v>868</v>
      </c>
    </row>
    <row r="1965" spans="2:8">
      <c r="B1965" s="226" t="s">
        <v>834</v>
      </c>
      <c r="C1965" s="844" t="s">
        <v>1311</v>
      </c>
      <c r="D1965" s="844"/>
      <c r="E1965" s="844"/>
      <c r="F1965" s="15" t="s">
        <v>833</v>
      </c>
      <c r="G1965" s="165" t="str">
        <f>'MANO DE OBRA'!$D$61</f>
        <v>Agosto de 2010</v>
      </c>
    </row>
    <row r="1966" spans="2:8" ht="24" customHeight="1" thickBot="1">
      <c r="B1966" s="228" t="s">
        <v>835</v>
      </c>
      <c r="C1966" s="863" t="s">
        <v>579</v>
      </c>
      <c r="D1966" s="863"/>
      <c r="E1966" s="863"/>
      <c r="F1966" s="863"/>
      <c r="G1966" s="864"/>
    </row>
    <row r="1967" spans="2:8" ht="14.25" thickTop="1" thickBot="1">
      <c r="B1967" s="847"/>
      <c r="C1967" s="847"/>
      <c r="D1967" s="847"/>
      <c r="E1967" s="847"/>
      <c r="F1967" s="847"/>
      <c r="G1967" s="847"/>
    </row>
    <row r="1968" spans="2:8" ht="13.5" thickTop="1">
      <c r="B1968" s="811" t="s">
        <v>304</v>
      </c>
      <c r="C1968" s="812"/>
      <c r="D1968" s="812"/>
      <c r="E1968" s="812"/>
      <c r="F1968" s="812"/>
      <c r="G1968" s="825"/>
    </row>
    <row r="1969" spans="2:11">
      <c r="B1969" s="229"/>
      <c r="C1969" s="97"/>
      <c r="D1969" s="98" t="s">
        <v>301</v>
      </c>
      <c r="E1969" s="98" t="s">
        <v>1072</v>
      </c>
      <c r="F1969" s="99" t="s">
        <v>839</v>
      </c>
      <c r="G1969" s="107" t="s">
        <v>840</v>
      </c>
    </row>
    <row r="1970" spans="2:11">
      <c r="B1970" s="821" t="s">
        <v>838</v>
      </c>
      <c r="C1970" s="822"/>
      <c r="D1970" s="100" t="s">
        <v>308</v>
      </c>
      <c r="E1970" s="100" t="s">
        <v>305</v>
      </c>
      <c r="F1970" s="101" t="s">
        <v>306</v>
      </c>
      <c r="G1970" s="108" t="s">
        <v>310</v>
      </c>
    </row>
    <row r="1971" spans="2:11">
      <c r="B1971" s="230"/>
      <c r="C1971" s="102"/>
      <c r="D1971" s="103"/>
      <c r="E1971" s="103" t="s">
        <v>309</v>
      </c>
      <c r="F1971" s="104" t="s">
        <v>307</v>
      </c>
      <c r="G1971" s="109"/>
    </row>
    <row r="1972" spans="2:11">
      <c r="B1972" s="823" t="str">
        <f>'MAQUINARIA Y EQUIPOS'!$C$28</f>
        <v>HERRAMIENTAS MENORES</v>
      </c>
      <c r="C1972" s="824"/>
      <c r="D1972" s="87">
        <v>1</v>
      </c>
      <c r="E1972" s="82">
        <f>ROUND(G2005*0.25,0)</f>
        <v>531</v>
      </c>
      <c r="F1972" s="81">
        <v>0.5</v>
      </c>
      <c r="G1972" s="110">
        <f>ROUND(D1972*E1972/F1972,0)</f>
        <v>1062</v>
      </c>
    </row>
    <row r="1973" spans="2:11">
      <c r="B1973" s="835"/>
      <c r="C1973" s="836"/>
      <c r="D1973" s="37"/>
      <c r="E1973" s="129"/>
      <c r="F1973" s="53"/>
      <c r="G1973" s="111"/>
    </row>
    <row r="1974" spans="2:11">
      <c r="B1974" s="835"/>
      <c r="C1974" s="836"/>
      <c r="D1974" s="37"/>
      <c r="E1974" s="129"/>
      <c r="F1974" s="53"/>
      <c r="G1974" s="111"/>
    </row>
    <row r="1975" spans="2:11">
      <c r="B1975" s="835"/>
      <c r="C1975" s="836"/>
      <c r="D1975" s="37"/>
      <c r="E1975" s="129"/>
      <c r="F1975" s="53"/>
      <c r="G1975" s="111"/>
    </row>
    <row r="1976" spans="2:11">
      <c r="B1976" s="835" t="s">
        <v>841</v>
      </c>
      <c r="C1976" s="836"/>
      <c r="D1976" s="37"/>
      <c r="E1976" s="82"/>
      <c r="F1976" s="83"/>
      <c r="G1976" s="111"/>
    </row>
    <row r="1977" spans="2:11" ht="13.5" thickBot="1">
      <c r="B1977" s="839" t="s">
        <v>841</v>
      </c>
      <c r="C1977" s="840"/>
      <c r="D1977" s="77"/>
      <c r="E1977" s="106"/>
      <c r="F1977" s="86"/>
      <c r="G1977" s="112"/>
    </row>
    <row r="1978" spans="2:11" ht="14.25" thickTop="1" thickBot="1">
      <c r="B1978" s="808"/>
      <c r="C1978" s="808"/>
      <c r="D1978" s="808"/>
      <c r="E1978" s="809"/>
      <c r="F1978" s="119" t="s">
        <v>856</v>
      </c>
      <c r="G1978" s="118">
        <f>SUM(G1972:G1977)</f>
        <v>1062</v>
      </c>
    </row>
    <row r="1979" spans="2:11" ht="14.25" thickTop="1" thickBot="1">
      <c r="B1979" s="830"/>
      <c r="C1979" s="830"/>
      <c r="D1979" s="830"/>
      <c r="E1979" s="830"/>
      <c r="F1979" s="830"/>
      <c r="G1979" s="830"/>
    </row>
    <row r="1980" spans="2:11" ht="13.5" thickTop="1">
      <c r="B1980" s="811" t="s">
        <v>311</v>
      </c>
      <c r="C1980" s="812"/>
      <c r="D1980" s="812"/>
      <c r="E1980" s="812"/>
      <c r="F1980" s="812"/>
      <c r="G1980" s="825"/>
      <c r="I1980" s="4"/>
      <c r="J1980" s="4"/>
      <c r="K1980" s="4"/>
    </row>
    <row r="1981" spans="2:11">
      <c r="B1981" s="817" t="s">
        <v>838</v>
      </c>
      <c r="C1981" s="818"/>
      <c r="D1981" s="98" t="s">
        <v>842</v>
      </c>
      <c r="E1981" s="98" t="s">
        <v>853</v>
      </c>
      <c r="F1981" s="99" t="s">
        <v>1047</v>
      </c>
      <c r="G1981" s="107" t="s">
        <v>840</v>
      </c>
      <c r="I1981" s="4"/>
      <c r="J1981" s="4"/>
      <c r="K1981" s="4"/>
    </row>
    <row r="1982" spans="2:11">
      <c r="B1982" s="230"/>
      <c r="C1982" s="102"/>
      <c r="D1982" s="100"/>
      <c r="E1982" s="100" t="s">
        <v>312</v>
      </c>
      <c r="F1982" s="101" t="s">
        <v>313</v>
      </c>
      <c r="G1982" s="109" t="s">
        <v>314</v>
      </c>
      <c r="I1982" s="351"/>
      <c r="J1982" s="352"/>
      <c r="K1982" s="353"/>
    </row>
    <row r="1983" spans="2:11">
      <c r="B1983" s="381" t="s">
        <v>580</v>
      </c>
      <c r="C1983" s="382"/>
      <c r="D1983" s="383" t="s">
        <v>868</v>
      </c>
      <c r="E1983" s="384">
        <v>1.05</v>
      </c>
      <c r="F1983" s="385">
        <v>25300</v>
      </c>
      <c r="G1983" s="386">
        <f>ROUND(E1983*F1983,0)</f>
        <v>26565</v>
      </c>
      <c r="I1983" s="351"/>
      <c r="J1983" s="352"/>
      <c r="K1983" s="354"/>
    </row>
    <row r="1984" spans="2:11">
      <c r="B1984" s="348"/>
      <c r="C1984" s="349"/>
      <c r="D1984" s="344"/>
      <c r="E1984" s="350"/>
      <c r="F1984" s="156"/>
      <c r="G1984" s="111"/>
      <c r="I1984" s="351"/>
      <c r="J1984" s="352"/>
      <c r="K1984" s="354"/>
    </row>
    <row r="1985" spans="2:11">
      <c r="B1985" s="348"/>
      <c r="C1985" s="349"/>
      <c r="D1985" s="154"/>
      <c r="E1985" s="347"/>
      <c r="F1985" s="156"/>
      <c r="G1985" s="111"/>
      <c r="I1985" s="351"/>
      <c r="J1985" s="352"/>
      <c r="K1985" s="354"/>
    </row>
    <row r="1986" spans="2:11">
      <c r="B1986" s="835"/>
      <c r="C1986" s="836"/>
      <c r="D1986" s="37"/>
      <c r="E1986" s="55"/>
      <c r="F1986" s="82"/>
      <c r="G1986" s="111"/>
      <c r="I1986" s="351"/>
      <c r="J1986" s="352"/>
      <c r="K1986" s="354"/>
    </row>
    <row r="1987" spans="2:11">
      <c r="B1987" s="835"/>
      <c r="C1987" s="836"/>
      <c r="D1987" s="37"/>
      <c r="E1987" s="55"/>
      <c r="F1987" s="82"/>
      <c r="G1987" s="111"/>
      <c r="H1987" s="506" t="s">
        <v>1670</v>
      </c>
      <c r="I1987" s="4"/>
      <c r="J1987" s="4"/>
      <c r="K1987" s="4"/>
    </row>
    <row r="1988" spans="2:11">
      <c r="B1988" s="837"/>
      <c r="C1988" s="838"/>
      <c r="D1988" s="239"/>
      <c r="E1988" s="239"/>
      <c r="F1988" s="82"/>
      <c r="G1988" s="111"/>
    </row>
    <row r="1989" spans="2:11">
      <c r="B1989" s="837" t="s">
        <v>841</v>
      </c>
      <c r="C1989" s="838"/>
      <c r="D1989" s="53" t="s">
        <v>841</v>
      </c>
      <c r="E1989" s="53"/>
      <c r="F1989" s="82"/>
      <c r="G1989" s="111"/>
    </row>
    <row r="1990" spans="2:11">
      <c r="B1990" s="837" t="s">
        <v>841</v>
      </c>
      <c r="C1990" s="838"/>
      <c r="D1990" s="53" t="s">
        <v>841</v>
      </c>
      <c r="E1990" s="53"/>
      <c r="F1990" s="82"/>
      <c r="G1990" s="111"/>
    </row>
    <row r="1991" spans="2:11" ht="13.5" thickBot="1">
      <c r="B1991" s="839" t="s">
        <v>841</v>
      </c>
      <c r="C1991" s="840"/>
      <c r="D1991" s="84" t="s">
        <v>841</v>
      </c>
      <c r="E1991" s="84"/>
      <c r="F1991" s="85"/>
      <c r="G1991" s="112"/>
    </row>
    <row r="1992" spans="2:11" ht="13.5" thickTop="1">
      <c r="B1992" s="808"/>
      <c r="C1992" s="809"/>
      <c r="D1992" s="801" t="s">
        <v>856</v>
      </c>
      <c r="E1992" s="802"/>
      <c r="F1992" s="9"/>
      <c r="G1992" s="113">
        <f>SUM(G1983:G1991)</f>
        <v>26565</v>
      </c>
    </row>
    <row r="1993" spans="2:11">
      <c r="B1993" s="819"/>
      <c r="C1993" s="820"/>
      <c r="D1993" s="801" t="s">
        <v>857</v>
      </c>
      <c r="E1993" s="802"/>
      <c r="F1993" s="79">
        <f>'MANO DE OBRA'!D387</f>
        <v>0</v>
      </c>
      <c r="G1993" s="113">
        <f>ROUND(G1992*F1993,0)</f>
        <v>0</v>
      </c>
    </row>
    <row r="1994" spans="2:11" ht="13.5" thickBot="1">
      <c r="B1994" s="819"/>
      <c r="C1994" s="820"/>
      <c r="D1994" s="803" t="s">
        <v>320</v>
      </c>
      <c r="E1994" s="804"/>
      <c r="F1994" s="114"/>
      <c r="G1994" s="118">
        <f>+G1992+G1993</f>
        <v>26565</v>
      </c>
    </row>
    <row r="1995" spans="2:11" ht="14.25" thickTop="1" thickBot="1">
      <c r="B1995" s="830"/>
      <c r="C1995" s="830"/>
      <c r="D1995" s="830"/>
      <c r="E1995" s="830"/>
      <c r="F1995" s="830"/>
      <c r="G1995" s="830"/>
    </row>
    <row r="1996" spans="2:11" ht="13.5" thickTop="1">
      <c r="B1996" s="811" t="s">
        <v>858</v>
      </c>
      <c r="C1996" s="812"/>
      <c r="D1996" s="812"/>
      <c r="E1996" s="812"/>
      <c r="F1996" s="812"/>
      <c r="G1996" s="825"/>
    </row>
    <row r="1997" spans="2:11">
      <c r="B1997" s="817"/>
      <c r="C1997" s="818"/>
      <c r="D1997" s="98" t="s">
        <v>301</v>
      </c>
      <c r="E1997" s="98" t="s">
        <v>859</v>
      </c>
      <c r="F1997" s="99" t="s">
        <v>839</v>
      </c>
      <c r="G1997" s="107" t="s">
        <v>840</v>
      </c>
    </row>
    <row r="1998" spans="2:11">
      <c r="B1998" s="821" t="s">
        <v>838</v>
      </c>
      <c r="C1998" s="822"/>
      <c r="D1998" s="100" t="s">
        <v>316</v>
      </c>
      <c r="E1998" s="100" t="s">
        <v>315</v>
      </c>
      <c r="F1998" s="101" t="s">
        <v>306</v>
      </c>
      <c r="G1998" s="108" t="s">
        <v>319</v>
      </c>
    </row>
    <row r="1999" spans="2:11">
      <c r="B1999" s="230"/>
      <c r="C1999" s="102"/>
      <c r="D1999" s="103"/>
      <c r="E1999" s="103" t="s">
        <v>317</v>
      </c>
      <c r="F1999" s="104" t="s">
        <v>318</v>
      </c>
      <c r="G1999" s="109"/>
    </row>
    <row r="2000" spans="2:11">
      <c r="B2000" s="823" t="str">
        <f>'MANO DE OBRA'!$B$10</f>
        <v>AYUDANTE CUAD. TIPO AA</v>
      </c>
      <c r="C2000" s="824"/>
      <c r="D2000" s="87">
        <v>1</v>
      </c>
      <c r="E2000" s="80">
        <f>'MANO DE OBRA'!$E$10</f>
        <v>34680</v>
      </c>
      <c r="F2000" s="81">
        <v>50</v>
      </c>
      <c r="G2000" s="110">
        <f>ROUND(D2000*E2000/F2000,0)</f>
        <v>694</v>
      </c>
    </row>
    <row r="2001" spans="2:8">
      <c r="B2001" s="835" t="str">
        <f>'MANO DE OBRA'!$B$15</f>
        <v xml:space="preserve">OFICIAL CUAD. TIPO AA </v>
      </c>
      <c r="C2001" s="836"/>
      <c r="D2001" s="37">
        <v>1</v>
      </c>
      <c r="E2001" s="82">
        <f>'MANO DE OBRA'!$E$15</f>
        <v>71474</v>
      </c>
      <c r="F2001" s="83">
        <v>50</v>
      </c>
      <c r="G2001" s="111">
        <f>ROUND(D2001*E2001/F2001,0)</f>
        <v>1429</v>
      </c>
    </row>
    <row r="2002" spans="2:8">
      <c r="B2002" s="835"/>
      <c r="C2002" s="836"/>
      <c r="D2002" s="37"/>
      <c r="E2002" s="82"/>
      <c r="F2002" s="83"/>
      <c r="G2002" s="111"/>
    </row>
    <row r="2003" spans="2:8">
      <c r="B2003" s="835" t="s">
        <v>841</v>
      </c>
      <c r="C2003" s="836"/>
      <c r="D2003" s="37"/>
      <c r="E2003" s="82"/>
      <c r="F2003" s="83"/>
      <c r="G2003" s="111"/>
    </row>
    <row r="2004" spans="2:8" ht="13.5" thickBot="1">
      <c r="B2004" s="828" t="s">
        <v>841</v>
      </c>
      <c r="C2004" s="829"/>
      <c r="D2004" s="77"/>
      <c r="E2004" s="82"/>
      <c r="F2004" s="86"/>
      <c r="G2004" s="112"/>
    </row>
    <row r="2005" spans="2:8" ht="14.25" thickTop="1" thickBot="1">
      <c r="B2005" s="808"/>
      <c r="C2005" s="808"/>
      <c r="D2005" s="808"/>
      <c r="E2005" s="809"/>
      <c r="F2005" s="120" t="s">
        <v>856</v>
      </c>
      <c r="G2005" s="118">
        <f>SUM(G2000:G2004)</f>
        <v>2123</v>
      </c>
    </row>
    <row r="2006" spans="2:8" ht="14.25" thickTop="1" thickBot="1">
      <c r="B2006" s="810"/>
      <c r="C2006" s="810"/>
      <c r="D2006" s="810"/>
      <c r="E2006" s="810"/>
      <c r="F2006" s="810"/>
      <c r="G2006" s="810"/>
    </row>
    <row r="2007" spans="2:8" ht="13.5" thickTop="1">
      <c r="B2007" s="811" t="s">
        <v>321</v>
      </c>
      <c r="C2007" s="812"/>
      <c r="D2007" s="812"/>
      <c r="E2007" s="812"/>
      <c r="F2007" s="812"/>
      <c r="G2007" s="825"/>
    </row>
    <row r="2008" spans="2:8">
      <c r="B2008" s="817" t="s">
        <v>838</v>
      </c>
      <c r="C2008" s="818"/>
      <c r="D2008" s="98" t="s">
        <v>301</v>
      </c>
      <c r="E2008" s="98" t="s">
        <v>297</v>
      </c>
      <c r="F2008" s="99" t="s">
        <v>839</v>
      </c>
      <c r="G2008" s="107" t="s">
        <v>840</v>
      </c>
    </row>
    <row r="2009" spans="2:8">
      <c r="B2009" s="230"/>
      <c r="C2009" s="102"/>
      <c r="D2009" s="103" t="s">
        <v>322</v>
      </c>
      <c r="E2009" s="103" t="s">
        <v>323</v>
      </c>
      <c r="F2009" s="104" t="s">
        <v>324</v>
      </c>
      <c r="G2009" s="109" t="s">
        <v>325</v>
      </c>
    </row>
    <row r="2010" spans="2:8">
      <c r="B2010" s="826"/>
      <c r="C2010" s="827"/>
      <c r="D2010" s="96"/>
      <c r="E2010" s="96"/>
      <c r="F2010" s="96"/>
      <c r="G2010" s="116"/>
    </row>
    <row r="2011" spans="2:8" ht="13.5" thickBot="1">
      <c r="B2011" s="828" t="s">
        <v>841</v>
      </c>
      <c r="C2011" s="829"/>
      <c r="D2011" s="77"/>
      <c r="E2011" s="82"/>
      <c r="F2011" s="86"/>
      <c r="G2011" s="112"/>
    </row>
    <row r="2012" spans="2:8" ht="14.25" thickTop="1" thickBot="1">
      <c r="B2012" s="808"/>
      <c r="C2012" s="808"/>
      <c r="D2012" s="808"/>
      <c r="E2012" s="809"/>
      <c r="F2012" s="120" t="s">
        <v>856</v>
      </c>
      <c r="G2012" s="118">
        <f>SUM(G2007:G2011)</f>
        <v>0</v>
      </c>
    </row>
    <row r="2013" spans="2:8" ht="14.25" thickTop="1" thickBot="1">
      <c r="B2013" s="860"/>
      <c r="C2013" s="860"/>
      <c r="D2013" s="860"/>
      <c r="E2013" s="860"/>
      <c r="F2013" s="860"/>
      <c r="G2013" s="861"/>
    </row>
    <row r="2014" spans="2:8" ht="13.5" thickTop="1">
      <c r="B2014" s="811" t="s">
        <v>326</v>
      </c>
      <c r="C2014" s="812"/>
      <c r="D2014" s="812"/>
      <c r="E2014" s="812"/>
      <c r="F2014" s="813"/>
      <c r="G2014" s="121">
        <f>+G1978+G1994+G2005</f>
        <v>29750</v>
      </c>
    </row>
    <row r="2015" spans="2:8">
      <c r="B2015" s="814" t="s">
        <v>861</v>
      </c>
      <c r="C2015" s="815"/>
      <c r="D2015" s="815"/>
      <c r="E2015" s="816"/>
      <c r="F2015" s="128">
        <v>0</v>
      </c>
      <c r="G2015" s="122">
        <f>ROUND(G2014*F2015,0)</f>
        <v>0</v>
      </c>
    </row>
    <row r="2016" spans="2:8" ht="13.5" thickBot="1">
      <c r="B2016" s="805" t="s">
        <v>1049</v>
      </c>
      <c r="C2016" s="806"/>
      <c r="D2016" s="806"/>
      <c r="E2016" s="806"/>
      <c r="F2016" s="807"/>
      <c r="G2016" s="118">
        <f>ROUND(G2014+G2015,-2)</f>
        <v>29800</v>
      </c>
      <c r="H2016" s="506" t="s">
        <v>1670</v>
      </c>
    </row>
    <row r="2017" spans="2:7" ht="13.5" thickTop="1">
      <c r="B2017" s="225" t="s">
        <v>303</v>
      </c>
      <c r="C2017" s="843"/>
      <c r="D2017" s="843"/>
      <c r="E2017" s="843"/>
      <c r="F2017" s="92" t="s">
        <v>781</v>
      </c>
      <c r="G2017" s="93" t="s">
        <v>865</v>
      </c>
    </row>
    <row r="2018" spans="2:7">
      <c r="B2018" s="226" t="s">
        <v>834</v>
      </c>
      <c r="C2018" s="862" t="s">
        <v>193</v>
      </c>
      <c r="D2018" s="844"/>
      <c r="E2018" s="844"/>
      <c r="F2018" s="15" t="s">
        <v>833</v>
      </c>
      <c r="G2018" s="165" t="str">
        <f>'MANO DE OBRA'!$D$61</f>
        <v>Agosto de 2010</v>
      </c>
    </row>
    <row r="2019" spans="2:7" ht="13.5" thickBot="1">
      <c r="B2019" s="228" t="s">
        <v>835</v>
      </c>
      <c r="C2019" s="863" t="s">
        <v>1666</v>
      </c>
      <c r="D2019" s="863"/>
      <c r="E2019" s="863"/>
      <c r="F2019" s="863"/>
      <c r="G2019" s="864"/>
    </row>
    <row r="2020" spans="2:7" ht="14.25" thickTop="1" thickBot="1">
      <c r="B2020" s="847"/>
      <c r="C2020" s="847"/>
      <c r="D2020" s="847"/>
      <c r="E2020" s="847"/>
      <c r="F2020" s="847"/>
      <c r="G2020" s="847"/>
    </row>
    <row r="2021" spans="2:7" ht="13.5" thickTop="1">
      <c r="B2021" s="811" t="s">
        <v>304</v>
      </c>
      <c r="C2021" s="812"/>
      <c r="D2021" s="812"/>
      <c r="E2021" s="812"/>
      <c r="F2021" s="812"/>
      <c r="G2021" s="825"/>
    </row>
    <row r="2022" spans="2:7">
      <c r="B2022" s="229"/>
      <c r="C2022" s="97"/>
      <c r="D2022" s="98" t="s">
        <v>301</v>
      </c>
      <c r="E2022" s="98" t="s">
        <v>1072</v>
      </c>
      <c r="F2022" s="99" t="s">
        <v>839</v>
      </c>
      <c r="G2022" s="107" t="s">
        <v>840</v>
      </c>
    </row>
    <row r="2023" spans="2:7">
      <c r="B2023" s="821" t="s">
        <v>838</v>
      </c>
      <c r="C2023" s="822"/>
      <c r="D2023" s="100" t="s">
        <v>308</v>
      </c>
      <c r="E2023" s="100" t="s">
        <v>305</v>
      </c>
      <c r="F2023" s="101" t="s">
        <v>306</v>
      </c>
      <c r="G2023" s="108" t="s">
        <v>310</v>
      </c>
    </row>
    <row r="2024" spans="2:7">
      <c r="B2024" s="230"/>
      <c r="C2024" s="102"/>
      <c r="D2024" s="103"/>
      <c r="E2024" s="103" t="s">
        <v>309</v>
      </c>
      <c r="F2024" s="104" t="s">
        <v>307</v>
      </c>
      <c r="G2024" s="109"/>
    </row>
    <row r="2025" spans="2:7">
      <c r="B2025" s="823" t="str">
        <f>'MAQUINARIA Y EQUIPOS'!$C$28</f>
        <v>HERRAMIENTAS MENORES</v>
      </c>
      <c r="C2025" s="824"/>
      <c r="D2025" s="87">
        <v>1</v>
      </c>
      <c r="E2025" s="82">
        <f>ROUND(G2058*0.05,0)</f>
        <v>7042</v>
      </c>
      <c r="F2025" s="81">
        <v>1</v>
      </c>
      <c r="G2025" s="110">
        <f>ROUND(D2025*E2025/F2025,0)</f>
        <v>7042</v>
      </c>
    </row>
    <row r="2026" spans="2:7">
      <c r="B2026" s="835"/>
      <c r="C2026" s="836"/>
      <c r="D2026" s="37"/>
      <c r="E2026" s="129"/>
      <c r="F2026" s="53"/>
      <c r="G2026" s="111"/>
    </row>
    <row r="2027" spans="2:7">
      <c r="B2027" s="835"/>
      <c r="C2027" s="836"/>
      <c r="D2027" s="37"/>
      <c r="E2027" s="129"/>
      <c r="F2027" s="53"/>
      <c r="G2027" s="111"/>
    </row>
    <row r="2028" spans="2:7">
      <c r="B2028" s="835"/>
      <c r="C2028" s="836"/>
      <c r="D2028" s="37"/>
      <c r="E2028" s="129"/>
      <c r="F2028" s="53"/>
      <c r="G2028" s="111"/>
    </row>
    <row r="2029" spans="2:7">
      <c r="B2029" s="835" t="s">
        <v>841</v>
      </c>
      <c r="C2029" s="836"/>
      <c r="D2029" s="37"/>
      <c r="E2029" s="82"/>
      <c r="F2029" s="83"/>
      <c r="G2029" s="111"/>
    </row>
    <row r="2030" spans="2:7" ht="13.5" thickBot="1">
      <c r="B2030" s="839" t="s">
        <v>841</v>
      </c>
      <c r="C2030" s="840"/>
      <c r="D2030" s="77"/>
      <c r="E2030" s="106"/>
      <c r="F2030" s="86"/>
      <c r="G2030" s="112"/>
    </row>
    <row r="2031" spans="2:7" ht="14.25" thickTop="1" thickBot="1">
      <c r="B2031" s="808"/>
      <c r="C2031" s="808"/>
      <c r="D2031" s="808"/>
      <c r="E2031" s="809"/>
      <c r="F2031" s="119" t="s">
        <v>856</v>
      </c>
      <c r="G2031" s="118">
        <f>SUM(G2025:G2030)</f>
        <v>7042</v>
      </c>
    </row>
    <row r="2032" spans="2:7" ht="14.25" thickTop="1" thickBot="1">
      <c r="B2032" s="830"/>
      <c r="C2032" s="830"/>
      <c r="D2032" s="830"/>
      <c r="E2032" s="830"/>
      <c r="F2032" s="830"/>
      <c r="G2032" s="830"/>
    </row>
    <row r="2033" spans="2:8" ht="13.5" thickTop="1">
      <c r="B2033" s="811" t="s">
        <v>311</v>
      </c>
      <c r="C2033" s="812"/>
      <c r="D2033" s="812"/>
      <c r="E2033" s="812"/>
      <c r="F2033" s="812"/>
      <c r="G2033" s="825"/>
    </row>
    <row r="2034" spans="2:8">
      <c r="B2034" s="817" t="s">
        <v>838</v>
      </c>
      <c r="C2034" s="818"/>
      <c r="D2034" s="98" t="s">
        <v>842</v>
      </c>
      <c r="E2034" s="98" t="s">
        <v>853</v>
      </c>
      <c r="F2034" s="99" t="s">
        <v>1047</v>
      </c>
      <c r="G2034" s="107" t="s">
        <v>840</v>
      </c>
    </row>
    <row r="2035" spans="2:8">
      <c r="B2035" s="230"/>
      <c r="C2035" s="102"/>
      <c r="D2035" s="100"/>
      <c r="E2035" s="100" t="s">
        <v>312</v>
      </c>
      <c r="F2035" s="101" t="s">
        <v>313</v>
      </c>
      <c r="G2035" s="109" t="s">
        <v>314</v>
      </c>
    </row>
    <row r="2036" spans="2:8" ht="27" customHeight="1">
      <c r="B2036" s="858" t="str">
        <f>MATERIALES2!$C$263</f>
        <v>VALLA DE IDENTIFICACION DE 2 X 4 M INCLUIDOS SOPORTES METALICOS (CERCHAS)</v>
      </c>
      <c r="C2036" s="859"/>
      <c r="D2036" s="501" t="s">
        <v>865</v>
      </c>
      <c r="E2036" s="502">
        <v>1</v>
      </c>
      <c r="F2036" s="503">
        <f>MATERIALES2!E263</f>
        <v>1400000</v>
      </c>
      <c r="G2036" s="504">
        <f>ROUND(E2036*F2036,0)</f>
        <v>1400000</v>
      </c>
    </row>
    <row r="2037" spans="2:8">
      <c r="B2037" s="837"/>
      <c r="C2037" s="838"/>
      <c r="D2037" s="344"/>
      <c r="E2037" s="350"/>
      <c r="F2037" s="156"/>
      <c r="G2037" s="111"/>
    </row>
    <row r="2038" spans="2:8">
      <c r="B2038" s="837"/>
      <c r="C2038" s="838"/>
      <c r="D2038" s="154"/>
      <c r="E2038" s="347"/>
      <c r="F2038" s="156"/>
      <c r="G2038" s="111"/>
    </row>
    <row r="2039" spans="2:8">
      <c r="B2039" s="835"/>
      <c r="C2039" s="836"/>
      <c r="D2039" s="37"/>
      <c r="E2039" s="55"/>
      <c r="F2039" s="82"/>
      <c r="G2039" s="111"/>
    </row>
    <row r="2040" spans="2:8">
      <c r="B2040" s="835"/>
      <c r="C2040" s="836"/>
      <c r="D2040" s="37"/>
      <c r="E2040" s="55"/>
      <c r="F2040" s="82"/>
      <c r="G2040" s="111"/>
      <c r="H2040" s="506" t="s">
        <v>1670</v>
      </c>
    </row>
    <row r="2041" spans="2:8">
      <c r="B2041" s="837"/>
      <c r="C2041" s="838"/>
      <c r="D2041" s="239"/>
      <c r="E2041" s="239"/>
      <c r="F2041" s="82"/>
      <c r="G2041" s="111"/>
    </row>
    <row r="2042" spans="2:8">
      <c r="B2042" s="837" t="s">
        <v>841</v>
      </c>
      <c r="C2042" s="838"/>
      <c r="D2042" s="53" t="s">
        <v>841</v>
      </c>
      <c r="E2042" s="53"/>
      <c r="F2042" s="82"/>
      <c r="G2042" s="111"/>
    </row>
    <row r="2043" spans="2:8">
      <c r="B2043" s="837" t="s">
        <v>841</v>
      </c>
      <c r="C2043" s="838"/>
      <c r="D2043" s="53" t="s">
        <v>841</v>
      </c>
      <c r="E2043" s="53"/>
      <c r="F2043" s="82"/>
      <c r="G2043" s="111"/>
    </row>
    <row r="2044" spans="2:8" ht="13.5" thickBot="1">
      <c r="B2044" s="839" t="s">
        <v>841</v>
      </c>
      <c r="C2044" s="840"/>
      <c r="D2044" s="84" t="s">
        <v>841</v>
      </c>
      <c r="E2044" s="84"/>
      <c r="F2044" s="85"/>
      <c r="G2044" s="112"/>
    </row>
    <row r="2045" spans="2:8" ht="13.5" thickTop="1">
      <c r="B2045" s="808"/>
      <c r="C2045" s="809"/>
      <c r="D2045" s="801" t="s">
        <v>856</v>
      </c>
      <c r="E2045" s="802"/>
      <c r="F2045" s="9"/>
      <c r="G2045" s="113">
        <f>SUM(G2036:G2044)</f>
        <v>1400000</v>
      </c>
    </row>
    <row r="2046" spans="2:8">
      <c r="B2046" s="819"/>
      <c r="C2046" s="820"/>
      <c r="D2046" s="801" t="s">
        <v>857</v>
      </c>
      <c r="E2046" s="802"/>
      <c r="F2046" s="79">
        <f>'MANO DE OBRA'!D440</f>
        <v>0</v>
      </c>
      <c r="G2046" s="113">
        <f>ROUND(G2045*F2046,0)</f>
        <v>0</v>
      </c>
    </row>
    <row r="2047" spans="2:8" ht="13.5" thickBot="1">
      <c r="B2047" s="819"/>
      <c r="C2047" s="820"/>
      <c r="D2047" s="803" t="s">
        <v>320</v>
      </c>
      <c r="E2047" s="804"/>
      <c r="F2047" s="114"/>
      <c r="G2047" s="118">
        <f>+G2045+G2046</f>
        <v>1400000</v>
      </c>
    </row>
    <row r="2048" spans="2:8" ht="14.25" thickTop="1" thickBot="1">
      <c r="B2048" s="830"/>
      <c r="C2048" s="830"/>
      <c r="D2048" s="830"/>
      <c r="E2048" s="830"/>
      <c r="F2048" s="830"/>
      <c r="G2048" s="830"/>
    </row>
    <row r="2049" spans="2:7" ht="13.5" thickTop="1">
      <c r="B2049" s="811" t="s">
        <v>858</v>
      </c>
      <c r="C2049" s="812"/>
      <c r="D2049" s="812"/>
      <c r="E2049" s="812"/>
      <c r="F2049" s="812"/>
      <c r="G2049" s="825"/>
    </row>
    <row r="2050" spans="2:7">
      <c r="B2050" s="817"/>
      <c r="C2050" s="818"/>
      <c r="D2050" s="98" t="s">
        <v>301</v>
      </c>
      <c r="E2050" s="98" t="s">
        <v>859</v>
      </c>
      <c r="F2050" s="99" t="s">
        <v>839</v>
      </c>
      <c r="G2050" s="107" t="s">
        <v>840</v>
      </c>
    </row>
    <row r="2051" spans="2:7">
      <c r="B2051" s="821" t="s">
        <v>838</v>
      </c>
      <c r="C2051" s="822"/>
      <c r="D2051" s="100" t="s">
        <v>316</v>
      </c>
      <c r="E2051" s="100" t="s">
        <v>315</v>
      </c>
      <c r="F2051" s="101" t="s">
        <v>306</v>
      </c>
      <c r="G2051" s="108" t="s">
        <v>319</v>
      </c>
    </row>
    <row r="2052" spans="2:7">
      <c r="B2052" s="230"/>
      <c r="C2052" s="102"/>
      <c r="D2052" s="103"/>
      <c r="E2052" s="103" t="s">
        <v>317</v>
      </c>
      <c r="F2052" s="104" t="s">
        <v>318</v>
      </c>
      <c r="G2052" s="109"/>
    </row>
    <row r="2053" spans="2:7">
      <c r="B2053" s="823" t="str">
        <f>'MANO DE OBRA'!$B$10</f>
        <v>AYUDANTE CUAD. TIPO AA</v>
      </c>
      <c r="C2053" s="824"/>
      <c r="D2053" s="87">
        <v>2</v>
      </c>
      <c r="E2053" s="80">
        <f>'MANO DE OBRA'!$E$10</f>
        <v>34680</v>
      </c>
      <c r="F2053" s="81">
        <v>1</v>
      </c>
      <c r="G2053" s="110">
        <f>ROUND(D2053*E2053/F2053,0)</f>
        <v>69360</v>
      </c>
    </row>
    <row r="2054" spans="2:7">
      <c r="B2054" s="835" t="str">
        <f>'MANO DE OBRA'!$B$15</f>
        <v xml:space="preserve">OFICIAL CUAD. TIPO AA </v>
      </c>
      <c r="C2054" s="836"/>
      <c r="D2054" s="37">
        <v>1</v>
      </c>
      <c r="E2054" s="82">
        <f>'MANO DE OBRA'!$E$15</f>
        <v>71474</v>
      </c>
      <c r="F2054" s="83">
        <v>1</v>
      </c>
      <c r="G2054" s="111">
        <f>ROUND(D2054*E2054/F2054,0)</f>
        <v>71474</v>
      </c>
    </row>
    <row r="2055" spans="2:7">
      <c r="B2055" s="835"/>
      <c r="C2055" s="836"/>
      <c r="D2055" s="37"/>
      <c r="E2055" s="82"/>
      <c r="F2055" s="83"/>
      <c r="G2055" s="111"/>
    </row>
    <row r="2056" spans="2:7">
      <c r="B2056" s="835" t="s">
        <v>841</v>
      </c>
      <c r="C2056" s="836"/>
      <c r="D2056" s="37"/>
      <c r="E2056" s="82"/>
      <c r="F2056" s="83"/>
      <c r="G2056" s="111"/>
    </row>
    <row r="2057" spans="2:7" ht="13.5" thickBot="1">
      <c r="B2057" s="828" t="s">
        <v>841</v>
      </c>
      <c r="C2057" s="829"/>
      <c r="D2057" s="77"/>
      <c r="E2057" s="82"/>
      <c r="F2057" s="86"/>
      <c r="G2057" s="112"/>
    </row>
    <row r="2058" spans="2:7" ht="14.25" thickTop="1" thickBot="1">
      <c r="B2058" s="808"/>
      <c r="C2058" s="808"/>
      <c r="D2058" s="808"/>
      <c r="E2058" s="809"/>
      <c r="F2058" s="120" t="s">
        <v>856</v>
      </c>
      <c r="G2058" s="118">
        <f>SUM(G2053:G2057)</f>
        <v>140834</v>
      </c>
    </row>
    <row r="2059" spans="2:7" ht="14.25" thickTop="1" thickBot="1">
      <c r="B2059" s="810"/>
      <c r="C2059" s="810"/>
      <c r="D2059" s="810"/>
      <c r="E2059" s="810"/>
      <c r="F2059" s="810"/>
      <c r="G2059" s="810"/>
    </row>
    <row r="2060" spans="2:7" ht="13.5" thickTop="1">
      <c r="B2060" s="811" t="s">
        <v>321</v>
      </c>
      <c r="C2060" s="812"/>
      <c r="D2060" s="812"/>
      <c r="E2060" s="812"/>
      <c r="F2060" s="812"/>
      <c r="G2060" s="825"/>
    </row>
    <row r="2061" spans="2:7">
      <c r="B2061" s="817" t="s">
        <v>838</v>
      </c>
      <c r="C2061" s="818"/>
      <c r="D2061" s="98" t="s">
        <v>301</v>
      </c>
      <c r="E2061" s="98" t="s">
        <v>297</v>
      </c>
      <c r="F2061" s="99" t="s">
        <v>839</v>
      </c>
      <c r="G2061" s="107" t="s">
        <v>840</v>
      </c>
    </row>
    <row r="2062" spans="2:7">
      <c r="B2062" s="230"/>
      <c r="C2062" s="102"/>
      <c r="D2062" s="103" t="s">
        <v>322</v>
      </c>
      <c r="E2062" s="103" t="s">
        <v>323</v>
      </c>
      <c r="F2062" s="104" t="s">
        <v>324</v>
      </c>
      <c r="G2062" s="109" t="s">
        <v>325</v>
      </c>
    </row>
    <row r="2063" spans="2:7">
      <c r="B2063" s="826"/>
      <c r="C2063" s="827"/>
      <c r="D2063" s="96"/>
      <c r="E2063" s="96"/>
      <c r="F2063" s="96"/>
      <c r="G2063" s="116"/>
    </row>
    <row r="2064" spans="2:7" ht="13.5" thickBot="1">
      <c r="B2064" s="828" t="s">
        <v>841</v>
      </c>
      <c r="C2064" s="829"/>
      <c r="D2064" s="77"/>
      <c r="E2064" s="82"/>
      <c r="F2064" s="86"/>
      <c r="G2064" s="112"/>
    </row>
    <row r="2065" spans="2:8" ht="14.25" thickTop="1" thickBot="1">
      <c r="B2065" s="808"/>
      <c r="C2065" s="808"/>
      <c r="D2065" s="808"/>
      <c r="E2065" s="809"/>
      <c r="F2065" s="120" t="s">
        <v>856</v>
      </c>
      <c r="G2065" s="118">
        <f>SUM(G2060:G2064)</f>
        <v>0</v>
      </c>
    </row>
    <row r="2066" spans="2:8" ht="14.25" thickTop="1" thickBot="1">
      <c r="B2066" s="860"/>
      <c r="C2066" s="860"/>
      <c r="D2066" s="860"/>
      <c r="E2066" s="860"/>
      <c r="F2066" s="860"/>
      <c r="G2066" s="861"/>
    </row>
    <row r="2067" spans="2:8" ht="13.5" thickTop="1">
      <c r="B2067" s="811" t="s">
        <v>326</v>
      </c>
      <c r="C2067" s="812"/>
      <c r="D2067" s="812"/>
      <c r="E2067" s="812"/>
      <c r="F2067" s="813"/>
      <c r="G2067" s="121">
        <f>+G2031+G2047+G2058</f>
        <v>1547876</v>
      </c>
    </row>
    <row r="2068" spans="2:8">
      <c r="B2068" s="814" t="s">
        <v>861</v>
      </c>
      <c r="C2068" s="815"/>
      <c r="D2068" s="815"/>
      <c r="E2068" s="816"/>
      <c r="F2068" s="128">
        <v>0</v>
      </c>
      <c r="G2068" s="122">
        <f>ROUND(G2067*F2068,0)</f>
        <v>0</v>
      </c>
    </row>
    <row r="2069" spans="2:8" ht="13.5" thickBot="1">
      <c r="B2069" s="805" t="s">
        <v>1049</v>
      </c>
      <c r="C2069" s="806"/>
      <c r="D2069" s="806"/>
      <c r="E2069" s="806"/>
      <c r="F2069" s="807"/>
      <c r="G2069" s="118">
        <f>ROUND(G2067+G2068,-2)</f>
        <v>1547900</v>
      </c>
      <c r="H2069" s="506" t="s">
        <v>1670</v>
      </c>
    </row>
    <row r="2070" spans="2:8" ht="13.5" thickTop="1">
      <c r="B2070" s="225" t="s">
        <v>303</v>
      </c>
      <c r="C2070" s="843"/>
      <c r="D2070" s="843"/>
      <c r="E2070" s="843"/>
      <c r="F2070" s="92" t="s">
        <v>781</v>
      </c>
      <c r="G2070" s="93" t="s">
        <v>865</v>
      </c>
    </row>
    <row r="2071" spans="2:8">
      <c r="B2071" s="226" t="s">
        <v>834</v>
      </c>
      <c r="C2071" s="862" t="s">
        <v>193</v>
      </c>
      <c r="D2071" s="844"/>
      <c r="E2071" s="844"/>
      <c r="F2071" s="15" t="s">
        <v>833</v>
      </c>
      <c r="G2071" s="165" t="str">
        <f>'MANO DE OBRA'!$D$61</f>
        <v>Agosto de 2010</v>
      </c>
    </row>
    <row r="2072" spans="2:8" ht="13.5" thickBot="1">
      <c r="B2072" s="228" t="s">
        <v>835</v>
      </c>
      <c r="C2072" s="863" t="s">
        <v>1668</v>
      </c>
      <c r="D2072" s="863"/>
      <c r="E2072" s="863"/>
      <c r="F2072" s="863"/>
      <c r="G2072" s="864"/>
    </row>
    <row r="2073" spans="2:8" ht="14.25" thickTop="1" thickBot="1">
      <c r="B2073" s="847"/>
      <c r="C2073" s="847"/>
      <c r="D2073" s="847"/>
      <c r="E2073" s="847"/>
      <c r="F2073" s="847"/>
      <c r="G2073" s="847"/>
    </row>
    <row r="2074" spans="2:8" ht="13.5" thickTop="1">
      <c r="B2074" s="811" t="s">
        <v>304</v>
      </c>
      <c r="C2074" s="812"/>
      <c r="D2074" s="812"/>
      <c r="E2074" s="812"/>
      <c r="F2074" s="812"/>
      <c r="G2074" s="825"/>
    </row>
    <row r="2075" spans="2:8">
      <c r="B2075" s="229"/>
      <c r="C2075" s="97"/>
      <c r="D2075" s="98" t="s">
        <v>301</v>
      </c>
      <c r="E2075" s="98" t="s">
        <v>1072</v>
      </c>
      <c r="F2075" s="99" t="s">
        <v>839</v>
      </c>
      <c r="G2075" s="107" t="s">
        <v>840</v>
      </c>
    </row>
    <row r="2076" spans="2:8">
      <c r="B2076" s="821" t="s">
        <v>838</v>
      </c>
      <c r="C2076" s="822"/>
      <c r="D2076" s="100" t="s">
        <v>308</v>
      </c>
      <c r="E2076" s="100" t="s">
        <v>305</v>
      </c>
      <c r="F2076" s="101" t="s">
        <v>306</v>
      </c>
      <c r="G2076" s="108" t="s">
        <v>310</v>
      </c>
    </row>
    <row r="2077" spans="2:8">
      <c r="B2077" s="230"/>
      <c r="C2077" s="102"/>
      <c r="D2077" s="103"/>
      <c r="E2077" s="103" t="s">
        <v>309</v>
      </c>
      <c r="F2077" s="104" t="s">
        <v>307</v>
      </c>
      <c r="G2077" s="109"/>
    </row>
    <row r="2078" spans="2:8">
      <c r="B2078" s="823" t="str">
        <f>'MAQUINARIA Y EQUIPOS'!$C$28</f>
        <v>HERRAMIENTAS MENORES</v>
      </c>
      <c r="C2078" s="824"/>
      <c r="D2078" s="87">
        <v>1</v>
      </c>
      <c r="E2078" s="82">
        <f>ROUND(G2111*0.05,0)</f>
        <v>434</v>
      </c>
      <c r="F2078" s="81">
        <v>1</v>
      </c>
      <c r="G2078" s="110">
        <f>ROUND(D2078*E2078/F2078,0)</f>
        <v>434</v>
      </c>
    </row>
    <row r="2079" spans="2:8">
      <c r="B2079" s="835"/>
      <c r="C2079" s="836"/>
      <c r="D2079" s="37"/>
      <c r="E2079" s="129"/>
      <c r="F2079" s="53"/>
      <c r="G2079" s="111"/>
    </row>
    <row r="2080" spans="2:8">
      <c r="B2080" s="835"/>
      <c r="C2080" s="836"/>
      <c r="D2080" s="37"/>
      <c r="E2080" s="129"/>
      <c r="F2080" s="53"/>
      <c r="G2080" s="111"/>
    </row>
    <row r="2081" spans="2:8">
      <c r="B2081" s="835"/>
      <c r="C2081" s="836"/>
      <c r="D2081" s="37"/>
      <c r="E2081" s="129"/>
      <c r="F2081" s="53"/>
      <c r="G2081" s="111"/>
    </row>
    <row r="2082" spans="2:8">
      <c r="B2082" s="835" t="s">
        <v>841</v>
      </c>
      <c r="C2082" s="836"/>
      <c r="D2082" s="37"/>
      <c r="E2082" s="82"/>
      <c r="F2082" s="83"/>
      <c r="G2082" s="111"/>
    </row>
    <row r="2083" spans="2:8" ht="13.5" thickBot="1">
      <c r="B2083" s="839" t="s">
        <v>841</v>
      </c>
      <c r="C2083" s="840"/>
      <c r="D2083" s="77"/>
      <c r="E2083" s="106"/>
      <c r="F2083" s="86"/>
      <c r="G2083" s="112"/>
    </row>
    <row r="2084" spans="2:8" ht="14.25" thickTop="1" thickBot="1">
      <c r="B2084" s="808"/>
      <c r="C2084" s="808"/>
      <c r="D2084" s="808"/>
      <c r="E2084" s="809"/>
      <c r="F2084" s="119" t="s">
        <v>856</v>
      </c>
      <c r="G2084" s="118">
        <f>SUM(G2078:G2083)</f>
        <v>434</v>
      </c>
    </row>
    <row r="2085" spans="2:8" ht="14.25" thickTop="1" thickBot="1">
      <c r="B2085" s="830"/>
      <c r="C2085" s="830"/>
      <c r="D2085" s="830"/>
      <c r="E2085" s="830"/>
      <c r="F2085" s="830"/>
      <c r="G2085" s="830"/>
    </row>
    <row r="2086" spans="2:8" ht="13.5" thickTop="1">
      <c r="B2086" s="811" t="s">
        <v>311</v>
      </c>
      <c r="C2086" s="812"/>
      <c r="D2086" s="812"/>
      <c r="E2086" s="812"/>
      <c r="F2086" s="812"/>
      <c r="G2086" s="825"/>
    </row>
    <row r="2087" spans="2:8">
      <c r="B2087" s="817" t="s">
        <v>838</v>
      </c>
      <c r="C2087" s="818"/>
      <c r="D2087" s="98" t="s">
        <v>842</v>
      </c>
      <c r="E2087" s="98" t="s">
        <v>853</v>
      </c>
      <c r="F2087" s="99" t="s">
        <v>1047</v>
      </c>
      <c r="G2087" s="107" t="s">
        <v>840</v>
      </c>
    </row>
    <row r="2088" spans="2:8">
      <c r="B2088" s="230"/>
      <c r="C2088" s="102"/>
      <c r="D2088" s="100"/>
      <c r="E2088" s="100" t="s">
        <v>312</v>
      </c>
      <c r="F2088" s="101" t="s">
        <v>313</v>
      </c>
      <c r="G2088" s="109" t="s">
        <v>314</v>
      </c>
    </row>
    <row r="2089" spans="2:8">
      <c r="B2089" s="858" t="str">
        <f>MATERIALES2!$C$264</f>
        <v>VALLA PORTATIL EN MADERA</v>
      </c>
      <c r="C2089" s="859"/>
      <c r="D2089" s="501" t="s">
        <v>865</v>
      </c>
      <c r="E2089" s="502">
        <v>1</v>
      </c>
      <c r="F2089" s="503">
        <f>MATERIALES2!E264</f>
        <v>230000</v>
      </c>
      <c r="G2089" s="504">
        <f>ROUND(E2089*F2089,0)</f>
        <v>230000</v>
      </c>
    </row>
    <row r="2090" spans="2:8">
      <c r="B2090" s="837"/>
      <c r="C2090" s="838"/>
      <c r="D2090" s="344"/>
      <c r="E2090" s="350"/>
      <c r="F2090" s="156"/>
      <c r="G2090" s="111"/>
    </row>
    <row r="2091" spans="2:8">
      <c r="B2091" s="837"/>
      <c r="C2091" s="838"/>
      <c r="D2091" s="154"/>
      <c r="E2091" s="347"/>
      <c r="F2091" s="156"/>
      <c r="G2091" s="111"/>
    </row>
    <row r="2092" spans="2:8">
      <c r="B2092" s="835"/>
      <c r="C2092" s="836"/>
      <c r="D2092" s="37"/>
      <c r="E2092" s="55"/>
      <c r="F2092" s="82"/>
      <c r="G2092" s="111"/>
    </row>
    <row r="2093" spans="2:8">
      <c r="B2093" s="835"/>
      <c r="C2093" s="836"/>
      <c r="D2093" s="37"/>
      <c r="E2093" s="55"/>
      <c r="F2093" s="82"/>
      <c r="G2093" s="111"/>
      <c r="H2093" s="506" t="s">
        <v>1670</v>
      </c>
    </row>
    <row r="2094" spans="2:8">
      <c r="B2094" s="837"/>
      <c r="C2094" s="838"/>
      <c r="D2094" s="239"/>
      <c r="E2094" s="239"/>
      <c r="F2094" s="82"/>
      <c r="G2094" s="111"/>
    </row>
    <row r="2095" spans="2:8">
      <c r="B2095" s="837" t="s">
        <v>841</v>
      </c>
      <c r="C2095" s="838"/>
      <c r="D2095" s="53" t="s">
        <v>841</v>
      </c>
      <c r="E2095" s="53"/>
      <c r="F2095" s="82"/>
      <c r="G2095" s="111"/>
    </row>
    <row r="2096" spans="2:8">
      <c r="B2096" s="837" t="s">
        <v>841</v>
      </c>
      <c r="C2096" s="838"/>
      <c r="D2096" s="53" t="s">
        <v>841</v>
      </c>
      <c r="E2096" s="53"/>
      <c r="F2096" s="82"/>
      <c r="G2096" s="111"/>
    </row>
    <row r="2097" spans="2:7" ht="13.5" thickBot="1">
      <c r="B2097" s="839" t="s">
        <v>841</v>
      </c>
      <c r="C2097" s="840"/>
      <c r="D2097" s="84" t="s">
        <v>841</v>
      </c>
      <c r="E2097" s="84"/>
      <c r="F2097" s="85"/>
      <c r="G2097" s="112"/>
    </row>
    <row r="2098" spans="2:7" ht="13.5" thickTop="1">
      <c r="B2098" s="808"/>
      <c r="C2098" s="809"/>
      <c r="D2098" s="801" t="s">
        <v>856</v>
      </c>
      <c r="E2098" s="802"/>
      <c r="F2098" s="9"/>
      <c r="G2098" s="113">
        <f>SUM(G2089:G2097)</f>
        <v>230000</v>
      </c>
    </row>
    <row r="2099" spans="2:7">
      <c r="B2099" s="819"/>
      <c r="C2099" s="820"/>
      <c r="D2099" s="801" t="s">
        <v>857</v>
      </c>
      <c r="E2099" s="802"/>
      <c r="F2099" s="79">
        <f>'MANO DE OBRA'!D493</f>
        <v>0</v>
      </c>
      <c r="G2099" s="113">
        <f>ROUND(G2098*F2099,0)</f>
        <v>0</v>
      </c>
    </row>
    <row r="2100" spans="2:7" ht="13.5" thickBot="1">
      <c r="B2100" s="819"/>
      <c r="C2100" s="820"/>
      <c r="D2100" s="803" t="s">
        <v>320</v>
      </c>
      <c r="E2100" s="804"/>
      <c r="F2100" s="114"/>
      <c r="G2100" s="118">
        <f>+G2098+G2099</f>
        <v>230000</v>
      </c>
    </row>
    <row r="2101" spans="2:7" ht="14.25" thickTop="1" thickBot="1">
      <c r="B2101" s="830"/>
      <c r="C2101" s="830"/>
      <c r="D2101" s="830"/>
      <c r="E2101" s="830"/>
      <c r="F2101" s="830"/>
      <c r="G2101" s="830"/>
    </row>
    <row r="2102" spans="2:7" ht="13.5" thickTop="1">
      <c r="B2102" s="811" t="s">
        <v>858</v>
      </c>
      <c r="C2102" s="812"/>
      <c r="D2102" s="812"/>
      <c r="E2102" s="812"/>
      <c r="F2102" s="812"/>
      <c r="G2102" s="825"/>
    </row>
    <row r="2103" spans="2:7">
      <c r="B2103" s="817"/>
      <c r="C2103" s="818"/>
      <c r="D2103" s="98" t="s">
        <v>301</v>
      </c>
      <c r="E2103" s="98" t="s">
        <v>859</v>
      </c>
      <c r="F2103" s="99" t="s">
        <v>839</v>
      </c>
      <c r="G2103" s="107" t="s">
        <v>840</v>
      </c>
    </row>
    <row r="2104" spans="2:7">
      <c r="B2104" s="821" t="s">
        <v>838</v>
      </c>
      <c r="C2104" s="822"/>
      <c r="D2104" s="100" t="s">
        <v>316</v>
      </c>
      <c r="E2104" s="100" t="s">
        <v>315</v>
      </c>
      <c r="F2104" s="101" t="s">
        <v>306</v>
      </c>
      <c r="G2104" s="108" t="s">
        <v>319</v>
      </c>
    </row>
    <row r="2105" spans="2:7">
      <c r="B2105" s="230"/>
      <c r="C2105" s="102"/>
      <c r="D2105" s="103"/>
      <c r="E2105" s="103" t="s">
        <v>317</v>
      </c>
      <c r="F2105" s="104" t="s">
        <v>318</v>
      </c>
      <c r="G2105" s="109"/>
    </row>
    <row r="2106" spans="2:7">
      <c r="B2106" s="823" t="str">
        <f>'MANO DE OBRA'!$B$10</f>
        <v>AYUDANTE CUAD. TIPO AA</v>
      </c>
      <c r="C2106" s="824"/>
      <c r="D2106" s="87">
        <v>1</v>
      </c>
      <c r="E2106" s="80">
        <f>'MANO DE OBRA'!$E$10</f>
        <v>34680</v>
      </c>
      <c r="F2106" s="81">
        <v>4</v>
      </c>
      <c r="G2106" s="110">
        <f>ROUND(D2106*E2106/F2106,0)</f>
        <v>8670</v>
      </c>
    </row>
    <row r="2107" spans="2:7">
      <c r="B2107" s="835"/>
      <c r="C2107" s="836"/>
      <c r="D2107" s="37"/>
      <c r="E2107" s="82"/>
      <c r="F2107" s="83"/>
      <c r="G2107" s="111"/>
    </row>
    <row r="2108" spans="2:7">
      <c r="B2108" s="835"/>
      <c r="C2108" s="836"/>
      <c r="D2108" s="37"/>
      <c r="E2108" s="82"/>
      <c r="F2108" s="83"/>
      <c r="G2108" s="111"/>
    </row>
    <row r="2109" spans="2:7">
      <c r="B2109" s="835" t="s">
        <v>841</v>
      </c>
      <c r="C2109" s="836"/>
      <c r="D2109" s="37"/>
      <c r="E2109" s="82"/>
      <c r="F2109" s="83"/>
      <c r="G2109" s="111"/>
    </row>
    <row r="2110" spans="2:7" ht="13.5" thickBot="1">
      <c r="B2110" s="828" t="s">
        <v>841</v>
      </c>
      <c r="C2110" s="829"/>
      <c r="D2110" s="77"/>
      <c r="E2110" s="82"/>
      <c r="F2110" s="86"/>
      <c r="G2110" s="112"/>
    </row>
    <row r="2111" spans="2:7" ht="14.25" thickTop="1" thickBot="1">
      <c r="B2111" s="808"/>
      <c r="C2111" s="808"/>
      <c r="D2111" s="808"/>
      <c r="E2111" s="809"/>
      <c r="F2111" s="120" t="s">
        <v>856</v>
      </c>
      <c r="G2111" s="118">
        <f>SUM(G2106:G2110)</f>
        <v>8670</v>
      </c>
    </row>
    <row r="2112" spans="2:7" ht="14.25" thickTop="1" thickBot="1">
      <c r="B2112" s="810"/>
      <c r="C2112" s="810"/>
      <c r="D2112" s="810"/>
      <c r="E2112" s="810"/>
      <c r="F2112" s="810"/>
      <c r="G2112" s="810"/>
    </row>
    <row r="2113" spans="2:8" ht="13.5" thickTop="1">
      <c r="B2113" s="811" t="s">
        <v>321</v>
      </c>
      <c r="C2113" s="812"/>
      <c r="D2113" s="812"/>
      <c r="E2113" s="812"/>
      <c r="F2113" s="812"/>
      <c r="G2113" s="825"/>
    </row>
    <row r="2114" spans="2:8">
      <c r="B2114" s="817" t="s">
        <v>838</v>
      </c>
      <c r="C2114" s="818"/>
      <c r="D2114" s="98" t="s">
        <v>301</v>
      </c>
      <c r="E2114" s="98" t="s">
        <v>297</v>
      </c>
      <c r="F2114" s="99" t="s">
        <v>839</v>
      </c>
      <c r="G2114" s="107" t="s">
        <v>840</v>
      </c>
    </row>
    <row r="2115" spans="2:8">
      <c r="B2115" s="230"/>
      <c r="C2115" s="102"/>
      <c r="D2115" s="103" t="s">
        <v>322</v>
      </c>
      <c r="E2115" s="103" t="s">
        <v>323</v>
      </c>
      <c r="F2115" s="104" t="s">
        <v>324</v>
      </c>
      <c r="G2115" s="109" t="s">
        <v>325</v>
      </c>
    </row>
    <row r="2116" spans="2:8">
      <c r="B2116" s="826"/>
      <c r="C2116" s="827"/>
      <c r="D2116" s="96"/>
      <c r="E2116" s="96"/>
      <c r="F2116" s="96"/>
      <c r="G2116" s="116"/>
    </row>
    <row r="2117" spans="2:8" ht="13.5" thickBot="1">
      <c r="B2117" s="828" t="s">
        <v>841</v>
      </c>
      <c r="C2117" s="829"/>
      <c r="D2117" s="77"/>
      <c r="E2117" s="82"/>
      <c r="F2117" s="86"/>
      <c r="G2117" s="112"/>
    </row>
    <row r="2118" spans="2:8" ht="14.25" thickTop="1" thickBot="1">
      <c r="B2118" s="808"/>
      <c r="C2118" s="808"/>
      <c r="D2118" s="808"/>
      <c r="E2118" s="809"/>
      <c r="F2118" s="120" t="s">
        <v>856</v>
      </c>
      <c r="G2118" s="118">
        <f>SUM(G2113:G2117)</f>
        <v>0</v>
      </c>
    </row>
    <row r="2119" spans="2:8" ht="14.25" thickTop="1" thickBot="1">
      <c r="B2119" s="860"/>
      <c r="C2119" s="860"/>
      <c r="D2119" s="860"/>
      <c r="E2119" s="860"/>
      <c r="F2119" s="860"/>
      <c r="G2119" s="861"/>
    </row>
    <row r="2120" spans="2:8" ht="13.5" thickTop="1">
      <c r="B2120" s="811" t="s">
        <v>326</v>
      </c>
      <c r="C2120" s="812"/>
      <c r="D2120" s="812"/>
      <c r="E2120" s="812"/>
      <c r="F2120" s="813"/>
      <c r="G2120" s="121">
        <f>+G2084+G2100+G2111</f>
        <v>239104</v>
      </c>
    </row>
    <row r="2121" spans="2:8">
      <c r="B2121" s="814" t="s">
        <v>861</v>
      </c>
      <c r="C2121" s="815"/>
      <c r="D2121" s="815"/>
      <c r="E2121" s="816"/>
      <c r="F2121" s="128">
        <v>0</v>
      </c>
      <c r="G2121" s="122">
        <f>ROUND(G2120*F2121,0)</f>
        <v>0</v>
      </c>
    </row>
    <row r="2122" spans="2:8" ht="13.5" thickBot="1">
      <c r="B2122" s="805" t="s">
        <v>1049</v>
      </c>
      <c r="C2122" s="806"/>
      <c r="D2122" s="806"/>
      <c r="E2122" s="806"/>
      <c r="F2122" s="807"/>
      <c r="G2122" s="118">
        <f>ROUND(G2120+G2121,-2)</f>
        <v>239100</v>
      </c>
      <c r="H2122" s="506" t="s">
        <v>1670</v>
      </c>
    </row>
    <row r="2123" spans="2:8" ht="13.5" thickTop="1">
      <c r="B2123" s="515" t="s">
        <v>303</v>
      </c>
      <c r="C2123" s="885"/>
      <c r="D2123" s="885"/>
      <c r="E2123" s="885"/>
      <c r="F2123" s="516" t="s">
        <v>781</v>
      </c>
      <c r="G2123" s="441" t="s">
        <v>1351</v>
      </c>
    </row>
    <row r="2124" spans="2:8">
      <c r="B2124" s="517" t="s">
        <v>834</v>
      </c>
      <c r="C2124" s="886"/>
      <c r="D2124" s="886"/>
      <c r="E2124" s="886"/>
      <c r="F2124" s="518" t="s">
        <v>833</v>
      </c>
      <c r="G2124" s="569" t="s">
        <v>1702</v>
      </c>
    </row>
    <row r="2125" spans="2:8" ht="13.5" thickBot="1">
      <c r="B2125" s="519" t="s">
        <v>835</v>
      </c>
      <c r="C2125" s="887" t="s">
        <v>1711</v>
      </c>
      <c r="D2125" s="887"/>
      <c r="E2125" s="887"/>
      <c r="F2125" s="887"/>
      <c r="G2125" s="888"/>
    </row>
    <row r="2126" spans="2:8" ht="14.25" thickTop="1" thickBot="1">
      <c r="B2126" s="889"/>
      <c r="C2126" s="889"/>
      <c r="D2126" s="889"/>
      <c r="E2126" s="889"/>
      <c r="F2126" s="889"/>
      <c r="G2126" s="889"/>
    </row>
    <row r="2127" spans="2:8" ht="13.5" thickTop="1">
      <c r="B2127" s="890" t="s">
        <v>304</v>
      </c>
      <c r="C2127" s="891"/>
      <c r="D2127" s="891"/>
      <c r="E2127" s="891"/>
      <c r="F2127" s="891"/>
      <c r="G2127" s="892"/>
    </row>
    <row r="2128" spans="2:8">
      <c r="B2128" s="893" t="s">
        <v>838</v>
      </c>
      <c r="C2128" s="893"/>
      <c r="D2128" s="520" t="s">
        <v>301</v>
      </c>
      <c r="E2128" s="520" t="s">
        <v>1683</v>
      </c>
      <c r="F2128" s="521" t="s">
        <v>839</v>
      </c>
      <c r="G2128" s="522" t="s">
        <v>840</v>
      </c>
    </row>
    <row r="2129" spans="2:8">
      <c r="B2129" s="823" t="str">
        <f>'MAQUINARIA Y EQUIPOS'!$C$28</f>
        <v>HERRAMIENTAS MENORES</v>
      </c>
      <c r="C2129" s="824"/>
      <c r="D2129" s="523"/>
      <c r="E2129" s="524">
        <v>1050</v>
      </c>
      <c r="F2129" s="525">
        <v>1</v>
      </c>
      <c r="G2129" s="526">
        <f>E2129*F2129</f>
        <v>1050</v>
      </c>
    </row>
    <row r="2130" spans="2:8">
      <c r="B2130" s="894" t="str">
        <f>'MAQUINARIA Y EQUIPOS'!C72</f>
        <v>MOTOSIERRA A GASOLINA</v>
      </c>
      <c r="C2130" s="895"/>
      <c r="D2130" s="523"/>
      <c r="E2130" s="524">
        <f>'MAQUINARIA Y EQUIPOS'!D72/8</f>
        <v>12500</v>
      </c>
      <c r="F2130" s="612">
        <v>3</v>
      </c>
      <c r="G2130" s="542">
        <f>+E2130*F2130</f>
        <v>37500</v>
      </c>
    </row>
    <row r="2131" spans="2:8">
      <c r="B2131" s="894" t="str">
        <f>'MAQUINARIA Y EQUIPOS'!C69</f>
        <v>MINI CARGADOR BOBCAT</v>
      </c>
      <c r="C2131" s="895"/>
      <c r="D2131" s="523"/>
      <c r="E2131" s="524">
        <f>'MAQUINARIA Y EQUIPOS'!D69/8</f>
        <v>12500</v>
      </c>
      <c r="F2131" s="612">
        <v>1</v>
      </c>
      <c r="G2131" s="542">
        <f>+E2131*F2131</f>
        <v>12500</v>
      </c>
    </row>
    <row r="2132" spans="2:8" ht="14.25">
      <c r="B2132" s="896" t="s">
        <v>841</v>
      </c>
      <c r="C2132" s="897"/>
      <c r="D2132" s="582"/>
      <c r="E2132" s="579"/>
      <c r="F2132" s="580"/>
      <c r="G2132" s="581"/>
    </row>
    <row r="2133" spans="2:8" ht="15" thickBot="1">
      <c r="B2133" s="898" t="s">
        <v>841</v>
      </c>
      <c r="C2133" s="899"/>
      <c r="D2133" s="583"/>
      <c r="E2133" s="584"/>
      <c r="F2133" s="585"/>
      <c r="G2133" s="586"/>
    </row>
    <row r="2134" spans="2:8" ht="15.75" thickTop="1" thickBot="1">
      <c r="B2134" s="900"/>
      <c r="C2134" s="900"/>
      <c r="D2134" s="900"/>
      <c r="E2134" s="901"/>
      <c r="F2134" s="534" t="s">
        <v>856</v>
      </c>
      <c r="G2134" s="535">
        <f>SUM(G2129:G2133)</f>
        <v>51050</v>
      </c>
    </row>
    <row r="2135" spans="2:8" ht="15.75" thickTop="1" thickBot="1">
      <c r="B2135" s="902"/>
      <c r="C2135" s="902"/>
      <c r="D2135" s="902"/>
      <c r="E2135" s="902"/>
      <c r="F2135" s="902"/>
      <c r="G2135" s="902"/>
    </row>
    <row r="2136" spans="2:8" ht="13.5" thickTop="1">
      <c r="B2136" s="890" t="s">
        <v>311</v>
      </c>
      <c r="C2136" s="891"/>
      <c r="D2136" s="891"/>
      <c r="E2136" s="891"/>
      <c r="F2136" s="891"/>
      <c r="G2136" s="892"/>
    </row>
    <row r="2137" spans="2:8">
      <c r="B2137" s="903" t="s">
        <v>838</v>
      </c>
      <c r="C2137" s="904"/>
      <c r="D2137" s="520" t="s">
        <v>842</v>
      </c>
      <c r="E2137" s="520" t="s">
        <v>853</v>
      </c>
      <c r="F2137" s="563" t="s">
        <v>1047</v>
      </c>
      <c r="G2137" s="568" t="s">
        <v>840</v>
      </c>
    </row>
    <row r="2138" spans="2:8">
      <c r="B2138" s="905"/>
      <c r="C2138" s="906"/>
      <c r="D2138" s="439"/>
      <c r="E2138" s="483"/>
      <c r="F2138" s="610"/>
      <c r="G2138" s="611"/>
    </row>
    <row r="2139" spans="2:8">
      <c r="B2139" s="907"/>
      <c r="C2139" s="908"/>
      <c r="D2139" s="539"/>
      <c r="E2139" s="499"/>
      <c r="F2139" s="541"/>
      <c r="G2139" s="542"/>
    </row>
    <row r="2140" spans="2:8" ht="14.25">
      <c r="B2140" s="907"/>
      <c r="C2140" s="908"/>
      <c r="D2140" s="582"/>
      <c r="E2140" s="605"/>
      <c r="F2140" s="570"/>
      <c r="G2140" s="571"/>
    </row>
    <row r="2141" spans="2:8" ht="14.25">
      <c r="B2141" s="907"/>
      <c r="C2141" s="908"/>
      <c r="D2141" s="582"/>
      <c r="E2141" s="589"/>
      <c r="F2141" s="570"/>
      <c r="G2141" s="571"/>
    </row>
    <row r="2142" spans="2:8" ht="14.25">
      <c r="B2142" s="909"/>
      <c r="C2142" s="910"/>
      <c r="D2142" s="582"/>
      <c r="E2142" s="588"/>
      <c r="F2142" s="579"/>
      <c r="G2142" s="581"/>
    </row>
    <row r="2143" spans="2:8" ht="14.25">
      <c r="B2143" s="909"/>
      <c r="C2143" s="910"/>
      <c r="D2143" s="590" t="s">
        <v>841</v>
      </c>
      <c r="E2143" s="590"/>
      <c r="F2143" s="579"/>
      <c r="G2143" s="581"/>
    </row>
    <row r="2144" spans="2:8" ht="14.25">
      <c r="B2144" s="909" t="s">
        <v>841</v>
      </c>
      <c r="C2144" s="910"/>
      <c r="D2144" s="590" t="s">
        <v>841</v>
      </c>
      <c r="E2144" s="590"/>
      <c r="F2144" s="579"/>
      <c r="G2144" s="581"/>
      <c r="H2144" s="506" t="s">
        <v>1670</v>
      </c>
    </row>
    <row r="2145" spans="2:7" ht="14.25">
      <c r="B2145" s="909" t="s">
        <v>841</v>
      </c>
      <c r="C2145" s="910"/>
      <c r="D2145" s="590" t="s">
        <v>841</v>
      </c>
      <c r="E2145" s="590"/>
      <c r="F2145" s="579"/>
      <c r="G2145" s="581"/>
    </row>
    <row r="2146" spans="2:7" ht="15" thickBot="1">
      <c r="B2146" s="898" t="s">
        <v>841</v>
      </c>
      <c r="C2146" s="899"/>
      <c r="D2146" s="591" t="s">
        <v>841</v>
      </c>
      <c r="E2146" s="591"/>
      <c r="F2146" s="592"/>
      <c r="G2146" s="586"/>
    </row>
    <row r="2147" spans="2:7" ht="13.5" thickTop="1">
      <c r="B2147" s="900"/>
      <c r="C2147" s="901"/>
      <c r="D2147" s="915" t="s">
        <v>856</v>
      </c>
      <c r="E2147" s="916"/>
      <c r="F2147" s="593"/>
      <c r="G2147" s="594">
        <f>SUM(G2138:G2146)</f>
        <v>0</v>
      </c>
    </row>
    <row r="2148" spans="2:7">
      <c r="B2148" s="913"/>
      <c r="C2148" s="914"/>
      <c r="D2148" s="915" t="s">
        <v>857</v>
      </c>
      <c r="E2148" s="916"/>
      <c r="F2148" s="595">
        <v>0</v>
      </c>
      <c r="G2148" s="594">
        <f>ROUND(G2147*F2148,0)</f>
        <v>0</v>
      </c>
    </row>
    <row r="2149" spans="2:7" ht="13.5" thickBot="1">
      <c r="B2149" s="913"/>
      <c r="C2149" s="914"/>
      <c r="D2149" s="917" t="s">
        <v>320</v>
      </c>
      <c r="E2149" s="918"/>
      <c r="F2149" s="596"/>
      <c r="G2149" s="535">
        <f>+G2147+G2148</f>
        <v>0</v>
      </c>
    </row>
    <row r="2150" spans="2:7" ht="15.75" thickTop="1" thickBot="1">
      <c r="B2150" s="902"/>
      <c r="C2150" s="902"/>
      <c r="D2150" s="902"/>
      <c r="E2150" s="902"/>
      <c r="F2150" s="902"/>
      <c r="G2150" s="902"/>
    </row>
    <row r="2151" spans="2:7" ht="13.5" thickTop="1">
      <c r="B2151" s="811" t="s">
        <v>858</v>
      </c>
      <c r="C2151" s="812"/>
      <c r="D2151" s="812"/>
      <c r="E2151" s="812"/>
      <c r="F2151" s="812"/>
      <c r="G2151" s="825"/>
    </row>
    <row r="2152" spans="2:7">
      <c r="B2152" s="817"/>
      <c r="C2152" s="818"/>
      <c r="D2152" s="98" t="s">
        <v>301</v>
      </c>
      <c r="E2152" s="98" t="s">
        <v>859</v>
      </c>
      <c r="F2152" s="99" t="s">
        <v>839</v>
      </c>
      <c r="G2152" s="107" t="s">
        <v>840</v>
      </c>
    </row>
    <row r="2153" spans="2:7">
      <c r="B2153" s="821" t="s">
        <v>838</v>
      </c>
      <c r="C2153" s="822"/>
      <c r="D2153" s="100" t="s">
        <v>316</v>
      </c>
      <c r="E2153" s="100" t="s">
        <v>315</v>
      </c>
      <c r="F2153" s="101" t="s">
        <v>306</v>
      </c>
      <c r="G2153" s="108" t="s">
        <v>319</v>
      </c>
    </row>
    <row r="2154" spans="2:7">
      <c r="B2154" s="230"/>
      <c r="C2154" s="102"/>
      <c r="D2154" s="103"/>
      <c r="E2154" s="103" t="s">
        <v>317</v>
      </c>
      <c r="F2154" s="104" t="s">
        <v>318</v>
      </c>
      <c r="G2154" s="109"/>
    </row>
    <row r="2155" spans="2:7">
      <c r="B2155" s="823" t="str">
        <f>'MANO DE OBRA'!$B$10</f>
        <v>AYUDANTE CUAD. TIPO AA</v>
      </c>
      <c r="C2155" s="824"/>
      <c r="D2155" s="87">
        <v>2</v>
      </c>
      <c r="E2155" s="80">
        <f>'MANO DE OBRA'!$E$10</f>
        <v>34680</v>
      </c>
      <c r="F2155" s="81">
        <v>3</v>
      </c>
      <c r="G2155" s="110">
        <f>ROUND(D2155*E2155/F2155,0)</f>
        <v>23120</v>
      </c>
    </row>
    <row r="2156" spans="2:7">
      <c r="B2156" s="925" t="s">
        <v>1713</v>
      </c>
      <c r="C2156" s="836"/>
      <c r="D2156" s="37">
        <v>1</v>
      </c>
      <c r="E2156" s="80">
        <f>'MANO DE OBRA'!$E$10</f>
        <v>34680</v>
      </c>
      <c r="F2156" s="83">
        <v>3</v>
      </c>
      <c r="G2156" s="111">
        <f>ROUND(D2156*E2156/F2156,0)</f>
        <v>11560</v>
      </c>
    </row>
    <row r="2157" spans="2:7">
      <c r="B2157" s="835"/>
      <c r="C2157" s="836"/>
      <c r="D2157" s="37"/>
      <c r="E2157" s="82"/>
      <c r="F2157" s="83"/>
      <c r="G2157" s="111"/>
    </row>
    <row r="2158" spans="2:7">
      <c r="B2158" s="835" t="s">
        <v>841</v>
      </c>
      <c r="C2158" s="836"/>
      <c r="D2158" s="37"/>
      <c r="E2158" s="82"/>
      <c r="F2158" s="83"/>
      <c r="G2158" s="111"/>
    </row>
    <row r="2159" spans="2:7" ht="13.5" thickBot="1">
      <c r="B2159" s="828" t="s">
        <v>841</v>
      </c>
      <c r="C2159" s="829"/>
      <c r="D2159" s="77"/>
      <c r="E2159" s="82"/>
      <c r="F2159" s="86"/>
      <c r="G2159" s="112"/>
    </row>
    <row r="2160" spans="2:7" ht="14.25" thickTop="1" thickBot="1">
      <c r="B2160" s="808"/>
      <c r="C2160" s="808"/>
      <c r="D2160" s="808"/>
      <c r="E2160" s="809"/>
      <c r="F2160" s="120" t="s">
        <v>856</v>
      </c>
      <c r="G2160" s="118">
        <f>SUM(G2155:G2159)</f>
        <v>34680</v>
      </c>
    </row>
    <row r="2161" spans="2:8" ht="15.75" thickTop="1" thickBot="1">
      <c r="B2161" s="911"/>
      <c r="C2161" s="911"/>
      <c r="D2161" s="911"/>
      <c r="E2161" s="911"/>
      <c r="F2161" s="911"/>
      <c r="G2161" s="911"/>
    </row>
    <row r="2162" spans="2:8" ht="13.5" thickTop="1">
      <c r="B2162" s="890" t="s">
        <v>321</v>
      </c>
      <c r="C2162" s="891"/>
      <c r="D2162" s="891"/>
      <c r="E2162" s="891"/>
      <c r="F2162" s="891"/>
      <c r="G2162" s="892"/>
    </row>
    <row r="2163" spans="2:8">
      <c r="B2163" s="572" t="s">
        <v>838</v>
      </c>
      <c r="C2163" s="520" t="s">
        <v>1687</v>
      </c>
      <c r="D2163" s="520" t="s">
        <v>1688</v>
      </c>
      <c r="E2163" s="520" t="s">
        <v>1689</v>
      </c>
      <c r="F2163" s="563" t="s">
        <v>297</v>
      </c>
      <c r="G2163" s="568" t="s">
        <v>1690</v>
      </c>
    </row>
    <row r="2164" spans="2:8">
      <c r="B2164" s="619"/>
      <c r="C2164" s="620"/>
      <c r="D2164" s="620"/>
      <c r="E2164" s="620"/>
      <c r="F2164" s="621"/>
      <c r="G2164" s="611"/>
    </row>
    <row r="2165" spans="2:8" ht="15" thickBot="1">
      <c r="B2165" s="573"/>
      <c r="C2165" s="583"/>
      <c r="D2165" s="583"/>
      <c r="E2165" s="617"/>
      <c r="F2165" s="567"/>
      <c r="G2165" s="574"/>
    </row>
    <row r="2166" spans="2:8" ht="15.75" thickTop="1" thickBot="1">
      <c r="B2166" s="900"/>
      <c r="C2166" s="900"/>
      <c r="D2166" s="900"/>
      <c r="E2166" s="901"/>
      <c r="F2166" s="553" t="s">
        <v>856</v>
      </c>
      <c r="G2166" s="535">
        <f>SUM(G2162:G2165)</f>
        <v>0</v>
      </c>
    </row>
    <row r="2167" spans="2:8" ht="15.75" thickTop="1" thickBot="1">
      <c r="B2167" s="911"/>
      <c r="C2167" s="911"/>
      <c r="D2167" s="911"/>
      <c r="E2167" s="911"/>
      <c r="F2167" s="911"/>
      <c r="G2167" s="911"/>
    </row>
    <row r="2168" spans="2:8" ht="13.5" thickTop="1">
      <c r="B2168" s="890" t="s">
        <v>326</v>
      </c>
      <c r="C2168" s="891"/>
      <c r="D2168" s="891"/>
      <c r="E2168" s="891"/>
      <c r="F2168" s="912"/>
      <c r="G2168" s="559">
        <f>+G2134+G2149+G2160+G2166</f>
        <v>85730</v>
      </c>
    </row>
    <row r="2169" spans="2:8">
      <c r="B2169" s="919" t="s">
        <v>861</v>
      </c>
      <c r="C2169" s="920"/>
      <c r="D2169" s="920"/>
      <c r="E2169" s="921"/>
      <c r="F2169" s="560">
        <f>'[1]MANO DE OBRA'!$D$59</f>
        <v>0</v>
      </c>
      <c r="G2169" s="561">
        <f>ROUND(G2168*F2169,0)</f>
        <v>0</v>
      </c>
    </row>
    <row r="2170" spans="2:8" ht="13.5" thickBot="1">
      <c r="B2170" s="922" t="s">
        <v>1049</v>
      </c>
      <c r="C2170" s="923"/>
      <c r="D2170" s="923"/>
      <c r="E2170" s="923"/>
      <c r="F2170" s="924"/>
      <c r="G2170" s="535">
        <f>G2168</f>
        <v>85730</v>
      </c>
      <c r="H2170" s="506" t="s">
        <v>1670</v>
      </c>
    </row>
    <row r="2171" spans="2:8" ht="13.5" thickTop="1"/>
  </sheetData>
  <mergeCells count="1999">
    <mergeCell ref="B2162:G2162"/>
    <mergeCell ref="B2166:E2166"/>
    <mergeCell ref="B2167:G2167"/>
    <mergeCell ref="B2168:F2168"/>
    <mergeCell ref="B2147:C2149"/>
    <mergeCell ref="D2147:E2147"/>
    <mergeCell ref="D2148:E2148"/>
    <mergeCell ref="D2149:E2149"/>
    <mergeCell ref="B2150:G2150"/>
    <mergeCell ref="B2169:E2169"/>
    <mergeCell ref="B2170:F2170"/>
    <mergeCell ref="B2151:G2151"/>
    <mergeCell ref="B2152:C2152"/>
    <mergeCell ref="B2153:C2153"/>
    <mergeCell ref="B2155:C2155"/>
    <mergeCell ref="B2156:C2156"/>
    <mergeCell ref="B2157:C2157"/>
    <mergeCell ref="B2158:C2158"/>
    <mergeCell ref="B2159:C2159"/>
    <mergeCell ref="B2132:C2132"/>
    <mergeCell ref="B2133:C2133"/>
    <mergeCell ref="B2134:E2134"/>
    <mergeCell ref="B2135:G2135"/>
    <mergeCell ref="B2136:G2136"/>
    <mergeCell ref="B2137:C2137"/>
    <mergeCell ref="B2138:C2138"/>
    <mergeCell ref="B2139:C2139"/>
    <mergeCell ref="B2140:C2140"/>
    <mergeCell ref="B2160:E2160"/>
    <mergeCell ref="B2141:C2141"/>
    <mergeCell ref="B2142:C2142"/>
    <mergeCell ref="B2143:C2143"/>
    <mergeCell ref="B2144:C2144"/>
    <mergeCell ref="B2145:C2145"/>
    <mergeCell ref="B2146:C2146"/>
    <mergeCell ref="B2161:G2161"/>
    <mergeCell ref="B2114:C2114"/>
    <mergeCell ref="B2122:F2122"/>
    <mergeCell ref="B2116:C2116"/>
    <mergeCell ref="B2117:C2117"/>
    <mergeCell ref="B2118:E2118"/>
    <mergeCell ref="B2119:G2119"/>
    <mergeCell ref="B2120:F2120"/>
    <mergeCell ref="B2121:E2121"/>
    <mergeCell ref="C2123:E2123"/>
    <mergeCell ref="C2124:E2124"/>
    <mergeCell ref="C2125:G2125"/>
    <mergeCell ref="B2126:G2126"/>
    <mergeCell ref="B2127:G2127"/>
    <mergeCell ref="B2128:C2128"/>
    <mergeCell ref="B2129:C2129"/>
    <mergeCell ref="B2130:C2130"/>
    <mergeCell ref="B2131:C2131"/>
    <mergeCell ref="B2097:C2097"/>
    <mergeCell ref="B2098:C2100"/>
    <mergeCell ref="D2098:E2098"/>
    <mergeCell ref="D2099:E2099"/>
    <mergeCell ref="D2100:E2100"/>
    <mergeCell ref="B2101:G2101"/>
    <mergeCell ref="B2102:G2102"/>
    <mergeCell ref="B2103:C2103"/>
    <mergeCell ref="B2104:C2104"/>
    <mergeCell ref="B2106:C2106"/>
    <mergeCell ref="B2107:C2107"/>
    <mergeCell ref="B2108:C2108"/>
    <mergeCell ref="B2109:C2109"/>
    <mergeCell ref="B2110:C2110"/>
    <mergeCell ref="B2111:E2111"/>
    <mergeCell ref="B2112:G2112"/>
    <mergeCell ref="B2113:G2113"/>
    <mergeCell ref="B2079:C2079"/>
    <mergeCell ref="B2080:C2080"/>
    <mergeCell ref="B2081:C2081"/>
    <mergeCell ref="B2082:C2082"/>
    <mergeCell ref="B2083:C2083"/>
    <mergeCell ref="B2084:E2084"/>
    <mergeCell ref="B2085:G2085"/>
    <mergeCell ref="B2086:G2086"/>
    <mergeCell ref="B2087:C2087"/>
    <mergeCell ref="B2089:C2089"/>
    <mergeCell ref="B2090:C2090"/>
    <mergeCell ref="B2091:C2091"/>
    <mergeCell ref="B2092:C2092"/>
    <mergeCell ref="B2093:C2093"/>
    <mergeCell ref="B2094:C2094"/>
    <mergeCell ref="B2095:C2095"/>
    <mergeCell ref="B2096:C2096"/>
    <mergeCell ref="B2015:E2015"/>
    <mergeCell ref="B2016:F2016"/>
    <mergeCell ref="B1480:C1480"/>
    <mergeCell ref="B1481:C1481"/>
    <mergeCell ref="B1482:E1482"/>
    <mergeCell ref="B1483:G1483"/>
    <mergeCell ref="B1484:F1484"/>
    <mergeCell ref="B1485:E1485"/>
    <mergeCell ref="B2003:C2003"/>
    <mergeCell ref="B2004:C2004"/>
    <mergeCell ref="C2070:E2070"/>
    <mergeCell ref="C2071:E2071"/>
    <mergeCell ref="C2072:G2072"/>
    <mergeCell ref="B2073:G2073"/>
    <mergeCell ref="B2074:G2074"/>
    <mergeCell ref="B2076:C2076"/>
    <mergeCell ref="B2078:C2078"/>
    <mergeCell ref="B2001:C2001"/>
    <mergeCell ref="B2005:E2005"/>
    <mergeCell ref="B2006:G2006"/>
    <mergeCell ref="B2008:C2008"/>
    <mergeCell ref="B2010:C2010"/>
    <mergeCell ref="B2011:C2011"/>
    <mergeCell ref="B2012:E2012"/>
    <mergeCell ref="B2007:G2007"/>
    <mergeCell ref="B1809:G1809"/>
    <mergeCell ref="B1811:C1811"/>
    <mergeCell ref="B1974:C1974"/>
    <mergeCell ref="B1975:C1975"/>
    <mergeCell ref="B1976:C1976"/>
    <mergeCell ref="B1977:C1977"/>
    <mergeCell ref="B1968:G1968"/>
    <mergeCell ref="B2014:F2014"/>
    <mergeCell ref="B1473:C1473"/>
    <mergeCell ref="B1474:C1474"/>
    <mergeCell ref="B1475:E1475"/>
    <mergeCell ref="B1476:G1476"/>
    <mergeCell ref="B2013:G2013"/>
    <mergeCell ref="B2002:C2002"/>
    <mergeCell ref="B1988:C1988"/>
    <mergeCell ref="B1989:C1989"/>
    <mergeCell ref="B1978:E1978"/>
    <mergeCell ref="B1979:G1979"/>
    <mergeCell ref="B1980:G1980"/>
    <mergeCell ref="B1981:C1981"/>
    <mergeCell ref="B1990:C1990"/>
    <mergeCell ref="B1991:C1991"/>
    <mergeCell ref="B1992:C1994"/>
    <mergeCell ref="D1992:E1992"/>
    <mergeCell ref="D1993:E1993"/>
    <mergeCell ref="D1994:E1994"/>
    <mergeCell ref="B1995:G1995"/>
    <mergeCell ref="B1996:G1996"/>
    <mergeCell ref="B1997:C1997"/>
    <mergeCell ref="B1998:C1998"/>
    <mergeCell ref="B2000:C2000"/>
    <mergeCell ref="B1967:G1967"/>
    <mergeCell ref="B1801:G1801"/>
    <mergeCell ref="B1802:F1802"/>
    <mergeCell ref="B1803:E1803"/>
    <mergeCell ref="B1804:F1804"/>
    <mergeCell ref="B1970:C1970"/>
    <mergeCell ref="B1972:C1972"/>
    <mergeCell ref="B1973:C1973"/>
    <mergeCell ref="B1986:C1986"/>
    <mergeCell ref="B1987:C1987"/>
    <mergeCell ref="B1790:C1790"/>
    <mergeCell ref="B1791:C1791"/>
    <mergeCell ref="B1783:G1783"/>
    <mergeCell ref="B1784:G1784"/>
    <mergeCell ref="B1785:C1785"/>
    <mergeCell ref="B1786:C1786"/>
    <mergeCell ref="B1796:C1796"/>
    <mergeCell ref="B1798:C1798"/>
    <mergeCell ref="B1799:C1799"/>
    <mergeCell ref="B1800:E1800"/>
    <mergeCell ref="B1792:C1792"/>
    <mergeCell ref="B1793:E1793"/>
    <mergeCell ref="B1794:G1794"/>
    <mergeCell ref="B1795:G1795"/>
    <mergeCell ref="C1964:E1964"/>
    <mergeCell ref="C1965:E1965"/>
    <mergeCell ref="C1966:G1966"/>
    <mergeCell ref="B1826:C1826"/>
    <mergeCell ref="B1827:C1827"/>
    <mergeCell ref="B1828:C1828"/>
    <mergeCell ref="B1829:C1829"/>
    <mergeCell ref="B1830:C1830"/>
    <mergeCell ref="B1831:C1831"/>
    <mergeCell ref="B1819:E1819"/>
    <mergeCell ref="B1820:G1820"/>
    <mergeCell ref="B1821:G1821"/>
    <mergeCell ref="B1822:C1822"/>
    <mergeCell ref="B1824:C1824"/>
    <mergeCell ref="B1825:C1825"/>
    <mergeCell ref="B1813:C1813"/>
    <mergeCell ref="B1773:C1773"/>
    <mergeCell ref="B1774:C1774"/>
    <mergeCell ref="B1766:E1766"/>
    <mergeCell ref="B1767:G1767"/>
    <mergeCell ref="B1768:G1768"/>
    <mergeCell ref="B1769:C1769"/>
    <mergeCell ref="B1779:C1779"/>
    <mergeCell ref="B1780:C1782"/>
    <mergeCell ref="D1780:E1780"/>
    <mergeCell ref="D1781:E1781"/>
    <mergeCell ref="D1782:E1782"/>
    <mergeCell ref="B1775:C1775"/>
    <mergeCell ref="B1776:C1776"/>
    <mergeCell ref="B1777:C1777"/>
    <mergeCell ref="B1778:C1778"/>
    <mergeCell ref="B1788:C1788"/>
    <mergeCell ref="B1789:C1789"/>
    <mergeCell ref="C1753:E1753"/>
    <mergeCell ref="C1754:G1754"/>
    <mergeCell ref="B1755:G1755"/>
    <mergeCell ref="B1748:G1748"/>
    <mergeCell ref="B1749:F1749"/>
    <mergeCell ref="B1750:E1750"/>
    <mergeCell ref="B1751:F1751"/>
    <mergeCell ref="B1762:C1762"/>
    <mergeCell ref="B1763:C1763"/>
    <mergeCell ref="B1764:C1764"/>
    <mergeCell ref="B1765:C1765"/>
    <mergeCell ref="B1756:G1756"/>
    <mergeCell ref="B1758:C1758"/>
    <mergeCell ref="B1760:C1760"/>
    <mergeCell ref="B1761:C1761"/>
    <mergeCell ref="B1771:C1771"/>
    <mergeCell ref="B1772:C1772"/>
    <mergeCell ref="B1735:C1735"/>
    <mergeCell ref="B1736:C1736"/>
    <mergeCell ref="B1737:C1737"/>
    <mergeCell ref="B1738:C1738"/>
    <mergeCell ref="B1730:G1730"/>
    <mergeCell ref="B1731:G1731"/>
    <mergeCell ref="B1732:C1732"/>
    <mergeCell ref="B1733:C1733"/>
    <mergeCell ref="B1743:C1743"/>
    <mergeCell ref="B1745:C1745"/>
    <mergeCell ref="B1746:C1746"/>
    <mergeCell ref="B1747:E1747"/>
    <mergeCell ref="B1739:C1739"/>
    <mergeCell ref="B1740:E1740"/>
    <mergeCell ref="B1741:G1741"/>
    <mergeCell ref="B1742:G1742"/>
    <mergeCell ref="C1752:E1752"/>
    <mergeCell ref="B1710:C1710"/>
    <mergeCell ref="B1711:C1711"/>
    <mergeCell ref="B1712:C1712"/>
    <mergeCell ref="B1703:G1703"/>
    <mergeCell ref="B1705:C1705"/>
    <mergeCell ref="B1707:C1707"/>
    <mergeCell ref="B1708:C1708"/>
    <mergeCell ref="B1718:C1718"/>
    <mergeCell ref="B1719:C1719"/>
    <mergeCell ref="B1720:C1720"/>
    <mergeCell ref="B1721:C1721"/>
    <mergeCell ref="B1713:E1713"/>
    <mergeCell ref="B1714:G1714"/>
    <mergeCell ref="B1715:G1715"/>
    <mergeCell ref="B1716:C1716"/>
    <mergeCell ref="B1726:C1726"/>
    <mergeCell ref="B1727:C1729"/>
    <mergeCell ref="D1727:E1727"/>
    <mergeCell ref="D1728:E1728"/>
    <mergeCell ref="D1729:E1729"/>
    <mergeCell ref="B1722:C1722"/>
    <mergeCell ref="B1723:C1723"/>
    <mergeCell ref="B1724:C1724"/>
    <mergeCell ref="B1725:C1725"/>
    <mergeCell ref="B1686:C1686"/>
    <mergeCell ref="B1687:E1687"/>
    <mergeCell ref="B1688:G1688"/>
    <mergeCell ref="B1689:G1689"/>
    <mergeCell ref="B1695:G1695"/>
    <mergeCell ref="B1696:F1696"/>
    <mergeCell ref="C1701:G1701"/>
    <mergeCell ref="B1702:G1702"/>
    <mergeCell ref="B1690:C1690"/>
    <mergeCell ref="B1692:C1692"/>
    <mergeCell ref="B1693:C1693"/>
    <mergeCell ref="B1694:E1694"/>
    <mergeCell ref="C1699:E1699"/>
    <mergeCell ref="C1700:E1700"/>
    <mergeCell ref="B1697:E1697"/>
    <mergeCell ref="B1698:F1698"/>
    <mergeCell ref="B1709:C1709"/>
    <mergeCell ref="B1673:C1673"/>
    <mergeCell ref="B1674:C1676"/>
    <mergeCell ref="D1674:E1674"/>
    <mergeCell ref="D1675:E1675"/>
    <mergeCell ref="D1676:E1676"/>
    <mergeCell ref="B1669:C1669"/>
    <mergeCell ref="B1670:C1670"/>
    <mergeCell ref="B1671:C1671"/>
    <mergeCell ref="B1672:C1672"/>
    <mergeCell ref="B1682:C1682"/>
    <mergeCell ref="B1683:C1683"/>
    <mergeCell ref="B1684:C1684"/>
    <mergeCell ref="B1685:C1685"/>
    <mergeCell ref="B1677:G1677"/>
    <mergeCell ref="B1678:G1678"/>
    <mergeCell ref="B1679:C1679"/>
    <mergeCell ref="B1680:C1680"/>
    <mergeCell ref="B1590:F1590"/>
    <mergeCell ref="B1591:E1591"/>
    <mergeCell ref="B1592:F1592"/>
    <mergeCell ref="B1610:C1610"/>
    <mergeCell ref="B1607:E1607"/>
    <mergeCell ref="B1608:G1608"/>
    <mergeCell ref="B1612:C1612"/>
    <mergeCell ref="B1597:G1597"/>
    <mergeCell ref="B1599:C1599"/>
    <mergeCell ref="B1601:C1601"/>
    <mergeCell ref="B1602:C1602"/>
    <mergeCell ref="C1646:E1646"/>
    <mergeCell ref="B1613:C1613"/>
    <mergeCell ref="B1614:C1614"/>
    <mergeCell ref="B1615:C1615"/>
    <mergeCell ref="B1616:C1616"/>
    <mergeCell ref="B1657:C1657"/>
    <mergeCell ref="B1650:G1650"/>
    <mergeCell ref="B1652:C1652"/>
    <mergeCell ref="B1654:C1654"/>
    <mergeCell ref="B1655:C1655"/>
    <mergeCell ref="B1624:G1624"/>
    <mergeCell ref="B1625:G1625"/>
    <mergeCell ref="B1626:C1626"/>
    <mergeCell ref="B1627:C1627"/>
    <mergeCell ref="B1629:C1629"/>
    <mergeCell ref="B1630:C1630"/>
    <mergeCell ref="B1617:C1617"/>
    <mergeCell ref="B1618:C1618"/>
    <mergeCell ref="B1619:C1619"/>
    <mergeCell ref="B1620:C1620"/>
    <mergeCell ref="B1621:C1623"/>
    <mergeCell ref="B1576:C1576"/>
    <mergeCell ref="B1577:C1577"/>
    <mergeCell ref="B1578:C1578"/>
    <mergeCell ref="B1579:C1579"/>
    <mergeCell ref="B1571:G1571"/>
    <mergeCell ref="B1572:G1572"/>
    <mergeCell ref="B1573:C1573"/>
    <mergeCell ref="B1574:C1574"/>
    <mergeCell ref="B1584:C1584"/>
    <mergeCell ref="B1586:C1586"/>
    <mergeCell ref="B1587:C1587"/>
    <mergeCell ref="B1588:E1588"/>
    <mergeCell ref="B1580:C1580"/>
    <mergeCell ref="B1581:E1581"/>
    <mergeCell ref="B1582:G1582"/>
    <mergeCell ref="B1583:G1583"/>
    <mergeCell ref="B1589:G1589"/>
    <mergeCell ref="B1552:C1552"/>
    <mergeCell ref="B1553:C1553"/>
    <mergeCell ref="B1544:G1544"/>
    <mergeCell ref="B1546:C1546"/>
    <mergeCell ref="B1548:C1548"/>
    <mergeCell ref="B1549:C1549"/>
    <mergeCell ref="B1559:C1559"/>
    <mergeCell ref="B1560:C1560"/>
    <mergeCell ref="B1561:C1561"/>
    <mergeCell ref="B1562:C1562"/>
    <mergeCell ref="B1554:E1554"/>
    <mergeCell ref="B1555:G1555"/>
    <mergeCell ref="B1556:G1556"/>
    <mergeCell ref="B1557:C1557"/>
    <mergeCell ref="B1567:C1567"/>
    <mergeCell ref="B1568:C1570"/>
    <mergeCell ref="D1568:E1568"/>
    <mergeCell ref="D1569:E1569"/>
    <mergeCell ref="D1570:E1570"/>
    <mergeCell ref="B1563:C1563"/>
    <mergeCell ref="B1564:C1564"/>
    <mergeCell ref="B1565:C1565"/>
    <mergeCell ref="B1566:C1566"/>
    <mergeCell ref="B1533:C1533"/>
    <mergeCell ref="B1534:C1534"/>
    <mergeCell ref="B1535:E1535"/>
    <mergeCell ref="B1527:C1527"/>
    <mergeCell ref="B1528:E1528"/>
    <mergeCell ref="B1529:G1529"/>
    <mergeCell ref="B1530:G1530"/>
    <mergeCell ref="C1540:E1540"/>
    <mergeCell ref="C1541:E1541"/>
    <mergeCell ref="C1542:G1542"/>
    <mergeCell ref="B1543:G1543"/>
    <mergeCell ref="B1536:G1536"/>
    <mergeCell ref="B1537:F1537"/>
    <mergeCell ref="B1538:E1538"/>
    <mergeCell ref="B1539:F1539"/>
    <mergeCell ref="B1550:C1550"/>
    <mergeCell ref="B1551:C1551"/>
    <mergeCell ref="B1515:C1517"/>
    <mergeCell ref="D1515:E1515"/>
    <mergeCell ref="D1516:E1516"/>
    <mergeCell ref="D1517:E1517"/>
    <mergeCell ref="B1510:C1510"/>
    <mergeCell ref="B1511:C1511"/>
    <mergeCell ref="B1512:C1512"/>
    <mergeCell ref="B1513:C1513"/>
    <mergeCell ref="B1523:C1523"/>
    <mergeCell ref="B1524:C1524"/>
    <mergeCell ref="B1525:C1525"/>
    <mergeCell ref="B1526:C1526"/>
    <mergeCell ref="B1518:G1518"/>
    <mergeCell ref="B1519:G1519"/>
    <mergeCell ref="B1520:C1520"/>
    <mergeCell ref="B1521:C1521"/>
    <mergeCell ref="B1531:C1531"/>
    <mergeCell ref="B1497:C1497"/>
    <mergeCell ref="B1498:C1498"/>
    <mergeCell ref="B1499:C1499"/>
    <mergeCell ref="B1500:C1500"/>
    <mergeCell ref="B1491:G1491"/>
    <mergeCell ref="B1493:C1493"/>
    <mergeCell ref="B1495:C1495"/>
    <mergeCell ref="B1496:C1496"/>
    <mergeCell ref="B1506:C1506"/>
    <mergeCell ref="B1507:C1507"/>
    <mergeCell ref="B1508:C1508"/>
    <mergeCell ref="B1509:C1509"/>
    <mergeCell ref="B1501:E1501"/>
    <mergeCell ref="B1502:G1502"/>
    <mergeCell ref="B1503:G1503"/>
    <mergeCell ref="B1504:C1504"/>
    <mergeCell ref="B1514:C1514"/>
    <mergeCell ref="B1425:C1425"/>
    <mergeCell ref="B1427:C1427"/>
    <mergeCell ref="B1428:C1428"/>
    <mergeCell ref="B1429:E1429"/>
    <mergeCell ref="B1421:C1421"/>
    <mergeCell ref="B1422:E1422"/>
    <mergeCell ref="B1423:G1423"/>
    <mergeCell ref="B1424:G1424"/>
    <mergeCell ref="C1489:G1489"/>
    <mergeCell ref="B1490:G1490"/>
    <mergeCell ref="B1430:G1430"/>
    <mergeCell ref="B1431:F1431"/>
    <mergeCell ref="B1432:E1432"/>
    <mergeCell ref="B1433:F1433"/>
    <mergeCell ref="B1449:G1449"/>
    <mergeCell ref="B1450:G1450"/>
    <mergeCell ref="B1451:C1451"/>
    <mergeCell ref="B1453:C1453"/>
    <mergeCell ref="C1434:E1434"/>
    <mergeCell ref="C1435:E1435"/>
    <mergeCell ref="C1436:G1436"/>
    <mergeCell ref="B1437:G1437"/>
    <mergeCell ref="C1487:E1487"/>
    <mergeCell ref="C1488:E1488"/>
    <mergeCell ref="B1465:G1465"/>
    <mergeCell ref="B1466:G1466"/>
    <mergeCell ref="B1456:C1456"/>
    <mergeCell ref="B1457:C1457"/>
    <mergeCell ref="B1477:G1477"/>
    <mergeCell ref="B1478:C1478"/>
    <mergeCell ref="B1486:F1486"/>
    <mergeCell ref="B1395:E1395"/>
    <mergeCell ref="B1396:G1396"/>
    <mergeCell ref="B1397:G1397"/>
    <mergeCell ref="B1398:C1398"/>
    <mergeCell ref="B1408:C1408"/>
    <mergeCell ref="B1409:C1411"/>
    <mergeCell ref="D1409:E1409"/>
    <mergeCell ref="D1410:E1410"/>
    <mergeCell ref="D1411:E1411"/>
    <mergeCell ref="B1404:C1404"/>
    <mergeCell ref="B1405:C1405"/>
    <mergeCell ref="B1406:C1406"/>
    <mergeCell ref="B1407:C1407"/>
    <mergeCell ref="B1417:C1417"/>
    <mergeCell ref="B1418:C1418"/>
    <mergeCell ref="B1419:C1419"/>
    <mergeCell ref="B1420:C1420"/>
    <mergeCell ref="B1412:G1412"/>
    <mergeCell ref="B1413:G1413"/>
    <mergeCell ref="B1414:C1414"/>
    <mergeCell ref="B1415:C1415"/>
    <mergeCell ref="B46:C46"/>
    <mergeCell ref="B47:E47"/>
    <mergeCell ref="B48:G48"/>
    <mergeCell ref="B49:G49"/>
    <mergeCell ref="B42:C42"/>
    <mergeCell ref="B43:C43"/>
    <mergeCell ref="B44:C44"/>
    <mergeCell ref="B45:C45"/>
    <mergeCell ref="B55:G55"/>
    <mergeCell ref="B56:F56"/>
    <mergeCell ref="C1381:E1381"/>
    <mergeCell ref="C1382:E1382"/>
    <mergeCell ref="B50:C50"/>
    <mergeCell ref="B52:C52"/>
    <mergeCell ref="B53:C53"/>
    <mergeCell ref="B54:E54"/>
    <mergeCell ref="D1146:E1146"/>
    <mergeCell ref="B1135:C1135"/>
    <mergeCell ref="B57:E57"/>
    <mergeCell ref="B58:F58"/>
    <mergeCell ref="B1141:C1141"/>
    <mergeCell ref="B1142:C1142"/>
    <mergeCell ref="B1143:C1143"/>
    <mergeCell ref="B1144:C1146"/>
    <mergeCell ref="B1136:C1136"/>
    <mergeCell ref="B1137:C1137"/>
    <mergeCell ref="B1120:G1120"/>
    <mergeCell ref="B1122:C1122"/>
    <mergeCell ref="B1124:C1124"/>
    <mergeCell ref="B1125:C1125"/>
    <mergeCell ref="B1059:G1059"/>
    <mergeCell ref="B1060:F1060"/>
    <mergeCell ref="B28:C28"/>
    <mergeCell ref="B29:C29"/>
    <mergeCell ref="B30:C30"/>
    <mergeCell ref="B31:C31"/>
    <mergeCell ref="B39:C39"/>
    <mergeCell ref="B40:C40"/>
    <mergeCell ref="D35:E35"/>
    <mergeCell ref="B21:G21"/>
    <mergeCell ref="B22:G22"/>
    <mergeCell ref="B23:C23"/>
    <mergeCell ref="B27:C27"/>
    <mergeCell ref="B37:G37"/>
    <mergeCell ref="B38:G38"/>
    <mergeCell ref="B32:C32"/>
    <mergeCell ref="B33:C33"/>
    <mergeCell ref="B34:C36"/>
    <mergeCell ref="D34:E34"/>
    <mergeCell ref="D36:E36"/>
    <mergeCell ref="B1061:E1061"/>
    <mergeCell ref="B1062:F1062"/>
    <mergeCell ref="C1118:G1118"/>
    <mergeCell ref="B1119:G1119"/>
    <mergeCell ref="D1145:E1145"/>
    <mergeCell ref="B1128:C1128"/>
    <mergeCell ref="B1129:C1129"/>
    <mergeCell ref="B1130:E1130"/>
    <mergeCell ref="B1131:G1131"/>
    <mergeCell ref="B1126:C1126"/>
    <mergeCell ref="B1127:C1127"/>
    <mergeCell ref="B1138:C1138"/>
    <mergeCell ref="B1139:C1139"/>
    <mergeCell ref="B1140:C1140"/>
    <mergeCell ref="B1132:G1132"/>
    <mergeCell ref="B1133:C1133"/>
    <mergeCell ref="D1144:E1144"/>
    <mergeCell ref="B1111:E1111"/>
    <mergeCell ref="C1116:E1116"/>
    <mergeCell ref="B1084:C1084"/>
    <mergeCell ref="B1089:C1089"/>
    <mergeCell ref="B1090:C1090"/>
    <mergeCell ref="B1091:C1093"/>
    <mergeCell ref="D1091:E1091"/>
    <mergeCell ref="D1092:E1092"/>
    <mergeCell ref="D1093:E1093"/>
    <mergeCell ref="B1046:C1046"/>
    <mergeCell ref="B1047:C1047"/>
    <mergeCell ref="B1048:C1048"/>
    <mergeCell ref="B1049:C1049"/>
    <mergeCell ref="B1006:G1006"/>
    <mergeCell ref="B1007:F1007"/>
    <mergeCell ref="B1008:E1008"/>
    <mergeCell ref="B1009:F1009"/>
    <mergeCell ref="D1038:E1038"/>
    <mergeCell ref="D1039:E1039"/>
    <mergeCell ref="B1054:C1054"/>
    <mergeCell ref="B1056:C1056"/>
    <mergeCell ref="B1057:C1057"/>
    <mergeCell ref="B1058:E1058"/>
    <mergeCell ref="B1050:C1050"/>
    <mergeCell ref="B1051:E1051"/>
    <mergeCell ref="B1052:G1052"/>
    <mergeCell ref="B1053:G1053"/>
    <mergeCell ref="B1035:C1035"/>
    <mergeCell ref="B1036:C1036"/>
    <mergeCell ref="B1037:C1037"/>
    <mergeCell ref="B1038:C1040"/>
    <mergeCell ref="B1031:C1031"/>
    <mergeCell ref="B1032:C1032"/>
    <mergeCell ref="B1042:G1042"/>
    <mergeCell ref="B1043:C1043"/>
    <mergeCell ref="B1044:C1044"/>
    <mergeCell ref="B1016:C1016"/>
    <mergeCell ref="B1022:C1022"/>
    <mergeCell ref="B1023:C1023"/>
    <mergeCell ref="B1018:C1018"/>
    <mergeCell ref="B1019:C1019"/>
    <mergeCell ref="B996:C996"/>
    <mergeCell ref="B991:C991"/>
    <mergeCell ref="B993:C993"/>
    <mergeCell ref="B994:C994"/>
    <mergeCell ref="B792:C792"/>
    <mergeCell ref="B793:E793"/>
    <mergeCell ref="B794:G794"/>
    <mergeCell ref="B795:F795"/>
    <mergeCell ref="B979:C979"/>
    <mergeCell ref="B1001:C1001"/>
    <mergeCell ref="B1003:C1003"/>
    <mergeCell ref="B1004:C1004"/>
    <mergeCell ref="B1005:E1005"/>
    <mergeCell ref="B997:C997"/>
    <mergeCell ref="B998:E998"/>
    <mergeCell ref="B999:G999"/>
    <mergeCell ref="B1000:G1000"/>
    <mergeCell ref="B990:C990"/>
    <mergeCell ref="B796:E796"/>
    <mergeCell ref="B797:F797"/>
    <mergeCell ref="B988:G988"/>
    <mergeCell ref="B807:C807"/>
    <mergeCell ref="B808:C808"/>
    <mergeCell ref="B809:C809"/>
    <mergeCell ref="B810:C810"/>
    <mergeCell ref="B811:C811"/>
    <mergeCell ref="B812:E812"/>
    <mergeCell ref="B820:C820"/>
    <mergeCell ref="B821:C821"/>
    <mergeCell ref="B822:C822"/>
    <mergeCell ref="B823:C823"/>
    <mergeCell ref="B824:C824"/>
    <mergeCell ref="B285:E285"/>
    <mergeCell ref="B286:G286"/>
    <mergeCell ref="B73:E73"/>
    <mergeCell ref="B74:G74"/>
    <mergeCell ref="B75:G75"/>
    <mergeCell ref="B76:C76"/>
    <mergeCell ref="B80:C80"/>
    <mergeCell ref="B78:C78"/>
    <mergeCell ref="B781:C781"/>
    <mergeCell ref="B782:C782"/>
    <mergeCell ref="B778:C778"/>
    <mergeCell ref="B779:C779"/>
    <mergeCell ref="B290:C290"/>
    <mergeCell ref="B768:C768"/>
    <mergeCell ref="B771:C771"/>
    <mergeCell ref="B772:C772"/>
    <mergeCell ref="B770:C770"/>
    <mergeCell ref="B773:C775"/>
    <mergeCell ref="B284:C284"/>
    <mergeCell ref="B287:G287"/>
    <mergeCell ref="B168:G168"/>
    <mergeCell ref="B111:F111"/>
    <mergeCell ref="C273:G273"/>
    <mergeCell ref="B274:G274"/>
    <mergeCell ref="B275:G275"/>
    <mergeCell ref="B277:C277"/>
    <mergeCell ref="B169:G169"/>
    <mergeCell ref="C166:E166"/>
    <mergeCell ref="B118:C118"/>
    <mergeCell ref="B120:C120"/>
    <mergeCell ref="C112:E112"/>
    <mergeCell ref="B288:C288"/>
    <mergeCell ref="B282:C282"/>
    <mergeCell ref="B283:C283"/>
    <mergeCell ref="B281:C281"/>
    <mergeCell ref="B171:C171"/>
    <mergeCell ref="C271:E271"/>
    <mergeCell ref="D773:E773"/>
    <mergeCell ref="D774:E774"/>
    <mergeCell ref="D775:E775"/>
    <mergeCell ref="B776:G776"/>
    <mergeCell ref="B777:G777"/>
    <mergeCell ref="B764:C764"/>
    <mergeCell ref="B765:C765"/>
    <mergeCell ref="B766:C766"/>
    <mergeCell ref="B767:C767"/>
    <mergeCell ref="C1012:G1012"/>
    <mergeCell ref="B1013:G1013"/>
    <mergeCell ref="B1014:G1014"/>
    <mergeCell ref="C1010:E1010"/>
    <mergeCell ref="C1011:E1011"/>
    <mergeCell ref="B601:G601"/>
    <mergeCell ref="B609:C609"/>
    <mergeCell ref="B610:C610"/>
    <mergeCell ref="B611:C611"/>
    <mergeCell ref="B612:C612"/>
    <mergeCell ref="D616:E616"/>
    <mergeCell ref="B617:G617"/>
    <mergeCell ref="D614:E614"/>
    <mergeCell ref="D615:E615"/>
    <mergeCell ref="B749:G749"/>
    <mergeCell ref="B751:C751"/>
    <mergeCell ref="B607:C607"/>
    <mergeCell ref="B608:C608"/>
    <mergeCell ref="B1020:C1020"/>
    <mergeCell ref="B1021:C1021"/>
    <mergeCell ref="B989:G989"/>
    <mergeCell ref="B769:C769"/>
    <mergeCell ref="B787:G787"/>
    <mergeCell ref="B788:G788"/>
    <mergeCell ref="B789:C789"/>
    <mergeCell ref="B791:C791"/>
    <mergeCell ref="B783:C783"/>
    <mergeCell ref="B784:C784"/>
    <mergeCell ref="B785:C785"/>
    <mergeCell ref="B786:E786"/>
    <mergeCell ref="B995:C995"/>
    <mergeCell ref="B753:C753"/>
    <mergeCell ref="B754:C754"/>
    <mergeCell ref="B590:G590"/>
    <mergeCell ref="B592:C592"/>
    <mergeCell ref="B594:C594"/>
    <mergeCell ref="B595:C595"/>
    <mergeCell ref="C745:E745"/>
    <mergeCell ref="C746:E746"/>
    <mergeCell ref="B613:C613"/>
    <mergeCell ref="B614:C616"/>
    <mergeCell ref="B759:E759"/>
    <mergeCell ref="B760:G760"/>
    <mergeCell ref="B761:G761"/>
    <mergeCell ref="B762:C762"/>
    <mergeCell ref="B755:C755"/>
    <mergeCell ref="B756:C756"/>
    <mergeCell ref="B757:C757"/>
    <mergeCell ref="B758:C758"/>
    <mergeCell ref="B600:E600"/>
    <mergeCell ref="B618:G618"/>
    <mergeCell ref="B619:C619"/>
    <mergeCell ref="B620:C620"/>
    <mergeCell ref="B622:C622"/>
    <mergeCell ref="C747:G747"/>
    <mergeCell ref="B748:G748"/>
    <mergeCell ref="B571:C571"/>
    <mergeCell ref="B572:C572"/>
    <mergeCell ref="D986:E986"/>
    <mergeCell ref="D987:E987"/>
    <mergeCell ref="B980:C980"/>
    <mergeCell ref="B981:C981"/>
    <mergeCell ref="B982:C982"/>
    <mergeCell ref="B983:C983"/>
    <mergeCell ref="B984:C984"/>
    <mergeCell ref="B985:C987"/>
    <mergeCell ref="B564:G564"/>
    <mergeCell ref="B565:G565"/>
    <mergeCell ref="B566:C566"/>
    <mergeCell ref="B567:C567"/>
    <mergeCell ref="B569:C569"/>
    <mergeCell ref="B570:C570"/>
    <mergeCell ref="B573:C573"/>
    <mergeCell ref="B574:E574"/>
    <mergeCell ref="B577:C577"/>
    <mergeCell ref="B579:C579"/>
    <mergeCell ref="B582:G582"/>
    <mergeCell ref="B583:F583"/>
    <mergeCell ref="B575:G575"/>
    <mergeCell ref="B576:G576"/>
    <mergeCell ref="B598:C598"/>
    <mergeCell ref="B599:C599"/>
    <mergeCell ref="B580:C580"/>
    <mergeCell ref="B581:E581"/>
    <mergeCell ref="B605:C605"/>
    <mergeCell ref="B606:C606"/>
    <mergeCell ref="B584:E584"/>
    <mergeCell ref="B585:F585"/>
    <mergeCell ref="C1117:E1117"/>
    <mergeCell ref="B1112:G1112"/>
    <mergeCell ref="B1113:F1113"/>
    <mergeCell ref="B1114:E1114"/>
    <mergeCell ref="B1115:F1115"/>
    <mergeCell ref="B966:C966"/>
    <mergeCell ref="B967:C967"/>
    <mergeCell ref="B968:C968"/>
    <mergeCell ref="C957:E957"/>
    <mergeCell ref="C958:E958"/>
    <mergeCell ref="C959:G959"/>
    <mergeCell ref="B960:G960"/>
    <mergeCell ref="D985:E985"/>
    <mergeCell ref="B974:C974"/>
    <mergeCell ref="B976:C976"/>
    <mergeCell ref="B977:C977"/>
    <mergeCell ref="B978:C978"/>
    <mergeCell ref="B961:G961"/>
    <mergeCell ref="B963:C963"/>
    <mergeCell ref="B969:C969"/>
    <mergeCell ref="B970:C970"/>
    <mergeCell ref="B965:C965"/>
    <mergeCell ref="B1024:E1024"/>
    <mergeCell ref="B1025:G1025"/>
    <mergeCell ref="B1033:C1033"/>
    <mergeCell ref="B1034:C1034"/>
    <mergeCell ref="B1026:G1026"/>
    <mergeCell ref="B1027:C1027"/>
    <mergeCell ref="B1029:C1029"/>
    <mergeCell ref="B1030:C1030"/>
    <mergeCell ref="D1040:E1040"/>
    <mergeCell ref="B1041:G1041"/>
    <mergeCell ref="B1099:C1099"/>
    <mergeCell ref="B1100:C1100"/>
    <mergeCell ref="B1101:C1101"/>
    <mergeCell ref="B1102:C1102"/>
    <mergeCell ref="B1094:G1094"/>
    <mergeCell ref="B1095:G1095"/>
    <mergeCell ref="B1096:C1096"/>
    <mergeCell ref="B1097:C1097"/>
    <mergeCell ref="B1107:C1107"/>
    <mergeCell ref="B1109:C1109"/>
    <mergeCell ref="B1110:C1110"/>
    <mergeCell ref="B1103:C1103"/>
    <mergeCell ref="B1104:E1104"/>
    <mergeCell ref="B1105:G1105"/>
    <mergeCell ref="B1106:G1106"/>
    <mergeCell ref="B1072:C1072"/>
    <mergeCell ref="B1073:C1073"/>
    <mergeCell ref="B1074:C1074"/>
    <mergeCell ref="B1075:C1075"/>
    <mergeCell ref="B1085:C1085"/>
    <mergeCell ref="B1086:C1086"/>
    <mergeCell ref="B1087:C1087"/>
    <mergeCell ref="B1088:C1088"/>
    <mergeCell ref="B1080:C1080"/>
    <mergeCell ref="B1082:C1082"/>
    <mergeCell ref="B1083:C1083"/>
    <mergeCell ref="C3:G3"/>
    <mergeCell ref="C5:G5"/>
    <mergeCell ref="B4:G4"/>
    <mergeCell ref="B1438:G1438"/>
    <mergeCell ref="B541:C541"/>
    <mergeCell ref="B542:C542"/>
    <mergeCell ref="B543:C543"/>
    <mergeCell ref="B544:C544"/>
    <mergeCell ref="C6:E6"/>
    <mergeCell ref="C7:E7"/>
    <mergeCell ref="C8:G8"/>
    <mergeCell ref="B9:G9"/>
    <mergeCell ref="C535:G535"/>
    <mergeCell ref="B536:G536"/>
    <mergeCell ref="B10:G10"/>
    <mergeCell ref="B12:C12"/>
    <mergeCell ref="B14:C14"/>
    <mergeCell ref="B15:C15"/>
    <mergeCell ref="B547:E547"/>
    <mergeCell ref="B548:G548"/>
    <mergeCell ref="B549:G549"/>
    <mergeCell ref="B550:C550"/>
    <mergeCell ref="B1147:G1147"/>
    <mergeCell ref="B1148:G1148"/>
    <mergeCell ref="B1149:C1149"/>
    <mergeCell ref="B1150:C1150"/>
    <mergeCell ref="B556:C556"/>
    <mergeCell ref="B557:C557"/>
    <mergeCell ref="B558:C558"/>
    <mergeCell ref="B559:C559"/>
    <mergeCell ref="B552:C552"/>
    <mergeCell ref="B553:C553"/>
    <mergeCell ref="C59:E59"/>
    <mergeCell ref="B69:C69"/>
    <mergeCell ref="B82:C82"/>
    <mergeCell ref="B83:C83"/>
    <mergeCell ref="B84:C84"/>
    <mergeCell ref="B545:C545"/>
    <mergeCell ref="B546:C546"/>
    <mergeCell ref="B1454:C1454"/>
    <mergeCell ref="B1455:C1455"/>
    <mergeCell ref="B1443:C1443"/>
    <mergeCell ref="B1444:C1444"/>
    <mergeCell ref="B1445:C1445"/>
    <mergeCell ref="B1446:C1446"/>
    <mergeCell ref="B1447:C1447"/>
    <mergeCell ref="B1448:E1448"/>
    <mergeCell ref="B537:G537"/>
    <mergeCell ref="B539:C539"/>
    <mergeCell ref="B1440:C1440"/>
    <mergeCell ref="B1442:C1442"/>
    <mergeCell ref="B554:C554"/>
    <mergeCell ref="B555:C555"/>
    <mergeCell ref="B971:E971"/>
    <mergeCell ref="B972:G972"/>
    <mergeCell ref="B973:G973"/>
    <mergeCell ref="B560:C560"/>
    <mergeCell ref="B561:C563"/>
    <mergeCell ref="D561:E561"/>
    <mergeCell ref="D562:E562"/>
    <mergeCell ref="D563:E563"/>
    <mergeCell ref="B804:C804"/>
    <mergeCell ref="B806:C806"/>
    <mergeCell ref="B1066:G1066"/>
    <mergeCell ref="B86:C86"/>
    <mergeCell ref="B87:C89"/>
    <mergeCell ref="D87:E87"/>
    <mergeCell ref="D88:E88"/>
    <mergeCell ref="D89:E89"/>
    <mergeCell ref="B99:C99"/>
    <mergeCell ref="B16:C16"/>
    <mergeCell ref="B17:C17"/>
    <mergeCell ref="B18:C18"/>
    <mergeCell ref="B19:C19"/>
    <mergeCell ref="B20:E20"/>
    <mergeCell ref="B85:C85"/>
    <mergeCell ref="B70:C70"/>
    <mergeCell ref="B71:C71"/>
    <mergeCell ref="B72:C72"/>
    <mergeCell ref="B81:C81"/>
    <mergeCell ref="B1470:C1470"/>
    <mergeCell ref="B67:C67"/>
    <mergeCell ref="B68:C68"/>
    <mergeCell ref="C60:E60"/>
    <mergeCell ref="C61:G61"/>
    <mergeCell ref="B62:G62"/>
    <mergeCell ref="B63:G63"/>
    <mergeCell ref="B65:C65"/>
    <mergeCell ref="B79:C79"/>
    <mergeCell ref="B1462:C1464"/>
    <mergeCell ref="D1462:E1462"/>
    <mergeCell ref="D1463:E1463"/>
    <mergeCell ref="D1464:E1464"/>
    <mergeCell ref="B1467:C1467"/>
    <mergeCell ref="B1468:C1468"/>
    <mergeCell ref="B1458:C1458"/>
    <mergeCell ref="C113:E113"/>
    <mergeCell ref="C114:G114"/>
    <mergeCell ref="B115:G115"/>
    <mergeCell ref="B116:G116"/>
    <mergeCell ref="B126:E126"/>
    <mergeCell ref="B127:G127"/>
    <mergeCell ref="B108:G108"/>
    <mergeCell ref="B109:F109"/>
    <mergeCell ref="B101:G101"/>
    <mergeCell ref="B102:G102"/>
    <mergeCell ref="B103:C103"/>
    <mergeCell ref="B105:C105"/>
    <mergeCell ref="B106:C106"/>
    <mergeCell ref="B107:E107"/>
    <mergeCell ref="B100:E100"/>
    <mergeCell ref="B90:G90"/>
    <mergeCell ref="B91:G91"/>
    <mergeCell ref="B92:C92"/>
    <mergeCell ref="B93:C93"/>
    <mergeCell ref="B95:C95"/>
    <mergeCell ref="B96:C96"/>
    <mergeCell ref="B97:C97"/>
    <mergeCell ref="B98:C98"/>
    <mergeCell ref="B110:E110"/>
    <mergeCell ref="B136:C136"/>
    <mergeCell ref="B137:C137"/>
    <mergeCell ref="B138:C138"/>
    <mergeCell ref="B139:C139"/>
    <mergeCell ref="B140:C142"/>
    <mergeCell ref="D140:E140"/>
    <mergeCell ref="D141:E141"/>
    <mergeCell ref="D142:E142"/>
    <mergeCell ref="B129:C129"/>
    <mergeCell ref="B133:C133"/>
    <mergeCell ref="B134:C134"/>
    <mergeCell ref="B135:C135"/>
    <mergeCell ref="B131:C131"/>
    <mergeCell ref="B132:C132"/>
    <mergeCell ref="B128:G128"/>
    <mergeCell ref="B121:C121"/>
    <mergeCell ref="B122:C122"/>
    <mergeCell ref="B123:C123"/>
    <mergeCell ref="B124:C124"/>
    <mergeCell ref="B125:C125"/>
    <mergeCell ref="B156:C156"/>
    <mergeCell ref="B158:C158"/>
    <mergeCell ref="B159:C159"/>
    <mergeCell ref="B160:E160"/>
    <mergeCell ref="B161:G161"/>
    <mergeCell ref="B162:F162"/>
    <mergeCell ref="B150:C150"/>
    <mergeCell ref="B151:C151"/>
    <mergeCell ref="B152:C152"/>
    <mergeCell ref="B153:E153"/>
    <mergeCell ref="B154:G154"/>
    <mergeCell ref="B155:G155"/>
    <mergeCell ref="B143:G143"/>
    <mergeCell ref="B144:G144"/>
    <mergeCell ref="B145:C145"/>
    <mergeCell ref="B146:C146"/>
    <mergeCell ref="B148:C148"/>
    <mergeCell ref="B149:C149"/>
    <mergeCell ref="B184:C184"/>
    <mergeCell ref="B185:C185"/>
    <mergeCell ref="B186:C186"/>
    <mergeCell ref="B187:C187"/>
    <mergeCell ref="B188:C188"/>
    <mergeCell ref="B189:C189"/>
    <mergeCell ref="B177:C177"/>
    <mergeCell ref="B178:C178"/>
    <mergeCell ref="B179:E179"/>
    <mergeCell ref="B180:G180"/>
    <mergeCell ref="B181:G181"/>
    <mergeCell ref="B182:C182"/>
    <mergeCell ref="B163:E163"/>
    <mergeCell ref="B164:F164"/>
    <mergeCell ref="B173:C173"/>
    <mergeCell ref="B174:C174"/>
    <mergeCell ref="B175:C175"/>
    <mergeCell ref="B176:C176"/>
    <mergeCell ref="C167:G167"/>
    <mergeCell ref="C165:E165"/>
    <mergeCell ref="B203:C203"/>
    <mergeCell ref="B204:C204"/>
    <mergeCell ref="B205:C205"/>
    <mergeCell ref="B206:E206"/>
    <mergeCell ref="B207:G207"/>
    <mergeCell ref="B208:G208"/>
    <mergeCell ref="B196:G196"/>
    <mergeCell ref="B197:G197"/>
    <mergeCell ref="B198:C198"/>
    <mergeCell ref="B199:C199"/>
    <mergeCell ref="B201:C201"/>
    <mergeCell ref="B202:C202"/>
    <mergeCell ref="B190:C190"/>
    <mergeCell ref="B191:C191"/>
    <mergeCell ref="B192:C192"/>
    <mergeCell ref="B193:C195"/>
    <mergeCell ref="D193:E193"/>
    <mergeCell ref="D194:E194"/>
    <mergeCell ref="D195:E195"/>
    <mergeCell ref="B222:G222"/>
    <mergeCell ref="B224:C224"/>
    <mergeCell ref="B226:C226"/>
    <mergeCell ref="B227:C227"/>
    <mergeCell ref="B228:C228"/>
    <mergeCell ref="B229:C229"/>
    <mergeCell ref="B216:E216"/>
    <mergeCell ref="B217:F217"/>
    <mergeCell ref="C218:E218"/>
    <mergeCell ref="C219:E219"/>
    <mergeCell ref="C220:G220"/>
    <mergeCell ref="B221:G221"/>
    <mergeCell ref="B209:C209"/>
    <mergeCell ref="B211:C211"/>
    <mergeCell ref="B212:C212"/>
    <mergeCell ref="B213:E213"/>
    <mergeCell ref="B214:G214"/>
    <mergeCell ref="B215:F215"/>
    <mergeCell ref="B243:C243"/>
    <mergeCell ref="B244:C244"/>
    <mergeCell ref="B245:C245"/>
    <mergeCell ref="B246:C248"/>
    <mergeCell ref="D246:E246"/>
    <mergeCell ref="D247:E247"/>
    <mergeCell ref="D248:E248"/>
    <mergeCell ref="B237:C237"/>
    <mergeCell ref="B238:C238"/>
    <mergeCell ref="B239:C239"/>
    <mergeCell ref="B240:C240"/>
    <mergeCell ref="B241:C241"/>
    <mergeCell ref="B242:C242"/>
    <mergeCell ref="B230:C230"/>
    <mergeCell ref="B231:C231"/>
    <mergeCell ref="B232:E232"/>
    <mergeCell ref="B233:G233"/>
    <mergeCell ref="B234:G234"/>
    <mergeCell ref="B235:C235"/>
    <mergeCell ref="B279:C279"/>
    <mergeCell ref="B280:C280"/>
    <mergeCell ref="B262:C262"/>
    <mergeCell ref="B264:C264"/>
    <mergeCell ref="B265:C265"/>
    <mergeCell ref="B266:E266"/>
    <mergeCell ref="B267:G267"/>
    <mergeCell ref="B268:F268"/>
    <mergeCell ref="B269:E269"/>
    <mergeCell ref="B270:F270"/>
    <mergeCell ref="B256:C256"/>
    <mergeCell ref="B257:C257"/>
    <mergeCell ref="B258:C258"/>
    <mergeCell ref="B259:E259"/>
    <mergeCell ref="B260:G260"/>
    <mergeCell ref="B261:G261"/>
    <mergeCell ref="B249:G249"/>
    <mergeCell ref="B250:G250"/>
    <mergeCell ref="B251:C251"/>
    <mergeCell ref="B252:C252"/>
    <mergeCell ref="B254:C254"/>
    <mergeCell ref="B255:C255"/>
    <mergeCell ref="C272:E272"/>
    <mergeCell ref="B302:G302"/>
    <mergeCell ref="B303:G303"/>
    <mergeCell ref="B304:C304"/>
    <mergeCell ref="B305:C305"/>
    <mergeCell ref="B307:C307"/>
    <mergeCell ref="B308:C308"/>
    <mergeCell ref="B297:C297"/>
    <mergeCell ref="B298:C298"/>
    <mergeCell ref="B299:C301"/>
    <mergeCell ref="D299:E299"/>
    <mergeCell ref="D300:E300"/>
    <mergeCell ref="D301:E301"/>
    <mergeCell ref="B291:C291"/>
    <mergeCell ref="B292:C292"/>
    <mergeCell ref="B293:C293"/>
    <mergeCell ref="B294:C294"/>
    <mergeCell ref="B295:C295"/>
    <mergeCell ref="B296:C296"/>
    <mergeCell ref="B322:E322"/>
    <mergeCell ref="B323:F323"/>
    <mergeCell ref="C324:E324"/>
    <mergeCell ref="C325:E325"/>
    <mergeCell ref="C326:G326"/>
    <mergeCell ref="B327:G327"/>
    <mergeCell ref="B315:C315"/>
    <mergeCell ref="B317:C317"/>
    <mergeCell ref="B318:C318"/>
    <mergeCell ref="B319:E319"/>
    <mergeCell ref="B320:G320"/>
    <mergeCell ref="B321:F321"/>
    <mergeCell ref="B309:C309"/>
    <mergeCell ref="B310:C310"/>
    <mergeCell ref="B311:C311"/>
    <mergeCell ref="B312:E312"/>
    <mergeCell ref="B313:G313"/>
    <mergeCell ref="B314:G314"/>
    <mergeCell ref="B343:C343"/>
    <mergeCell ref="B344:C344"/>
    <mergeCell ref="B345:C345"/>
    <mergeCell ref="B346:C346"/>
    <mergeCell ref="B347:C347"/>
    <mergeCell ref="B348:C348"/>
    <mergeCell ref="B336:C336"/>
    <mergeCell ref="B337:C337"/>
    <mergeCell ref="B338:E338"/>
    <mergeCell ref="B339:G339"/>
    <mergeCell ref="B340:G340"/>
    <mergeCell ref="B341:C341"/>
    <mergeCell ref="B328:G328"/>
    <mergeCell ref="B330:C330"/>
    <mergeCell ref="B332:C332"/>
    <mergeCell ref="B333:C333"/>
    <mergeCell ref="B334:C334"/>
    <mergeCell ref="B335:C335"/>
    <mergeCell ref="B362:C362"/>
    <mergeCell ref="B363:C363"/>
    <mergeCell ref="B364:C364"/>
    <mergeCell ref="B365:E365"/>
    <mergeCell ref="B366:G366"/>
    <mergeCell ref="B367:G367"/>
    <mergeCell ref="B355:G355"/>
    <mergeCell ref="B356:G356"/>
    <mergeCell ref="B357:C357"/>
    <mergeCell ref="B358:C358"/>
    <mergeCell ref="B360:C360"/>
    <mergeCell ref="B361:C361"/>
    <mergeCell ref="B349:C349"/>
    <mergeCell ref="B350:C350"/>
    <mergeCell ref="B351:C351"/>
    <mergeCell ref="B352:C354"/>
    <mergeCell ref="D352:E352"/>
    <mergeCell ref="D353:E353"/>
    <mergeCell ref="D354:E354"/>
    <mergeCell ref="B381:G381"/>
    <mergeCell ref="B383:C383"/>
    <mergeCell ref="B385:C385"/>
    <mergeCell ref="B386:C386"/>
    <mergeCell ref="B387:C387"/>
    <mergeCell ref="B388:C388"/>
    <mergeCell ref="B375:E375"/>
    <mergeCell ref="B376:F376"/>
    <mergeCell ref="C377:E377"/>
    <mergeCell ref="C378:E378"/>
    <mergeCell ref="C379:G379"/>
    <mergeCell ref="B380:G380"/>
    <mergeCell ref="B368:C368"/>
    <mergeCell ref="B370:C370"/>
    <mergeCell ref="B371:C371"/>
    <mergeCell ref="B372:E372"/>
    <mergeCell ref="B373:G373"/>
    <mergeCell ref="B374:F374"/>
    <mergeCell ref="B402:C402"/>
    <mergeCell ref="B403:C403"/>
    <mergeCell ref="B404:C404"/>
    <mergeCell ref="B405:C407"/>
    <mergeCell ref="D405:E405"/>
    <mergeCell ref="D406:E406"/>
    <mergeCell ref="D407:E407"/>
    <mergeCell ref="B396:C396"/>
    <mergeCell ref="B397:C397"/>
    <mergeCell ref="B398:C398"/>
    <mergeCell ref="B399:C399"/>
    <mergeCell ref="B400:C400"/>
    <mergeCell ref="B401:C401"/>
    <mergeCell ref="B389:C389"/>
    <mergeCell ref="B390:C390"/>
    <mergeCell ref="B391:E391"/>
    <mergeCell ref="B392:G392"/>
    <mergeCell ref="B393:G393"/>
    <mergeCell ref="B394:C394"/>
    <mergeCell ref="B421:C421"/>
    <mergeCell ref="B423:C423"/>
    <mergeCell ref="B424:C424"/>
    <mergeCell ref="B425:E425"/>
    <mergeCell ref="B426:G426"/>
    <mergeCell ref="B427:F427"/>
    <mergeCell ref="B415:C415"/>
    <mergeCell ref="B416:C416"/>
    <mergeCell ref="B417:C417"/>
    <mergeCell ref="B418:E418"/>
    <mergeCell ref="B419:G419"/>
    <mergeCell ref="B420:G420"/>
    <mergeCell ref="B408:G408"/>
    <mergeCell ref="B409:G409"/>
    <mergeCell ref="B410:C410"/>
    <mergeCell ref="B411:C411"/>
    <mergeCell ref="B413:C413"/>
    <mergeCell ref="B414:C414"/>
    <mergeCell ref="B492:C492"/>
    <mergeCell ref="B493:C493"/>
    <mergeCell ref="B494:E494"/>
    <mergeCell ref="B495:G495"/>
    <mergeCell ref="B496:G496"/>
    <mergeCell ref="B497:C497"/>
    <mergeCell ref="B484:G484"/>
    <mergeCell ref="B486:C486"/>
    <mergeCell ref="B488:C488"/>
    <mergeCell ref="B489:C489"/>
    <mergeCell ref="B490:C490"/>
    <mergeCell ref="B491:C491"/>
    <mergeCell ref="B428:E428"/>
    <mergeCell ref="B429:F429"/>
    <mergeCell ref="C480:E480"/>
    <mergeCell ref="C481:E481"/>
    <mergeCell ref="C482:G482"/>
    <mergeCell ref="B483:G483"/>
    <mergeCell ref="B441:C441"/>
    <mergeCell ref="B442:C442"/>
    <mergeCell ref="B443:C443"/>
    <mergeCell ref="B449:C449"/>
    <mergeCell ref="B459:G459"/>
    <mergeCell ref="B460:G460"/>
    <mergeCell ref="B461:C461"/>
    <mergeCell ref="B462:C462"/>
    <mergeCell ref="B464:C464"/>
    <mergeCell ref="B465:C465"/>
    <mergeCell ref="B453:C453"/>
    <mergeCell ref="B454:C454"/>
    <mergeCell ref="B455:C455"/>
    <mergeCell ref="B456:C458"/>
    <mergeCell ref="B511:G511"/>
    <mergeCell ref="B512:G512"/>
    <mergeCell ref="B513:C513"/>
    <mergeCell ref="B514:C514"/>
    <mergeCell ref="B516:C516"/>
    <mergeCell ref="B517:C517"/>
    <mergeCell ref="B505:C505"/>
    <mergeCell ref="B506:C506"/>
    <mergeCell ref="B507:C507"/>
    <mergeCell ref="B508:C510"/>
    <mergeCell ref="D508:E508"/>
    <mergeCell ref="D509:E509"/>
    <mergeCell ref="D510:E510"/>
    <mergeCell ref="B499:C499"/>
    <mergeCell ref="B500:C500"/>
    <mergeCell ref="B501:C501"/>
    <mergeCell ref="B502:C502"/>
    <mergeCell ref="B503:C503"/>
    <mergeCell ref="B504:C504"/>
    <mergeCell ref="B1152:C1152"/>
    <mergeCell ref="B1153:C1153"/>
    <mergeCell ref="B1154:C1154"/>
    <mergeCell ref="B1155:C1155"/>
    <mergeCell ref="B1156:C1156"/>
    <mergeCell ref="B1157:E1157"/>
    <mergeCell ref="C533:E533"/>
    <mergeCell ref="C534:E534"/>
    <mergeCell ref="B524:C524"/>
    <mergeCell ref="B526:C526"/>
    <mergeCell ref="B527:C527"/>
    <mergeCell ref="B528:E528"/>
    <mergeCell ref="B529:G529"/>
    <mergeCell ref="B530:F530"/>
    <mergeCell ref="B531:E531"/>
    <mergeCell ref="B532:F532"/>
    <mergeCell ref="B518:C518"/>
    <mergeCell ref="B519:C519"/>
    <mergeCell ref="B520:C520"/>
    <mergeCell ref="B521:E521"/>
    <mergeCell ref="B522:G522"/>
    <mergeCell ref="B523:G523"/>
    <mergeCell ref="B1067:G1067"/>
    <mergeCell ref="B1069:C1069"/>
    <mergeCell ref="B1071:C1071"/>
    <mergeCell ref="C1063:E1063"/>
    <mergeCell ref="C1064:E1064"/>
    <mergeCell ref="C1065:G1065"/>
    <mergeCell ref="B1076:C1076"/>
    <mergeCell ref="B1077:E1077"/>
    <mergeCell ref="B1078:G1078"/>
    <mergeCell ref="B1079:G1079"/>
    <mergeCell ref="C1171:G1171"/>
    <mergeCell ref="B1172:G1172"/>
    <mergeCell ref="B1173:G1173"/>
    <mergeCell ref="B1175:C1175"/>
    <mergeCell ref="B1177:C1177"/>
    <mergeCell ref="B1178:C1178"/>
    <mergeCell ref="B1165:G1165"/>
    <mergeCell ref="B1166:F1166"/>
    <mergeCell ref="B1167:E1167"/>
    <mergeCell ref="B1168:F1168"/>
    <mergeCell ref="C1169:E1169"/>
    <mergeCell ref="C1170:E1170"/>
    <mergeCell ref="B1158:G1158"/>
    <mergeCell ref="B1159:G1159"/>
    <mergeCell ref="B1160:C1160"/>
    <mergeCell ref="B1162:C1162"/>
    <mergeCell ref="B1163:C1163"/>
    <mergeCell ref="B1164:E1164"/>
    <mergeCell ref="B1201:G1201"/>
    <mergeCell ref="B1202:C1202"/>
    <mergeCell ref="B1192:C1192"/>
    <mergeCell ref="B1193:C1193"/>
    <mergeCell ref="B1194:C1194"/>
    <mergeCell ref="B1195:C1195"/>
    <mergeCell ref="B1196:C1196"/>
    <mergeCell ref="B1197:C1199"/>
    <mergeCell ref="B1185:G1185"/>
    <mergeCell ref="B1186:C1186"/>
    <mergeCell ref="B1188:C1188"/>
    <mergeCell ref="B1189:C1189"/>
    <mergeCell ref="B1190:C1190"/>
    <mergeCell ref="B1191:C1191"/>
    <mergeCell ref="B1179:C1179"/>
    <mergeCell ref="B1180:C1180"/>
    <mergeCell ref="B1181:C1181"/>
    <mergeCell ref="B1182:C1182"/>
    <mergeCell ref="B1183:E1183"/>
    <mergeCell ref="B1184:G1184"/>
    <mergeCell ref="B1217:E1217"/>
    <mergeCell ref="B1218:G1218"/>
    <mergeCell ref="B1219:F1219"/>
    <mergeCell ref="B1220:E1220"/>
    <mergeCell ref="B1221:F1221"/>
    <mergeCell ref="C798:E798"/>
    <mergeCell ref="C799:E799"/>
    <mergeCell ref="C800:G800"/>
    <mergeCell ref="B801:G801"/>
    <mergeCell ref="B802:G802"/>
    <mergeCell ref="B1210:E1210"/>
    <mergeCell ref="B1211:G1211"/>
    <mergeCell ref="B1212:G1212"/>
    <mergeCell ref="B1213:C1213"/>
    <mergeCell ref="B1215:C1215"/>
    <mergeCell ref="B1216:C1216"/>
    <mergeCell ref="B1203:C1203"/>
    <mergeCell ref="B1205:C1205"/>
    <mergeCell ref="B1206:C1206"/>
    <mergeCell ref="B1207:C1207"/>
    <mergeCell ref="B1208:C1208"/>
    <mergeCell ref="B1209:C1209"/>
    <mergeCell ref="D1197:E1197"/>
    <mergeCell ref="D1198:E1198"/>
    <mergeCell ref="D1199:E1199"/>
    <mergeCell ref="B1200:G1200"/>
    <mergeCell ref="B826:C828"/>
    <mergeCell ref="D826:E826"/>
    <mergeCell ref="D827:E827"/>
    <mergeCell ref="D828:E828"/>
    <mergeCell ref="B829:G829"/>
    <mergeCell ref="B830:G830"/>
    <mergeCell ref="B825:C825"/>
    <mergeCell ref="B813:G813"/>
    <mergeCell ref="B814:G814"/>
    <mergeCell ref="B815:C815"/>
    <mergeCell ref="B817:C817"/>
    <mergeCell ref="B818:C818"/>
    <mergeCell ref="B819:C819"/>
    <mergeCell ref="B845:C845"/>
    <mergeCell ref="B846:E846"/>
    <mergeCell ref="B847:G847"/>
    <mergeCell ref="B848:F848"/>
    <mergeCell ref="B849:E849"/>
    <mergeCell ref="B850:F850"/>
    <mergeCell ref="B838:C838"/>
    <mergeCell ref="B839:E839"/>
    <mergeCell ref="B840:G840"/>
    <mergeCell ref="B841:G841"/>
    <mergeCell ref="B842:C842"/>
    <mergeCell ref="B844:C844"/>
    <mergeCell ref="B831:C831"/>
    <mergeCell ref="B832:C832"/>
    <mergeCell ref="B834:C834"/>
    <mergeCell ref="B835:C835"/>
    <mergeCell ref="B836:C836"/>
    <mergeCell ref="B837:C837"/>
    <mergeCell ref="B865:E865"/>
    <mergeCell ref="B866:G866"/>
    <mergeCell ref="B867:G867"/>
    <mergeCell ref="B868:C868"/>
    <mergeCell ref="B870:C870"/>
    <mergeCell ref="B871:C871"/>
    <mergeCell ref="B859:C859"/>
    <mergeCell ref="B860:C860"/>
    <mergeCell ref="B861:C861"/>
    <mergeCell ref="B862:C862"/>
    <mergeCell ref="B863:C863"/>
    <mergeCell ref="B864:C864"/>
    <mergeCell ref="C851:E851"/>
    <mergeCell ref="C852:E852"/>
    <mergeCell ref="C853:G853"/>
    <mergeCell ref="B854:G854"/>
    <mergeCell ref="B855:G855"/>
    <mergeCell ref="B857:C857"/>
    <mergeCell ref="B883:G883"/>
    <mergeCell ref="B884:C884"/>
    <mergeCell ref="B885:C885"/>
    <mergeCell ref="B887:C887"/>
    <mergeCell ref="B888:C888"/>
    <mergeCell ref="B889:C889"/>
    <mergeCell ref="B878:C878"/>
    <mergeCell ref="B879:C881"/>
    <mergeCell ref="D879:E879"/>
    <mergeCell ref="D880:E880"/>
    <mergeCell ref="D881:E881"/>
    <mergeCell ref="B882:G882"/>
    <mergeCell ref="B872:C872"/>
    <mergeCell ref="B873:C873"/>
    <mergeCell ref="B874:C874"/>
    <mergeCell ref="B875:C875"/>
    <mergeCell ref="B876:C876"/>
    <mergeCell ref="B877:C877"/>
    <mergeCell ref="B903:F903"/>
    <mergeCell ref="C904:E904"/>
    <mergeCell ref="C905:E905"/>
    <mergeCell ref="C906:G906"/>
    <mergeCell ref="B907:G907"/>
    <mergeCell ref="B908:G908"/>
    <mergeCell ref="B897:C897"/>
    <mergeCell ref="B898:C898"/>
    <mergeCell ref="B899:E899"/>
    <mergeCell ref="B900:G900"/>
    <mergeCell ref="B901:F901"/>
    <mergeCell ref="B902:E902"/>
    <mergeCell ref="B890:C890"/>
    <mergeCell ref="B891:C891"/>
    <mergeCell ref="B892:E892"/>
    <mergeCell ref="B893:G893"/>
    <mergeCell ref="B894:G894"/>
    <mergeCell ref="B895:C895"/>
    <mergeCell ref="D933:E933"/>
    <mergeCell ref="D934:E934"/>
    <mergeCell ref="B924:C924"/>
    <mergeCell ref="B925:C925"/>
    <mergeCell ref="B926:C926"/>
    <mergeCell ref="B927:C927"/>
    <mergeCell ref="B928:C928"/>
    <mergeCell ref="B929:C929"/>
    <mergeCell ref="B917:C917"/>
    <mergeCell ref="B918:E918"/>
    <mergeCell ref="B919:G919"/>
    <mergeCell ref="B920:G920"/>
    <mergeCell ref="B921:C921"/>
    <mergeCell ref="B923:C923"/>
    <mergeCell ref="B910:C910"/>
    <mergeCell ref="B912:C912"/>
    <mergeCell ref="B913:C913"/>
    <mergeCell ref="B914:C914"/>
    <mergeCell ref="B915:C915"/>
    <mergeCell ref="B916:C916"/>
    <mergeCell ref="B955:E955"/>
    <mergeCell ref="B956:F956"/>
    <mergeCell ref="C586:E586"/>
    <mergeCell ref="C587:E587"/>
    <mergeCell ref="C588:G588"/>
    <mergeCell ref="B589:G589"/>
    <mergeCell ref="B602:G602"/>
    <mergeCell ref="B603:C603"/>
    <mergeCell ref="B596:C596"/>
    <mergeCell ref="B597:C597"/>
    <mergeCell ref="B948:C948"/>
    <mergeCell ref="B950:C950"/>
    <mergeCell ref="B951:C951"/>
    <mergeCell ref="B952:E952"/>
    <mergeCell ref="B953:G953"/>
    <mergeCell ref="B954:F954"/>
    <mergeCell ref="B942:C942"/>
    <mergeCell ref="B943:C943"/>
    <mergeCell ref="B944:C944"/>
    <mergeCell ref="B945:E945"/>
    <mergeCell ref="B946:G946"/>
    <mergeCell ref="B947:G947"/>
    <mergeCell ref="B935:G935"/>
    <mergeCell ref="B936:G936"/>
    <mergeCell ref="B937:C937"/>
    <mergeCell ref="B938:C938"/>
    <mergeCell ref="B940:C940"/>
    <mergeCell ref="B941:C941"/>
    <mergeCell ref="B930:C930"/>
    <mergeCell ref="B931:C931"/>
    <mergeCell ref="B932:C934"/>
    <mergeCell ref="D932:E932"/>
    <mergeCell ref="B636:F636"/>
    <mergeCell ref="B637:E637"/>
    <mergeCell ref="B638:F638"/>
    <mergeCell ref="C639:E639"/>
    <mergeCell ref="C640:E640"/>
    <mergeCell ref="C641:G641"/>
    <mergeCell ref="B629:G629"/>
    <mergeCell ref="B630:C630"/>
    <mergeCell ref="B632:C632"/>
    <mergeCell ref="B633:C633"/>
    <mergeCell ref="B634:E634"/>
    <mergeCell ref="B635:G635"/>
    <mergeCell ref="B623:C623"/>
    <mergeCell ref="B624:C624"/>
    <mergeCell ref="B625:C625"/>
    <mergeCell ref="B626:C626"/>
    <mergeCell ref="B627:E627"/>
    <mergeCell ref="B628:G628"/>
    <mergeCell ref="B656:C656"/>
    <mergeCell ref="B658:C658"/>
    <mergeCell ref="B659:C659"/>
    <mergeCell ref="B660:C660"/>
    <mergeCell ref="B661:C661"/>
    <mergeCell ref="B662:C662"/>
    <mergeCell ref="B650:C650"/>
    <mergeCell ref="B651:C651"/>
    <mergeCell ref="B652:C652"/>
    <mergeCell ref="B653:E653"/>
    <mergeCell ref="B654:G654"/>
    <mergeCell ref="B655:G655"/>
    <mergeCell ref="B642:G642"/>
    <mergeCell ref="B643:G643"/>
    <mergeCell ref="B645:C645"/>
    <mergeCell ref="B647:C647"/>
    <mergeCell ref="B648:C648"/>
    <mergeCell ref="B649:C649"/>
    <mergeCell ref="B677:C677"/>
    <mergeCell ref="B678:C678"/>
    <mergeCell ref="B679:C679"/>
    <mergeCell ref="B680:E680"/>
    <mergeCell ref="B681:G681"/>
    <mergeCell ref="B682:G682"/>
    <mergeCell ref="B670:G670"/>
    <mergeCell ref="B671:G671"/>
    <mergeCell ref="B672:C672"/>
    <mergeCell ref="B673:C673"/>
    <mergeCell ref="B675:C675"/>
    <mergeCell ref="B676:C676"/>
    <mergeCell ref="B663:C663"/>
    <mergeCell ref="B664:C664"/>
    <mergeCell ref="B665:C665"/>
    <mergeCell ref="B666:C666"/>
    <mergeCell ref="B667:C669"/>
    <mergeCell ref="D667:E667"/>
    <mergeCell ref="D668:E668"/>
    <mergeCell ref="D669:E669"/>
    <mergeCell ref="B696:G696"/>
    <mergeCell ref="B698:C698"/>
    <mergeCell ref="B700:C700"/>
    <mergeCell ref="B701:C701"/>
    <mergeCell ref="B702:C702"/>
    <mergeCell ref="B703:C703"/>
    <mergeCell ref="B690:E690"/>
    <mergeCell ref="B691:F691"/>
    <mergeCell ref="C692:E692"/>
    <mergeCell ref="C693:E693"/>
    <mergeCell ref="C694:G694"/>
    <mergeCell ref="B695:G695"/>
    <mergeCell ref="B683:C683"/>
    <mergeCell ref="B685:C685"/>
    <mergeCell ref="B686:C686"/>
    <mergeCell ref="B687:E687"/>
    <mergeCell ref="B688:G688"/>
    <mergeCell ref="B689:F689"/>
    <mergeCell ref="B726:C726"/>
    <mergeCell ref="B728:C728"/>
    <mergeCell ref="B729:C729"/>
    <mergeCell ref="B717:C717"/>
    <mergeCell ref="B718:C718"/>
    <mergeCell ref="B719:C719"/>
    <mergeCell ref="B720:C722"/>
    <mergeCell ref="D720:E720"/>
    <mergeCell ref="D721:E721"/>
    <mergeCell ref="D722:E722"/>
    <mergeCell ref="B711:C711"/>
    <mergeCell ref="B712:C712"/>
    <mergeCell ref="B713:C713"/>
    <mergeCell ref="B714:C714"/>
    <mergeCell ref="B715:C715"/>
    <mergeCell ref="B716:C716"/>
    <mergeCell ref="B704:C704"/>
    <mergeCell ref="B705:C705"/>
    <mergeCell ref="B706:E706"/>
    <mergeCell ref="B707:G707"/>
    <mergeCell ref="B708:G708"/>
    <mergeCell ref="B709:C709"/>
    <mergeCell ref="D456:E456"/>
    <mergeCell ref="D457:E457"/>
    <mergeCell ref="D458:E458"/>
    <mergeCell ref="C430:E430"/>
    <mergeCell ref="C431:E431"/>
    <mergeCell ref="C432:G432"/>
    <mergeCell ref="B433:G433"/>
    <mergeCell ref="B434:G434"/>
    <mergeCell ref="B436:C436"/>
    <mergeCell ref="B438:C438"/>
    <mergeCell ref="B439:C439"/>
    <mergeCell ref="B450:C450"/>
    <mergeCell ref="B444:E444"/>
    <mergeCell ref="B445:G445"/>
    <mergeCell ref="B440:C440"/>
    <mergeCell ref="B446:G446"/>
    <mergeCell ref="B447:C447"/>
    <mergeCell ref="B451:C451"/>
    <mergeCell ref="B452:C452"/>
    <mergeCell ref="B476:G476"/>
    <mergeCell ref="B477:F477"/>
    <mergeCell ref="B478:E478"/>
    <mergeCell ref="B479:F479"/>
    <mergeCell ref="C1222:E1222"/>
    <mergeCell ref="C1223:E1223"/>
    <mergeCell ref="B744:F744"/>
    <mergeCell ref="B743:E743"/>
    <mergeCell ref="B735:G735"/>
    <mergeCell ref="B736:C736"/>
    <mergeCell ref="B466:C466"/>
    <mergeCell ref="B467:C467"/>
    <mergeCell ref="B472:C472"/>
    <mergeCell ref="B474:C474"/>
    <mergeCell ref="B475:E475"/>
    <mergeCell ref="B468:C468"/>
    <mergeCell ref="B469:E469"/>
    <mergeCell ref="B470:G470"/>
    <mergeCell ref="B471:G471"/>
    <mergeCell ref="B742:F742"/>
    <mergeCell ref="B731:C731"/>
    <mergeCell ref="B732:C732"/>
    <mergeCell ref="B733:E733"/>
    <mergeCell ref="B734:G734"/>
    <mergeCell ref="B730:C730"/>
    <mergeCell ref="B738:C738"/>
    <mergeCell ref="B739:C739"/>
    <mergeCell ref="B740:E740"/>
    <mergeCell ref="B741:G741"/>
    <mergeCell ref="B723:G723"/>
    <mergeCell ref="B724:G724"/>
    <mergeCell ref="B725:C725"/>
    <mergeCell ref="B1238:G1238"/>
    <mergeCell ref="B1239:C1239"/>
    <mergeCell ref="B1241:C1241"/>
    <mergeCell ref="B1242:C1242"/>
    <mergeCell ref="B1243:C1243"/>
    <mergeCell ref="B1244:C1244"/>
    <mergeCell ref="B1232:C1232"/>
    <mergeCell ref="B1233:C1233"/>
    <mergeCell ref="B1234:C1234"/>
    <mergeCell ref="B1235:C1235"/>
    <mergeCell ref="B1236:E1236"/>
    <mergeCell ref="B1237:G1237"/>
    <mergeCell ref="C1224:G1224"/>
    <mergeCell ref="B1225:G1225"/>
    <mergeCell ref="B1226:G1226"/>
    <mergeCell ref="B1228:C1228"/>
    <mergeCell ref="B1230:C1230"/>
    <mergeCell ref="B1231:C1231"/>
    <mergeCell ref="B1256:C1256"/>
    <mergeCell ref="B1258:C1258"/>
    <mergeCell ref="B1259:C1259"/>
    <mergeCell ref="B1260:C1260"/>
    <mergeCell ref="B1261:C1261"/>
    <mergeCell ref="B1262:C1262"/>
    <mergeCell ref="D1250:E1250"/>
    <mergeCell ref="D1251:E1251"/>
    <mergeCell ref="D1252:E1252"/>
    <mergeCell ref="B1253:G1253"/>
    <mergeCell ref="B1254:G1254"/>
    <mergeCell ref="B1255:C1255"/>
    <mergeCell ref="B1245:C1245"/>
    <mergeCell ref="B1246:C1246"/>
    <mergeCell ref="B1247:C1247"/>
    <mergeCell ref="B1248:C1248"/>
    <mergeCell ref="B1249:C1249"/>
    <mergeCell ref="B1250:C1252"/>
    <mergeCell ref="C1276:E1276"/>
    <mergeCell ref="C1277:G1277"/>
    <mergeCell ref="B1278:G1278"/>
    <mergeCell ref="B1279:G1279"/>
    <mergeCell ref="B1281:C1281"/>
    <mergeCell ref="B1283:C1283"/>
    <mergeCell ref="B1270:E1270"/>
    <mergeCell ref="B1271:G1271"/>
    <mergeCell ref="B1272:F1272"/>
    <mergeCell ref="B1273:E1273"/>
    <mergeCell ref="B1274:F1274"/>
    <mergeCell ref="C1275:E1275"/>
    <mergeCell ref="B1263:E1263"/>
    <mergeCell ref="B1264:G1264"/>
    <mergeCell ref="B1265:G1265"/>
    <mergeCell ref="B1266:C1266"/>
    <mergeCell ref="B1268:C1268"/>
    <mergeCell ref="B1269:C1269"/>
    <mergeCell ref="B1297:C1297"/>
    <mergeCell ref="B1298:C1298"/>
    <mergeCell ref="B1299:C1299"/>
    <mergeCell ref="B1300:C1300"/>
    <mergeCell ref="B1301:C1301"/>
    <mergeCell ref="B1302:C1302"/>
    <mergeCell ref="B1290:G1290"/>
    <mergeCell ref="B1291:G1291"/>
    <mergeCell ref="B1292:C1292"/>
    <mergeCell ref="B1294:C1294"/>
    <mergeCell ref="B1295:C1295"/>
    <mergeCell ref="B1296:C1296"/>
    <mergeCell ref="B1284:C1284"/>
    <mergeCell ref="B1285:C1285"/>
    <mergeCell ref="B1286:C1286"/>
    <mergeCell ref="B1287:C1287"/>
    <mergeCell ref="B1288:C1288"/>
    <mergeCell ref="B1289:E1289"/>
    <mergeCell ref="B1315:C1315"/>
    <mergeCell ref="B1316:E1316"/>
    <mergeCell ref="B1317:G1317"/>
    <mergeCell ref="B1318:G1318"/>
    <mergeCell ref="B1319:C1319"/>
    <mergeCell ref="B1321:C1321"/>
    <mergeCell ref="B1308:C1308"/>
    <mergeCell ref="B1309:C1309"/>
    <mergeCell ref="B1311:C1311"/>
    <mergeCell ref="B1312:C1312"/>
    <mergeCell ref="B1313:C1313"/>
    <mergeCell ref="B1314:C1314"/>
    <mergeCell ref="B1303:C1305"/>
    <mergeCell ref="D1303:E1303"/>
    <mergeCell ref="D1304:E1304"/>
    <mergeCell ref="D1305:E1305"/>
    <mergeCell ref="B1306:G1306"/>
    <mergeCell ref="B1307:G1307"/>
    <mergeCell ref="B1336:C1336"/>
    <mergeCell ref="B1337:C1337"/>
    <mergeCell ref="B1338:C1338"/>
    <mergeCell ref="B1339:C1339"/>
    <mergeCell ref="B1340:C1340"/>
    <mergeCell ref="B1341:C1341"/>
    <mergeCell ref="C1328:E1328"/>
    <mergeCell ref="C1329:E1329"/>
    <mergeCell ref="C1330:G1330"/>
    <mergeCell ref="B1331:G1331"/>
    <mergeCell ref="B1332:G1332"/>
    <mergeCell ref="B1334:C1334"/>
    <mergeCell ref="B1322:C1322"/>
    <mergeCell ref="B1323:E1323"/>
    <mergeCell ref="B1324:G1324"/>
    <mergeCell ref="B1325:F1325"/>
    <mergeCell ref="B1326:E1326"/>
    <mergeCell ref="B1327:F1327"/>
    <mergeCell ref="B1355:C1355"/>
    <mergeCell ref="B1356:C1358"/>
    <mergeCell ref="D1356:E1356"/>
    <mergeCell ref="D1357:E1357"/>
    <mergeCell ref="D1358:E1358"/>
    <mergeCell ref="B1359:G1359"/>
    <mergeCell ref="B1349:C1349"/>
    <mergeCell ref="B1350:C1350"/>
    <mergeCell ref="B1351:C1351"/>
    <mergeCell ref="B1352:C1352"/>
    <mergeCell ref="B1353:C1353"/>
    <mergeCell ref="B1354:C1354"/>
    <mergeCell ref="B1342:E1342"/>
    <mergeCell ref="B1343:G1343"/>
    <mergeCell ref="B1344:G1344"/>
    <mergeCell ref="B1345:C1345"/>
    <mergeCell ref="B1347:C1347"/>
    <mergeCell ref="B1348:C1348"/>
    <mergeCell ref="B1374:C1374"/>
    <mergeCell ref="B1375:C1375"/>
    <mergeCell ref="B1376:E1376"/>
    <mergeCell ref="B1377:G1377"/>
    <mergeCell ref="B1378:F1378"/>
    <mergeCell ref="B1379:E1379"/>
    <mergeCell ref="B1367:C1367"/>
    <mergeCell ref="B1368:C1368"/>
    <mergeCell ref="B1369:E1369"/>
    <mergeCell ref="B1370:G1370"/>
    <mergeCell ref="B1371:G1371"/>
    <mergeCell ref="B1372:C1372"/>
    <mergeCell ref="B1360:G1360"/>
    <mergeCell ref="B1361:C1361"/>
    <mergeCell ref="B1362:C1362"/>
    <mergeCell ref="B1364:C1364"/>
    <mergeCell ref="B1365:C1365"/>
    <mergeCell ref="B1366:C1366"/>
    <mergeCell ref="D1621:E1621"/>
    <mergeCell ref="D1622:E1622"/>
    <mergeCell ref="D1623:E1623"/>
    <mergeCell ref="B1380:F1380"/>
    <mergeCell ref="C1593:E1593"/>
    <mergeCell ref="C1594:E1594"/>
    <mergeCell ref="C1595:G1595"/>
    <mergeCell ref="B1596:G1596"/>
    <mergeCell ref="B1609:G1609"/>
    <mergeCell ref="B1603:C1603"/>
    <mergeCell ref="B1604:C1604"/>
    <mergeCell ref="B1605:C1605"/>
    <mergeCell ref="B1606:C1606"/>
    <mergeCell ref="B1471:C1471"/>
    <mergeCell ref="B1459:C1459"/>
    <mergeCell ref="B1460:C1460"/>
    <mergeCell ref="B1461:C1461"/>
    <mergeCell ref="B1472:C1472"/>
    <mergeCell ref="C1383:G1383"/>
    <mergeCell ref="B1384:G1384"/>
    <mergeCell ref="B1391:C1391"/>
    <mergeCell ref="B1392:C1392"/>
    <mergeCell ref="B1393:C1393"/>
    <mergeCell ref="B1394:C1394"/>
    <mergeCell ref="B1385:G1385"/>
    <mergeCell ref="B1387:C1387"/>
    <mergeCell ref="B1389:C1389"/>
    <mergeCell ref="B1390:C1390"/>
    <mergeCell ref="B1400:C1400"/>
    <mergeCell ref="B1401:C1401"/>
    <mergeCell ref="B1402:C1402"/>
    <mergeCell ref="B1403:C1403"/>
    <mergeCell ref="B1644:E1644"/>
    <mergeCell ref="B1645:F1645"/>
    <mergeCell ref="C1805:E1805"/>
    <mergeCell ref="C1806:E1806"/>
    <mergeCell ref="C1807:G1807"/>
    <mergeCell ref="B1808:G1808"/>
    <mergeCell ref="C1648:G1648"/>
    <mergeCell ref="B1649:G1649"/>
    <mergeCell ref="C1647:E1647"/>
    <mergeCell ref="B1656:C1656"/>
    <mergeCell ref="B1637:C1637"/>
    <mergeCell ref="B1639:C1639"/>
    <mergeCell ref="B1640:C1640"/>
    <mergeCell ref="B1641:E1641"/>
    <mergeCell ref="B1642:G1642"/>
    <mergeCell ref="B1643:F1643"/>
    <mergeCell ref="B1631:C1631"/>
    <mergeCell ref="B1632:C1632"/>
    <mergeCell ref="B1633:C1633"/>
    <mergeCell ref="B1634:E1634"/>
    <mergeCell ref="B1635:G1635"/>
    <mergeCell ref="B1636:G1636"/>
    <mergeCell ref="B1658:C1658"/>
    <mergeCell ref="B1659:C1659"/>
    <mergeCell ref="B1665:C1665"/>
    <mergeCell ref="B1666:C1666"/>
    <mergeCell ref="B1667:C1667"/>
    <mergeCell ref="B1668:C1668"/>
    <mergeCell ref="B1660:E1660"/>
    <mergeCell ref="B1661:G1661"/>
    <mergeCell ref="B1662:G1662"/>
    <mergeCell ref="B1663:C1663"/>
    <mergeCell ref="B1814:C1814"/>
    <mergeCell ref="B1815:C1815"/>
    <mergeCell ref="B1816:C1816"/>
    <mergeCell ref="B1817:C1817"/>
    <mergeCell ref="B1818:C1818"/>
    <mergeCell ref="B1844:C1844"/>
    <mergeCell ref="B1845:C1845"/>
    <mergeCell ref="B1846:E1846"/>
    <mergeCell ref="B1847:G1847"/>
    <mergeCell ref="B1848:G1848"/>
    <mergeCell ref="B1849:C1849"/>
    <mergeCell ref="B1837:G1837"/>
    <mergeCell ref="B1838:C1838"/>
    <mergeCell ref="B1839:C1839"/>
    <mergeCell ref="B1841:C1841"/>
    <mergeCell ref="B1842:C1842"/>
    <mergeCell ref="B1843:C1843"/>
    <mergeCell ref="B1832:C1832"/>
    <mergeCell ref="B1833:C1835"/>
    <mergeCell ref="D1833:E1833"/>
    <mergeCell ref="D1834:E1834"/>
    <mergeCell ref="D1835:E1835"/>
    <mergeCell ref="B1836:G1836"/>
    <mergeCell ref="B1864:C1864"/>
    <mergeCell ref="B1866:C1866"/>
    <mergeCell ref="B1867:C1867"/>
    <mergeCell ref="B1868:C1868"/>
    <mergeCell ref="B1869:C1869"/>
    <mergeCell ref="B1870:C1870"/>
    <mergeCell ref="B1857:F1857"/>
    <mergeCell ref="C1858:E1858"/>
    <mergeCell ref="C1859:E1859"/>
    <mergeCell ref="C1860:G1860"/>
    <mergeCell ref="B1861:G1861"/>
    <mergeCell ref="B1862:G1862"/>
    <mergeCell ref="B1851:C1851"/>
    <mergeCell ref="B1852:C1852"/>
    <mergeCell ref="B1853:E1853"/>
    <mergeCell ref="B1854:G1854"/>
    <mergeCell ref="B1855:F1855"/>
    <mergeCell ref="B1856:E1856"/>
    <mergeCell ref="B1884:C1884"/>
    <mergeCell ref="B1885:C1885"/>
    <mergeCell ref="B1886:C1888"/>
    <mergeCell ref="D1886:E1886"/>
    <mergeCell ref="D1887:E1887"/>
    <mergeCell ref="D1888:E1888"/>
    <mergeCell ref="B1878:C1878"/>
    <mergeCell ref="B1879:C1879"/>
    <mergeCell ref="B1880:C1880"/>
    <mergeCell ref="B1881:C1881"/>
    <mergeCell ref="B1882:C1882"/>
    <mergeCell ref="B1883:C1883"/>
    <mergeCell ref="B1871:C1871"/>
    <mergeCell ref="B1872:E1872"/>
    <mergeCell ref="B1873:G1873"/>
    <mergeCell ref="B1874:G1874"/>
    <mergeCell ref="B1875:C1875"/>
    <mergeCell ref="B1877:C1877"/>
    <mergeCell ref="B1902:C1902"/>
    <mergeCell ref="B1904:C1904"/>
    <mergeCell ref="B1905:C1905"/>
    <mergeCell ref="B1906:E1906"/>
    <mergeCell ref="B1907:G1907"/>
    <mergeCell ref="B1908:F1908"/>
    <mergeCell ref="B1896:C1896"/>
    <mergeCell ref="B1897:C1897"/>
    <mergeCell ref="B1898:C1898"/>
    <mergeCell ref="B1899:E1899"/>
    <mergeCell ref="B1900:G1900"/>
    <mergeCell ref="B1901:G1901"/>
    <mergeCell ref="B1889:G1889"/>
    <mergeCell ref="B1890:G1890"/>
    <mergeCell ref="B1891:C1891"/>
    <mergeCell ref="B1892:C1892"/>
    <mergeCell ref="B1894:C1894"/>
    <mergeCell ref="B1895:C1895"/>
    <mergeCell ref="B1924:C1924"/>
    <mergeCell ref="B1933:C1933"/>
    <mergeCell ref="B1925:E1925"/>
    <mergeCell ref="B1926:G1926"/>
    <mergeCell ref="B1927:G1927"/>
    <mergeCell ref="B1928:C1928"/>
    <mergeCell ref="B1915:G1915"/>
    <mergeCell ref="B1917:C1917"/>
    <mergeCell ref="B1919:C1919"/>
    <mergeCell ref="B1920:C1920"/>
    <mergeCell ref="B1921:C1921"/>
    <mergeCell ref="B1922:C1922"/>
    <mergeCell ref="B1909:E1909"/>
    <mergeCell ref="B1910:F1910"/>
    <mergeCell ref="C1911:E1911"/>
    <mergeCell ref="C1912:E1912"/>
    <mergeCell ref="C1913:G1913"/>
    <mergeCell ref="B1914:G1914"/>
    <mergeCell ref="C1:G1"/>
    <mergeCell ref="C2:G2"/>
    <mergeCell ref="B1960:G1960"/>
    <mergeCell ref="B1961:F1961"/>
    <mergeCell ref="B1951:C1951"/>
    <mergeCell ref="B1952:E1952"/>
    <mergeCell ref="B1953:G1953"/>
    <mergeCell ref="B1954:G1954"/>
    <mergeCell ref="B1947:C1947"/>
    <mergeCell ref="B1948:C1948"/>
    <mergeCell ref="B1962:E1962"/>
    <mergeCell ref="B1963:F1963"/>
    <mergeCell ref="B1955:C1955"/>
    <mergeCell ref="B1957:C1957"/>
    <mergeCell ref="B1958:C1958"/>
    <mergeCell ref="B1959:E1959"/>
    <mergeCell ref="D1939:E1939"/>
    <mergeCell ref="D1940:E1940"/>
    <mergeCell ref="D1941:E1941"/>
    <mergeCell ref="B1949:C1949"/>
    <mergeCell ref="B1950:C1950"/>
    <mergeCell ref="B1942:G1942"/>
    <mergeCell ref="B1943:G1943"/>
    <mergeCell ref="B1944:C1944"/>
    <mergeCell ref="B1945:C1945"/>
    <mergeCell ref="B1934:C1934"/>
    <mergeCell ref="B1935:C1935"/>
    <mergeCell ref="B1936:C1936"/>
    <mergeCell ref="B1937:C1937"/>
    <mergeCell ref="B1938:C1938"/>
    <mergeCell ref="B1939:C1941"/>
    <mergeCell ref="B1923:C1923"/>
    <mergeCell ref="B2031:E2031"/>
    <mergeCell ref="B2032:G2032"/>
    <mergeCell ref="B2033:G2033"/>
    <mergeCell ref="B2034:C2034"/>
    <mergeCell ref="B2039:C2039"/>
    <mergeCell ref="B2040:C2040"/>
    <mergeCell ref="B2025:C2025"/>
    <mergeCell ref="B2026:C2026"/>
    <mergeCell ref="B2027:C2027"/>
    <mergeCell ref="B2028:C2028"/>
    <mergeCell ref="B2029:C2029"/>
    <mergeCell ref="B2030:C2030"/>
    <mergeCell ref="C2017:E2017"/>
    <mergeCell ref="C2018:E2018"/>
    <mergeCell ref="C2019:G2019"/>
    <mergeCell ref="B2020:G2020"/>
    <mergeCell ref="B2021:G2021"/>
    <mergeCell ref="B2023:C2023"/>
    <mergeCell ref="B2068:E2068"/>
    <mergeCell ref="B2069:F2069"/>
    <mergeCell ref="B2036:C2036"/>
    <mergeCell ref="B2037:C2037"/>
    <mergeCell ref="B2038:C2038"/>
    <mergeCell ref="B2061:C2061"/>
    <mergeCell ref="B2063:C2063"/>
    <mergeCell ref="B2064:C2064"/>
    <mergeCell ref="B2065:E2065"/>
    <mergeCell ref="B2066:G2066"/>
    <mergeCell ref="B2067:F2067"/>
    <mergeCell ref="B2055:C2055"/>
    <mergeCell ref="B2056:C2056"/>
    <mergeCell ref="B2057:C2057"/>
    <mergeCell ref="B2058:E2058"/>
    <mergeCell ref="B2059:G2059"/>
    <mergeCell ref="B2060:G2060"/>
    <mergeCell ref="B2048:G2048"/>
    <mergeCell ref="B2049:G2049"/>
    <mergeCell ref="B2050:C2050"/>
    <mergeCell ref="B2051:C2051"/>
    <mergeCell ref="B2053:C2053"/>
    <mergeCell ref="B2054:C2054"/>
    <mergeCell ref="B2041:C2041"/>
    <mergeCell ref="B2042:C2042"/>
    <mergeCell ref="B2043:C2043"/>
    <mergeCell ref="B2044:C2044"/>
    <mergeCell ref="B2045:C2047"/>
    <mergeCell ref="D2045:E2045"/>
    <mergeCell ref="D2046:E2046"/>
    <mergeCell ref="D2047:E2047"/>
  </mergeCells>
  <phoneticPr fontId="0" type="noConversion"/>
  <hyperlinks>
    <hyperlink ref="H6" location="'ITEMS RESUMEN'!PRELIMINARES1" display="volver"/>
    <hyperlink ref="H58" location="'ITEMS RESUMEN'!PRELIMINARES1" display="volver"/>
    <hyperlink ref="H111" location="'ITEMS RESUMEN'!PRELIMINARES1" display="volver"/>
    <hyperlink ref="H164" location="'ITEMS RESUMEN'!PRELIMINARES1" display="volver"/>
    <hyperlink ref="H217" location="'ITEMS RESUMEN'!PRELIMINARES1" display="volver"/>
    <hyperlink ref="H270" location="'ITEMS RESUMEN'!PRELIMINARES1" display="volver"/>
    <hyperlink ref="H323" location="'ITEMS RESUMEN'!PRELIMINARES1" display="volver"/>
    <hyperlink ref="H376" location="'ITEMS RESUMEN'!PRELIMINARES1" display="volver"/>
    <hyperlink ref="H429" location="'ITEMS RESUMEN'!PRELIMINARES1" display="volver"/>
    <hyperlink ref="H479" location="'ITEMS RESUMEN'!PRELIMINARES1" display="volver"/>
    <hyperlink ref="H532" location="'ITEMS RESUMEN'!PRELIMINARES1" display="volver"/>
    <hyperlink ref="H585" location="'ITEMS RESUMEN'!PRELIMINARES1" display="volver"/>
    <hyperlink ref="H638" location="'ITEMS RESUMEN'!PRELIMINARES1" display="volver"/>
    <hyperlink ref="H691" location="'ITEMS RESUMEN'!PRELIMINARES1" display="volver"/>
    <hyperlink ref="H744" location="'ITEMS RESUMEN'!PRELIMINARES1" display="volver"/>
    <hyperlink ref="H797" location="'ITEMS RESUMEN'!PRELIMINARES1" display="volver"/>
    <hyperlink ref="H850" location="'ITEMS RESUMEN'!PRELIMINARES1" display="volver"/>
    <hyperlink ref="H903" location="'ITEMS RESUMEN'!PRELIMINARES1" display="volver"/>
    <hyperlink ref="H956" location="'ITEMS RESUMEN'!PRELIMINARES1" display="volver"/>
    <hyperlink ref="H1009" location="'ITEMS RESUMEN'!PRELIMINARES1" display="volver"/>
    <hyperlink ref="H1062" location="'ITEMS RESUMEN'!PRELIMINARES1" display="volver"/>
    <hyperlink ref="H1115" location="'ITEMS RESUMEN'!PRELIMINARES2" display="volver"/>
    <hyperlink ref="H1168" location="'ITEMS RESUMEN'!PRELIMINARES2" display="volver"/>
    <hyperlink ref="H1221" location="'ITEMS RESUMEN'!PRELIMINARES2" display="volver"/>
    <hyperlink ref="H1274" location="'ITEMS RESUMEN'!PRELIMINARES2" display="volver"/>
    <hyperlink ref="H1327" location="'ITEMS RESUMEN'!PRELIMINARES2" display="volver"/>
    <hyperlink ref="H1380" location="'ITEMS RESUMEN'!PRELIMINARES2" display="volver"/>
    <hyperlink ref="H1433" location="'ITEMS RESUMEN'!PRELIMINARES2" display="volver"/>
    <hyperlink ref="H1486" location="'ITEMS RESUMEN'!PRELIMINARES2" display="volver"/>
    <hyperlink ref="H1539" location="'ITEMS RESUMEN'!PRELIMINARES2" display="volver"/>
    <hyperlink ref="H1592" location="'ITEMS RESUMEN'!PRELIMINARES2" display="volver"/>
    <hyperlink ref="H1645" location="'ITEMS RESUMEN'!PRELIMINARES2" display="volver"/>
    <hyperlink ref="H1698" location="'ITEMS RESUMEN'!PRELIMINARES2" display="volver"/>
    <hyperlink ref="H1751" location="'ITEMS RESUMEN'!PRELIMINARES2" display="volver"/>
    <hyperlink ref="H1804" location="'ITEMS RESUMEN'!PRELIMINARES2" display="volver"/>
    <hyperlink ref="H1857" location="'ITEMS RESUMEN'!PRELIMINARES2" display="volver"/>
    <hyperlink ref="H1910" location="'ITEMS RESUMEN'!PRELIMINARES2" display="volver"/>
    <hyperlink ref="H1963" location="'ITEMS RESUMEN'!PRELIMINARES2" display="volver"/>
    <hyperlink ref="H2016" location="'ITEMS RESUMEN'!PRELIMINARES2" display="volver"/>
    <hyperlink ref="H2069" location="'ITEMS RESUMEN'!PRELIMINARES2" display="volver"/>
    <hyperlink ref="H2122" location="'ITEMS RESUMEN'!PRELIMINARES2" display="volver"/>
    <hyperlink ref="H2093" location="'ITEMS RESUMEN'!PRELIMINARES2" display="volver"/>
    <hyperlink ref="H2040" location="'ITEMS RESUMEN'!PRELIMINARES2" display="volver"/>
    <hyperlink ref="H1987" location="'ITEMS RESUMEN'!PRELIMINARES2" display="volver"/>
    <hyperlink ref="H1934" location="'ITEMS RESUMEN'!PRELIMINARES2" display="volver"/>
    <hyperlink ref="H1881" location="'ITEMS RESUMEN'!PRELIMINARES2" display="volver"/>
    <hyperlink ref="H1829" location="'ITEMS RESUMEN'!PRELIMINARES2" display="volver"/>
    <hyperlink ref="H1775" location="'ITEMS RESUMEN'!PRELIMINARES2" display="volver"/>
    <hyperlink ref="H1033" location="'ITEMS RESUMEN'!PRELIMINARES1" display="volver"/>
    <hyperlink ref="H981" location="'ITEMS RESUMEN'!PRELIMINARES1" display="volver"/>
    <hyperlink ref="H927" location="'ITEMS RESUMEN'!PRELIMINARES1" display="volver"/>
    <hyperlink ref="H874" location="'ITEMS RESUMEN'!PRELIMINARES1" display="volver"/>
    <hyperlink ref="H821" location="'ITEMS RESUMEN'!PRELIMINARES1" display="volver"/>
    <hyperlink ref="H768" location="'ITEMS RESUMEN'!PRELIMINARES1" display="volver"/>
    <hyperlink ref="H715" location="'ITEMS RESUMEN'!PRELIMINARES1" display="volver"/>
    <hyperlink ref="H662" location="'ITEMS RESUMEN'!PRELIMINARES1" display="volver"/>
    <hyperlink ref="H609" location="'ITEMS RESUMEN'!PRELIMINARES1" display="volver"/>
    <hyperlink ref="H557" location="'ITEMS RESUMEN'!PRELIMINARES1" display="volver"/>
    <hyperlink ref="H503" location="'ITEMS RESUMEN'!PRELIMINARES1" display="volver"/>
    <hyperlink ref="H452" location="'ITEMS RESUMEN'!PRELIMINARES1" display="volver"/>
    <hyperlink ref="H401" location="'ITEMS RESUMEN'!PRELIMINARES1" display="volver"/>
    <hyperlink ref="H347" location="'ITEMS RESUMEN'!PRELIMINARES1" display="volver"/>
    <hyperlink ref="H294" location="'ITEMS RESUMEN'!PRELIMINARES1" display="volver"/>
    <hyperlink ref="H240" location="'ITEMS RESUMEN'!PRELIMINARES1" display="volver"/>
    <hyperlink ref="H188" location="'ITEMS RESUMEN'!PRELIMINARES1" display="volver"/>
    <hyperlink ref="H135" location="'ITEMS RESUMEN'!PRELIMINARES1" display="volver"/>
    <hyperlink ref="H82" location="'ITEMS RESUMEN'!PRELIMINARES1" display="volver"/>
    <hyperlink ref="H29" location="'ITEMS RESUMEN'!PRELIMINARES1" display="volver"/>
    <hyperlink ref="H1722" location="'ITEMS RESUMEN'!PRELIMINARES2" display="volver"/>
    <hyperlink ref="H1669" location="'ITEMS RESUMEN'!PRELIMINARES2" display="volver"/>
    <hyperlink ref="H1615" location="'ITEMS RESUMEN'!PRELIMINARES2" display="volver"/>
    <hyperlink ref="H1562" location="'ITEMS RESUMEN'!PRELIMINARES2" display="volver"/>
    <hyperlink ref="H1510" location="'ITEMS RESUMEN'!PRELIMINARES2" display="volver"/>
    <hyperlink ref="H1457" location="'ITEMS RESUMEN'!PRELIMINARES2" display="volver"/>
    <hyperlink ref="H1404" location="'ITEMS RESUMEN'!PRELIMINARES2" display="volver"/>
    <hyperlink ref="H1351" location="'ITEMS RESUMEN'!PRELIMINARES2" display="volver"/>
    <hyperlink ref="H1298" location="'ITEMS RESUMEN'!PRELIMINARES2" display="volver"/>
    <hyperlink ref="H1244" location="'ITEMS RESUMEN'!PRELIMINARES2" display="volver"/>
    <hyperlink ref="H1192" location="'ITEMS RESUMEN'!PRELIMINARES2" display="volver"/>
    <hyperlink ref="H1138" location="'ITEMS RESUMEN'!PRELIMINARES2" display="volver"/>
    <hyperlink ref="H1086" location="'ITEMS RESUMEN'!PRELIMINARES2" display="volver"/>
    <hyperlink ref="H2144" location="'ITEMS RESUMEN'!PRELIMINARES2" display="volver"/>
    <hyperlink ref="H2170" location="'ITEMS RESUMEN'!PRELIMINARES2" display="volver"/>
  </hyperlinks>
  <printOptions horizontalCentered="1" verticalCentered="1"/>
  <pageMargins left="0" right="0" top="0" bottom="0" header="0" footer="0"/>
  <pageSetup scale="85" orientation="portrait" r:id="rId1"/>
  <headerFooter alignWithMargins="0"/>
  <rowBreaks count="38" manualBreakCount="38">
    <brk id="58" min="1" max="6" man="1"/>
    <brk id="111" min="1" max="6" man="1"/>
    <brk id="164" min="1" max="6" man="1"/>
    <brk id="217" min="1" max="6" man="1"/>
    <brk id="270" min="1" max="6" man="1"/>
    <brk id="323" min="1" max="6" man="1"/>
    <brk id="376" min="1" max="6" man="1"/>
    <brk id="429" min="1" max="6" man="1"/>
    <brk id="479" min="1" max="6" man="1"/>
    <brk id="532" min="1" max="6" man="1"/>
    <brk id="585" min="1" max="6" man="1"/>
    <brk id="638" min="1" max="6" man="1"/>
    <brk id="691" min="1" max="6" man="1"/>
    <brk id="744" min="1" max="6" man="1"/>
    <brk id="797" min="1" max="6" man="1"/>
    <brk id="850" min="1" max="6" man="1"/>
    <brk id="903" min="1" max="6" man="1"/>
    <brk id="956" min="1" max="6" man="1"/>
    <brk id="1009" min="1" max="6" man="1"/>
    <brk id="1062" min="1" max="6" man="1"/>
    <brk id="1115" min="1" max="6" man="1"/>
    <brk id="1168" min="1" max="6" man="1"/>
    <brk id="1221" min="1" max="6" man="1"/>
    <brk id="1274" min="1" max="6" man="1"/>
    <brk id="1327" min="1" max="6" man="1"/>
    <brk id="1380" min="1" max="6" man="1"/>
    <brk id="1433" min="1" max="6" man="1"/>
    <brk id="1486" min="1" max="6" man="1"/>
    <brk id="1539" min="1" max="6" man="1"/>
    <brk id="1592" min="1" max="6" man="1"/>
    <brk id="1645" min="1" max="6" man="1"/>
    <brk id="1698" min="1" max="6" man="1"/>
    <brk id="1751" min="1" max="6" man="1"/>
    <brk id="1804" min="1" max="6" man="1"/>
    <brk id="1857" min="1" max="6" man="1"/>
    <brk id="1910" min="1" max="6" man="1"/>
    <brk id="1963" min="1" max="6" man="1"/>
    <brk id="2016" min="1" max="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8">
    <tabColor indexed="48"/>
  </sheetPr>
  <dimension ref="A1:H2783"/>
  <sheetViews>
    <sheetView topLeftCell="A2527" zoomScale="85" zoomScaleNormal="85" zoomScaleSheetLayoutView="100" workbookViewId="0">
      <selection activeCell="H2560" sqref="H2560"/>
    </sheetView>
  </sheetViews>
  <sheetFormatPr baseColWidth="10" defaultRowHeight="12.75"/>
  <cols>
    <col min="2" max="2" width="38.5703125" style="231" customWidth="1"/>
    <col min="3" max="3" width="25.7109375" customWidth="1"/>
    <col min="4" max="4" width="15.42578125" bestFit="1" customWidth="1"/>
    <col min="5" max="5" width="13.7109375" customWidth="1"/>
    <col min="6" max="6" width="14.7109375" customWidth="1"/>
    <col min="7" max="7" width="16.7109375" customWidth="1"/>
  </cols>
  <sheetData>
    <row r="1" spans="1:8" ht="19.5" thickTop="1">
      <c r="A1" s="95"/>
      <c r="B1" s="225"/>
      <c r="C1" s="848" t="s">
        <v>1054</v>
      </c>
      <c r="D1" s="848"/>
      <c r="E1" s="848"/>
      <c r="F1" s="848"/>
      <c r="G1" s="849"/>
    </row>
    <row r="2" spans="1:8" ht="18.75">
      <c r="A2" s="95"/>
      <c r="B2" s="226"/>
      <c r="C2" s="780" t="s">
        <v>1381</v>
      </c>
      <c r="D2" s="780"/>
      <c r="E2" s="780"/>
      <c r="F2" s="780"/>
      <c r="G2" s="850"/>
    </row>
    <row r="3" spans="1:8" ht="18.75">
      <c r="A3" s="95"/>
      <c r="B3" s="226"/>
      <c r="C3" s="781"/>
      <c r="D3" s="781"/>
      <c r="E3" s="781"/>
      <c r="F3" s="781"/>
      <c r="G3" s="851"/>
    </row>
    <row r="4" spans="1:8" ht="15.75">
      <c r="A4" s="95"/>
      <c r="B4" s="881" t="s">
        <v>780</v>
      </c>
      <c r="C4" s="852"/>
      <c r="D4" s="852"/>
      <c r="E4" s="852"/>
      <c r="F4" s="852"/>
      <c r="G4" s="853"/>
    </row>
    <row r="5" spans="1:8" ht="15.75" thickBot="1">
      <c r="A5" s="95"/>
      <c r="B5" s="227"/>
      <c r="C5" s="856"/>
      <c r="D5" s="856"/>
      <c r="E5" s="856"/>
      <c r="F5" s="856"/>
      <c r="G5" s="857"/>
    </row>
    <row r="6" spans="1:8" ht="15" thickTop="1">
      <c r="A6" s="95"/>
      <c r="B6" s="225" t="s">
        <v>303</v>
      </c>
      <c r="C6" s="843"/>
      <c r="D6" s="843"/>
      <c r="E6" s="843"/>
      <c r="F6" s="92" t="s">
        <v>781</v>
      </c>
      <c r="G6" s="93" t="s">
        <v>1066</v>
      </c>
      <c r="H6" s="505" t="s">
        <v>1670</v>
      </c>
    </row>
    <row r="7" spans="1:8">
      <c r="A7" s="95"/>
      <c r="B7" s="226" t="s">
        <v>834</v>
      </c>
      <c r="C7" s="844" t="s">
        <v>342</v>
      </c>
      <c r="D7" s="844"/>
      <c r="E7" s="844"/>
      <c r="F7" s="15" t="s">
        <v>833</v>
      </c>
      <c r="G7" s="165" t="str">
        <f>'MANO DE OBRA'!D61</f>
        <v>Agosto de 2010</v>
      </c>
    </row>
    <row r="8" spans="1:8" ht="13.5" thickBot="1">
      <c r="A8" s="127"/>
      <c r="B8" s="228" t="s">
        <v>835</v>
      </c>
      <c r="C8" s="845" t="s">
        <v>1294</v>
      </c>
      <c r="D8" s="845"/>
      <c r="E8" s="845"/>
      <c r="F8" s="845"/>
      <c r="G8" s="846"/>
    </row>
    <row r="9" spans="1:8" ht="14.25" thickTop="1" thickBot="1">
      <c r="A9" s="95"/>
      <c r="B9" s="847"/>
      <c r="C9" s="847"/>
      <c r="D9" s="847"/>
      <c r="E9" s="847"/>
      <c r="F9" s="847"/>
      <c r="G9" s="847"/>
    </row>
    <row r="10" spans="1:8" ht="13.5" thickTop="1">
      <c r="A10" s="95"/>
      <c r="B10" s="811" t="s">
        <v>304</v>
      </c>
      <c r="C10" s="812"/>
      <c r="D10" s="812"/>
      <c r="E10" s="812"/>
      <c r="F10" s="812"/>
      <c r="G10" s="825"/>
    </row>
    <row r="11" spans="1:8">
      <c r="A11" s="95"/>
      <c r="B11" s="229"/>
      <c r="C11" s="97"/>
      <c r="D11" s="98" t="s">
        <v>301</v>
      </c>
      <c r="E11" s="98" t="s">
        <v>1072</v>
      </c>
      <c r="F11" s="99" t="s">
        <v>839</v>
      </c>
      <c r="G11" s="107" t="s">
        <v>840</v>
      </c>
    </row>
    <row r="12" spans="1:8">
      <c r="A12" s="95"/>
      <c r="B12" s="821" t="s">
        <v>838</v>
      </c>
      <c r="C12" s="822"/>
      <c r="D12" s="100" t="s">
        <v>308</v>
      </c>
      <c r="E12" s="100" t="s">
        <v>305</v>
      </c>
      <c r="F12" s="101" t="s">
        <v>306</v>
      </c>
      <c r="G12" s="108" t="s">
        <v>310</v>
      </c>
    </row>
    <row r="13" spans="1:8">
      <c r="A13" s="95"/>
      <c r="B13" s="230"/>
      <c r="C13" s="102"/>
      <c r="D13" s="103"/>
      <c r="E13" s="103" t="s">
        <v>309</v>
      </c>
      <c r="F13" s="104" t="s">
        <v>307</v>
      </c>
      <c r="G13" s="109"/>
    </row>
    <row r="14" spans="1:8">
      <c r="A14" s="127"/>
      <c r="B14" s="823" t="str">
        <f>'MAQUINARIA Y EQUIPOS'!C28</f>
        <v>HERRAMIENTAS MENORES</v>
      </c>
      <c r="C14" s="824"/>
      <c r="D14" s="87">
        <v>1</v>
      </c>
      <c r="E14" s="82">
        <f>ROUND(G47*0.05,0)</f>
        <v>619</v>
      </c>
      <c r="F14" s="81">
        <v>1</v>
      </c>
      <c r="G14" s="110">
        <f>ROUND(D14*E14/F14,0)</f>
        <v>619</v>
      </c>
    </row>
    <row r="15" spans="1:8">
      <c r="A15" s="95"/>
      <c r="B15" s="835"/>
      <c r="C15" s="836"/>
      <c r="D15" s="37"/>
      <c r="E15" s="82"/>
      <c r="F15" s="83"/>
      <c r="G15" s="111"/>
    </row>
    <row r="16" spans="1:8">
      <c r="A16" s="95"/>
      <c r="B16" s="835"/>
      <c r="C16" s="836"/>
      <c r="D16" s="89"/>
      <c r="E16" s="82"/>
      <c r="F16" s="83"/>
      <c r="G16" s="111"/>
    </row>
    <row r="17" spans="1:8">
      <c r="A17" s="95"/>
      <c r="B17" s="835"/>
      <c r="C17" s="836"/>
      <c r="D17" s="89"/>
      <c r="E17" s="82"/>
      <c r="F17" s="83"/>
      <c r="G17" s="111"/>
    </row>
    <row r="18" spans="1:8">
      <c r="A18" s="95"/>
      <c r="B18" s="835" t="s">
        <v>841</v>
      </c>
      <c r="C18" s="836"/>
      <c r="D18" s="37"/>
      <c r="E18" s="82"/>
      <c r="F18" s="83"/>
      <c r="G18" s="111"/>
    </row>
    <row r="19" spans="1:8" ht="13.5" thickBot="1">
      <c r="A19" s="95"/>
      <c r="B19" s="839" t="s">
        <v>841</v>
      </c>
      <c r="C19" s="840"/>
      <c r="D19" s="77"/>
      <c r="E19" s="106"/>
      <c r="F19" s="86"/>
      <c r="G19" s="112"/>
    </row>
    <row r="20" spans="1:8" ht="14.25" thickTop="1" thickBot="1">
      <c r="A20" s="95"/>
      <c r="B20" s="808"/>
      <c r="C20" s="808"/>
      <c r="D20" s="808"/>
      <c r="E20" s="809"/>
      <c r="F20" s="119" t="s">
        <v>856</v>
      </c>
      <c r="G20" s="118">
        <f>SUM(G14:G19)</f>
        <v>619</v>
      </c>
    </row>
    <row r="21" spans="1:8" ht="14.25" thickTop="1" thickBot="1">
      <c r="A21" s="95"/>
      <c r="B21" s="830"/>
      <c r="C21" s="830"/>
      <c r="D21" s="830"/>
      <c r="E21" s="830"/>
      <c r="F21" s="830"/>
      <c r="G21" s="830"/>
    </row>
    <row r="22" spans="1:8" ht="13.5" thickTop="1">
      <c r="A22" s="95"/>
      <c r="B22" s="811" t="s">
        <v>311</v>
      </c>
      <c r="C22" s="812"/>
      <c r="D22" s="812"/>
      <c r="E22" s="812"/>
      <c r="F22" s="812"/>
      <c r="G22" s="825"/>
    </row>
    <row r="23" spans="1:8">
      <c r="A23" s="95"/>
      <c r="B23" s="817" t="s">
        <v>838</v>
      </c>
      <c r="C23" s="818"/>
      <c r="D23" s="98" t="s">
        <v>842</v>
      </c>
      <c r="E23" s="98" t="s">
        <v>853</v>
      </c>
      <c r="F23" s="99" t="s">
        <v>1047</v>
      </c>
      <c r="G23" s="107" t="s">
        <v>840</v>
      </c>
    </row>
    <row r="24" spans="1:8">
      <c r="A24" s="95"/>
      <c r="B24" s="230"/>
      <c r="C24" s="102"/>
      <c r="D24" s="100"/>
      <c r="E24" s="100" t="s">
        <v>312</v>
      </c>
      <c r="F24" s="101" t="s">
        <v>313</v>
      </c>
      <c r="G24" s="108" t="s">
        <v>314</v>
      </c>
    </row>
    <row r="25" spans="1:8">
      <c r="A25" s="125"/>
      <c r="B25" s="875"/>
      <c r="C25" s="876"/>
      <c r="D25" s="87"/>
      <c r="E25" s="10"/>
      <c r="F25" s="80"/>
      <c r="G25" s="110"/>
    </row>
    <row r="26" spans="1:8">
      <c r="A26" s="123"/>
      <c r="B26" s="877"/>
      <c r="C26" s="878"/>
      <c r="D26" s="88"/>
      <c r="E26" s="53"/>
      <c r="F26" s="82"/>
      <c r="G26" s="111"/>
    </row>
    <row r="27" spans="1:8">
      <c r="A27" s="95"/>
      <c r="B27" s="835"/>
      <c r="C27" s="836"/>
      <c r="D27" s="37"/>
      <c r="E27" s="55"/>
      <c r="F27" s="82"/>
      <c r="G27" s="111"/>
    </row>
    <row r="28" spans="1:8">
      <c r="A28" s="95"/>
      <c r="B28" s="835"/>
      <c r="C28" s="836"/>
      <c r="D28" s="37"/>
      <c r="E28" s="55"/>
      <c r="F28" s="82"/>
      <c r="G28" s="111"/>
    </row>
    <row r="29" spans="1:8">
      <c r="A29" s="95"/>
      <c r="B29" s="837"/>
      <c r="C29" s="838"/>
      <c r="D29" s="37"/>
      <c r="E29" s="55"/>
      <c r="F29" s="82"/>
      <c r="G29" s="111"/>
    </row>
    <row r="30" spans="1:8">
      <c r="A30" s="95"/>
      <c r="B30" s="837"/>
      <c r="C30" s="838"/>
      <c r="D30" s="53" t="s">
        <v>841</v>
      </c>
      <c r="E30" s="53"/>
      <c r="F30" s="82"/>
      <c r="G30" s="111"/>
    </row>
    <row r="31" spans="1:8">
      <c r="A31" s="95"/>
      <c r="B31" s="837" t="s">
        <v>841</v>
      </c>
      <c r="C31" s="838"/>
      <c r="D31" s="53" t="s">
        <v>841</v>
      </c>
      <c r="E31" s="53"/>
      <c r="F31" s="82"/>
      <c r="G31" s="111"/>
      <c r="H31" s="505" t="s">
        <v>1670</v>
      </c>
    </row>
    <row r="32" spans="1:8">
      <c r="A32" s="95"/>
      <c r="B32" s="837" t="s">
        <v>841</v>
      </c>
      <c r="C32" s="838"/>
      <c r="D32" s="53" t="s">
        <v>841</v>
      </c>
      <c r="E32" s="53"/>
      <c r="F32" s="82"/>
      <c r="G32" s="111"/>
    </row>
    <row r="33" spans="1:7" ht="13.5" thickBot="1">
      <c r="A33" s="95"/>
      <c r="B33" s="839" t="s">
        <v>841</v>
      </c>
      <c r="C33" s="840"/>
      <c r="D33" s="84" t="s">
        <v>841</v>
      </c>
      <c r="E33" s="84"/>
      <c r="F33" s="85"/>
      <c r="G33" s="112"/>
    </row>
    <row r="34" spans="1:7" ht="13.5" thickTop="1">
      <c r="A34" s="95"/>
      <c r="B34" s="808"/>
      <c r="C34" s="809"/>
      <c r="D34" s="801" t="s">
        <v>856</v>
      </c>
      <c r="E34" s="802"/>
      <c r="F34" s="9"/>
      <c r="G34" s="113">
        <f>SUM(G25:G33)</f>
        <v>0</v>
      </c>
    </row>
    <row r="35" spans="1:7">
      <c r="A35" s="95"/>
      <c r="B35" s="819"/>
      <c r="C35" s="820"/>
      <c r="D35" s="801" t="s">
        <v>857</v>
      </c>
      <c r="E35" s="802"/>
      <c r="F35" s="79">
        <f>'MANO DE OBRA'!D58</f>
        <v>0</v>
      </c>
      <c r="G35" s="113">
        <f>ROUND(G34*F35,0)</f>
        <v>0</v>
      </c>
    </row>
    <row r="36" spans="1:7" ht="13.5" thickBot="1">
      <c r="A36" s="95"/>
      <c r="B36" s="819"/>
      <c r="C36" s="820"/>
      <c r="D36" s="803" t="s">
        <v>320</v>
      </c>
      <c r="E36" s="804"/>
      <c r="F36" s="114"/>
      <c r="G36" s="118">
        <f>+G34+G35</f>
        <v>0</v>
      </c>
    </row>
    <row r="37" spans="1:7" ht="14.25" thickTop="1" thickBot="1">
      <c r="A37" s="95"/>
      <c r="B37" s="830"/>
      <c r="C37" s="830"/>
      <c r="D37" s="830"/>
      <c r="E37" s="830"/>
      <c r="F37" s="830"/>
      <c r="G37" s="830"/>
    </row>
    <row r="38" spans="1:7" ht="13.5" thickTop="1">
      <c r="A38" s="95"/>
      <c r="B38" s="811" t="s">
        <v>858</v>
      </c>
      <c r="C38" s="812"/>
      <c r="D38" s="812"/>
      <c r="E38" s="812"/>
      <c r="F38" s="812"/>
      <c r="G38" s="825"/>
    </row>
    <row r="39" spans="1:7">
      <c r="A39" s="95"/>
      <c r="B39" s="817"/>
      <c r="C39" s="818"/>
      <c r="D39" s="98" t="s">
        <v>301</v>
      </c>
      <c r="E39" s="98" t="s">
        <v>859</v>
      </c>
      <c r="F39" s="99" t="s">
        <v>839</v>
      </c>
      <c r="G39" s="107" t="s">
        <v>840</v>
      </c>
    </row>
    <row r="40" spans="1:7">
      <c r="A40" s="95"/>
      <c r="B40" s="821" t="s">
        <v>838</v>
      </c>
      <c r="C40" s="822"/>
      <c r="D40" s="100" t="s">
        <v>316</v>
      </c>
      <c r="E40" s="100" t="s">
        <v>315</v>
      </c>
      <c r="F40" s="101" t="s">
        <v>306</v>
      </c>
      <c r="G40" s="108" t="s">
        <v>319</v>
      </c>
    </row>
    <row r="41" spans="1:7">
      <c r="A41" s="95"/>
      <c r="B41" s="230"/>
      <c r="C41" s="102"/>
      <c r="D41" s="103"/>
      <c r="E41" s="103" t="s">
        <v>317</v>
      </c>
      <c r="F41" s="104" t="s">
        <v>318</v>
      </c>
      <c r="G41" s="109"/>
    </row>
    <row r="42" spans="1:7">
      <c r="A42" s="95"/>
      <c r="B42" s="823" t="str">
        <f>'MANO DE OBRA'!B10</f>
        <v>AYUDANTE CUAD. TIPO AA</v>
      </c>
      <c r="C42" s="824"/>
      <c r="D42" s="87">
        <v>1</v>
      </c>
      <c r="E42" s="80">
        <f>'MANO DE OBRA'!E10</f>
        <v>34680</v>
      </c>
      <c r="F42" s="81">
        <v>2.8</v>
      </c>
      <c r="G42" s="110">
        <f>ROUND(D42*E42/F42,0)</f>
        <v>12386</v>
      </c>
    </row>
    <row r="43" spans="1:7">
      <c r="A43" s="95"/>
      <c r="B43" s="835"/>
      <c r="C43" s="836"/>
      <c r="D43" s="37"/>
      <c r="E43" s="82"/>
      <c r="F43" s="83"/>
      <c r="G43" s="111"/>
    </row>
    <row r="44" spans="1:7">
      <c r="A44" s="95"/>
      <c r="B44" s="835"/>
      <c r="C44" s="836"/>
      <c r="D44" s="89"/>
      <c r="E44" s="82"/>
      <c r="F44" s="83"/>
      <c r="G44" s="111"/>
    </row>
    <row r="45" spans="1:7">
      <c r="A45" s="95"/>
      <c r="B45" s="835" t="s">
        <v>841</v>
      </c>
      <c r="C45" s="836"/>
      <c r="D45" s="37"/>
      <c r="E45" s="82"/>
      <c r="F45" s="83"/>
      <c r="G45" s="111"/>
    </row>
    <row r="46" spans="1:7" ht="13.5" thickBot="1">
      <c r="A46" s="95"/>
      <c r="B46" s="828" t="s">
        <v>841</v>
      </c>
      <c r="C46" s="829"/>
      <c r="D46" s="77"/>
      <c r="E46" s="82"/>
      <c r="F46" s="86"/>
      <c r="G46" s="112"/>
    </row>
    <row r="47" spans="1:7" ht="14.25" thickTop="1" thickBot="1">
      <c r="A47" s="95"/>
      <c r="B47" s="808"/>
      <c r="C47" s="808"/>
      <c r="D47" s="808"/>
      <c r="E47" s="809"/>
      <c r="F47" s="120" t="s">
        <v>856</v>
      </c>
      <c r="G47" s="118">
        <f>SUM(G42:G46)</f>
        <v>12386</v>
      </c>
    </row>
    <row r="48" spans="1:7" ht="14.25" thickTop="1" thickBot="1">
      <c r="A48" s="95"/>
      <c r="B48" s="810"/>
      <c r="C48" s="810"/>
      <c r="D48" s="810"/>
      <c r="E48" s="810"/>
      <c r="F48" s="810"/>
      <c r="G48" s="810"/>
    </row>
    <row r="49" spans="1:8" ht="13.5" thickTop="1">
      <c r="A49" s="95"/>
      <c r="B49" s="811" t="s">
        <v>321</v>
      </c>
      <c r="C49" s="812"/>
      <c r="D49" s="812"/>
      <c r="E49" s="812"/>
      <c r="F49" s="812"/>
      <c r="G49" s="825"/>
    </row>
    <row r="50" spans="1:8">
      <c r="A50" s="95"/>
      <c r="B50" s="817" t="s">
        <v>838</v>
      </c>
      <c r="C50" s="818"/>
      <c r="D50" s="98" t="s">
        <v>301</v>
      </c>
      <c r="E50" s="98" t="s">
        <v>297</v>
      </c>
      <c r="F50" s="99" t="s">
        <v>839</v>
      </c>
      <c r="G50" s="107" t="s">
        <v>840</v>
      </c>
    </row>
    <row r="51" spans="1:8">
      <c r="A51" s="95"/>
      <c r="B51" s="230"/>
      <c r="C51" s="102"/>
      <c r="D51" s="103" t="s">
        <v>322</v>
      </c>
      <c r="E51" s="103" t="s">
        <v>323</v>
      </c>
      <c r="F51" s="104" t="s">
        <v>324</v>
      </c>
      <c r="G51" s="109" t="s">
        <v>325</v>
      </c>
    </row>
    <row r="52" spans="1:8">
      <c r="A52" s="95"/>
      <c r="B52" s="826"/>
      <c r="C52" s="827"/>
      <c r="D52" s="96"/>
      <c r="E52" s="96"/>
      <c r="F52" s="96"/>
      <c r="G52" s="116"/>
    </row>
    <row r="53" spans="1:8" ht="13.5" thickBot="1">
      <c r="A53" s="95"/>
      <c r="B53" s="828" t="s">
        <v>841</v>
      </c>
      <c r="C53" s="829"/>
      <c r="D53" s="77"/>
      <c r="E53" s="82"/>
      <c r="F53" s="86"/>
      <c r="G53" s="112"/>
    </row>
    <row r="54" spans="1:8" ht="14.25" thickTop="1" thickBot="1">
      <c r="A54" s="95"/>
      <c r="B54" s="808"/>
      <c r="C54" s="808"/>
      <c r="D54" s="808"/>
      <c r="E54" s="809"/>
      <c r="F54" s="120" t="s">
        <v>856</v>
      </c>
      <c r="G54" s="118">
        <f>SUM(G49:G53)</f>
        <v>0</v>
      </c>
    </row>
    <row r="55" spans="1:8" ht="14.25" thickTop="1" thickBot="1">
      <c r="A55" s="95"/>
      <c r="B55" s="810"/>
      <c r="C55" s="810"/>
      <c r="D55" s="810"/>
      <c r="E55" s="810"/>
      <c r="F55" s="810"/>
      <c r="G55" s="834"/>
    </row>
    <row r="56" spans="1:8" ht="13.5" thickTop="1">
      <c r="A56" s="95"/>
      <c r="B56" s="811" t="s">
        <v>326</v>
      </c>
      <c r="C56" s="812"/>
      <c r="D56" s="812"/>
      <c r="E56" s="812"/>
      <c r="F56" s="813"/>
      <c r="G56" s="121">
        <f>+G20+G36+G47</f>
        <v>13005</v>
      </c>
    </row>
    <row r="57" spans="1:8">
      <c r="A57" s="95"/>
      <c r="B57" s="814" t="s">
        <v>861</v>
      </c>
      <c r="C57" s="815"/>
      <c r="D57" s="815"/>
      <c r="E57" s="816"/>
      <c r="F57" s="128">
        <f>'MANO DE OBRA'!D59</f>
        <v>0</v>
      </c>
      <c r="G57" s="122">
        <f>ROUND(G56*F57,0)</f>
        <v>0</v>
      </c>
    </row>
    <row r="58" spans="1:8" ht="13.5" thickBot="1">
      <c r="A58" s="95"/>
      <c r="B58" s="805" t="s">
        <v>1049</v>
      </c>
      <c r="C58" s="806"/>
      <c r="D58" s="806"/>
      <c r="E58" s="806"/>
      <c r="F58" s="807"/>
      <c r="G58" s="118">
        <f>ROUND(G56+G57,-2)</f>
        <v>13000</v>
      </c>
      <c r="H58" s="505" t="s">
        <v>1670</v>
      </c>
    </row>
    <row r="59" spans="1:8" ht="15" thickTop="1">
      <c r="A59" s="95"/>
      <c r="B59" s="225" t="s">
        <v>303</v>
      </c>
      <c r="C59" s="843"/>
      <c r="D59" s="843"/>
      <c r="E59" s="843"/>
      <c r="F59" s="92" t="s">
        <v>781</v>
      </c>
      <c r="G59" s="93" t="s">
        <v>1066</v>
      </c>
    </row>
    <row r="60" spans="1:8">
      <c r="A60" s="95"/>
      <c r="B60" s="226" t="s">
        <v>834</v>
      </c>
      <c r="C60" s="844" t="s">
        <v>342</v>
      </c>
      <c r="D60" s="844"/>
      <c r="E60" s="844"/>
      <c r="F60" s="15" t="s">
        <v>833</v>
      </c>
      <c r="G60" s="165" t="str">
        <f>'MANO DE OBRA'!D61</f>
        <v>Agosto de 2010</v>
      </c>
    </row>
    <row r="61" spans="1:8" ht="13.5" thickBot="1">
      <c r="A61" s="127"/>
      <c r="B61" s="228" t="s">
        <v>835</v>
      </c>
      <c r="C61" s="845" t="s">
        <v>1295</v>
      </c>
      <c r="D61" s="845"/>
      <c r="E61" s="845"/>
      <c r="F61" s="845"/>
      <c r="G61" s="846"/>
    </row>
    <row r="62" spans="1:8" ht="14.25" thickTop="1" thickBot="1">
      <c r="A62" s="95"/>
      <c r="B62" s="847"/>
      <c r="C62" s="847"/>
      <c r="D62" s="847"/>
      <c r="E62" s="847"/>
      <c r="F62" s="847"/>
      <c r="G62" s="847"/>
    </row>
    <row r="63" spans="1:8" ht="13.5" thickTop="1">
      <c r="A63" s="95"/>
      <c r="B63" s="811" t="s">
        <v>304</v>
      </c>
      <c r="C63" s="812"/>
      <c r="D63" s="812"/>
      <c r="E63" s="812"/>
      <c r="F63" s="812"/>
      <c r="G63" s="825"/>
    </row>
    <row r="64" spans="1:8">
      <c r="A64" s="95"/>
      <c r="B64" s="229"/>
      <c r="C64" s="97"/>
      <c r="D64" s="98" t="s">
        <v>301</v>
      </c>
      <c r="E64" s="98" t="s">
        <v>1072</v>
      </c>
      <c r="F64" s="99" t="s">
        <v>839</v>
      </c>
      <c r="G64" s="107" t="s">
        <v>840</v>
      </c>
    </row>
    <row r="65" spans="1:7">
      <c r="A65" s="95"/>
      <c r="B65" s="821" t="s">
        <v>838</v>
      </c>
      <c r="C65" s="822"/>
      <c r="D65" s="100" t="s">
        <v>308</v>
      </c>
      <c r="E65" s="100" t="s">
        <v>305</v>
      </c>
      <c r="F65" s="101" t="s">
        <v>306</v>
      </c>
      <c r="G65" s="108" t="s">
        <v>310</v>
      </c>
    </row>
    <row r="66" spans="1:7">
      <c r="A66" s="95"/>
      <c r="B66" s="230"/>
      <c r="C66" s="102"/>
      <c r="D66" s="103"/>
      <c r="E66" s="103" t="s">
        <v>309</v>
      </c>
      <c r="F66" s="104" t="s">
        <v>307</v>
      </c>
      <c r="G66" s="109"/>
    </row>
    <row r="67" spans="1:7">
      <c r="A67" s="127"/>
      <c r="B67" s="823" t="str">
        <f>'MAQUINARIA Y EQUIPOS'!C28</f>
        <v>HERRAMIENTAS MENORES</v>
      </c>
      <c r="C67" s="824"/>
      <c r="D67" s="87">
        <v>1</v>
      </c>
      <c r="E67" s="82">
        <f>ROUND(G100*0.05,0)</f>
        <v>1084</v>
      </c>
      <c r="F67" s="81">
        <v>1</v>
      </c>
      <c r="G67" s="110">
        <f>ROUND(D67*E67/F67,0)</f>
        <v>1084</v>
      </c>
    </row>
    <row r="68" spans="1:7">
      <c r="A68" s="95"/>
      <c r="B68" s="835"/>
      <c r="C68" s="836"/>
      <c r="D68" s="37"/>
      <c r="E68" s="82"/>
      <c r="F68" s="83"/>
      <c r="G68" s="111"/>
    </row>
    <row r="69" spans="1:7">
      <c r="A69" s="95"/>
      <c r="B69" s="835"/>
      <c r="C69" s="836"/>
      <c r="D69" s="89"/>
      <c r="E69" s="82"/>
      <c r="F69" s="83"/>
      <c r="G69" s="111"/>
    </row>
    <row r="70" spans="1:7">
      <c r="A70" s="95"/>
      <c r="B70" s="835"/>
      <c r="C70" s="836"/>
      <c r="D70" s="89"/>
      <c r="E70" s="82"/>
      <c r="F70" s="83"/>
      <c r="G70" s="111"/>
    </row>
    <row r="71" spans="1:7">
      <c r="A71" s="95"/>
      <c r="B71" s="835" t="s">
        <v>841</v>
      </c>
      <c r="C71" s="836"/>
      <c r="D71" s="37"/>
      <c r="E71" s="82"/>
      <c r="F71" s="83"/>
      <c r="G71" s="111"/>
    </row>
    <row r="72" spans="1:7" ht="13.5" thickBot="1">
      <c r="A72" s="95"/>
      <c r="B72" s="839" t="s">
        <v>841</v>
      </c>
      <c r="C72" s="840"/>
      <c r="D72" s="77"/>
      <c r="E72" s="106"/>
      <c r="F72" s="86"/>
      <c r="G72" s="112"/>
    </row>
    <row r="73" spans="1:7" ht="14.25" thickTop="1" thickBot="1">
      <c r="A73" s="95"/>
      <c r="B73" s="808"/>
      <c r="C73" s="808"/>
      <c r="D73" s="808"/>
      <c r="E73" s="809"/>
      <c r="F73" s="119" t="s">
        <v>856</v>
      </c>
      <c r="G73" s="118">
        <f>SUM(G67:G72)</f>
        <v>1084</v>
      </c>
    </row>
    <row r="74" spans="1:7" ht="14.25" thickTop="1" thickBot="1">
      <c r="A74" s="95"/>
      <c r="B74" s="830"/>
      <c r="C74" s="830"/>
      <c r="D74" s="830"/>
      <c r="E74" s="830"/>
      <c r="F74" s="830"/>
      <c r="G74" s="830"/>
    </row>
    <row r="75" spans="1:7" ht="13.5" thickTop="1">
      <c r="A75" s="95"/>
      <c r="B75" s="811" t="s">
        <v>311</v>
      </c>
      <c r="C75" s="812"/>
      <c r="D75" s="812"/>
      <c r="E75" s="812"/>
      <c r="F75" s="812"/>
      <c r="G75" s="825"/>
    </row>
    <row r="76" spans="1:7">
      <c r="A76" s="95"/>
      <c r="B76" s="817" t="s">
        <v>838</v>
      </c>
      <c r="C76" s="818"/>
      <c r="D76" s="98" t="s">
        <v>842</v>
      </c>
      <c r="E76" s="98" t="s">
        <v>853</v>
      </c>
      <c r="F76" s="99" t="s">
        <v>1047</v>
      </c>
      <c r="G76" s="107" t="s">
        <v>840</v>
      </c>
    </row>
    <row r="77" spans="1:7">
      <c r="A77" s="95"/>
      <c r="B77" s="230"/>
      <c r="C77" s="102"/>
      <c r="D77" s="100"/>
      <c r="E77" s="100" t="s">
        <v>312</v>
      </c>
      <c r="F77" s="101" t="s">
        <v>313</v>
      </c>
      <c r="G77" s="108" t="s">
        <v>314</v>
      </c>
    </row>
    <row r="78" spans="1:7">
      <c r="A78" s="125"/>
      <c r="B78" s="875"/>
      <c r="C78" s="876"/>
      <c r="D78" s="87"/>
      <c r="E78" s="10"/>
      <c r="F78" s="80"/>
      <c r="G78" s="110"/>
    </row>
    <row r="79" spans="1:7">
      <c r="A79" s="123"/>
      <c r="B79" s="877"/>
      <c r="C79" s="878"/>
      <c r="D79" s="88"/>
      <c r="E79" s="53"/>
      <c r="F79" s="82"/>
      <c r="G79" s="111"/>
    </row>
    <row r="80" spans="1:7">
      <c r="A80" s="95"/>
      <c r="B80" s="835"/>
      <c r="C80" s="836"/>
      <c r="D80" s="37"/>
      <c r="E80" s="55"/>
      <c r="F80" s="82"/>
      <c r="G80" s="111"/>
    </row>
    <row r="81" spans="1:8">
      <c r="A81" s="95"/>
      <c r="B81" s="835"/>
      <c r="C81" s="836"/>
      <c r="D81" s="37"/>
      <c r="E81" s="55"/>
      <c r="F81" s="82"/>
      <c r="G81" s="111"/>
    </row>
    <row r="82" spans="1:8">
      <c r="A82" s="95"/>
      <c r="B82" s="837"/>
      <c r="C82" s="838"/>
      <c r="D82" s="37"/>
      <c r="E82" s="55"/>
      <c r="F82" s="82"/>
      <c r="G82" s="111"/>
    </row>
    <row r="83" spans="1:8">
      <c r="A83" s="95"/>
      <c r="B83" s="837"/>
      <c r="C83" s="838"/>
      <c r="D83" s="53" t="s">
        <v>841</v>
      </c>
      <c r="E83" s="53"/>
      <c r="F83" s="82"/>
      <c r="G83" s="111"/>
    </row>
    <row r="84" spans="1:8">
      <c r="A84" s="95"/>
      <c r="B84" s="837" t="s">
        <v>841</v>
      </c>
      <c r="C84" s="838"/>
      <c r="D84" s="53" t="s">
        <v>841</v>
      </c>
      <c r="E84" s="53"/>
      <c r="F84" s="82"/>
      <c r="G84" s="111"/>
      <c r="H84" s="505" t="s">
        <v>1670</v>
      </c>
    </row>
    <row r="85" spans="1:8">
      <c r="A85" s="95"/>
      <c r="B85" s="837" t="s">
        <v>841</v>
      </c>
      <c r="C85" s="838"/>
      <c r="D85" s="53" t="s">
        <v>841</v>
      </c>
      <c r="E85" s="53"/>
      <c r="F85" s="82"/>
      <c r="G85" s="111"/>
    </row>
    <row r="86" spans="1:8" ht="13.5" thickBot="1">
      <c r="A86" s="95"/>
      <c r="B86" s="839" t="s">
        <v>841</v>
      </c>
      <c r="C86" s="840"/>
      <c r="D86" s="84" t="s">
        <v>841</v>
      </c>
      <c r="E86" s="84"/>
      <c r="F86" s="85"/>
      <c r="G86" s="112"/>
    </row>
    <row r="87" spans="1:8" ht="13.5" thickTop="1">
      <c r="A87" s="95"/>
      <c r="B87" s="808"/>
      <c r="C87" s="809"/>
      <c r="D87" s="801" t="s">
        <v>856</v>
      </c>
      <c r="E87" s="802"/>
      <c r="F87" s="9"/>
      <c r="G87" s="113">
        <f>SUM(G78:G86)</f>
        <v>0</v>
      </c>
    </row>
    <row r="88" spans="1:8">
      <c r="A88" s="95"/>
      <c r="B88" s="819"/>
      <c r="C88" s="820"/>
      <c r="D88" s="801" t="s">
        <v>857</v>
      </c>
      <c r="E88" s="802"/>
      <c r="F88" s="79">
        <f>'MANO DE OBRA'!D60</f>
        <v>0.05</v>
      </c>
      <c r="G88" s="113">
        <f>ROUND(G87*F88,0)</f>
        <v>0</v>
      </c>
    </row>
    <row r="89" spans="1:8" ht="13.5" thickBot="1">
      <c r="A89" s="95"/>
      <c r="B89" s="819"/>
      <c r="C89" s="820"/>
      <c r="D89" s="803" t="s">
        <v>320</v>
      </c>
      <c r="E89" s="804"/>
      <c r="F89" s="114"/>
      <c r="G89" s="118">
        <f>+G87+G88</f>
        <v>0</v>
      </c>
    </row>
    <row r="90" spans="1:8" ht="14.25" thickTop="1" thickBot="1">
      <c r="A90" s="95"/>
      <c r="B90" s="830"/>
      <c r="C90" s="830"/>
      <c r="D90" s="830"/>
      <c r="E90" s="830"/>
      <c r="F90" s="830"/>
      <c r="G90" s="830"/>
    </row>
    <row r="91" spans="1:8" ht="13.5" thickTop="1">
      <c r="A91" s="95"/>
      <c r="B91" s="811" t="s">
        <v>858</v>
      </c>
      <c r="C91" s="812"/>
      <c r="D91" s="812"/>
      <c r="E91" s="812"/>
      <c r="F91" s="812"/>
      <c r="G91" s="825"/>
    </row>
    <row r="92" spans="1:8">
      <c r="A92" s="95"/>
      <c r="B92" s="817"/>
      <c r="C92" s="818"/>
      <c r="D92" s="98" t="s">
        <v>301</v>
      </c>
      <c r="E92" s="98" t="s">
        <v>859</v>
      </c>
      <c r="F92" s="99" t="s">
        <v>839</v>
      </c>
      <c r="G92" s="107" t="s">
        <v>840</v>
      </c>
    </row>
    <row r="93" spans="1:8">
      <c r="A93" s="95"/>
      <c r="B93" s="821" t="s">
        <v>838</v>
      </c>
      <c r="C93" s="822"/>
      <c r="D93" s="100" t="s">
        <v>316</v>
      </c>
      <c r="E93" s="100" t="s">
        <v>315</v>
      </c>
      <c r="F93" s="101" t="s">
        <v>306</v>
      </c>
      <c r="G93" s="108" t="s">
        <v>319</v>
      </c>
    </row>
    <row r="94" spans="1:8">
      <c r="A94" s="95"/>
      <c r="B94" s="230"/>
      <c r="C94" s="102"/>
      <c r="D94" s="103"/>
      <c r="E94" s="103" t="s">
        <v>317</v>
      </c>
      <c r="F94" s="104" t="s">
        <v>318</v>
      </c>
      <c r="G94" s="109"/>
    </row>
    <row r="95" spans="1:8">
      <c r="A95" s="95"/>
      <c r="B95" s="823" t="str">
        <f>'MANO DE OBRA'!B10</f>
        <v>AYUDANTE CUAD. TIPO AA</v>
      </c>
      <c r="C95" s="824"/>
      <c r="D95" s="87">
        <v>1</v>
      </c>
      <c r="E95" s="80">
        <f>'MANO DE OBRA'!E10</f>
        <v>34680</v>
      </c>
      <c r="F95" s="81">
        <v>1.6</v>
      </c>
      <c r="G95" s="110">
        <f>ROUND(D95*E95/F95,0)</f>
        <v>21675</v>
      </c>
    </row>
    <row r="96" spans="1:8">
      <c r="A96" s="95"/>
      <c r="B96" s="835"/>
      <c r="C96" s="836"/>
      <c r="D96" s="37"/>
      <c r="E96" s="82"/>
      <c r="F96" s="83"/>
      <c r="G96" s="111"/>
    </row>
    <row r="97" spans="1:8">
      <c r="A97" s="95"/>
      <c r="B97" s="835"/>
      <c r="C97" s="836"/>
      <c r="D97" s="89"/>
      <c r="E97" s="82"/>
      <c r="F97" s="83"/>
      <c r="G97" s="111"/>
    </row>
    <row r="98" spans="1:8">
      <c r="A98" s="95"/>
      <c r="B98" s="835" t="s">
        <v>841</v>
      </c>
      <c r="C98" s="836"/>
      <c r="D98" s="37"/>
      <c r="E98" s="82"/>
      <c r="F98" s="83"/>
      <c r="G98" s="111"/>
    </row>
    <row r="99" spans="1:8" ht="13.5" thickBot="1">
      <c r="A99" s="95"/>
      <c r="B99" s="828" t="s">
        <v>841</v>
      </c>
      <c r="C99" s="829"/>
      <c r="D99" s="77"/>
      <c r="E99" s="82"/>
      <c r="F99" s="86"/>
      <c r="G99" s="112"/>
    </row>
    <row r="100" spans="1:8" ht="14.25" thickTop="1" thickBot="1">
      <c r="A100" s="95"/>
      <c r="B100" s="808"/>
      <c r="C100" s="808"/>
      <c r="D100" s="808"/>
      <c r="E100" s="809"/>
      <c r="F100" s="120" t="s">
        <v>856</v>
      </c>
      <c r="G100" s="118">
        <f>SUM(G95:G99)</f>
        <v>21675</v>
      </c>
    </row>
    <row r="101" spans="1:8" ht="14.25" thickTop="1" thickBot="1">
      <c r="A101" s="95"/>
      <c r="B101" s="810"/>
      <c r="C101" s="810"/>
      <c r="D101" s="810"/>
      <c r="E101" s="810"/>
      <c r="F101" s="810"/>
      <c r="G101" s="810"/>
    </row>
    <row r="102" spans="1:8" ht="13.5" thickTop="1">
      <c r="A102" s="95"/>
      <c r="B102" s="811" t="s">
        <v>321</v>
      </c>
      <c r="C102" s="812"/>
      <c r="D102" s="812"/>
      <c r="E102" s="812"/>
      <c r="F102" s="812"/>
      <c r="G102" s="825"/>
    </row>
    <row r="103" spans="1:8">
      <c r="A103" s="95"/>
      <c r="B103" s="817" t="s">
        <v>838</v>
      </c>
      <c r="C103" s="818"/>
      <c r="D103" s="98" t="s">
        <v>301</v>
      </c>
      <c r="E103" s="98" t="s">
        <v>297</v>
      </c>
      <c r="F103" s="99" t="s">
        <v>839</v>
      </c>
      <c r="G103" s="107" t="s">
        <v>840</v>
      </c>
    </row>
    <row r="104" spans="1:8">
      <c r="A104" s="95"/>
      <c r="B104" s="230"/>
      <c r="C104" s="102"/>
      <c r="D104" s="103" t="s">
        <v>322</v>
      </c>
      <c r="E104" s="103" t="s">
        <v>323</v>
      </c>
      <c r="F104" s="104" t="s">
        <v>324</v>
      </c>
      <c r="G104" s="109" t="s">
        <v>325</v>
      </c>
    </row>
    <row r="105" spans="1:8">
      <c r="A105" s="95"/>
      <c r="B105" s="826"/>
      <c r="C105" s="827"/>
      <c r="D105" s="96"/>
      <c r="E105" s="96"/>
      <c r="F105" s="96"/>
      <c r="G105" s="116"/>
    </row>
    <row r="106" spans="1:8" ht="13.5" thickBot="1">
      <c r="A106" s="95"/>
      <c r="B106" s="828" t="s">
        <v>841</v>
      </c>
      <c r="C106" s="829"/>
      <c r="D106" s="77"/>
      <c r="E106" s="82"/>
      <c r="F106" s="86"/>
      <c r="G106" s="112"/>
    </row>
    <row r="107" spans="1:8" ht="14.25" thickTop="1" thickBot="1">
      <c r="A107" s="95"/>
      <c r="B107" s="808"/>
      <c r="C107" s="808"/>
      <c r="D107" s="808"/>
      <c r="E107" s="809"/>
      <c r="F107" s="120" t="s">
        <v>856</v>
      </c>
      <c r="G107" s="118">
        <f>SUM(G102:G106)</f>
        <v>0</v>
      </c>
    </row>
    <row r="108" spans="1:8" ht="14.25" thickTop="1" thickBot="1">
      <c r="A108" s="95"/>
      <c r="B108" s="810"/>
      <c r="C108" s="810"/>
      <c r="D108" s="810"/>
      <c r="E108" s="810"/>
      <c r="F108" s="810"/>
      <c r="G108" s="834"/>
    </row>
    <row r="109" spans="1:8" ht="13.5" thickTop="1">
      <c r="A109" s="95"/>
      <c r="B109" s="811" t="s">
        <v>326</v>
      </c>
      <c r="C109" s="812"/>
      <c r="D109" s="812"/>
      <c r="E109" s="812"/>
      <c r="F109" s="813"/>
      <c r="G109" s="121">
        <f>+G73+G89+G100</f>
        <v>22759</v>
      </c>
    </row>
    <row r="110" spans="1:8">
      <c r="A110" s="95"/>
      <c r="B110" s="814" t="s">
        <v>861</v>
      </c>
      <c r="C110" s="815"/>
      <c r="D110" s="815"/>
      <c r="E110" s="816"/>
      <c r="F110" s="128">
        <f>'MANO DE OBRA'!D59</f>
        <v>0</v>
      </c>
      <c r="G110" s="122">
        <f>ROUND(G109*F110,0)</f>
        <v>0</v>
      </c>
    </row>
    <row r="111" spans="1:8" ht="13.5" thickBot="1">
      <c r="A111" s="95"/>
      <c r="B111" s="805" t="s">
        <v>1049</v>
      </c>
      <c r="C111" s="806"/>
      <c r="D111" s="806"/>
      <c r="E111" s="806"/>
      <c r="F111" s="807"/>
      <c r="G111" s="118">
        <f>ROUND(G109+G110,-2)</f>
        <v>22800</v>
      </c>
      <c r="H111" s="505" t="s">
        <v>1670</v>
      </c>
    </row>
    <row r="112" spans="1:8" ht="15" thickTop="1">
      <c r="A112" s="95"/>
      <c r="B112" s="225" t="s">
        <v>303</v>
      </c>
      <c r="C112" s="843"/>
      <c r="D112" s="843"/>
      <c r="E112" s="843"/>
      <c r="F112" s="92" t="s">
        <v>781</v>
      </c>
      <c r="G112" s="93" t="s">
        <v>1066</v>
      </c>
    </row>
    <row r="113" spans="1:7">
      <c r="A113" s="95"/>
      <c r="B113" s="226" t="s">
        <v>834</v>
      </c>
      <c r="C113" s="844" t="s">
        <v>1149</v>
      </c>
      <c r="D113" s="844"/>
      <c r="E113" s="844"/>
      <c r="F113" s="15" t="s">
        <v>833</v>
      </c>
      <c r="G113" s="165" t="str">
        <f>'MANO DE OBRA'!D61</f>
        <v>Agosto de 2010</v>
      </c>
    </row>
    <row r="114" spans="1:7" ht="13.5" thickBot="1">
      <c r="A114" s="127"/>
      <c r="B114" s="228" t="s">
        <v>835</v>
      </c>
      <c r="C114" s="845" t="s">
        <v>1296</v>
      </c>
      <c r="D114" s="845"/>
      <c r="E114" s="845"/>
      <c r="F114" s="845"/>
      <c r="G114" s="846"/>
    </row>
    <row r="115" spans="1:7" ht="14.25" thickTop="1" thickBot="1">
      <c r="A115" s="95"/>
      <c r="B115" s="847"/>
      <c r="C115" s="847"/>
      <c r="D115" s="847"/>
      <c r="E115" s="847"/>
      <c r="F115" s="847"/>
      <c r="G115" s="847"/>
    </row>
    <row r="116" spans="1:7" ht="13.5" thickTop="1">
      <c r="A116" s="95"/>
      <c r="B116" s="811" t="s">
        <v>304</v>
      </c>
      <c r="C116" s="812"/>
      <c r="D116" s="812"/>
      <c r="E116" s="812"/>
      <c r="F116" s="812"/>
      <c r="G116" s="825"/>
    </row>
    <row r="117" spans="1:7">
      <c r="A117" s="95"/>
      <c r="B117" s="229"/>
      <c r="C117" s="97"/>
      <c r="D117" s="98" t="s">
        <v>301</v>
      </c>
      <c r="E117" s="98" t="s">
        <v>1072</v>
      </c>
      <c r="F117" s="99" t="s">
        <v>839</v>
      </c>
      <c r="G117" s="107" t="s">
        <v>840</v>
      </c>
    </row>
    <row r="118" spans="1:7">
      <c r="A118" s="95"/>
      <c r="B118" s="821" t="s">
        <v>838</v>
      </c>
      <c r="C118" s="822"/>
      <c r="D118" s="100" t="s">
        <v>308</v>
      </c>
      <c r="E118" s="100" t="s">
        <v>305</v>
      </c>
      <c r="F118" s="101" t="s">
        <v>306</v>
      </c>
      <c r="G118" s="108" t="s">
        <v>310</v>
      </c>
    </row>
    <row r="119" spans="1:7">
      <c r="A119" s="95"/>
      <c r="B119" s="230"/>
      <c r="C119" s="102"/>
      <c r="D119" s="103"/>
      <c r="E119" s="103" t="s">
        <v>309</v>
      </c>
      <c r="F119" s="104" t="s">
        <v>307</v>
      </c>
      <c r="G119" s="109"/>
    </row>
    <row r="120" spans="1:7">
      <c r="A120" s="127"/>
      <c r="B120" s="823" t="str">
        <f>'MAQUINARIA Y EQUIPOS'!C28</f>
        <v>HERRAMIENTAS MENORES</v>
      </c>
      <c r="C120" s="824"/>
      <c r="D120" s="87">
        <v>1</v>
      </c>
      <c r="E120" s="82">
        <f>ROUND(G153*0.05,0)</f>
        <v>1020</v>
      </c>
      <c r="F120" s="81">
        <v>1</v>
      </c>
      <c r="G120" s="110">
        <f>ROUND(D120*E120/F120,0)</f>
        <v>1020</v>
      </c>
    </row>
    <row r="121" spans="1:7">
      <c r="A121" s="95"/>
      <c r="B121" s="835"/>
      <c r="C121" s="836"/>
      <c r="D121" s="37"/>
      <c r="E121" s="82"/>
      <c r="F121" s="83"/>
      <c r="G121" s="111"/>
    </row>
    <row r="122" spans="1:7">
      <c r="A122" s="95"/>
      <c r="B122" s="835"/>
      <c r="C122" s="836"/>
      <c r="D122" s="89"/>
      <c r="E122" s="82"/>
      <c r="F122" s="83"/>
      <c r="G122" s="111"/>
    </row>
    <row r="123" spans="1:7">
      <c r="A123" s="95"/>
      <c r="B123" s="835"/>
      <c r="C123" s="836"/>
      <c r="D123" s="89"/>
      <c r="E123" s="82"/>
      <c r="F123" s="83"/>
      <c r="G123" s="111"/>
    </row>
    <row r="124" spans="1:7">
      <c r="A124" s="95"/>
      <c r="B124" s="835" t="s">
        <v>841</v>
      </c>
      <c r="C124" s="836"/>
      <c r="D124" s="37"/>
      <c r="E124" s="82"/>
      <c r="F124" s="83"/>
      <c r="G124" s="111"/>
    </row>
    <row r="125" spans="1:7" ht="13.5" thickBot="1">
      <c r="A125" s="95"/>
      <c r="B125" s="839" t="s">
        <v>841</v>
      </c>
      <c r="C125" s="840"/>
      <c r="D125" s="77"/>
      <c r="E125" s="106"/>
      <c r="F125" s="86"/>
      <c r="G125" s="112"/>
    </row>
    <row r="126" spans="1:7" ht="14.25" thickTop="1" thickBot="1">
      <c r="A126" s="95"/>
      <c r="B126" s="808"/>
      <c r="C126" s="808"/>
      <c r="D126" s="808"/>
      <c r="E126" s="809"/>
      <c r="F126" s="119" t="s">
        <v>856</v>
      </c>
      <c r="G126" s="118">
        <f>SUM(G120:G125)</f>
        <v>1020</v>
      </c>
    </row>
    <row r="127" spans="1:7" ht="14.25" thickTop="1" thickBot="1">
      <c r="A127" s="95"/>
      <c r="B127" s="830"/>
      <c r="C127" s="830"/>
      <c r="D127" s="830"/>
      <c r="E127" s="830"/>
      <c r="F127" s="830"/>
      <c r="G127" s="830"/>
    </row>
    <row r="128" spans="1:7" ht="13.5" thickTop="1">
      <c r="A128" s="95"/>
      <c r="B128" s="811" t="s">
        <v>311</v>
      </c>
      <c r="C128" s="812"/>
      <c r="D128" s="812"/>
      <c r="E128" s="812"/>
      <c r="F128" s="812"/>
      <c r="G128" s="825"/>
    </row>
    <row r="129" spans="1:8">
      <c r="A129" s="95"/>
      <c r="B129" s="817" t="s">
        <v>838</v>
      </c>
      <c r="C129" s="818"/>
      <c r="D129" s="98" t="s">
        <v>842</v>
      </c>
      <c r="E129" s="98" t="s">
        <v>853</v>
      </c>
      <c r="F129" s="99" t="s">
        <v>1047</v>
      </c>
      <c r="G129" s="107" t="s">
        <v>840</v>
      </c>
    </row>
    <row r="130" spans="1:8">
      <c r="A130" s="95"/>
      <c r="B130" s="230"/>
      <c r="C130" s="102"/>
      <c r="D130" s="100"/>
      <c r="E130" s="100" t="s">
        <v>312</v>
      </c>
      <c r="F130" s="101" t="s">
        <v>313</v>
      </c>
      <c r="G130" s="108" t="s">
        <v>314</v>
      </c>
    </row>
    <row r="131" spans="1:8">
      <c r="A131" s="125"/>
      <c r="B131" s="875"/>
      <c r="C131" s="876"/>
      <c r="D131" s="87"/>
      <c r="E131" s="10"/>
      <c r="F131" s="80"/>
      <c r="G131" s="110"/>
    </row>
    <row r="132" spans="1:8">
      <c r="A132" s="123"/>
      <c r="B132" s="877"/>
      <c r="C132" s="878"/>
      <c r="D132" s="88"/>
      <c r="E132" s="53"/>
      <c r="F132" s="82"/>
      <c r="G132" s="111"/>
    </row>
    <row r="133" spans="1:8">
      <c r="A133" s="95"/>
      <c r="B133" s="835"/>
      <c r="C133" s="836"/>
      <c r="D133" s="37"/>
      <c r="E133" s="55"/>
      <c r="F133" s="82"/>
      <c r="G133" s="111"/>
    </row>
    <row r="134" spans="1:8">
      <c r="A134" s="95"/>
      <c r="B134" s="835"/>
      <c r="C134" s="836"/>
      <c r="D134" s="37"/>
      <c r="E134" s="55"/>
      <c r="F134" s="82"/>
      <c r="G134" s="111"/>
    </row>
    <row r="135" spans="1:8">
      <c r="A135" s="95"/>
      <c r="B135" s="837"/>
      <c r="C135" s="838"/>
      <c r="D135" s="37"/>
      <c r="E135" s="55"/>
      <c r="F135" s="82"/>
      <c r="G135" s="111"/>
    </row>
    <row r="136" spans="1:8">
      <c r="A136" s="95"/>
      <c r="B136" s="837"/>
      <c r="C136" s="838"/>
      <c r="D136" s="53" t="s">
        <v>841</v>
      </c>
      <c r="E136" s="53"/>
      <c r="F136" s="82"/>
      <c r="G136" s="111"/>
    </row>
    <row r="137" spans="1:8">
      <c r="A137" s="95"/>
      <c r="B137" s="837" t="s">
        <v>841</v>
      </c>
      <c r="C137" s="838"/>
      <c r="D137" s="53" t="s">
        <v>841</v>
      </c>
      <c r="E137" s="53"/>
      <c r="F137" s="82"/>
      <c r="G137" s="111"/>
    </row>
    <row r="138" spans="1:8">
      <c r="A138" s="95"/>
      <c r="B138" s="837" t="s">
        <v>841</v>
      </c>
      <c r="C138" s="838"/>
      <c r="D138" s="53" t="s">
        <v>841</v>
      </c>
      <c r="E138" s="53"/>
      <c r="F138" s="82"/>
      <c r="G138" s="111"/>
      <c r="H138" s="505" t="s">
        <v>1670</v>
      </c>
    </row>
    <row r="139" spans="1:8" ht="13.5" thickBot="1">
      <c r="A139" s="95"/>
      <c r="B139" s="839" t="s">
        <v>841</v>
      </c>
      <c r="C139" s="840"/>
      <c r="D139" s="84" t="s">
        <v>841</v>
      </c>
      <c r="E139" s="84"/>
      <c r="F139" s="85"/>
      <c r="G139" s="112"/>
    </row>
    <row r="140" spans="1:8" ht="13.5" thickTop="1">
      <c r="A140" s="95"/>
      <c r="B140" s="808"/>
      <c r="C140" s="809"/>
      <c r="D140" s="801" t="s">
        <v>856</v>
      </c>
      <c r="E140" s="802"/>
      <c r="F140" s="9"/>
      <c r="G140" s="113">
        <f>SUM(G131:G139)</f>
        <v>0</v>
      </c>
    </row>
    <row r="141" spans="1:8">
      <c r="A141" s="95"/>
      <c r="B141" s="819"/>
      <c r="C141" s="820"/>
      <c r="D141" s="801" t="s">
        <v>857</v>
      </c>
      <c r="E141" s="802"/>
      <c r="F141" s="79">
        <f>'MANO DE OBRA'!D60</f>
        <v>0.05</v>
      </c>
      <c r="G141" s="113">
        <f>ROUND(G140*F141,0)</f>
        <v>0</v>
      </c>
    </row>
    <row r="142" spans="1:8" ht="13.5" thickBot="1">
      <c r="A142" s="95"/>
      <c r="B142" s="819"/>
      <c r="C142" s="820"/>
      <c r="D142" s="803" t="s">
        <v>320</v>
      </c>
      <c r="E142" s="804"/>
      <c r="F142" s="114"/>
      <c r="G142" s="118">
        <f>+G140+G141</f>
        <v>0</v>
      </c>
    </row>
    <row r="143" spans="1:8" ht="14.25" thickTop="1" thickBot="1">
      <c r="A143" s="95"/>
      <c r="B143" s="830"/>
      <c r="C143" s="830"/>
      <c r="D143" s="830"/>
      <c r="E143" s="830"/>
      <c r="F143" s="830"/>
      <c r="G143" s="830"/>
    </row>
    <row r="144" spans="1:8" ht="13.5" thickTop="1">
      <c r="A144" s="95"/>
      <c r="B144" s="811" t="s">
        <v>858</v>
      </c>
      <c r="C144" s="812"/>
      <c r="D144" s="812"/>
      <c r="E144" s="812"/>
      <c r="F144" s="812"/>
      <c r="G144" s="825"/>
    </row>
    <row r="145" spans="1:7">
      <c r="A145" s="95"/>
      <c r="B145" s="817"/>
      <c r="C145" s="818"/>
      <c r="D145" s="98" t="s">
        <v>301</v>
      </c>
      <c r="E145" s="98" t="s">
        <v>859</v>
      </c>
      <c r="F145" s="99" t="s">
        <v>839</v>
      </c>
      <c r="G145" s="107" t="s">
        <v>840</v>
      </c>
    </row>
    <row r="146" spans="1:7">
      <c r="A146" s="95"/>
      <c r="B146" s="821" t="s">
        <v>838</v>
      </c>
      <c r="C146" s="822"/>
      <c r="D146" s="100" t="s">
        <v>316</v>
      </c>
      <c r="E146" s="100" t="s">
        <v>315</v>
      </c>
      <c r="F146" s="101" t="s">
        <v>306</v>
      </c>
      <c r="G146" s="108" t="s">
        <v>319</v>
      </c>
    </row>
    <row r="147" spans="1:7">
      <c r="A147" s="95"/>
      <c r="B147" s="230"/>
      <c r="C147" s="102"/>
      <c r="D147" s="103"/>
      <c r="E147" s="103" t="s">
        <v>317</v>
      </c>
      <c r="F147" s="104" t="s">
        <v>318</v>
      </c>
      <c r="G147" s="109"/>
    </row>
    <row r="148" spans="1:7">
      <c r="A148" s="95"/>
      <c r="B148" s="823" t="str">
        <f>'MANO DE OBRA'!B10</f>
        <v>AYUDANTE CUAD. TIPO AA</v>
      </c>
      <c r="C148" s="824"/>
      <c r="D148" s="87">
        <v>1</v>
      </c>
      <c r="E148" s="80">
        <f>'MANO DE OBRA'!E10</f>
        <v>34680</v>
      </c>
      <c r="F148" s="81">
        <v>1.7</v>
      </c>
      <c r="G148" s="110">
        <f>ROUND(D148*E148/F148,0)</f>
        <v>20400</v>
      </c>
    </row>
    <row r="149" spans="1:7">
      <c r="A149" s="95"/>
      <c r="B149" s="835"/>
      <c r="C149" s="836"/>
      <c r="D149" s="37"/>
      <c r="E149" s="82"/>
      <c r="F149" s="83"/>
      <c r="G149" s="111"/>
    </row>
    <row r="150" spans="1:7">
      <c r="A150" s="95"/>
      <c r="B150" s="835"/>
      <c r="C150" s="836"/>
      <c r="D150" s="89"/>
      <c r="E150" s="82"/>
      <c r="F150" s="83"/>
      <c r="G150" s="111"/>
    </row>
    <row r="151" spans="1:7">
      <c r="A151" s="95"/>
      <c r="B151" s="835" t="s">
        <v>841</v>
      </c>
      <c r="C151" s="836"/>
      <c r="D151" s="37"/>
      <c r="E151" s="82"/>
      <c r="F151" s="83"/>
      <c r="G151" s="111"/>
    </row>
    <row r="152" spans="1:7" ht="13.5" thickBot="1">
      <c r="A152" s="95"/>
      <c r="B152" s="828" t="s">
        <v>841</v>
      </c>
      <c r="C152" s="829"/>
      <c r="D152" s="77"/>
      <c r="E152" s="82"/>
      <c r="F152" s="86"/>
      <c r="G152" s="112"/>
    </row>
    <row r="153" spans="1:7" ht="14.25" thickTop="1" thickBot="1">
      <c r="A153" s="95"/>
      <c r="B153" s="808"/>
      <c r="C153" s="808"/>
      <c r="D153" s="808"/>
      <c r="E153" s="809"/>
      <c r="F153" s="120" t="s">
        <v>856</v>
      </c>
      <c r="G153" s="118">
        <f>SUM(G148:G152)</f>
        <v>20400</v>
      </c>
    </row>
    <row r="154" spans="1:7" ht="14.25" thickTop="1" thickBot="1">
      <c r="A154" s="95"/>
      <c r="B154" s="810"/>
      <c r="C154" s="810"/>
      <c r="D154" s="810"/>
      <c r="E154" s="810"/>
      <c r="F154" s="810"/>
      <c r="G154" s="810"/>
    </row>
    <row r="155" spans="1:7" ht="13.5" thickTop="1">
      <c r="A155" s="95"/>
      <c r="B155" s="811" t="s">
        <v>321</v>
      </c>
      <c r="C155" s="812"/>
      <c r="D155" s="812"/>
      <c r="E155" s="812"/>
      <c r="F155" s="812"/>
      <c r="G155" s="825"/>
    </row>
    <row r="156" spans="1:7">
      <c r="A156" s="95"/>
      <c r="B156" s="817" t="s">
        <v>838</v>
      </c>
      <c r="C156" s="818"/>
      <c r="D156" s="98" t="s">
        <v>301</v>
      </c>
      <c r="E156" s="98" t="s">
        <v>297</v>
      </c>
      <c r="F156" s="99" t="s">
        <v>839</v>
      </c>
      <c r="G156" s="107" t="s">
        <v>840</v>
      </c>
    </row>
    <row r="157" spans="1:7">
      <c r="A157" s="95"/>
      <c r="B157" s="230"/>
      <c r="C157" s="102"/>
      <c r="D157" s="103" t="s">
        <v>322</v>
      </c>
      <c r="E157" s="103" t="s">
        <v>323</v>
      </c>
      <c r="F157" s="104" t="s">
        <v>324</v>
      </c>
      <c r="G157" s="109" t="s">
        <v>325</v>
      </c>
    </row>
    <row r="158" spans="1:7">
      <c r="A158" s="95"/>
      <c r="B158" s="826"/>
      <c r="C158" s="827"/>
      <c r="D158" s="96"/>
      <c r="E158" s="96"/>
      <c r="F158" s="96"/>
      <c r="G158" s="116"/>
    </row>
    <row r="159" spans="1:7" ht="13.5" thickBot="1">
      <c r="A159" s="95"/>
      <c r="B159" s="828" t="s">
        <v>841</v>
      </c>
      <c r="C159" s="829"/>
      <c r="D159" s="77"/>
      <c r="E159" s="82"/>
      <c r="F159" s="86"/>
      <c r="G159" s="112"/>
    </row>
    <row r="160" spans="1:7" ht="14.25" thickTop="1" thickBot="1">
      <c r="A160" s="95"/>
      <c r="B160" s="808"/>
      <c r="C160" s="808"/>
      <c r="D160" s="808"/>
      <c r="E160" s="809"/>
      <c r="F160" s="120" t="s">
        <v>856</v>
      </c>
      <c r="G160" s="118">
        <f>SUM(G155:G159)</f>
        <v>0</v>
      </c>
    </row>
    <row r="161" spans="1:8" ht="14.25" thickTop="1" thickBot="1">
      <c r="A161" s="95"/>
      <c r="B161" s="810"/>
      <c r="C161" s="810"/>
      <c r="D161" s="810"/>
      <c r="E161" s="810"/>
      <c r="F161" s="810"/>
      <c r="G161" s="834"/>
    </row>
    <row r="162" spans="1:8" ht="13.5" thickTop="1">
      <c r="A162" s="95"/>
      <c r="B162" s="811" t="s">
        <v>326</v>
      </c>
      <c r="C162" s="812"/>
      <c r="D162" s="812"/>
      <c r="E162" s="812"/>
      <c r="F162" s="813"/>
      <c r="G162" s="121">
        <f>+G126+G142+G153</f>
        <v>21420</v>
      </c>
    </row>
    <row r="163" spans="1:8">
      <c r="A163" s="95"/>
      <c r="B163" s="814" t="s">
        <v>861</v>
      </c>
      <c r="C163" s="815"/>
      <c r="D163" s="815"/>
      <c r="E163" s="816"/>
      <c r="F163" s="128">
        <f>'MANO DE OBRA'!D59</f>
        <v>0</v>
      </c>
      <c r="G163" s="122">
        <f>ROUND(G162*F163,0)</f>
        <v>0</v>
      </c>
    </row>
    <row r="164" spans="1:8" ht="13.5" thickBot="1">
      <c r="A164" s="95"/>
      <c r="B164" s="805" t="s">
        <v>1049</v>
      </c>
      <c r="C164" s="806"/>
      <c r="D164" s="806"/>
      <c r="E164" s="806"/>
      <c r="F164" s="807"/>
      <c r="G164" s="118">
        <f>ROUND(G162+G163,-2)</f>
        <v>21400</v>
      </c>
      <c r="H164" s="505" t="s">
        <v>1670</v>
      </c>
    </row>
    <row r="165" spans="1:8" ht="15" thickTop="1">
      <c r="A165" s="95"/>
      <c r="B165" s="225" t="s">
        <v>303</v>
      </c>
      <c r="C165" s="843"/>
      <c r="D165" s="843"/>
      <c r="E165" s="843"/>
      <c r="F165" s="92" t="s">
        <v>781</v>
      </c>
      <c r="G165" s="93" t="s">
        <v>1066</v>
      </c>
    </row>
    <row r="166" spans="1:8">
      <c r="A166" s="95"/>
      <c r="B166" s="226" t="s">
        <v>834</v>
      </c>
      <c r="C166" s="844" t="s">
        <v>342</v>
      </c>
      <c r="D166" s="844"/>
      <c r="E166" s="844"/>
      <c r="F166" s="15" t="s">
        <v>833</v>
      </c>
      <c r="G166" s="165" t="str">
        <f>'MANO DE OBRA'!D61</f>
        <v>Agosto de 2010</v>
      </c>
    </row>
    <row r="167" spans="1:8" ht="13.5" thickBot="1">
      <c r="A167" s="127"/>
      <c r="B167" s="228" t="s">
        <v>835</v>
      </c>
      <c r="C167" s="845" t="s">
        <v>1297</v>
      </c>
      <c r="D167" s="845"/>
      <c r="E167" s="845"/>
      <c r="F167" s="845"/>
      <c r="G167" s="846"/>
    </row>
    <row r="168" spans="1:8" ht="14.25" thickTop="1" thickBot="1">
      <c r="A168" s="95"/>
      <c r="B168" s="847"/>
      <c r="C168" s="847"/>
      <c r="D168" s="847"/>
      <c r="E168" s="847"/>
      <c r="F168" s="847"/>
      <c r="G168" s="847"/>
    </row>
    <row r="169" spans="1:8" ht="13.5" thickTop="1">
      <c r="A169" s="95"/>
      <c r="B169" s="811" t="s">
        <v>304</v>
      </c>
      <c r="C169" s="812"/>
      <c r="D169" s="812"/>
      <c r="E169" s="812"/>
      <c r="F169" s="812"/>
      <c r="G169" s="825"/>
    </row>
    <row r="170" spans="1:8">
      <c r="A170" s="95"/>
      <c r="B170" s="229"/>
      <c r="C170" s="97"/>
      <c r="D170" s="98" t="s">
        <v>301</v>
      </c>
      <c r="E170" s="98" t="s">
        <v>1072</v>
      </c>
      <c r="F170" s="99" t="s">
        <v>839</v>
      </c>
      <c r="G170" s="107" t="s">
        <v>840</v>
      </c>
    </row>
    <row r="171" spans="1:8">
      <c r="A171" s="95"/>
      <c r="B171" s="821" t="s">
        <v>838</v>
      </c>
      <c r="C171" s="822"/>
      <c r="D171" s="100" t="s">
        <v>308</v>
      </c>
      <c r="E171" s="100" t="s">
        <v>305</v>
      </c>
      <c r="F171" s="101" t="s">
        <v>306</v>
      </c>
      <c r="G171" s="108" t="s">
        <v>310</v>
      </c>
    </row>
    <row r="172" spans="1:8">
      <c r="A172" s="95"/>
      <c r="B172" s="230"/>
      <c r="C172" s="102"/>
      <c r="D172" s="103"/>
      <c r="E172" s="103" t="s">
        <v>309</v>
      </c>
      <c r="F172" s="104" t="s">
        <v>307</v>
      </c>
      <c r="G172" s="109"/>
    </row>
    <row r="173" spans="1:8">
      <c r="A173" s="127"/>
      <c r="B173" s="823" t="str">
        <f>'MAQUINARIA Y EQUIPOS'!C28</f>
        <v>HERRAMIENTAS MENORES</v>
      </c>
      <c r="C173" s="824"/>
      <c r="D173" s="87">
        <v>1</v>
      </c>
      <c r="E173" s="82">
        <f>ROUND(G206*0.05,0)</f>
        <v>1084</v>
      </c>
      <c r="F173" s="81">
        <v>1</v>
      </c>
      <c r="G173" s="110">
        <f>ROUND(D173*E173/F173,0)</f>
        <v>1084</v>
      </c>
    </row>
    <row r="174" spans="1:8">
      <c r="A174" s="95"/>
      <c r="B174" s="835"/>
      <c r="C174" s="836"/>
      <c r="D174" s="37"/>
      <c r="E174" s="82"/>
      <c r="F174" s="83"/>
      <c r="G174" s="111"/>
    </row>
    <row r="175" spans="1:8">
      <c r="A175" s="95"/>
      <c r="B175" s="835"/>
      <c r="C175" s="836"/>
      <c r="D175" s="89"/>
      <c r="E175" s="82"/>
      <c r="F175" s="83"/>
      <c r="G175" s="111"/>
    </row>
    <row r="176" spans="1:8">
      <c r="A176" s="95"/>
      <c r="B176" s="835"/>
      <c r="C176" s="836"/>
      <c r="D176" s="89"/>
      <c r="E176" s="82"/>
      <c r="F176" s="83"/>
      <c r="G176" s="111"/>
    </row>
    <row r="177" spans="1:8">
      <c r="A177" s="95"/>
      <c r="B177" s="835" t="s">
        <v>841</v>
      </c>
      <c r="C177" s="836"/>
      <c r="D177" s="37"/>
      <c r="E177" s="82"/>
      <c r="F177" s="83"/>
      <c r="G177" s="111"/>
    </row>
    <row r="178" spans="1:8" ht="13.5" thickBot="1">
      <c r="A178" s="95"/>
      <c r="B178" s="839" t="s">
        <v>841</v>
      </c>
      <c r="C178" s="840"/>
      <c r="D178" s="77"/>
      <c r="E178" s="106"/>
      <c r="F178" s="86"/>
      <c r="G178" s="112"/>
    </row>
    <row r="179" spans="1:8" ht="14.25" thickTop="1" thickBot="1">
      <c r="A179" s="95"/>
      <c r="B179" s="808"/>
      <c r="C179" s="808"/>
      <c r="D179" s="808"/>
      <c r="E179" s="809"/>
      <c r="F179" s="119" t="s">
        <v>856</v>
      </c>
      <c r="G179" s="118">
        <f>SUM(G173:G178)</f>
        <v>1084</v>
      </c>
    </row>
    <row r="180" spans="1:8" ht="14.25" thickTop="1" thickBot="1">
      <c r="A180" s="95"/>
      <c r="B180" s="830"/>
      <c r="C180" s="830"/>
      <c r="D180" s="830"/>
      <c r="E180" s="830"/>
      <c r="F180" s="830"/>
      <c r="G180" s="830"/>
    </row>
    <row r="181" spans="1:8" ht="13.5" thickTop="1">
      <c r="A181" s="95"/>
      <c r="B181" s="811" t="s">
        <v>311</v>
      </c>
      <c r="C181" s="812"/>
      <c r="D181" s="812"/>
      <c r="E181" s="812"/>
      <c r="F181" s="812"/>
      <c r="G181" s="825"/>
    </row>
    <row r="182" spans="1:8">
      <c r="A182" s="95"/>
      <c r="B182" s="817" t="s">
        <v>838</v>
      </c>
      <c r="C182" s="818"/>
      <c r="D182" s="98" t="s">
        <v>842</v>
      </c>
      <c r="E182" s="98" t="s">
        <v>853</v>
      </c>
      <c r="F182" s="99" t="s">
        <v>1047</v>
      </c>
      <c r="G182" s="107" t="s">
        <v>840</v>
      </c>
    </row>
    <row r="183" spans="1:8">
      <c r="A183" s="95"/>
      <c r="B183" s="230"/>
      <c r="C183" s="102"/>
      <c r="D183" s="100"/>
      <c r="E183" s="100" t="s">
        <v>312</v>
      </c>
      <c r="F183" s="101" t="s">
        <v>313</v>
      </c>
      <c r="G183" s="108" t="s">
        <v>314</v>
      </c>
    </row>
    <row r="184" spans="1:8">
      <c r="A184" s="125"/>
      <c r="B184" s="875"/>
      <c r="C184" s="876"/>
      <c r="D184" s="87"/>
      <c r="E184" s="10"/>
      <c r="F184" s="80"/>
      <c r="G184" s="110"/>
    </row>
    <row r="185" spans="1:8">
      <c r="A185" s="123"/>
      <c r="B185" s="877"/>
      <c r="C185" s="878"/>
      <c r="D185" s="88"/>
      <c r="E185" s="53"/>
      <c r="F185" s="82"/>
      <c r="G185" s="111"/>
    </row>
    <row r="186" spans="1:8">
      <c r="A186" s="95"/>
      <c r="B186" s="835"/>
      <c r="C186" s="836"/>
      <c r="D186" s="37"/>
      <c r="E186" s="55"/>
      <c r="F186" s="82"/>
      <c r="G186" s="111"/>
    </row>
    <row r="187" spans="1:8">
      <c r="A187" s="95"/>
      <c r="B187" s="835"/>
      <c r="C187" s="836"/>
      <c r="D187" s="37"/>
      <c r="E187" s="55"/>
      <c r="F187" s="82"/>
      <c r="G187" s="111"/>
    </row>
    <row r="188" spans="1:8">
      <c r="A188" s="95"/>
      <c r="B188" s="837"/>
      <c r="C188" s="838"/>
      <c r="D188" s="37"/>
      <c r="E188" s="55"/>
      <c r="F188" s="82"/>
      <c r="G188" s="111"/>
    </row>
    <row r="189" spans="1:8">
      <c r="A189" s="95"/>
      <c r="B189" s="837"/>
      <c r="C189" s="838"/>
      <c r="D189" s="53" t="s">
        <v>841</v>
      </c>
      <c r="E189" s="53"/>
      <c r="F189" s="82"/>
      <c r="G189" s="111"/>
    </row>
    <row r="190" spans="1:8">
      <c r="A190" s="95"/>
      <c r="B190" s="837" t="s">
        <v>841</v>
      </c>
      <c r="C190" s="838"/>
      <c r="D190" s="53" t="s">
        <v>841</v>
      </c>
      <c r="E190" s="53"/>
      <c r="F190" s="82"/>
      <c r="G190" s="111"/>
      <c r="H190" s="505" t="s">
        <v>1670</v>
      </c>
    </row>
    <row r="191" spans="1:8">
      <c r="A191" s="95"/>
      <c r="B191" s="837" t="s">
        <v>841</v>
      </c>
      <c r="C191" s="838"/>
      <c r="D191" s="53" t="s">
        <v>841</v>
      </c>
      <c r="E191" s="53"/>
      <c r="F191" s="82"/>
      <c r="G191" s="111"/>
    </row>
    <row r="192" spans="1:8" ht="13.5" thickBot="1">
      <c r="A192" s="95"/>
      <c r="B192" s="839" t="s">
        <v>841</v>
      </c>
      <c r="C192" s="840"/>
      <c r="D192" s="84" t="s">
        <v>841</v>
      </c>
      <c r="E192" s="84"/>
      <c r="F192" s="85"/>
      <c r="G192" s="112"/>
    </row>
    <row r="193" spans="1:7" ht="13.5" thickTop="1">
      <c r="A193" s="95"/>
      <c r="B193" s="808"/>
      <c r="C193" s="809"/>
      <c r="D193" s="801" t="s">
        <v>856</v>
      </c>
      <c r="E193" s="802"/>
      <c r="F193" s="9"/>
      <c r="G193" s="113">
        <f>SUM(G184:G192)</f>
        <v>0</v>
      </c>
    </row>
    <row r="194" spans="1:7">
      <c r="A194" s="95"/>
      <c r="B194" s="819"/>
      <c r="C194" s="820"/>
      <c r="D194" s="801" t="s">
        <v>857</v>
      </c>
      <c r="E194" s="802"/>
      <c r="F194" s="79">
        <f>'MANO DE OBRA'!D60</f>
        <v>0.05</v>
      </c>
      <c r="G194" s="113">
        <f>ROUND(G193*F194,0)</f>
        <v>0</v>
      </c>
    </row>
    <row r="195" spans="1:7" ht="13.5" thickBot="1">
      <c r="A195" s="95"/>
      <c r="B195" s="819"/>
      <c r="C195" s="820"/>
      <c r="D195" s="803" t="s">
        <v>320</v>
      </c>
      <c r="E195" s="804"/>
      <c r="F195" s="114"/>
      <c r="G195" s="118">
        <f>+G193+G194</f>
        <v>0</v>
      </c>
    </row>
    <row r="196" spans="1:7" ht="14.25" thickTop="1" thickBot="1">
      <c r="A196" s="95"/>
      <c r="B196" s="830"/>
      <c r="C196" s="830"/>
      <c r="D196" s="830"/>
      <c r="E196" s="830"/>
      <c r="F196" s="830"/>
      <c r="G196" s="830"/>
    </row>
    <row r="197" spans="1:7" ht="13.5" thickTop="1">
      <c r="A197" s="95"/>
      <c r="B197" s="811" t="s">
        <v>858</v>
      </c>
      <c r="C197" s="812"/>
      <c r="D197" s="812"/>
      <c r="E197" s="812"/>
      <c r="F197" s="812"/>
      <c r="G197" s="825"/>
    </row>
    <row r="198" spans="1:7">
      <c r="A198" s="95"/>
      <c r="B198" s="817"/>
      <c r="C198" s="818"/>
      <c r="D198" s="98" t="s">
        <v>301</v>
      </c>
      <c r="E198" s="98" t="s">
        <v>859</v>
      </c>
      <c r="F198" s="99" t="s">
        <v>839</v>
      </c>
      <c r="G198" s="107" t="s">
        <v>840</v>
      </c>
    </row>
    <row r="199" spans="1:7">
      <c r="A199" s="95"/>
      <c r="B199" s="821" t="s">
        <v>838</v>
      </c>
      <c r="C199" s="822"/>
      <c r="D199" s="100" t="s">
        <v>316</v>
      </c>
      <c r="E199" s="100" t="s">
        <v>315</v>
      </c>
      <c r="F199" s="101" t="s">
        <v>306</v>
      </c>
      <c r="G199" s="108" t="s">
        <v>319</v>
      </c>
    </row>
    <row r="200" spans="1:7">
      <c r="A200" s="95"/>
      <c r="B200" s="230"/>
      <c r="C200" s="102"/>
      <c r="D200" s="103"/>
      <c r="E200" s="103" t="s">
        <v>317</v>
      </c>
      <c r="F200" s="104" t="s">
        <v>318</v>
      </c>
      <c r="G200" s="109"/>
    </row>
    <row r="201" spans="1:7">
      <c r="A201" s="95"/>
      <c r="B201" s="823" t="str">
        <f>'MANO DE OBRA'!B10</f>
        <v>AYUDANTE CUAD. TIPO AA</v>
      </c>
      <c r="C201" s="824"/>
      <c r="D201" s="87">
        <v>1</v>
      </c>
      <c r="E201" s="80">
        <f>'MANO DE OBRA'!E10</f>
        <v>34680</v>
      </c>
      <c r="F201" s="81">
        <v>1.6</v>
      </c>
      <c r="G201" s="110">
        <f>ROUND(D201*E201/F201,0)</f>
        <v>21675</v>
      </c>
    </row>
    <row r="202" spans="1:7">
      <c r="A202" s="95"/>
      <c r="B202" s="835"/>
      <c r="C202" s="836"/>
      <c r="D202" s="37"/>
      <c r="E202" s="82"/>
      <c r="F202" s="83"/>
      <c r="G202" s="111"/>
    </row>
    <row r="203" spans="1:7">
      <c r="A203" s="95"/>
      <c r="B203" s="835"/>
      <c r="C203" s="836"/>
      <c r="D203" s="89"/>
      <c r="E203" s="82"/>
      <c r="F203" s="83"/>
      <c r="G203" s="111"/>
    </row>
    <row r="204" spans="1:7">
      <c r="A204" s="95"/>
      <c r="B204" s="835" t="s">
        <v>841</v>
      </c>
      <c r="C204" s="836"/>
      <c r="D204" s="37"/>
      <c r="E204" s="82"/>
      <c r="F204" s="83"/>
      <c r="G204" s="111"/>
    </row>
    <row r="205" spans="1:7" ht="13.5" thickBot="1">
      <c r="A205" s="95"/>
      <c r="B205" s="828" t="s">
        <v>841</v>
      </c>
      <c r="C205" s="829"/>
      <c r="D205" s="77"/>
      <c r="E205" s="82"/>
      <c r="F205" s="86"/>
      <c r="G205" s="112"/>
    </row>
    <row r="206" spans="1:7" ht="14.25" thickTop="1" thickBot="1">
      <c r="A206" s="95"/>
      <c r="B206" s="808"/>
      <c r="C206" s="808"/>
      <c r="D206" s="808"/>
      <c r="E206" s="809"/>
      <c r="F206" s="120" t="s">
        <v>856</v>
      </c>
      <c r="G206" s="118">
        <f>SUM(G201:G205)</f>
        <v>21675</v>
      </c>
    </row>
    <row r="207" spans="1:7" ht="14.25" thickTop="1" thickBot="1">
      <c r="A207" s="95"/>
      <c r="B207" s="810"/>
      <c r="C207" s="810"/>
      <c r="D207" s="810"/>
      <c r="E207" s="810"/>
      <c r="F207" s="810"/>
      <c r="G207" s="810"/>
    </row>
    <row r="208" spans="1:7" ht="13.5" thickTop="1">
      <c r="A208" s="95"/>
      <c r="B208" s="811" t="s">
        <v>321</v>
      </c>
      <c r="C208" s="812"/>
      <c r="D208" s="812"/>
      <c r="E208" s="812"/>
      <c r="F208" s="812"/>
      <c r="G208" s="825"/>
    </row>
    <row r="209" spans="1:8">
      <c r="A209" s="95"/>
      <c r="B209" s="817" t="s">
        <v>838</v>
      </c>
      <c r="C209" s="818"/>
      <c r="D209" s="98" t="s">
        <v>301</v>
      </c>
      <c r="E209" s="98" t="s">
        <v>297</v>
      </c>
      <c r="F209" s="99" t="s">
        <v>839</v>
      </c>
      <c r="G209" s="107" t="s">
        <v>840</v>
      </c>
    </row>
    <row r="210" spans="1:8">
      <c r="A210" s="95"/>
      <c r="B210" s="230"/>
      <c r="C210" s="102"/>
      <c r="D210" s="103" t="s">
        <v>322</v>
      </c>
      <c r="E210" s="103" t="s">
        <v>323</v>
      </c>
      <c r="F210" s="104" t="s">
        <v>324</v>
      </c>
      <c r="G210" s="109" t="s">
        <v>325</v>
      </c>
    </row>
    <row r="211" spans="1:8">
      <c r="A211" s="95"/>
      <c r="B211" s="826"/>
      <c r="C211" s="827"/>
      <c r="D211" s="96"/>
      <c r="E211" s="96"/>
      <c r="F211" s="96"/>
      <c r="G211" s="116"/>
    </row>
    <row r="212" spans="1:8" ht="13.5" thickBot="1">
      <c r="A212" s="95"/>
      <c r="B212" s="828" t="s">
        <v>841</v>
      </c>
      <c r="C212" s="829"/>
      <c r="D212" s="77"/>
      <c r="E212" s="82"/>
      <c r="F212" s="86"/>
      <c r="G212" s="112"/>
    </row>
    <row r="213" spans="1:8" ht="14.25" thickTop="1" thickBot="1">
      <c r="A213" s="95"/>
      <c r="B213" s="808"/>
      <c r="C213" s="808"/>
      <c r="D213" s="808"/>
      <c r="E213" s="809"/>
      <c r="F213" s="120" t="s">
        <v>856</v>
      </c>
      <c r="G213" s="118">
        <f>SUM(G208:G212)</f>
        <v>0</v>
      </c>
    </row>
    <row r="214" spans="1:8" ht="14.25" thickTop="1" thickBot="1">
      <c r="A214" s="95"/>
      <c r="B214" s="810"/>
      <c r="C214" s="810"/>
      <c r="D214" s="810"/>
      <c r="E214" s="810"/>
      <c r="F214" s="810"/>
      <c r="G214" s="834"/>
    </row>
    <row r="215" spans="1:8" ht="13.5" thickTop="1">
      <c r="A215" s="95"/>
      <c r="B215" s="811" t="s">
        <v>326</v>
      </c>
      <c r="C215" s="812"/>
      <c r="D215" s="812"/>
      <c r="E215" s="812"/>
      <c r="F215" s="813"/>
      <c r="G215" s="121">
        <f>+G179+G195+G206</f>
        <v>22759</v>
      </c>
    </row>
    <row r="216" spans="1:8">
      <c r="A216" s="95"/>
      <c r="B216" s="814" t="s">
        <v>861</v>
      </c>
      <c r="C216" s="815"/>
      <c r="D216" s="815"/>
      <c r="E216" s="816"/>
      <c r="F216" s="128">
        <f>'MANO DE OBRA'!D59</f>
        <v>0</v>
      </c>
      <c r="G216" s="122">
        <f>ROUND(G215*F216,0)</f>
        <v>0</v>
      </c>
    </row>
    <row r="217" spans="1:8" ht="13.5" thickBot="1">
      <c r="A217" s="95"/>
      <c r="B217" s="805" t="s">
        <v>1049</v>
      </c>
      <c r="C217" s="806"/>
      <c r="D217" s="806"/>
      <c r="E217" s="806"/>
      <c r="F217" s="807"/>
      <c r="G217" s="118">
        <f>ROUND(G215+G216,-2)</f>
        <v>22800</v>
      </c>
      <c r="H217" s="505" t="s">
        <v>1670</v>
      </c>
    </row>
    <row r="218" spans="1:8" ht="15" thickTop="1">
      <c r="A218" s="95"/>
      <c r="B218" s="225" t="s">
        <v>303</v>
      </c>
      <c r="C218" s="843"/>
      <c r="D218" s="843"/>
      <c r="E218" s="843"/>
      <c r="F218" s="92" t="s">
        <v>781</v>
      </c>
      <c r="G218" s="93" t="s">
        <v>1066</v>
      </c>
    </row>
    <row r="219" spans="1:8">
      <c r="A219" s="95"/>
      <c r="B219" s="226" t="s">
        <v>834</v>
      </c>
      <c r="C219" s="844" t="s">
        <v>342</v>
      </c>
      <c r="D219" s="844"/>
      <c r="E219" s="844"/>
      <c r="F219" s="15" t="s">
        <v>833</v>
      </c>
      <c r="G219" s="165" t="str">
        <f>'MANO DE OBRA'!D61</f>
        <v>Agosto de 2010</v>
      </c>
    </row>
    <row r="220" spans="1:8" ht="13.5" thickBot="1">
      <c r="A220" s="127"/>
      <c r="B220" s="228" t="s">
        <v>835</v>
      </c>
      <c r="C220" s="845" t="s">
        <v>1298</v>
      </c>
      <c r="D220" s="845"/>
      <c r="E220" s="845"/>
      <c r="F220" s="845"/>
      <c r="G220" s="846"/>
    </row>
    <row r="221" spans="1:8" ht="14.25" thickTop="1" thickBot="1">
      <c r="A221" s="95"/>
      <c r="B221" s="847"/>
      <c r="C221" s="847"/>
      <c r="D221" s="847"/>
      <c r="E221" s="847"/>
      <c r="F221" s="847"/>
      <c r="G221" s="847"/>
    </row>
    <row r="222" spans="1:8" ht="13.5" thickTop="1">
      <c r="A222" s="95"/>
      <c r="B222" s="811" t="s">
        <v>304</v>
      </c>
      <c r="C222" s="812"/>
      <c r="D222" s="812"/>
      <c r="E222" s="812"/>
      <c r="F222" s="812"/>
      <c r="G222" s="825"/>
    </row>
    <row r="223" spans="1:8">
      <c r="A223" s="95"/>
      <c r="B223" s="229"/>
      <c r="C223" s="97"/>
      <c r="D223" s="98" t="s">
        <v>301</v>
      </c>
      <c r="E223" s="98" t="s">
        <v>1072</v>
      </c>
      <c r="F223" s="99" t="s">
        <v>839</v>
      </c>
      <c r="G223" s="107" t="s">
        <v>840</v>
      </c>
    </row>
    <row r="224" spans="1:8">
      <c r="A224" s="95"/>
      <c r="B224" s="821" t="s">
        <v>838</v>
      </c>
      <c r="C224" s="822"/>
      <c r="D224" s="100" t="s">
        <v>308</v>
      </c>
      <c r="E224" s="100" t="s">
        <v>305</v>
      </c>
      <c r="F224" s="101" t="s">
        <v>306</v>
      </c>
      <c r="G224" s="108" t="s">
        <v>310</v>
      </c>
    </row>
    <row r="225" spans="1:7">
      <c r="A225" s="95"/>
      <c r="B225" s="230"/>
      <c r="C225" s="102"/>
      <c r="D225" s="103"/>
      <c r="E225" s="103" t="s">
        <v>309</v>
      </c>
      <c r="F225" s="104" t="s">
        <v>307</v>
      </c>
      <c r="G225" s="109"/>
    </row>
    <row r="226" spans="1:7">
      <c r="A226" s="127"/>
      <c r="B226" s="823" t="str">
        <f>'MAQUINARIA Y EQUIPOS'!C28</f>
        <v>HERRAMIENTAS MENORES</v>
      </c>
      <c r="C226" s="824"/>
      <c r="D226" s="87">
        <v>1</v>
      </c>
      <c r="E226" s="82">
        <f>ROUND(G259*0.05,0)</f>
        <v>2168</v>
      </c>
      <c r="F226" s="81">
        <v>1</v>
      </c>
      <c r="G226" s="110">
        <f>ROUND(D226*E226/F226,0)</f>
        <v>2168</v>
      </c>
    </row>
    <row r="227" spans="1:7">
      <c r="A227" s="95"/>
      <c r="B227" s="835"/>
      <c r="C227" s="836"/>
      <c r="D227" s="37"/>
      <c r="E227" s="82"/>
      <c r="F227" s="83"/>
      <c r="G227" s="111"/>
    </row>
    <row r="228" spans="1:7">
      <c r="A228" s="95"/>
      <c r="B228" s="835"/>
      <c r="C228" s="836"/>
      <c r="D228" s="89"/>
      <c r="E228" s="82"/>
      <c r="F228" s="83"/>
      <c r="G228" s="111"/>
    </row>
    <row r="229" spans="1:7">
      <c r="A229" s="95"/>
      <c r="B229" s="835"/>
      <c r="C229" s="836"/>
      <c r="D229" s="89"/>
      <c r="E229" s="82"/>
      <c r="F229" s="83"/>
      <c r="G229" s="111"/>
    </row>
    <row r="230" spans="1:7">
      <c r="A230" s="95"/>
      <c r="B230" s="835" t="s">
        <v>841</v>
      </c>
      <c r="C230" s="836"/>
      <c r="D230" s="37"/>
      <c r="E230" s="82"/>
      <c r="F230" s="83"/>
      <c r="G230" s="111"/>
    </row>
    <row r="231" spans="1:7" ht="13.5" thickBot="1">
      <c r="A231" s="95"/>
      <c r="B231" s="839" t="s">
        <v>841</v>
      </c>
      <c r="C231" s="840"/>
      <c r="D231" s="77"/>
      <c r="E231" s="106"/>
      <c r="F231" s="86"/>
      <c r="G231" s="112"/>
    </row>
    <row r="232" spans="1:7" ht="14.25" thickTop="1" thickBot="1">
      <c r="A232" s="95"/>
      <c r="B232" s="808"/>
      <c r="C232" s="808"/>
      <c r="D232" s="808"/>
      <c r="E232" s="809"/>
      <c r="F232" s="119" t="s">
        <v>856</v>
      </c>
      <c r="G232" s="118">
        <f>SUM(G226:G231)</f>
        <v>2168</v>
      </c>
    </row>
    <row r="233" spans="1:7" ht="14.25" thickTop="1" thickBot="1">
      <c r="A233" s="95"/>
      <c r="B233" s="830"/>
      <c r="C233" s="830"/>
      <c r="D233" s="830"/>
      <c r="E233" s="830"/>
      <c r="F233" s="830"/>
      <c r="G233" s="830"/>
    </row>
    <row r="234" spans="1:7" ht="13.5" thickTop="1">
      <c r="A234" s="95"/>
      <c r="B234" s="811" t="s">
        <v>311</v>
      </c>
      <c r="C234" s="812"/>
      <c r="D234" s="812"/>
      <c r="E234" s="812"/>
      <c r="F234" s="812"/>
      <c r="G234" s="825"/>
    </row>
    <row r="235" spans="1:7">
      <c r="A235" s="95"/>
      <c r="B235" s="817" t="s">
        <v>838</v>
      </c>
      <c r="C235" s="818"/>
      <c r="D235" s="98" t="s">
        <v>842</v>
      </c>
      <c r="E235" s="98" t="s">
        <v>853</v>
      </c>
      <c r="F235" s="99" t="s">
        <v>1047</v>
      </c>
      <c r="G235" s="107" t="s">
        <v>840</v>
      </c>
    </row>
    <row r="236" spans="1:7">
      <c r="A236" s="95"/>
      <c r="B236" s="230"/>
      <c r="C236" s="102"/>
      <c r="D236" s="100"/>
      <c r="E236" s="100" t="s">
        <v>312</v>
      </c>
      <c r="F236" s="101" t="s">
        <v>313</v>
      </c>
      <c r="G236" s="108" t="s">
        <v>314</v>
      </c>
    </row>
    <row r="237" spans="1:7">
      <c r="A237" s="125"/>
      <c r="B237" s="875"/>
      <c r="C237" s="876"/>
      <c r="D237" s="87"/>
      <c r="E237" s="10"/>
      <c r="F237" s="80"/>
      <c r="G237" s="110"/>
    </row>
    <row r="238" spans="1:7">
      <c r="A238" s="123"/>
      <c r="B238" s="877"/>
      <c r="C238" s="878"/>
      <c r="D238" s="88"/>
      <c r="E238" s="53"/>
      <c r="F238" s="82"/>
      <c r="G238" s="111"/>
    </row>
    <row r="239" spans="1:7">
      <c r="A239" s="95"/>
      <c r="B239" s="835"/>
      <c r="C239" s="836"/>
      <c r="D239" s="37"/>
      <c r="E239" s="55"/>
      <c r="F239" s="82"/>
      <c r="G239" s="111"/>
    </row>
    <row r="240" spans="1:7">
      <c r="A240" s="95"/>
      <c r="B240" s="835"/>
      <c r="C240" s="836"/>
      <c r="D240" s="37"/>
      <c r="E240" s="55"/>
      <c r="F240" s="82"/>
      <c r="G240" s="111"/>
    </row>
    <row r="241" spans="1:8">
      <c r="A241" s="95"/>
      <c r="B241" s="837"/>
      <c r="C241" s="838"/>
      <c r="D241" s="37"/>
      <c r="E241" s="55"/>
      <c r="F241" s="82"/>
      <c r="G241" s="111"/>
    </row>
    <row r="242" spans="1:8">
      <c r="A242" s="95"/>
      <c r="B242" s="837"/>
      <c r="C242" s="838"/>
      <c r="D242" s="53" t="s">
        <v>841</v>
      </c>
      <c r="E242" s="53"/>
      <c r="F242" s="82"/>
      <c r="G242" s="111"/>
    </row>
    <row r="243" spans="1:8">
      <c r="A243" s="95"/>
      <c r="B243" s="837" t="s">
        <v>841</v>
      </c>
      <c r="C243" s="838"/>
      <c r="D243" s="53" t="s">
        <v>841</v>
      </c>
      <c r="E243" s="53"/>
      <c r="F243" s="82"/>
      <c r="G243" s="111"/>
      <c r="H243" s="505" t="s">
        <v>1670</v>
      </c>
    </row>
    <row r="244" spans="1:8">
      <c r="A244" s="95"/>
      <c r="B244" s="837" t="s">
        <v>841</v>
      </c>
      <c r="C244" s="838"/>
      <c r="D244" s="53" t="s">
        <v>841</v>
      </c>
      <c r="E244" s="53"/>
      <c r="F244" s="82"/>
      <c r="G244" s="111"/>
    </row>
    <row r="245" spans="1:8" ht="13.5" thickBot="1">
      <c r="A245" s="95"/>
      <c r="B245" s="839" t="s">
        <v>841</v>
      </c>
      <c r="C245" s="840"/>
      <c r="D245" s="84" t="s">
        <v>841</v>
      </c>
      <c r="E245" s="84"/>
      <c r="F245" s="85"/>
      <c r="G245" s="112"/>
    </row>
    <row r="246" spans="1:8" ht="13.5" thickTop="1">
      <c r="A246" s="95"/>
      <c r="B246" s="808"/>
      <c r="C246" s="809"/>
      <c r="D246" s="801" t="s">
        <v>856</v>
      </c>
      <c r="E246" s="802"/>
      <c r="F246" s="9"/>
      <c r="G246" s="113">
        <f>SUM(G237:G245)</f>
        <v>0</v>
      </c>
    </row>
    <row r="247" spans="1:8">
      <c r="A247" s="95"/>
      <c r="B247" s="819"/>
      <c r="C247" s="820"/>
      <c r="D247" s="801" t="s">
        <v>857</v>
      </c>
      <c r="E247" s="802"/>
      <c r="F247" s="79">
        <f>'MANO DE OBRA'!D60</f>
        <v>0.05</v>
      </c>
      <c r="G247" s="113">
        <f>ROUND(G246*F247,0)</f>
        <v>0</v>
      </c>
    </row>
    <row r="248" spans="1:8" ht="13.5" thickBot="1">
      <c r="A248" s="95"/>
      <c r="B248" s="819"/>
      <c r="C248" s="820"/>
      <c r="D248" s="803" t="s">
        <v>320</v>
      </c>
      <c r="E248" s="804"/>
      <c r="F248" s="114"/>
      <c r="G248" s="118">
        <f>+G246+G247</f>
        <v>0</v>
      </c>
    </row>
    <row r="249" spans="1:8" ht="14.25" thickTop="1" thickBot="1">
      <c r="A249" s="95"/>
      <c r="B249" s="830"/>
      <c r="C249" s="830"/>
      <c r="D249" s="830"/>
      <c r="E249" s="830"/>
      <c r="F249" s="830"/>
      <c r="G249" s="830"/>
    </row>
    <row r="250" spans="1:8" ht="13.5" thickTop="1">
      <c r="A250" s="95"/>
      <c r="B250" s="811" t="s">
        <v>858</v>
      </c>
      <c r="C250" s="812"/>
      <c r="D250" s="812"/>
      <c r="E250" s="812"/>
      <c r="F250" s="812"/>
      <c r="G250" s="825"/>
    </row>
    <row r="251" spans="1:8">
      <c r="A251" s="95"/>
      <c r="B251" s="817"/>
      <c r="C251" s="818"/>
      <c r="D251" s="98" t="s">
        <v>301</v>
      </c>
      <c r="E251" s="98" t="s">
        <v>859</v>
      </c>
      <c r="F251" s="99" t="s">
        <v>839</v>
      </c>
      <c r="G251" s="107" t="s">
        <v>840</v>
      </c>
    </row>
    <row r="252" spans="1:8">
      <c r="A252" s="95"/>
      <c r="B252" s="821" t="s">
        <v>838</v>
      </c>
      <c r="C252" s="822"/>
      <c r="D252" s="100" t="s">
        <v>316</v>
      </c>
      <c r="E252" s="100" t="s">
        <v>315</v>
      </c>
      <c r="F252" s="101" t="s">
        <v>306</v>
      </c>
      <c r="G252" s="108" t="s">
        <v>319</v>
      </c>
    </row>
    <row r="253" spans="1:8">
      <c r="A253" s="95"/>
      <c r="B253" s="230"/>
      <c r="C253" s="102"/>
      <c r="D253" s="103"/>
      <c r="E253" s="103" t="s">
        <v>317</v>
      </c>
      <c r="F253" s="104" t="s">
        <v>318</v>
      </c>
      <c r="G253" s="109"/>
    </row>
    <row r="254" spans="1:8">
      <c r="A254" s="95"/>
      <c r="B254" s="823" t="str">
        <f>'MANO DE OBRA'!B10</f>
        <v>AYUDANTE CUAD. TIPO AA</v>
      </c>
      <c r="C254" s="824"/>
      <c r="D254" s="87">
        <v>1</v>
      </c>
      <c r="E254" s="80">
        <f>'MANO DE OBRA'!E10</f>
        <v>34680</v>
      </c>
      <c r="F254" s="81">
        <v>0.8</v>
      </c>
      <c r="G254" s="110">
        <f>ROUND(D254*E254/F254,0)</f>
        <v>43350</v>
      </c>
    </row>
    <row r="255" spans="1:8">
      <c r="A255" s="95"/>
      <c r="B255" s="835"/>
      <c r="C255" s="836"/>
      <c r="D255" s="37"/>
      <c r="E255" s="82"/>
      <c r="F255" s="83"/>
      <c r="G255" s="111"/>
    </row>
    <row r="256" spans="1:8">
      <c r="A256" s="95"/>
      <c r="B256" s="835"/>
      <c r="C256" s="836"/>
      <c r="D256" s="89"/>
      <c r="E256" s="82"/>
      <c r="F256" s="83"/>
      <c r="G256" s="111"/>
    </row>
    <row r="257" spans="1:8">
      <c r="A257" s="95"/>
      <c r="B257" s="835" t="s">
        <v>841</v>
      </c>
      <c r="C257" s="836"/>
      <c r="D257" s="37"/>
      <c r="E257" s="82"/>
      <c r="F257" s="83"/>
      <c r="G257" s="111"/>
    </row>
    <row r="258" spans="1:8" ht="13.5" thickBot="1">
      <c r="A258" s="95"/>
      <c r="B258" s="828" t="s">
        <v>841</v>
      </c>
      <c r="C258" s="829"/>
      <c r="D258" s="77"/>
      <c r="E258" s="82"/>
      <c r="F258" s="86"/>
      <c r="G258" s="112"/>
    </row>
    <row r="259" spans="1:8" ht="14.25" thickTop="1" thickBot="1">
      <c r="A259" s="95"/>
      <c r="B259" s="808"/>
      <c r="C259" s="808"/>
      <c r="D259" s="808"/>
      <c r="E259" s="809"/>
      <c r="F259" s="120" t="s">
        <v>856</v>
      </c>
      <c r="G259" s="118">
        <f>SUM(G254:G258)</f>
        <v>43350</v>
      </c>
    </row>
    <row r="260" spans="1:8" ht="14.25" thickTop="1" thickBot="1">
      <c r="A260" s="95"/>
      <c r="B260" s="810"/>
      <c r="C260" s="810"/>
      <c r="D260" s="810"/>
      <c r="E260" s="810"/>
      <c r="F260" s="810"/>
      <c r="G260" s="810"/>
    </row>
    <row r="261" spans="1:8" ht="13.5" thickTop="1">
      <c r="A261" s="95"/>
      <c r="B261" s="811" t="s">
        <v>321</v>
      </c>
      <c r="C261" s="812"/>
      <c r="D261" s="812"/>
      <c r="E261" s="812"/>
      <c r="F261" s="812"/>
      <c r="G261" s="825"/>
    </row>
    <row r="262" spans="1:8">
      <c r="A262" s="95"/>
      <c r="B262" s="817" t="s">
        <v>838</v>
      </c>
      <c r="C262" s="818"/>
      <c r="D262" s="98" t="s">
        <v>301</v>
      </c>
      <c r="E262" s="98" t="s">
        <v>297</v>
      </c>
      <c r="F262" s="99" t="s">
        <v>839</v>
      </c>
      <c r="G262" s="107" t="s">
        <v>840</v>
      </c>
    </row>
    <row r="263" spans="1:8">
      <c r="A263" s="95"/>
      <c r="B263" s="230"/>
      <c r="C263" s="102"/>
      <c r="D263" s="103" t="s">
        <v>322</v>
      </c>
      <c r="E263" s="103" t="s">
        <v>323</v>
      </c>
      <c r="F263" s="104" t="s">
        <v>324</v>
      </c>
      <c r="G263" s="109" t="s">
        <v>325</v>
      </c>
    </row>
    <row r="264" spans="1:8">
      <c r="A264" s="95"/>
      <c r="B264" s="826"/>
      <c r="C264" s="827"/>
      <c r="D264" s="96"/>
      <c r="E264" s="96"/>
      <c r="F264" s="96"/>
      <c r="G264" s="116"/>
    </row>
    <row r="265" spans="1:8" ht="13.5" thickBot="1">
      <c r="A265" s="95"/>
      <c r="B265" s="828" t="s">
        <v>841</v>
      </c>
      <c r="C265" s="829"/>
      <c r="D265" s="77"/>
      <c r="E265" s="82"/>
      <c r="F265" s="86"/>
      <c r="G265" s="112"/>
    </row>
    <row r="266" spans="1:8" ht="14.25" thickTop="1" thickBot="1">
      <c r="A266" s="95"/>
      <c r="B266" s="808"/>
      <c r="C266" s="808"/>
      <c r="D266" s="808"/>
      <c r="E266" s="809"/>
      <c r="F266" s="120" t="s">
        <v>856</v>
      </c>
      <c r="G266" s="118">
        <f>SUM(G261:G265)</f>
        <v>0</v>
      </c>
    </row>
    <row r="267" spans="1:8" ht="14.25" thickTop="1" thickBot="1">
      <c r="A267" s="95"/>
      <c r="B267" s="810"/>
      <c r="C267" s="810"/>
      <c r="D267" s="810"/>
      <c r="E267" s="810"/>
      <c r="F267" s="810"/>
      <c r="G267" s="834"/>
    </row>
    <row r="268" spans="1:8" ht="13.5" thickTop="1">
      <c r="A268" s="95"/>
      <c r="B268" s="811" t="s">
        <v>326</v>
      </c>
      <c r="C268" s="812"/>
      <c r="D268" s="812"/>
      <c r="E268" s="812"/>
      <c r="F268" s="813"/>
      <c r="G268" s="121">
        <f>+G232+G248+G259</f>
        <v>45518</v>
      </c>
    </row>
    <row r="269" spans="1:8">
      <c r="A269" s="95"/>
      <c r="B269" s="814" t="s">
        <v>861</v>
      </c>
      <c r="C269" s="815"/>
      <c r="D269" s="815"/>
      <c r="E269" s="816"/>
      <c r="F269" s="128">
        <f>'MANO DE OBRA'!D59</f>
        <v>0</v>
      </c>
      <c r="G269" s="122">
        <f>ROUND(G268*F269,0)</f>
        <v>0</v>
      </c>
    </row>
    <row r="270" spans="1:8" ht="13.5" thickBot="1">
      <c r="A270" s="95"/>
      <c r="B270" s="805" t="s">
        <v>1049</v>
      </c>
      <c r="C270" s="806"/>
      <c r="D270" s="806"/>
      <c r="E270" s="806"/>
      <c r="F270" s="807"/>
      <c r="G270" s="118">
        <f>ROUND(G268+G269,-2)</f>
        <v>45500</v>
      </c>
      <c r="H270" s="505" t="s">
        <v>1670</v>
      </c>
    </row>
    <row r="271" spans="1:8" ht="15" thickTop="1">
      <c r="A271" s="95"/>
      <c r="B271" s="225" t="s">
        <v>303</v>
      </c>
      <c r="C271" s="843"/>
      <c r="D271" s="843"/>
      <c r="E271" s="843"/>
      <c r="F271" s="92" t="s">
        <v>781</v>
      </c>
      <c r="G271" s="93" t="s">
        <v>1066</v>
      </c>
    </row>
    <row r="272" spans="1:8">
      <c r="A272" s="95"/>
      <c r="B272" s="226" t="s">
        <v>834</v>
      </c>
      <c r="C272" s="844" t="s">
        <v>342</v>
      </c>
      <c r="D272" s="844"/>
      <c r="E272" s="844"/>
      <c r="F272" s="15" t="s">
        <v>833</v>
      </c>
      <c r="G272" s="165" t="str">
        <f>'MANO DE OBRA'!D61</f>
        <v>Agosto de 2010</v>
      </c>
    </row>
    <row r="273" spans="1:7" ht="13.5" thickBot="1">
      <c r="A273" s="127"/>
      <c r="B273" s="228" t="s">
        <v>835</v>
      </c>
      <c r="C273" s="845" t="s">
        <v>1343</v>
      </c>
      <c r="D273" s="845"/>
      <c r="E273" s="845"/>
      <c r="F273" s="845"/>
      <c r="G273" s="846"/>
    </row>
    <row r="274" spans="1:7" ht="14.25" thickTop="1" thickBot="1">
      <c r="A274" s="95"/>
      <c r="B274" s="847"/>
      <c r="C274" s="847"/>
      <c r="D274" s="847"/>
      <c r="E274" s="847"/>
      <c r="F274" s="847"/>
      <c r="G274" s="847"/>
    </row>
    <row r="275" spans="1:7" ht="13.5" thickTop="1">
      <c r="A275" s="95"/>
      <c r="B275" s="811" t="s">
        <v>304</v>
      </c>
      <c r="C275" s="812"/>
      <c r="D275" s="812"/>
      <c r="E275" s="812"/>
      <c r="F275" s="812"/>
      <c r="G275" s="825"/>
    </row>
    <row r="276" spans="1:7">
      <c r="A276" s="95"/>
      <c r="B276" s="229"/>
      <c r="C276" s="97"/>
      <c r="D276" s="98" t="s">
        <v>301</v>
      </c>
      <c r="E276" s="98" t="s">
        <v>1072</v>
      </c>
      <c r="F276" s="99" t="s">
        <v>839</v>
      </c>
      <c r="G276" s="107" t="s">
        <v>840</v>
      </c>
    </row>
    <row r="277" spans="1:7">
      <c r="A277" s="95"/>
      <c r="B277" s="821" t="s">
        <v>838</v>
      </c>
      <c r="C277" s="822"/>
      <c r="D277" s="100" t="s">
        <v>308</v>
      </c>
      <c r="E277" s="100" t="s">
        <v>305</v>
      </c>
      <c r="F277" s="101" t="s">
        <v>306</v>
      </c>
      <c r="G277" s="108" t="s">
        <v>310</v>
      </c>
    </row>
    <row r="278" spans="1:7">
      <c r="A278" s="95"/>
      <c r="B278" s="230"/>
      <c r="C278" s="102"/>
      <c r="D278" s="103"/>
      <c r="E278" s="103" t="s">
        <v>309</v>
      </c>
      <c r="F278" s="104" t="s">
        <v>307</v>
      </c>
      <c r="G278" s="109"/>
    </row>
    <row r="279" spans="1:7">
      <c r="A279" s="127"/>
      <c r="B279" s="823" t="str">
        <f>'MAQUINARIA Y EQUIPOS'!C28</f>
        <v>HERRAMIENTAS MENORES</v>
      </c>
      <c r="C279" s="824"/>
      <c r="D279" s="87">
        <v>1</v>
      </c>
      <c r="E279" s="82">
        <f>ROUND(G312*0.05,0)</f>
        <v>2168</v>
      </c>
      <c r="F279" s="81">
        <v>1</v>
      </c>
      <c r="G279" s="110">
        <f>ROUND(D279*E279/F279,0)</f>
        <v>2168</v>
      </c>
    </row>
    <row r="280" spans="1:7">
      <c r="A280" s="95"/>
      <c r="B280" s="835"/>
      <c r="C280" s="836"/>
      <c r="D280" s="37"/>
      <c r="E280" s="82"/>
      <c r="F280" s="83"/>
      <c r="G280" s="111"/>
    </row>
    <row r="281" spans="1:7">
      <c r="A281" s="95"/>
      <c r="B281" s="835"/>
      <c r="C281" s="836"/>
      <c r="D281" s="89"/>
      <c r="E281" s="82"/>
      <c r="F281" s="83"/>
      <c r="G281" s="111"/>
    </row>
    <row r="282" spans="1:7">
      <c r="A282" s="95"/>
      <c r="B282" s="835"/>
      <c r="C282" s="836"/>
      <c r="D282" s="89"/>
      <c r="E282" s="82"/>
      <c r="F282" s="83"/>
      <c r="G282" s="111"/>
    </row>
    <row r="283" spans="1:7">
      <c r="A283" s="95"/>
      <c r="B283" s="835" t="s">
        <v>841</v>
      </c>
      <c r="C283" s="836"/>
      <c r="D283" s="37"/>
      <c r="E283" s="82"/>
      <c r="F283" s="83"/>
      <c r="G283" s="111"/>
    </row>
    <row r="284" spans="1:7" ht="13.5" thickBot="1">
      <c r="A284" s="95"/>
      <c r="B284" s="839" t="s">
        <v>841</v>
      </c>
      <c r="C284" s="840"/>
      <c r="D284" s="77"/>
      <c r="E284" s="106"/>
      <c r="F284" s="86"/>
      <c r="G284" s="112"/>
    </row>
    <row r="285" spans="1:7" ht="14.25" thickTop="1" thickBot="1">
      <c r="A285" s="95"/>
      <c r="B285" s="808"/>
      <c r="C285" s="808"/>
      <c r="D285" s="808"/>
      <c r="E285" s="809"/>
      <c r="F285" s="119" t="s">
        <v>856</v>
      </c>
      <c r="G285" s="118">
        <f>SUM(G279:G284)</f>
        <v>2168</v>
      </c>
    </row>
    <row r="286" spans="1:7" ht="14.25" thickTop="1" thickBot="1">
      <c r="A286" s="95"/>
      <c r="B286" s="830"/>
      <c r="C286" s="830"/>
      <c r="D286" s="830"/>
      <c r="E286" s="830"/>
      <c r="F286" s="830"/>
      <c r="G286" s="830"/>
    </row>
    <row r="287" spans="1:7" ht="13.5" thickTop="1">
      <c r="A287" s="95"/>
      <c r="B287" s="811" t="s">
        <v>311</v>
      </c>
      <c r="C287" s="812"/>
      <c r="D287" s="812"/>
      <c r="E287" s="812"/>
      <c r="F287" s="812"/>
      <c r="G287" s="825"/>
    </row>
    <row r="288" spans="1:7">
      <c r="A288" s="95"/>
      <c r="B288" s="817" t="s">
        <v>838</v>
      </c>
      <c r="C288" s="818"/>
      <c r="D288" s="98" t="s">
        <v>842</v>
      </c>
      <c r="E288" s="98" t="s">
        <v>853</v>
      </c>
      <c r="F288" s="99" t="s">
        <v>1047</v>
      </c>
      <c r="G288" s="107" t="s">
        <v>840</v>
      </c>
    </row>
    <row r="289" spans="1:8">
      <c r="A289" s="95"/>
      <c r="B289" s="230"/>
      <c r="C289" s="102"/>
      <c r="D289" s="100"/>
      <c r="E289" s="100" t="s">
        <v>312</v>
      </c>
      <c r="F289" s="101" t="s">
        <v>313</v>
      </c>
      <c r="G289" s="108" t="s">
        <v>314</v>
      </c>
    </row>
    <row r="290" spans="1:8">
      <c r="A290" s="125"/>
      <c r="B290" s="875"/>
      <c r="C290" s="876"/>
      <c r="D290" s="87"/>
      <c r="E290" s="10"/>
      <c r="F290" s="80"/>
      <c r="G290" s="110"/>
    </row>
    <row r="291" spans="1:8">
      <c r="A291" s="123"/>
      <c r="B291" s="877"/>
      <c r="C291" s="878"/>
      <c r="D291" s="88"/>
      <c r="E291" s="53"/>
      <c r="F291" s="82"/>
      <c r="G291" s="111"/>
    </row>
    <row r="292" spans="1:8">
      <c r="A292" s="95"/>
      <c r="B292" s="835"/>
      <c r="C292" s="836"/>
      <c r="D292" s="37"/>
      <c r="E292" s="55"/>
      <c r="F292" s="82"/>
      <c r="G292" s="111"/>
    </row>
    <row r="293" spans="1:8">
      <c r="A293" s="95"/>
      <c r="B293" s="835"/>
      <c r="C293" s="836"/>
      <c r="D293" s="37"/>
      <c r="E293" s="55"/>
      <c r="F293" s="82"/>
      <c r="G293" s="111"/>
    </row>
    <row r="294" spans="1:8">
      <c r="A294" s="95"/>
      <c r="B294" s="837"/>
      <c r="C294" s="838"/>
      <c r="D294" s="37"/>
      <c r="E294" s="55"/>
      <c r="F294" s="82"/>
      <c r="G294" s="111"/>
    </row>
    <row r="295" spans="1:8">
      <c r="A295" s="95"/>
      <c r="B295" s="837"/>
      <c r="C295" s="838"/>
      <c r="D295" s="53" t="s">
        <v>841</v>
      </c>
      <c r="E295" s="53"/>
      <c r="F295" s="82"/>
      <c r="G295" s="111"/>
    </row>
    <row r="296" spans="1:8">
      <c r="A296" s="95"/>
      <c r="B296" s="837" t="s">
        <v>841</v>
      </c>
      <c r="C296" s="838"/>
      <c r="D296" s="53" t="s">
        <v>841</v>
      </c>
      <c r="E296" s="53"/>
      <c r="F296" s="82"/>
      <c r="G296" s="111"/>
      <c r="H296" s="505" t="s">
        <v>1670</v>
      </c>
    </row>
    <row r="297" spans="1:8">
      <c r="A297" s="95"/>
      <c r="B297" s="837" t="s">
        <v>841</v>
      </c>
      <c r="C297" s="838"/>
      <c r="D297" s="53" t="s">
        <v>841</v>
      </c>
      <c r="E297" s="53"/>
      <c r="F297" s="82"/>
      <c r="G297" s="111"/>
    </row>
    <row r="298" spans="1:8" ht="13.5" thickBot="1">
      <c r="A298" s="95"/>
      <c r="B298" s="839" t="s">
        <v>841</v>
      </c>
      <c r="C298" s="840"/>
      <c r="D298" s="84" t="s">
        <v>841</v>
      </c>
      <c r="E298" s="84"/>
      <c r="F298" s="85"/>
      <c r="G298" s="112"/>
    </row>
    <row r="299" spans="1:8" ht="13.5" thickTop="1">
      <c r="A299" s="95"/>
      <c r="B299" s="808"/>
      <c r="C299" s="809"/>
      <c r="D299" s="801" t="s">
        <v>856</v>
      </c>
      <c r="E299" s="802"/>
      <c r="F299" s="9"/>
      <c r="G299" s="113">
        <f>SUM(G290:G298)</f>
        <v>0</v>
      </c>
    </row>
    <row r="300" spans="1:8">
      <c r="A300" s="95"/>
      <c r="B300" s="819"/>
      <c r="C300" s="820"/>
      <c r="D300" s="801" t="s">
        <v>857</v>
      </c>
      <c r="E300" s="802"/>
      <c r="F300" s="79">
        <f>'MANO DE OBRA'!D60</f>
        <v>0.05</v>
      </c>
      <c r="G300" s="113">
        <f>ROUND(G299*F300,0)</f>
        <v>0</v>
      </c>
    </row>
    <row r="301" spans="1:8" ht="13.5" thickBot="1">
      <c r="A301" s="95"/>
      <c r="B301" s="819"/>
      <c r="C301" s="820"/>
      <c r="D301" s="803" t="s">
        <v>320</v>
      </c>
      <c r="E301" s="804"/>
      <c r="F301" s="114"/>
      <c r="G301" s="118">
        <f>+G299+G300</f>
        <v>0</v>
      </c>
    </row>
    <row r="302" spans="1:8" ht="14.25" thickTop="1" thickBot="1">
      <c r="A302" s="95"/>
      <c r="B302" s="830"/>
      <c r="C302" s="830"/>
      <c r="D302" s="830"/>
      <c r="E302" s="830"/>
      <c r="F302" s="830"/>
      <c r="G302" s="830"/>
    </row>
    <row r="303" spans="1:8" ht="13.5" thickTop="1">
      <c r="A303" s="95"/>
      <c r="B303" s="811" t="s">
        <v>858</v>
      </c>
      <c r="C303" s="812"/>
      <c r="D303" s="812"/>
      <c r="E303" s="812"/>
      <c r="F303" s="812"/>
      <c r="G303" s="825"/>
    </row>
    <row r="304" spans="1:8">
      <c r="A304" s="95"/>
      <c r="B304" s="817"/>
      <c r="C304" s="818"/>
      <c r="D304" s="98" t="s">
        <v>301</v>
      </c>
      <c r="E304" s="98" t="s">
        <v>859</v>
      </c>
      <c r="F304" s="99" t="s">
        <v>839</v>
      </c>
      <c r="G304" s="107" t="s">
        <v>840</v>
      </c>
    </row>
    <row r="305" spans="1:7">
      <c r="A305" s="95"/>
      <c r="B305" s="821" t="s">
        <v>838</v>
      </c>
      <c r="C305" s="822"/>
      <c r="D305" s="100" t="s">
        <v>316</v>
      </c>
      <c r="E305" s="100" t="s">
        <v>315</v>
      </c>
      <c r="F305" s="101" t="s">
        <v>306</v>
      </c>
      <c r="G305" s="108" t="s">
        <v>319</v>
      </c>
    </row>
    <row r="306" spans="1:7">
      <c r="A306" s="95"/>
      <c r="B306" s="230"/>
      <c r="C306" s="102"/>
      <c r="D306" s="103"/>
      <c r="E306" s="103" t="s">
        <v>317</v>
      </c>
      <c r="F306" s="104" t="s">
        <v>318</v>
      </c>
      <c r="G306" s="109"/>
    </row>
    <row r="307" spans="1:7">
      <c r="A307" s="95"/>
      <c r="B307" s="823" t="str">
        <f>'MANO DE OBRA'!B10</f>
        <v>AYUDANTE CUAD. TIPO AA</v>
      </c>
      <c r="C307" s="824"/>
      <c r="D307" s="87">
        <v>1</v>
      </c>
      <c r="E307" s="80">
        <f>'MANO DE OBRA'!E10</f>
        <v>34680</v>
      </c>
      <c r="F307" s="81">
        <v>0.8</v>
      </c>
      <c r="G307" s="110">
        <f>ROUND(D307*E307/F307,0)</f>
        <v>43350</v>
      </c>
    </row>
    <row r="308" spans="1:7">
      <c r="A308" s="95"/>
      <c r="B308" s="835"/>
      <c r="C308" s="836"/>
      <c r="D308" s="37"/>
      <c r="E308" s="82"/>
      <c r="F308" s="83"/>
      <c r="G308" s="111"/>
    </row>
    <row r="309" spans="1:7">
      <c r="A309" s="95"/>
      <c r="B309" s="835"/>
      <c r="C309" s="836"/>
      <c r="D309" s="89"/>
      <c r="E309" s="82"/>
      <c r="F309" s="83"/>
      <c r="G309" s="111"/>
    </row>
    <row r="310" spans="1:7">
      <c r="A310" s="95"/>
      <c r="B310" s="835" t="s">
        <v>841</v>
      </c>
      <c r="C310" s="836"/>
      <c r="D310" s="37"/>
      <c r="E310" s="82"/>
      <c r="F310" s="83"/>
      <c r="G310" s="111"/>
    </row>
    <row r="311" spans="1:7" ht="13.5" thickBot="1">
      <c r="A311" s="95"/>
      <c r="B311" s="828" t="s">
        <v>841</v>
      </c>
      <c r="C311" s="829"/>
      <c r="D311" s="77"/>
      <c r="E311" s="82"/>
      <c r="F311" s="86"/>
      <c r="G311" s="112"/>
    </row>
    <row r="312" spans="1:7" ht="14.25" thickTop="1" thickBot="1">
      <c r="A312" s="95"/>
      <c r="B312" s="808"/>
      <c r="C312" s="808"/>
      <c r="D312" s="808"/>
      <c r="E312" s="809"/>
      <c r="F312" s="120" t="s">
        <v>856</v>
      </c>
      <c r="G312" s="118">
        <f>SUM(G307:G311)</f>
        <v>43350</v>
      </c>
    </row>
    <row r="313" spans="1:7" ht="14.25" thickTop="1" thickBot="1">
      <c r="A313" s="95"/>
      <c r="B313" s="810"/>
      <c r="C313" s="810"/>
      <c r="D313" s="810"/>
      <c r="E313" s="810"/>
      <c r="F313" s="810"/>
      <c r="G313" s="810"/>
    </row>
    <row r="314" spans="1:7" ht="13.5" thickTop="1">
      <c r="A314" s="95"/>
      <c r="B314" s="811" t="s">
        <v>321</v>
      </c>
      <c r="C314" s="812"/>
      <c r="D314" s="812"/>
      <c r="E314" s="812"/>
      <c r="F314" s="812"/>
      <c r="G314" s="825"/>
    </row>
    <row r="315" spans="1:7">
      <c r="A315" s="95"/>
      <c r="B315" s="817" t="s">
        <v>838</v>
      </c>
      <c r="C315" s="818"/>
      <c r="D315" s="98" t="s">
        <v>301</v>
      </c>
      <c r="E315" s="98" t="s">
        <v>297</v>
      </c>
      <c r="F315" s="99" t="s">
        <v>839</v>
      </c>
      <c r="G315" s="107" t="s">
        <v>840</v>
      </c>
    </row>
    <row r="316" spans="1:7">
      <c r="A316" s="95"/>
      <c r="B316" s="230"/>
      <c r="C316" s="102"/>
      <c r="D316" s="103" t="s">
        <v>322</v>
      </c>
      <c r="E316" s="103" t="s">
        <v>323</v>
      </c>
      <c r="F316" s="104" t="s">
        <v>324</v>
      </c>
      <c r="G316" s="109" t="s">
        <v>325</v>
      </c>
    </row>
    <row r="317" spans="1:7">
      <c r="A317" s="95"/>
      <c r="B317" s="826"/>
      <c r="C317" s="827"/>
      <c r="D317" s="96"/>
      <c r="E317" s="96"/>
      <c r="F317" s="96"/>
      <c r="G317" s="116"/>
    </row>
    <row r="318" spans="1:7" ht="13.5" thickBot="1">
      <c r="A318" s="95"/>
      <c r="B318" s="828" t="s">
        <v>841</v>
      </c>
      <c r="C318" s="829"/>
      <c r="D318" s="77"/>
      <c r="E318" s="82"/>
      <c r="F318" s="86"/>
      <c r="G318" s="112"/>
    </row>
    <row r="319" spans="1:7" ht="14.25" thickTop="1" thickBot="1">
      <c r="A319" s="95"/>
      <c r="B319" s="808"/>
      <c r="C319" s="808"/>
      <c r="D319" s="808"/>
      <c r="E319" s="809"/>
      <c r="F319" s="120" t="s">
        <v>856</v>
      </c>
      <c r="G319" s="118">
        <f>SUM(G314:G318)</f>
        <v>0</v>
      </c>
    </row>
    <row r="320" spans="1:7" ht="14.25" thickTop="1" thickBot="1">
      <c r="A320" s="95"/>
      <c r="B320" s="810"/>
      <c r="C320" s="810"/>
      <c r="D320" s="810"/>
      <c r="E320" s="810"/>
      <c r="F320" s="810"/>
      <c r="G320" s="834"/>
    </row>
    <row r="321" spans="1:8" ht="13.5" thickTop="1">
      <c r="A321" s="95"/>
      <c r="B321" s="811" t="s">
        <v>326</v>
      </c>
      <c r="C321" s="812"/>
      <c r="D321" s="812"/>
      <c r="E321" s="812"/>
      <c r="F321" s="813"/>
      <c r="G321" s="121">
        <f>+G285+G301+G312</f>
        <v>45518</v>
      </c>
    </row>
    <row r="322" spans="1:8">
      <c r="A322" s="95"/>
      <c r="B322" s="814" t="s">
        <v>861</v>
      </c>
      <c r="C322" s="815"/>
      <c r="D322" s="815"/>
      <c r="E322" s="816"/>
      <c r="F322" s="128">
        <f>'MANO DE OBRA'!D112</f>
        <v>0</v>
      </c>
      <c r="G322" s="122">
        <f>ROUND(G321*F322,0)</f>
        <v>0</v>
      </c>
    </row>
    <row r="323" spans="1:8" ht="13.5" thickBot="1">
      <c r="A323" s="95"/>
      <c r="B323" s="805" t="s">
        <v>1049</v>
      </c>
      <c r="C323" s="806"/>
      <c r="D323" s="806"/>
      <c r="E323" s="806"/>
      <c r="F323" s="807"/>
      <c r="G323" s="118">
        <f>ROUND(G321+G322,-2)</f>
        <v>45500</v>
      </c>
      <c r="H323" s="505" t="s">
        <v>1670</v>
      </c>
    </row>
    <row r="324" spans="1:8" ht="15" thickTop="1">
      <c r="A324" s="95"/>
      <c r="B324" s="225" t="s">
        <v>303</v>
      </c>
      <c r="C324" s="843"/>
      <c r="D324" s="843"/>
      <c r="E324" s="843"/>
      <c r="F324" s="92" t="s">
        <v>781</v>
      </c>
      <c r="G324" s="93" t="s">
        <v>1066</v>
      </c>
    </row>
    <row r="325" spans="1:8">
      <c r="A325" s="95"/>
      <c r="B325" s="226" t="s">
        <v>834</v>
      </c>
      <c r="C325" s="844" t="s">
        <v>342</v>
      </c>
      <c r="D325" s="844"/>
      <c r="E325" s="844"/>
      <c r="F325" s="15" t="s">
        <v>833</v>
      </c>
      <c r="G325" s="165" t="str">
        <f>'MANO DE OBRA'!$D$61</f>
        <v>Agosto de 2010</v>
      </c>
    </row>
    <row r="326" spans="1:8" ht="13.5" thickBot="1">
      <c r="A326" s="127"/>
      <c r="B326" s="228" t="s">
        <v>835</v>
      </c>
      <c r="C326" s="845" t="s">
        <v>782</v>
      </c>
      <c r="D326" s="845"/>
      <c r="E326" s="845"/>
      <c r="F326" s="845"/>
      <c r="G326" s="846"/>
    </row>
    <row r="327" spans="1:8" ht="14.25" thickTop="1" thickBot="1">
      <c r="A327" s="95"/>
      <c r="B327" s="847"/>
      <c r="C327" s="847"/>
      <c r="D327" s="847"/>
      <c r="E327" s="847"/>
      <c r="F327" s="847"/>
      <c r="G327" s="847"/>
    </row>
    <row r="328" spans="1:8" ht="13.5" thickTop="1">
      <c r="A328" s="95"/>
      <c r="B328" s="811" t="s">
        <v>304</v>
      </c>
      <c r="C328" s="812"/>
      <c r="D328" s="812"/>
      <c r="E328" s="812"/>
      <c r="F328" s="812"/>
      <c r="G328" s="825"/>
    </row>
    <row r="329" spans="1:8">
      <c r="A329" s="95"/>
      <c r="B329" s="229"/>
      <c r="C329" s="97"/>
      <c r="D329" s="98" t="s">
        <v>301</v>
      </c>
      <c r="E329" s="98" t="s">
        <v>1072</v>
      </c>
      <c r="F329" s="99" t="s">
        <v>839</v>
      </c>
      <c r="G329" s="107" t="s">
        <v>840</v>
      </c>
    </row>
    <row r="330" spans="1:8">
      <c r="A330" s="95"/>
      <c r="B330" s="821" t="s">
        <v>838</v>
      </c>
      <c r="C330" s="822"/>
      <c r="D330" s="100" t="s">
        <v>308</v>
      </c>
      <c r="E330" s="100" t="s">
        <v>305</v>
      </c>
      <c r="F330" s="101" t="s">
        <v>306</v>
      </c>
      <c r="G330" s="108" t="s">
        <v>310</v>
      </c>
    </row>
    <row r="331" spans="1:8">
      <c r="A331" s="95"/>
      <c r="B331" s="230"/>
      <c r="C331" s="102"/>
      <c r="D331" s="103"/>
      <c r="E331" s="103" t="s">
        <v>309</v>
      </c>
      <c r="F331" s="104" t="s">
        <v>307</v>
      </c>
      <c r="G331" s="109"/>
    </row>
    <row r="332" spans="1:8">
      <c r="A332" s="127"/>
      <c r="B332" s="823" t="str">
        <f>'MAQUINARIA Y EQUIPOS'!$C$28</f>
        <v>HERRAMIENTAS MENORES</v>
      </c>
      <c r="C332" s="824"/>
      <c r="D332" s="87">
        <v>1</v>
      </c>
      <c r="E332" s="82">
        <f>ROUND(G365*0.05,0)</f>
        <v>586</v>
      </c>
      <c r="F332" s="81">
        <v>1</v>
      </c>
      <c r="G332" s="110">
        <f>ROUND(D332*E332/F332,0)</f>
        <v>586</v>
      </c>
    </row>
    <row r="333" spans="1:8">
      <c r="A333" s="95"/>
      <c r="B333" s="835"/>
      <c r="C333" s="836"/>
      <c r="D333" s="37"/>
      <c r="E333" s="82"/>
      <c r="F333" s="83"/>
      <c r="G333" s="111"/>
    </row>
    <row r="334" spans="1:8">
      <c r="A334" s="95"/>
      <c r="B334" s="835"/>
      <c r="C334" s="836"/>
      <c r="D334" s="89"/>
      <c r="E334" s="82"/>
      <c r="F334" s="83"/>
      <c r="G334" s="111"/>
    </row>
    <row r="335" spans="1:8">
      <c r="A335" s="95"/>
      <c r="B335" s="835"/>
      <c r="C335" s="836"/>
      <c r="D335" s="89"/>
      <c r="E335" s="82"/>
      <c r="F335" s="83"/>
      <c r="G335" s="111"/>
    </row>
    <row r="336" spans="1:8">
      <c r="A336" s="95"/>
      <c r="B336" s="835" t="s">
        <v>841</v>
      </c>
      <c r="C336" s="836"/>
      <c r="D336" s="37"/>
      <c r="E336" s="82"/>
      <c r="F336" s="83"/>
      <c r="G336" s="111"/>
    </row>
    <row r="337" spans="1:8" ht="13.5" thickBot="1">
      <c r="A337" s="95"/>
      <c r="B337" s="839" t="s">
        <v>841</v>
      </c>
      <c r="C337" s="840"/>
      <c r="D337" s="77"/>
      <c r="E337" s="106"/>
      <c r="F337" s="86"/>
      <c r="G337" s="112"/>
    </row>
    <row r="338" spans="1:8" ht="14.25" thickTop="1" thickBot="1">
      <c r="A338" s="95"/>
      <c r="B338" s="808"/>
      <c r="C338" s="808"/>
      <c r="D338" s="808"/>
      <c r="E338" s="809"/>
      <c r="F338" s="119" t="s">
        <v>856</v>
      </c>
      <c r="G338" s="118">
        <f>SUM(G332:G337)</f>
        <v>586</v>
      </c>
    </row>
    <row r="339" spans="1:8" ht="14.25" thickTop="1" thickBot="1">
      <c r="A339" s="95"/>
      <c r="B339" s="830"/>
      <c r="C339" s="830"/>
      <c r="D339" s="830"/>
      <c r="E339" s="830"/>
      <c r="F339" s="830"/>
      <c r="G339" s="830"/>
    </row>
    <row r="340" spans="1:8" ht="13.5" thickTop="1">
      <c r="A340" s="95"/>
      <c r="B340" s="811" t="s">
        <v>311</v>
      </c>
      <c r="C340" s="812"/>
      <c r="D340" s="812"/>
      <c r="E340" s="812"/>
      <c r="F340" s="812"/>
      <c r="G340" s="825"/>
    </row>
    <row r="341" spans="1:8">
      <c r="A341" s="95"/>
      <c r="B341" s="817" t="s">
        <v>838</v>
      </c>
      <c r="C341" s="818"/>
      <c r="D341" s="98" t="s">
        <v>842</v>
      </c>
      <c r="E341" s="98" t="s">
        <v>853</v>
      </c>
      <c r="F341" s="99" t="s">
        <v>1047</v>
      </c>
      <c r="G341" s="107" t="s">
        <v>840</v>
      </c>
    </row>
    <row r="342" spans="1:8">
      <c r="A342" s="95"/>
      <c r="B342" s="230"/>
      <c r="C342" s="102"/>
      <c r="D342" s="100"/>
      <c r="E342" s="100" t="s">
        <v>312</v>
      </c>
      <c r="F342" s="101" t="s">
        <v>313</v>
      </c>
      <c r="G342" s="108" t="s">
        <v>314</v>
      </c>
    </row>
    <row r="343" spans="1:8">
      <c r="A343" s="125"/>
      <c r="B343" s="875"/>
      <c r="C343" s="876"/>
      <c r="D343" s="87"/>
      <c r="E343" s="10"/>
      <c r="F343" s="80"/>
      <c r="G343" s="110"/>
    </row>
    <row r="344" spans="1:8">
      <c r="A344" s="123"/>
      <c r="B344" s="877"/>
      <c r="C344" s="878"/>
      <c r="D344" s="88"/>
      <c r="E344" s="53"/>
      <c r="F344" s="82"/>
      <c r="G344" s="111"/>
    </row>
    <row r="345" spans="1:8">
      <c r="A345" s="95"/>
      <c r="B345" s="835"/>
      <c r="C345" s="836"/>
      <c r="D345" s="37"/>
      <c r="E345" s="55"/>
      <c r="F345" s="82"/>
      <c r="G345" s="111"/>
    </row>
    <row r="346" spans="1:8">
      <c r="A346" s="95"/>
      <c r="B346" s="835"/>
      <c r="C346" s="836"/>
      <c r="D346" s="37"/>
      <c r="E346" s="55"/>
      <c r="F346" s="82"/>
      <c r="G346" s="111"/>
    </row>
    <row r="347" spans="1:8">
      <c r="A347" s="95"/>
      <c r="B347" s="837"/>
      <c r="C347" s="838"/>
      <c r="D347" s="37"/>
      <c r="E347" s="55"/>
      <c r="F347" s="82"/>
      <c r="G347" s="111"/>
    </row>
    <row r="348" spans="1:8">
      <c r="A348" s="95"/>
      <c r="B348" s="837"/>
      <c r="C348" s="838"/>
      <c r="D348" s="53" t="s">
        <v>841</v>
      </c>
      <c r="E348" s="53"/>
      <c r="F348" s="82"/>
      <c r="G348" s="111"/>
    </row>
    <row r="349" spans="1:8">
      <c r="A349" s="95"/>
      <c r="B349" s="837" t="s">
        <v>841</v>
      </c>
      <c r="C349" s="838"/>
      <c r="D349" s="53" t="s">
        <v>841</v>
      </c>
      <c r="E349" s="53"/>
      <c r="F349" s="82"/>
      <c r="G349" s="111"/>
      <c r="H349" s="505" t="s">
        <v>1670</v>
      </c>
    </row>
    <row r="350" spans="1:8">
      <c r="A350" s="95"/>
      <c r="B350" s="837" t="s">
        <v>841</v>
      </c>
      <c r="C350" s="838"/>
      <c r="D350" s="53" t="s">
        <v>841</v>
      </c>
      <c r="E350" s="53"/>
      <c r="F350" s="82"/>
      <c r="G350" s="111"/>
    </row>
    <row r="351" spans="1:8" ht="13.5" thickBot="1">
      <c r="A351" s="95"/>
      <c r="B351" s="839" t="s">
        <v>841</v>
      </c>
      <c r="C351" s="840"/>
      <c r="D351" s="84" t="s">
        <v>841</v>
      </c>
      <c r="E351" s="84"/>
      <c r="F351" s="85"/>
      <c r="G351" s="112"/>
    </row>
    <row r="352" spans="1:8" ht="13.5" thickTop="1">
      <c r="A352" s="95"/>
      <c r="B352" s="808"/>
      <c r="C352" s="809"/>
      <c r="D352" s="801" t="s">
        <v>856</v>
      </c>
      <c r="E352" s="802"/>
      <c r="F352" s="9"/>
      <c r="G352" s="113">
        <f>SUM(G343:G351)</f>
        <v>0</v>
      </c>
    </row>
    <row r="353" spans="1:7">
      <c r="A353" s="95"/>
      <c r="B353" s="819"/>
      <c r="C353" s="820"/>
      <c r="D353" s="801" t="s">
        <v>857</v>
      </c>
      <c r="E353" s="802"/>
      <c r="F353" s="79">
        <f>'MANO DE OBRA'!$D$60</f>
        <v>0.05</v>
      </c>
      <c r="G353" s="113">
        <f>ROUND(G352*F353,0)</f>
        <v>0</v>
      </c>
    </row>
    <row r="354" spans="1:7" ht="13.5" thickBot="1">
      <c r="A354" s="95"/>
      <c r="B354" s="819"/>
      <c r="C354" s="820"/>
      <c r="D354" s="803" t="s">
        <v>320</v>
      </c>
      <c r="E354" s="804"/>
      <c r="F354" s="114"/>
      <c r="G354" s="118">
        <f>+G352+G353</f>
        <v>0</v>
      </c>
    </row>
    <row r="355" spans="1:7" ht="14.25" thickTop="1" thickBot="1">
      <c r="A355" s="95"/>
      <c r="B355" s="830"/>
      <c r="C355" s="830"/>
      <c r="D355" s="830"/>
      <c r="E355" s="830"/>
      <c r="F355" s="830"/>
      <c r="G355" s="830"/>
    </row>
    <row r="356" spans="1:7" ht="13.5" thickTop="1">
      <c r="A356" s="95"/>
      <c r="B356" s="811" t="s">
        <v>858</v>
      </c>
      <c r="C356" s="812"/>
      <c r="D356" s="812"/>
      <c r="E356" s="812"/>
      <c r="F356" s="812"/>
      <c r="G356" s="825"/>
    </row>
    <row r="357" spans="1:7">
      <c r="A357" s="95"/>
      <c r="B357" s="817"/>
      <c r="C357" s="818"/>
      <c r="D357" s="98" t="s">
        <v>301</v>
      </c>
      <c r="E357" s="98" t="s">
        <v>859</v>
      </c>
      <c r="F357" s="99" t="s">
        <v>839</v>
      </c>
      <c r="G357" s="107" t="s">
        <v>840</v>
      </c>
    </row>
    <row r="358" spans="1:7">
      <c r="A358" s="95"/>
      <c r="B358" s="821" t="s">
        <v>838</v>
      </c>
      <c r="C358" s="822"/>
      <c r="D358" s="100" t="s">
        <v>316</v>
      </c>
      <c r="E358" s="100" t="s">
        <v>315</v>
      </c>
      <c r="F358" s="101" t="s">
        <v>306</v>
      </c>
      <c r="G358" s="108" t="s">
        <v>319</v>
      </c>
    </row>
    <row r="359" spans="1:7">
      <c r="A359" s="95"/>
      <c r="B359" s="230"/>
      <c r="C359" s="102"/>
      <c r="D359" s="103"/>
      <c r="E359" s="103" t="s">
        <v>317</v>
      </c>
      <c r="F359" s="104" t="s">
        <v>318</v>
      </c>
      <c r="G359" s="109"/>
    </row>
    <row r="360" spans="1:7">
      <c r="A360" s="95"/>
      <c r="B360" s="823" t="str">
        <f>'MANO DE OBRA'!$B$10</f>
        <v>AYUDANTE CUAD. TIPO AA</v>
      </c>
      <c r="C360" s="824"/>
      <c r="D360" s="87">
        <v>1</v>
      </c>
      <c r="E360" s="80">
        <f>'MANO DE OBRA'!$E$10</f>
        <v>34680</v>
      </c>
      <c r="F360" s="81">
        <v>2.96</v>
      </c>
      <c r="G360" s="110">
        <f>ROUND(D360*E360/F360,0)</f>
        <v>11716</v>
      </c>
    </row>
    <row r="361" spans="1:7">
      <c r="A361" s="95"/>
      <c r="B361" s="835"/>
      <c r="C361" s="836"/>
      <c r="D361" s="37"/>
      <c r="E361" s="82"/>
      <c r="F361" s="83"/>
      <c r="G361" s="111"/>
    </row>
    <row r="362" spans="1:7">
      <c r="A362" s="95"/>
      <c r="B362" s="835"/>
      <c r="C362" s="836"/>
      <c r="D362" s="89"/>
      <c r="E362" s="82"/>
      <c r="F362" s="83"/>
      <c r="G362" s="111"/>
    </row>
    <row r="363" spans="1:7">
      <c r="A363" s="95"/>
      <c r="B363" s="835" t="s">
        <v>841</v>
      </c>
      <c r="C363" s="836"/>
      <c r="D363" s="37"/>
      <c r="E363" s="82"/>
      <c r="F363" s="83"/>
      <c r="G363" s="111"/>
    </row>
    <row r="364" spans="1:7" ht="13.5" thickBot="1">
      <c r="A364" s="95"/>
      <c r="B364" s="828" t="s">
        <v>841</v>
      </c>
      <c r="C364" s="829"/>
      <c r="D364" s="77"/>
      <c r="E364" s="82"/>
      <c r="F364" s="86"/>
      <c r="G364" s="112"/>
    </row>
    <row r="365" spans="1:7" ht="14.25" thickTop="1" thickBot="1">
      <c r="A365" s="95"/>
      <c r="B365" s="808"/>
      <c r="C365" s="808"/>
      <c r="D365" s="808"/>
      <c r="E365" s="809"/>
      <c r="F365" s="120" t="s">
        <v>856</v>
      </c>
      <c r="G365" s="118">
        <f>SUM(G360:G364)</f>
        <v>11716</v>
      </c>
    </row>
    <row r="366" spans="1:7" ht="14.25" thickTop="1" thickBot="1">
      <c r="A366" s="95"/>
      <c r="B366" s="810"/>
      <c r="C366" s="810"/>
      <c r="D366" s="810"/>
      <c r="E366" s="810"/>
      <c r="F366" s="810"/>
      <c r="G366" s="810"/>
    </row>
    <row r="367" spans="1:7" ht="13.5" thickTop="1">
      <c r="A367" s="95"/>
      <c r="B367" s="811" t="s">
        <v>321</v>
      </c>
      <c r="C367" s="812"/>
      <c r="D367" s="812"/>
      <c r="E367" s="812"/>
      <c r="F367" s="812"/>
      <c r="G367" s="825"/>
    </row>
    <row r="368" spans="1:7">
      <c r="A368" s="95"/>
      <c r="B368" s="817" t="s">
        <v>838</v>
      </c>
      <c r="C368" s="818"/>
      <c r="D368" s="98" t="s">
        <v>301</v>
      </c>
      <c r="E368" s="98" t="s">
        <v>297</v>
      </c>
      <c r="F368" s="99" t="s">
        <v>839</v>
      </c>
      <c r="G368" s="107" t="s">
        <v>840</v>
      </c>
    </row>
    <row r="369" spans="1:8">
      <c r="A369" s="95"/>
      <c r="B369" s="230"/>
      <c r="C369" s="102"/>
      <c r="D369" s="103" t="s">
        <v>322</v>
      </c>
      <c r="E369" s="103" t="s">
        <v>323</v>
      </c>
      <c r="F369" s="104" t="s">
        <v>324</v>
      </c>
      <c r="G369" s="109" t="s">
        <v>325</v>
      </c>
    </row>
    <row r="370" spans="1:8">
      <c r="A370" s="95"/>
      <c r="B370" s="826"/>
      <c r="C370" s="827"/>
      <c r="D370" s="96"/>
      <c r="E370" s="96"/>
      <c r="F370" s="96"/>
      <c r="G370" s="116"/>
    </row>
    <row r="371" spans="1:8" ht="13.5" thickBot="1">
      <c r="A371" s="95"/>
      <c r="B371" s="828" t="s">
        <v>841</v>
      </c>
      <c r="C371" s="829"/>
      <c r="D371" s="77"/>
      <c r="E371" s="82"/>
      <c r="F371" s="86"/>
      <c r="G371" s="112"/>
    </row>
    <row r="372" spans="1:8" ht="14.25" thickTop="1" thickBot="1">
      <c r="A372" s="95"/>
      <c r="B372" s="808"/>
      <c r="C372" s="808"/>
      <c r="D372" s="808"/>
      <c r="E372" s="809"/>
      <c r="F372" s="120" t="s">
        <v>856</v>
      </c>
      <c r="G372" s="118">
        <f>SUM(G367:G371)</f>
        <v>0</v>
      </c>
    </row>
    <row r="373" spans="1:8" ht="14.25" thickTop="1" thickBot="1">
      <c r="A373" s="95"/>
      <c r="B373" s="810"/>
      <c r="C373" s="810"/>
      <c r="D373" s="810"/>
      <c r="E373" s="810"/>
      <c r="F373" s="810"/>
      <c r="G373" s="834"/>
    </row>
    <row r="374" spans="1:8" ht="13.5" thickTop="1">
      <c r="A374" s="95"/>
      <c r="B374" s="811" t="s">
        <v>326</v>
      </c>
      <c r="C374" s="812"/>
      <c r="D374" s="812"/>
      <c r="E374" s="812"/>
      <c r="F374" s="813"/>
      <c r="G374" s="121">
        <f>+G338+G354+G365</f>
        <v>12302</v>
      </c>
    </row>
    <row r="375" spans="1:8">
      <c r="A375" s="95"/>
      <c r="B375" s="814" t="s">
        <v>861</v>
      </c>
      <c r="C375" s="815"/>
      <c r="D375" s="815"/>
      <c r="E375" s="816"/>
      <c r="F375" s="128">
        <f>'MANO DE OBRA'!D165</f>
        <v>0</v>
      </c>
      <c r="G375" s="122">
        <f>ROUND(G374*F375,0)</f>
        <v>0</v>
      </c>
    </row>
    <row r="376" spans="1:8" ht="13.5" thickBot="1">
      <c r="A376" s="95"/>
      <c r="B376" s="805" t="s">
        <v>1049</v>
      </c>
      <c r="C376" s="806"/>
      <c r="D376" s="806"/>
      <c r="E376" s="806"/>
      <c r="F376" s="807"/>
      <c r="G376" s="118">
        <f>ROUND(G374+G375,-2)</f>
        <v>12300</v>
      </c>
      <c r="H376" s="505" t="s">
        <v>1670</v>
      </c>
    </row>
    <row r="377" spans="1:8" ht="15" thickTop="1">
      <c r="A377" s="95"/>
      <c r="B377" s="225" t="s">
        <v>303</v>
      </c>
      <c r="C377" s="843"/>
      <c r="D377" s="843"/>
      <c r="E377" s="843"/>
      <c r="F377" s="92" t="s">
        <v>781</v>
      </c>
      <c r="G377" s="93" t="s">
        <v>1066</v>
      </c>
    </row>
    <row r="378" spans="1:8">
      <c r="A378" s="95"/>
      <c r="B378" s="226" t="s">
        <v>834</v>
      </c>
      <c r="C378" s="844" t="s">
        <v>342</v>
      </c>
      <c r="D378" s="844"/>
      <c r="E378" s="844"/>
      <c r="F378" s="15" t="s">
        <v>833</v>
      </c>
      <c r="G378" s="165" t="str">
        <f>'MANO DE OBRA'!$D$61</f>
        <v>Agosto de 2010</v>
      </c>
    </row>
    <row r="379" spans="1:8" ht="13.5" thickBot="1">
      <c r="A379" s="127"/>
      <c r="B379" s="228" t="s">
        <v>835</v>
      </c>
      <c r="C379" s="845" t="s">
        <v>783</v>
      </c>
      <c r="D379" s="845"/>
      <c r="E379" s="845"/>
      <c r="F379" s="845"/>
      <c r="G379" s="846"/>
    </row>
    <row r="380" spans="1:8" ht="14.25" thickTop="1" thickBot="1">
      <c r="A380" s="95"/>
      <c r="B380" s="847"/>
      <c r="C380" s="847"/>
      <c r="D380" s="847"/>
      <c r="E380" s="847"/>
      <c r="F380" s="847"/>
      <c r="G380" s="847"/>
    </row>
    <row r="381" spans="1:8" ht="13.5" thickTop="1">
      <c r="A381" s="95"/>
      <c r="B381" s="811" t="s">
        <v>304</v>
      </c>
      <c r="C381" s="812"/>
      <c r="D381" s="812"/>
      <c r="E381" s="812"/>
      <c r="F381" s="812"/>
      <c r="G381" s="825"/>
    </row>
    <row r="382" spans="1:8">
      <c r="A382" s="95"/>
      <c r="B382" s="229"/>
      <c r="C382" s="97"/>
      <c r="D382" s="98" t="s">
        <v>301</v>
      </c>
      <c r="E382" s="98" t="s">
        <v>1072</v>
      </c>
      <c r="F382" s="99" t="s">
        <v>839</v>
      </c>
      <c r="G382" s="107" t="s">
        <v>840</v>
      </c>
    </row>
    <row r="383" spans="1:8">
      <c r="A383" s="95"/>
      <c r="B383" s="821" t="s">
        <v>838</v>
      </c>
      <c r="C383" s="822"/>
      <c r="D383" s="100" t="s">
        <v>308</v>
      </c>
      <c r="E383" s="100" t="s">
        <v>305</v>
      </c>
      <c r="F383" s="101" t="s">
        <v>306</v>
      </c>
      <c r="G383" s="108" t="s">
        <v>310</v>
      </c>
    </row>
    <row r="384" spans="1:8">
      <c r="A384" s="95"/>
      <c r="B384" s="230"/>
      <c r="C384" s="102"/>
      <c r="D384" s="103"/>
      <c r="E384" s="103" t="s">
        <v>309</v>
      </c>
      <c r="F384" s="104" t="s">
        <v>307</v>
      </c>
      <c r="G384" s="109"/>
    </row>
    <row r="385" spans="1:7">
      <c r="A385" s="127"/>
      <c r="B385" s="823" t="str">
        <f>'MAQUINARIA Y EQUIPOS'!$C$28</f>
        <v>HERRAMIENTAS MENORES</v>
      </c>
      <c r="C385" s="824"/>
      <c r="D385" s="87">
        <v>1</v>
      </c>
      <c r="E385" s="82">
        <f>ROUND(G418*0.05,0)</f>
        <v>694</v>
      </c>
      <c r="F385" s="81">
        <v>1</v>
      </c>
      <c r="G385" s="110">
        <f>ROUND(D385*E385/F385,0)</f>
        <v>694</v>
      </c>
    </row>
    <row r="386" spans="1:7">
      <c r="A386" s="95"/>
      <c r="B386" s="835"/>
      <c r="C386" s="836"/>
      <c r="D386" s="37"/>
      <c r="E386" s="82"/>
      <c r="F386" s="83"/>
      <c r="G386" s="111"/>
    </row>
    <row r="387" spans="1:7">
      <c r="A387" s="95"/>
      <c r="B387" s="835"/>
      <c r="C387" s="836"/>
      <c r="D387" s="89"/>
      <c r="E387" s="82"/>
      <c r="F387" s="83"/>
      <c r="G387" s="111"/>
    </row>
    <row r="388" spans="1:7">
      <c r="A388" s="95"/>
      <c r="B388" s="835"/>
      <c r="C388" s="836"/>
      <c r="D388" s="89"/>
      <c r="E388" s="82"/>
      <c r="F388" s="83"/>
      <c r="G388" s="111"/>
    </row>
    <row r="389" spans="1:7">
      <c r="A389" s="95"/>
      <c r="B389" s="835" t="s">
        <v>841</v>
      </c>
      <c r="C389" s="836"/>
      <c r="D389" s="37"/>
      <c r="E389" s="82"/>
      <c r="F389" s="83"/>
      <c r="G389" s="111"/>
    </row>
    <row r="390" spans="1:7" ht="13.5" thickBot="1">
      <c r="A390" s="95"/>
      <c r="B390" s="839" t="s">
        <v>841</v>
      </c>
      <c r="C390" s="840"/>
      <c r="D390" s="77"/>
      <c r="E390" s="106"/>
      <c r="F390" s="86"/>
      <c r="G390" s="112"/>
    </row>
    <row r="391" spans="1:7" ht="14.25" thickTop="1" thickBot="1">
      <c r="A391" s="95"/>
      <c r="B391" s="808"/>
      <c r="C391" s="808"/>
      <c r="D391" s="808"/>
      <c r="E391" s="809"/>
      <c r="F391" s="119" t="s">
        <v>856</v>
      </c>
      <c r="G391" s="118">
        <f>SUM(G385:G390)</f>
        <v>694</v>
      </c>
    </row>
    <row r="392" spans="1:7" ht="14.25" thickTop="1" thickBot="1">
      <c r="A392" s="95"/>
      <c r="B392" s="830"/>
      <c r="C392" s="830"/>
      <c r="D392" s="830"/>
      <c r="E392" s="830"/>
      <c r="F392" s="830"/>
      <c r="G392" s="830"/>
    </row>
    <row r="393" spans="1:7" ht="13.5" thickTop="1">
      <c r="A393" s="95"/>
      <c r="B393" s="811" t="s">
        <v>311</v>
      </c>
      <c r="C393" s="812"/>
      <c r="D393" s="812"/>
      <c r="E393" s="812"/>
      <c r="F393" s="812"/>
      <c r="G393" s="825"/>
    </row>
    <row r="394" spans="1:7">
      <c r="A394" s="95"/>
      <c r="B394" s="817" t="s">
        <v>838</v>
      </c>
      <c r="C394" s="818"/>
      <c r="D394" s="98" t="s">
        <v>842</v>
      </c>
      <c r="E394" s="98" t="s">
        <v>853</v>
      </c>
      <c r="F394" s="99" t="s">
        <v>1047</v>
      </c>
      <c r="G394" s="107" t="s">
        <v>840</v>
      </c>
    </row>
    <row r="395" spans="1:7">
      <c r="A395" s="95"/>
      <c r="B395" s="230"/>
      <c r="C395" s="102"/>
      <c r="D395" s="100"/>
      <c r="E395" s="100" t="s">
        <v>312</v>
      </c>
      <c r="F395" s="101" t="s">
        <v>313</v>
      </c>
      <c r="G395" s="108" t="s">
        <v>314</v>
      </c>
    </row>
    <row r="396" spans="1:7">
      <c r="A396" s="125"/>
      <c r="B396" s="875"/>
      <c r="C396" s="876"/>
      <c r="D396" s="87"/>
      <c r="E396" s="10"/>
      <c r="F396" s="80"/>
      <c r="G396" s="110"/>
    </row>
    <row r="397" spans="1:7">
      <c r="A397" s="123"/>
      <c r="B397" s="877"/>
      <c r="C397" s="878"/>
      <c r="D397" s="88"/>
      <c r="E397" s="53"/>
      <c r="F397" s="82"/>
      <c r="G397" s="111"/>
    </row>
    <row r="398" spans="1:7">
      <c r="A398" s="95"/>
      <c r="B398" s="835"/>
      <c r="C398" s="836"/>
      <c r="D398" s="37"/>
      <c r="E398" s="55"/>
      <c r="F398" s="82"/>
      <c r="G398" s="111"/>
    </row>
    <row r="399" spans="1:7">
      <c r="A399" s="95"/>
      <c r="B399" s="835"/>
      <c r="C399" s="836"/>
      <c r="D399" s="37"/>
      <c r="E399" s="55"/>
      <c r="F399" s="82"/>
      <c r="G399" s="111"/>
    </row>
    <row r="400" spans="1:7">
      <c r="A400" s="95"/>
      <c r="B400" s="837"/>
      <c r="C400" s="838"/>
      <c r="D400" s="37"/>
      <c r="E400" s="55"/>
      <c r="F400" s="82"/>
      <c r="G400" s="111"/>
    </row>
    <row r="401" spans="1:8">
      <c r="A401" s="95"/>
      <c r="B401" s="837"/>
      <c r="C401" s="838"/>
      <c r="D401" s="53" t="s">
        <v>841</v>
      </c>
      <c r="E401" s="53"/>
      <c r="F401" s="82"/>
      <c r="G401" s="111"/>
    </row>
    <row r="402" spans="1:8">
      <c r="A402" s="95"/>
      <c r="B402" s="837" t="s">
        <v>841</v>
      </c>
      <c r="C402" s="838"/>
      <c r="D402" s="53" t="s">
        <v>841</v>
      </c>
      <c r="E402" s="53"/>
      <c r="F402" s="82"/>
      <c r="G402" s="111"/>
      <c r="H402" s="505" t="s">
        <v>1670</v>
      </c>
    </row>
    <row r="403" spans="1:8">
      <c r="A403" s="95"/>
      <c r="B403" s="837" t="s">
        <v>841</v>
      </c>
      <c r="C403" s="838"/>
      <c r="D403" s="53" t="s">
        <v>841</v>
      </c>
      <c r="E403" s="53"/>
      <c r="F403" s="82"/>
      <c r="G403" s="111"/>
    </row>
    <row r="404" spans="1:8" ht="13.5" thickBot="1">
      <c r="A404" s="95"/>
      <c r="B404" s="839" t="s">
        <v>841</v>
      </c>
      <c r="C404" s="840"/>
      <c r="D404" s="84" t="s">
        <v>841</v>
      </c>
      <c r="E404" s="84"/>
      <c r="F404" s="85"/>
      <c r="G404" s="112"/>
    </row>
    <row r="405" spans="1:8" ht="13.5" thickTop="1">
      <c r="A405" s="95"/>
      <c r="B405" s="808"/>
      <c r="C405" s="809"/>
      <c r="D405" s="801" t="s">
        <v>856</v>
      </c>
      <c r="E405" s="802"/>
      <c r="F405" s="9"/>
      <c r="G405" s="113">
        <f>SUM(G396:G404)</f>
        <v>0</v>
      </c>
    </row>
    <row r="406" spans="1:8">
      <c r="A406" s="95"/>
      <c r="B406" s="819"/>
      <c r="C406" s="820"/>
      <c r="D406" s="801" t="s">
        <v>857</v>
      </c>
      <c r="E406" s="802"/>
      <c r="F406" s="79">
        <f>'MANO DE OBRA'!$D$60</f>
        <v>0.05</v>
      </c>
      <c r="G406" s="113">
        <f>ROUND(G405*F406,0)</f>
        <v>0</v>
      </c>
    </row>
    <row r="407" spans="1:8" ht="13.5" thickBot="1">
      <c r="A407" s="95"/>
      <c r="B407" s="819"/>
      <c r="C407" s="820"/>
      <c r="D407" s="803" t="s">
        <v>320</v>
      </c>
      <c r="E407" s="804"/>
      <c r="F407" s="114"/>
      <c r="G407" s="118">
        <f>+G405+G406</f>
        <v>0</v>
      </c>
    </row>
    <row r="408" spans="1:8" ht="14.25" thickTop="1" thickBot="1">
      <c r="A408" s="95"/>
      <c r="B408" s="830"/>
      <c r="C408" s="830"/>
      <c r="D408" s="830"/>
      <c r="E408" s="830"/>
      <c r="F408" s="830"/>
      <c r="G408" s="830"/>
    </row>
    <row r="409" spans="1:8" ht="13.5" thickTop="1">
      <c r="A409" s="95"/>
      <c r="B409" s="811" t="s">
        <v>858</v>
      </c>
      <c r="C409" s="812"/>
      <c r="D409" s="812"/>
      <c r="E409" s="812"/>
      <c r="F409" s="812"/>
      <c r="G409" s="825"/>
    </row>
    <row r="410" spans="1:8">
      <c r="A410" s="95"/>
      <c r="B410" s="817"/>
      <c r="C410" s="818"/>
      <c r="D410" s="98" t="s">
        <v>301</v>
      </c>
      <c r="E410" s="98" t="s">
        <v>859</v>
      </c>
      <c r="F410" s="99" t="s">
        <v>839</v>
      </c>
      <c r="G410" s="107" t="s">
        <v>840</v>
      </c>
    </row>
    <row r="411" spans="1:8">
      <c r="A411" s="95"/>
      <c r="B411" s="821" t="s">
        <v>838</v>
      </c>
      <c r="C411" s="822"/>
      <c r="D411" s="100" t="s">
        <v>316</v>
      </c>
      <c r="E411" s="100" t="s">
        <v>315</v>
      </c>
      <c r="F411" s="101" t="s">
        <v>306</v>
      </c>
      <c r="G411" s="108" t="s">
        <v>319</v>
      </c>
    </row>
    <row r="412" spans="1:8">
      <c r="A412" s="95"/>
      <c r="B412" s="230"/>
      <c r="C412" s="102"/>
      <c r="D412" s="103"/>
      <c r="E412" s="103" t="s">
        <v>317</v>
      </c>
      <c r="F412" s="104" t="s">
        <v>318</v>
      </c>
      <c r="G412" s="109"/>
    </row>
    <row r="413" spans="1:8">
      <c r="A413" s="95"/>
      <c r="B413" s="823" t="str">
        <f>'MANO DE OBRA'!$B$10</f>
        <v>AYUDANTE CUAD. TIPO AA</v>
      </c>
      <c r="C413" s="824"/>
      <c r="D413" s="87">
        <v>1</v>
      </c>
      <c r="E413" s="80">
        <f>'MANO DE OBRA'!$E$10</f>
        <v>34680</v>
      </c>
      <c r="F413" s="81">
        <v>2.5</v>
      </c>
      <c r="G413" s="110">
        <f>ROUND(D413*E413/F413,0)</f>
        <v>13872</v>
      </c>
    </row>
    <row r="414" spans="1:8">
      <c r="A414" s="95"/>
      <c r="B414" s="835"/>
      <c r="C414" s="836"/>
      <c r="D414" s="37"/>
      <c r="E414" s="82"/>
      <c r="F414" s="83"/>
      <c r="G414" s="111"/>
    </row>
    <row r="415" spans="1:8">
      <c r="A415" s="95"/>
      <c r="B415" s="835"/>
      <c r="C415" s="836"/>
      <c r="D415" s="89"/>
      <c r="E415" s="82"/>
      <c r="F415" s="83"/>
      <c r="G415" s="111"/>
    </row>
    <row r="416" spans="1:8">
      <c r="A416" s="95"/>
      <c r="B416" s="835" t="s">
        <v>841</v>
      </c>
      <c r="C416" s="836"/>
      <c r="D416" s="37"/>
      <c r="E416" s="82"/>
      <c r="F416" s="83"/>
      <c r="G416" s="111"/>
    </row>
    <row r="417" spans="1:8" ht="13.5" thickBot="1">
      <c r="A417" s="95"/>
      <c r="B417" s="828" t="s">
        <v>841</v>
      </c>
      <c r="C417" s="829"/>
      <c r="D417" s="77"/>
      <c r="E417" s="82"/>
      <c r="F417" s="86"/>
      <c r="G417" s="112"/>
    </row>
    <row r="418" spans="1:8" ht="14.25" thickTop="1" thickBot="1">
      <c r="A418" s="95"/>
      <c r="B418" s="808"/>
      <c r="C418" s="808"/>
      <c r="D418" s="808"/>
      <c r="E418" s="809"/>
      <c r="F418" s="120" t="s">
        <v>856</v>
      </c>
      <c r="G418" s="118">
        <f>SUM(G413:G417)</f>
        <v>13872</v>
      </c>
    </row>
    <row r="419" spans="1:8" ht="14.25" thickTop="1" thickBot="1">
      <c r="A419" s="95"/>
      <c r="B419" s="810"/>
      <c r="C419" s="810"/>
      <c r="D419" s="810"/>
      <c r="E419" s="810"/>
      <c r="F419" s="810"/>
      <c r="G419" s="810"/>
    </row>
    <row r="420" spans="1:8" ht="13.5" thickTop="1">
      <c r="A420" s="95"/>
      <c r="B420" s="811" t="s">
        <v>321</v>
      </c>
      <c r="C420" s="812"/>
      <c r="D420" s="812"/>
      <c r="E420" s="812"/>
      <c r="F420" s="812"/>
      <c r="G420" s="825"/>
    </row>
    <row r="421" spans="1:8">
      <c r="A421" s="95"/>
      <c r="B421" s="817" t="s">
        <v>838</v>
      </c>
      <c r="C421" s="818"/>
      <c r="D421" s="98" t="s">
        <v>301</v>
      </c>
      <c r="E421" s="98" t="s">
        <v>297</v>
      </c>
      <c r="F421" s="99" t="s">
        <v>839</v>
      </c>
      <c r="G421" s="107" t="s">
        <v>840</v>
      </c>
    </row>
    <row r="422" spans="1:8">
      <c r="A422" s="95"/>
      <c r="B422" s="230"/>
      <c r="C422" s="102"/>
      <c r="D422" s="103" t="s">
        <v>322</v>
      </c>
      <c r="E422" s="103" t="s">
        <v>323</v>
      </c>
      <c r="F422" s="104" t="s">
        <v>324</v>
      </c>
      <c r="G422" s="109" t="s">
        <v>325</v>
      </c>
    </row>
    <row r="423" spans="1:8">
      <c r="A423" s="95"/>
      <c r="B423" s="826"/>
      <c r="C423" s="827"/>
      <c r="D423" s="96"/>
      <c r="E423" s="96"/>
      <c r="F423" s="96"/>
      <c r="G423" s="116"/>
    </row>
    <row r="424" spans="1:8" ht="13.5" thickBot="1">
      <c r="A424" s="95"/>
      <c r="B424" s="828" t="s">
        <v>841</v>
      </c>
      <c r="C424" s="829"/>
      <c r="D424" s="77"/>
      <c r="E424" s="82"/>
      <c r="F424" s="86"/>
      <c r="G424" s="112"/>
    </row>
    <row r="425" spans="1:8" ht="14.25" thickTop="1" thickBot="1">
      <c r="A425" s="95"/>
      <c r="B425" s="808"/>
      <c r="C425" s="808"/>
      <c r="D425" s="808"/>
      <c r="E425" s="809"/>
      <c r="F425" s="120" t="s">
        <v>856</v>
      </c>
      <c r="G425" s="118">
        <f>SUM(G420:G424)</f>
        <v>0</v>
      </c>
    </row>
    <row r="426" spans="1:8" ht="14.25" thickTop="1" thickBot="1">
      <c r="A426" s="95"/>
      <c r="B426" s="810"/>
      <c r="C426" s="810"/>
      <c r="D426" s="810"/>
      <c r="E426" s="810"/>
      <c r="F426" s="810"/>
      <c r="G426" s="834"/>
    </row>
    <row r="427" spans="1:8" ht="13.5" thickTop="1">
      <c r="A427" s="95"/>
      <c r="B427" s="811" t="s">
        <v>326</v>
      </c>
      <c r="C427" s="812"/>
      <c r="D427" s="812"/>
      <c r="E427" s="812"/>
      <c r="F427" s="813"/>
      <c r="G427" s="121">
        <f>+G391+G407+G418</f>
        <v>14566</v>
      </c>
    </row>
    <row r="428" spans="1:8">
      <c r="A428" s="95"/>
      <c r="B428" s="814" t="s">
        <v>861</v>
      </c>
      <c r="C428" s="815"/>
      <c r="D428" s="815"/>
      <c r="E428" s="816"/>
      <c r="F428" s="128">
        <f>'MANO DE OBRA'!D218</f>
        <v>0</v>
      </c>
      <c r="G428" s="122">
        <f>ROUND(G427*F428,0)</f>
        <v>0</v>
      </c>
    </row>
    <row r="429" spans="1:8" ht="13.5" thickBot="1">
      <c r="A429" s="95"/>
      <c r="B429" s="805" t="s">
        <v>1049</v>
      </c>
      <c r="C429" s="806"/>
      <c r="D429" s="806"/>
      <c r="E429" s="806"/>
      <c r="F429" s="807"/>
      <c r="G429" s="118">
        <f>ROUND(G427+G428,-2)</f>
        <v>14600</v>
      </c>
      <c r="H429" s="505" t="s">
        <v>1670</v>
      </c>
    </row>
    <row r="430" spans="1:8" ht="15" thickTop="1">
      <c r="A430" s="95"/>
      <c r="B430" s="225" t="s">
        <v>303</v>
      </c>
      <c r="C430" s="843"/>
      <c r="D430" s="843"/>
      <c r="E430" s="843"/>
      <c r="F430" s="92" t="s">
        <v>781</v>
      </c>
      <c r="G430" s="93" t="s">
        <v>1066</v>
      </c>
    </row>
    <row r="431" spans="1:8">
      <c r="A431" s="95"/>
      <c r="B431" s="226" t="s">
        <v>834</v>
      </c>
      <c r="C431" s="844" t="s">
        <v>342</v>
      </c>
      <c r="D431" s="844"/>
      <c r="E431" s="844"/>
      <c r="F431" s="15" t="s">
        <v>833</v>
      </c>
      <c r="G431" s="165" t="str">
        <f>'MANO DE OBRA'!$D$61</f>
        <v>Agosto de 2010</v>
      </c>
    </row>
    <row r="432" spans="1:8" ht="13.5" thickBot="1">
      <c r="A432" s="127"/>
      <c r="B432" s="228" t="s">
        <v>835</v>
      </c>
      <c r="C432" s="845" t="s">
        <v>784</v>
      </c>
      <c r="D432" s="845"/>
      <c r="E432" s="845"/>
      <c r="F432" s="845"/>
      <c r="G432" s="846"/>
    </row>
    <row r="433" spans="1:7" ht="14.25" thickTop="1" thickBot="1">
      <c r="A433" s="95"/>
      <c r="B433" s="847"/>
      <c r="C433" s="847"/>
      <c r="D433" s="847"/>
      <c r="E433" s="847"/>
      <c r="F433" s="847"/>
      <c r="G433" s="847"/>
    </row>
    <row r="434" spans="1:7" ht="13.5" thickTop="1">
      <c r="A434" s="95"/>
      <c r="B434" s="811" t="s">
        <v>304</v>
      </c>
      <c r="C434" s="812"/>
      <c r="D434" s="812"/>
      <c r="E434" s="812"/>
      <c r="F434" s="812"/>
      <c r="G434" s="825"/>
    </row>
    <row r="435" spans="1:7">
      <c r="A435" s="95"/>
      <c r="B435" s="229"/>
      <c r="C435" s="97"/>
      <c r="D435" s="98" t="s">
        <v>301</v>
      </c>
      <c r="E435" s="98" t="s">
        <v>1072</v>
      </c>
      <c r="F435" s="99" t="s">
        <v>839</v>
      </c>
      <c r="G435" s="107" t="s">
        <v>840</v>
      </c>
    </row>
    <row r="436" spans="1:7">
      <c r="A436" s="95"/>
      <c r="B436" s="821" t="s">
        <v>838</v>
      </c>
      <c r="C436" s="822"/>
      <c r="D436" s="100" t="s">
        <v>308</v>
      </c>
      <c r="E436" s="100" t="s">
        <v>305</v>
      </c>
      <c r="F436" s="101" t="s">
        <v>306</v>
      </c>
      <c r="G436" s="108" t="s">
        <v>310</v>
      </c>
    </row>
    <row r="437" spans="1:7">
      <c r="A437" s="95"/>
      <c r="B437" s="230"/>
      <c r="C437" s="102"/>
      <c r="D437" s="103"/>
      <c r="E437" s="103" t="s">
        <v>309</v>
      </c>
      <c r="F437" s="104" t="s">
        <v>307</v>
      </c>
      <c r="G437" s="109"/>
    </row>
    <row r="438" spans="1:7">
      <c r="A438" s="127"/>
      <c r="B438" s="823" t="str">
        <f>'MAQUINARIA Y EQUIPOS'!$C$28</f>
        <v>HERRAMIENTAS MENORES</v>
      </c>
      <c r="C438" s="824"/>
      <c r="D438" s="87">
        <v>1</v>
      </c>
      <c r="E438" s="82">
        <f>ROUND(G471*0.05,0)</f>
        <v>781</v>
      </c>
      <c r="F438" s="81">
        <v>1</v>
      </c>
      <c r="G438" s="110">
        <f>ROUND(D438*E438/F438,0)</f>
        <v>781</v>
      </c>
    </row>
    <row r="439" spans="1:7">
      <c r="A439" s="95"/>
      <c r="B439" s="835"/>
      <c r="C439" s="836"/>
      <c r="D439" s="37"/>
      <c r="E439" s="82"/>
      <c r="F439" s="83"/>
      <c r="G439" s="111"/>
    </row>
    <row r="440" spans="1:7">
      <c r="A440" s="95"/>
      <c r="B440" s="835"/>
      <c r="C440" s="836"/>
      <c r="D440" s="89"/>
      <c r="E440" s="82"/>
      <c r="F440" s="83"/>
      <c r="G440" s="111"/>
    </row>
    <row r="441" spans="1:7">
      <c r="A441" s="95"/>
      <c r="B441" s="835"/>
      <c r="C441" s="836"/>
      <c r="D441" s="89"/>
      <c r="E441" s="82"/>
      <c r="F441" s="83"/>
      <c r="G441" s="111"/>
    </row>
    <row r="442" spans="1:7">
      <c r="A442" s="95"/>
      <c r="B442" s="835" t="s">
        <v>841</v>
      </c>
      <c r="C442" s="836"/>
      <c r="D442" s="37"/>
      <c r="E442" s="82"/>
      <c r="F442" s="83"/>
      <c r="G442" s="111"/>
    </row>
    <row r="443" spans="1:7" ht="13.5" thickBot="1">
      <c r="A443" s="95"/>
      <c r="B443" s="839" t="s">
        <v>841</v>
      </c>
      <c r="C443" s="840"/>
      <c r="D443" s="77"/>
      <c r="E443" s="106"/>
      <c r="F443" s="86"/>
      <c r="G443" s="112"/>
    </row>
    <row r="444" spans="1:7" ht="14.25" thickTop="1" thickBot="1">
      <c r="A444" s="95"/>
      <c r="B444" s="808"/>
      <c r="C444" s="808"/>
      <c r="D444" s="808"/>
      <c r="E444" s="809"/>
      <c r="F444" s="119" t="s">
        <v>856</v>
      </c>
      <c r="G444" s="118">
        <f>SUM(G438:G443)</f>
        <v>781</v>
      </c>
    </row>
    <row r="445" spans="1:7" ht="14.25" thickTop="1" thickBot="1">
      <c r="A445" s="95"/>
      <c r="B445" s="830"/>
      <c r="C445" s="830"/>
      <c r="D445" s="830"/>
      <c r="E445" s="830"/>
      <c r="F445" s="830"/>
      <c r="G445" s="830"/>
    </row>
    <row r="446" spans="1:7" ht="13.5" thickTop="1">
      <c r="A446" s="95"/>
      <c r="B446" s="811" t="s">
        <v>311</v>
      </c>
      <c r="C446" s="812"/>
      <c r="D446" s="812"/>
      <c r="E446" s="812"/>
      <c r="F446" s="812"/>
      <c r="G446" s="825"/>
    </row>
    <row r="447" spans="1:7">
      <c r="A447" s="95"/>
      <c r="B447" s="817" t="s">
        <v>838</v>
      </c>
      <c r="C447" s="818"/>
      <c r="D447" s="98" t="s">
        <v>842</v>
      </c>
      <c r="E447" s="98" t="s">
        <v>853</v>
      </c>
      <c r="F447" s="99" t="s">
        <v>1047</v>
      </c>
      <c r="G447" s="107" t="s">
        <v>840</v>
      </c>
    </row>
    <row r="448" spans="1:7">
      <c r="A448" s="95"/>
      <c r="B448" s="230"/>
      <c r="C448" s="102"/>
      <c r="D448" s="100"/>
      <c r="E448" s="100" t="s">
        <v>312</v>
      </c>
      <c r="F448" s="101" t="s">
        <v>313</v>
      </c>
      <c r="G448" s="108" t="s">
        <v>314</v>
      </c>
    </row>
    <row r="449" spans="1:8">
      <c r="A449" s="125"/>
      <c r="B449" s="875"/>
      <c r="C449" s="876"/>
      <c r="D449" s="87"/>
      <c r="E449" s="10"/>
      <c r="F449" s="80"/>
      <c r="G449" s="110"/>
    </row>
    <row r="450" spans="1:8">
      <c r="A450" s="123"/>
      <c r="B450" s="877"/>
      <c r="C450" s="878"/>
      <c r="D450" s="88"/>
      <c r="E450" s="53"/>
      <c r="F450" s="82"/>
      <c r="G450" s="111"/>
    </row>
    <row r="451" spans="1:8">
      <c r="A451" s="95"/>
      <c r="B451" s="835"/>
      <c r="C451" s="836"/>
      <c r="D451" s="37"/>
      <c r="E451" s="55"/>
      <c r="F451" s="82"/>
      <c r="G451" s="111"/>
    </row>
    <row r="452" spans="1:8">
      <c r="A452" s="95"/>
      <c r="B452" s="835"/>
      <c r="C452" s="836"/>
      <c r="D452" s="37"/>
      <c r="E452" s="55"/>
      <c r="F452" s="82"/>
      <c r="G452" s="111"/>
    </row>
    <row r="453" spans="1:8">
      <c r="A453" s="95"/>
      <c r="B453" s="837"/>
      <c r="C453" s="838"/>
      <c r="D453" s="37"/>
      <c r="E453" s="55"/>
      <c r="F453" s="82"/>
      <c r="G453" s="111"/>
      <c r="H453" s="505" t="s">
        <v>1670</v>
      </c>
    </row>
    <row r="454" spans="1:8">
      <c r="A454" s="95"/>
      <c r="B454" s="837"/>
      <c r="C454" s="838"/>
      <c r="D454" s="53" t="s">
        <v>841</v>
      </c>
      <c r="E454" s="53"/>
      <c r="F454" s="82"/>
      <c r="G454" s="111"/>
    </row>
    <row r="455" spans="1:8">
      <c r="A455" s="95"/>
      <c r="B455" s="837" t="s">
        <v>841</v>
      </c>
      <c r="C455" s="838"/>
      <c r="D455" s="53" t="s">
        <v>841</v>
      </c>
      <c r="E455" s="53"/>
      <c r="F455" s="82"/>
      <c r="G455" s="111"/>
    </row>
    <row r="456" spans="1:8">
      <c r="A456" s="95"/>
      <c r="B456" s="837" t="s">
        <v>841</v>
      </c>
      <c r="C456" s="838"/>
      <c r="D456" s="53" t="s">
        <v>841</v>
      </c>
      <c r="E456" s="53"/>
      <c r="F456" s="82"/>
      <c r="G456" s="111"/>
    </row>
    <row r="457" spans="1:8" ht="13.5" thickBot="1">
      <c r="A457" s="95"/>
      <c r="B457" s="839" t="s">
        <v>841</v>
      </c>
      <c r="C457" s="840"/>
      <c r="D457" s="84" t="s">
        <v>841</v>
      </c>
      <c r="E457" s="84"/>
      <c r="F457" s="85"/>
      <c r="G457" s="112"/>
    </row>
    <row r="458" spans="1:8" ht="13.5" thickTop="1">
      <c r="A458" s="95"/>
      <c r="B458" s="808"/>
      <c r="C458" s="809"/>
      <c r="D458" s="801" t="s">
        <v>856</v>
      </c>
      <c r="E458" s="802"/>
      <c r="F458" s="9"/>
      <c r="G458" s="113">
        <f>SUM(G449:G457)</f>
        <v>0</v>
      </c>
    </row>
    <row r="459" spans="1:8">
      <c r="A459" s="95"/>
      <c r="B459" s="819"/>
      <c r="C459" s="820"/>
      <c r="D459" s="801" t="s">
        <v>857</v>
      </c>
      <c r="E459" s="802"/>
      <c r="F459" s="79">
        <f>'MANO DE OBRA'!$D$60</f>
        <v>0.05</v>
      </c>
      <c r="G459" s="113">
        <f>ROUND(G458*F459,0)</f>
        <v>0</v>
      </c>
    </row>
    <row r="460" spans="1:8" ht="13.5" thickBot="1">
      <c r="A460" s="95"/>
      <c r="B460" s="819"/>
      <c r="C460" s="820"/>
      <c r="D460" s="803" t="s">
        <v>320</v>
      </c>
      <c r="E460" s="804"/>
      <c r="F460" s="114"/>
      <c r="G460" s="118">
        <f>+G458+G459</f>
        <v>0</v>
      </c>
    </row>
    <row r="461" spans="1:8" ht="14.25" thickTop="1" thickBot="1">
      <c r="A461" s="95"/>
      <c r="B461" s="830"/>
      <c r="C461" s="830"/>
      <c r="D461" s="830"/>
      <c r="E461" s="830"/>
      <c r="F461" s="830"/>
      <c r="G461" s="830"/>
    </row>
    <row r="462" spans="1:8" ht="13.5" thickTop="1">
      <c r="A462" s="95"/>
      <c r="B462" s="811" t="s">
        <v>858</v>
      </c>
      <c r="C462" s="812"/>
      <c r="D462" s="812"/>
      <c r="E462" s="812"/>
      <c r="F462" s="812"/>
      <c r="G462" s="825"/>
    </row>
    <row r="463" spans="1:8">
      <c r="A463" s="95"/>
      <c r="B463" s="817"/>
      <c r="C463" s="818"/>
      <c r="D463" s="98" t="s">
        <v>301</v>
      </c>
      <c r="E463" s="98" t="s">
        <v>859</v>
      </c>
      <c r="F463" s="99" t="s">
        <v>839</v>
      </c>
      <c r="G463" s="107" t="s">
        <v>840</v>
      </c>
    </row>
    <row r="464" spans="1:8">
      <c r="A464" s="95"/>
      <c r="B464" s="821" t="s">
        <v>838</v>
      </c>
      <c r="C464" s="822"/>
      <c r="D464" s="100" t="s">
        <v>316</v>
      </c>
      <c r="E464" s="100" t="s">
        <v>315</v>
      </c>
      <c r="F464" s="101" t="s">
        <v>306</v>
      </c>
      <c r="G464" s="108" t="s">
        <v>319</v>
      </c>
    </row>
    <row r="465" spans="1:7">
      <c r="A465" s="95"/>
      <c r="B465" s="230"/>
      <c r="C465" s="102"/>
      <c r="D465" s="103"/>
      <c r="E465" s="103" t="s">
        <v>317</v>
      </c>
      <c r="F465" s="104" t="s">
        <v>318</v>
      </c>
      <c r="G465" s="109"/>
    </row>
    <row r="466" spans="1:7">
      <c r="A466" s="95"/>
      <c r="B466" s="823" t="str">
        <f>'MANO DE OBRA'!$B$10</f>
        <v>AYUDANTE CUAD. TIPO AA</v>
      </c>
      <c r="C466" s="824"/>
      <c r="D466" s="87">
        <v>1</v>
      </c>
      <c r="E466" s="80">
        <f>'MANO DE OBRA'!$E$10</f>
        <v>34680</v>
      </c>
      <c r="F466" s="81">
        <v>2.2200000000000002</v>
      </c>
      <c r="G466" s="110">
        <f>ROUND(D466*E466/F466,0)</f>
        <v>15622</v>
      </c>
    </row>
    <row r="467" spans="1:7">
      <c r="A467" s="95"/>
      <c r="B467" s="835"/>
      <c r="C467" s="836"/>
      <c r="D467" s="37"/>
      <c r="E467" s="82"/>
      <c r="F467" s="83"/>
      <c r="G467" s="111"/>
    </row>
    <row r="468" spans="1:7">
      <c r="A468" s="95"/>
      <c r="B468" s="835"/>
      <c r="C468" s="836"/>
      <c r="D468" s="89"/>
      <c r="E468" s="82"/>
      <c r="F468" s="83"/>
      <c r="G468" s="111"/>
    </row>
    <row r="469" spans="1:7">
      <c r="A469" s="95"/>
      <c r="B469" s="835" t="s">
        <v>841</v>
      </c>
      <c r="C469" s="836"/>
      <c r="D469" s="37"/>
      <c r="E469" s="82"/>
      <c r="F469" s="83"/>
      <c r="G469" s="111"/>
    </row>
    <row r="470" spans="1:7" ht="13.5" thickBot="1">
      <c r="A470" s="95"/>
      <c r="B470" s="828" t="s">
        <v>841</v>
      </c>
      <c r="C470" s="829"/>
      <c r="D470" s="77"/>
      <c r="E470" s="82"/>
      <c r="F470" s="86"/>
      <c r="G470" s="112"/>
    </row>
    <row r="471" spans="1:7" ht="14.25" thickTop="1" thickBot="1">
      <c r="A471" s="95"/>
      <c r="B471" s="808"/>
      <c r="C471" s="808"/>
      <c r="D471" s="808"/>
      <c r="E471" s="809"/>
      <c r="F471" s="120" t="s">
        <v>856</v>
      </c>
      <c r="G471" s="118">
        <f>SUM(G466:G470)</f>
        <v>15622</v>
      </c>
    </row>
    <row r="472" spans="1:7" ht="14.25" thickTop="1" thickBot="1">
      <c r="A472" s="95"/>
      <c r="B472" s="810"/>
      <c r="C472" s="810"/>
      <c r="D472" s="810"/>
      <c r="E472" s="810"/>
      <c r="F472" s="810"/>
      <c r="G472" s="810"/>
    </row>
    <row r="473" spans="1:7" ht="13.5" thickTop="1">
      <c r="A473" s="95"/>
      <c r="B473" s="811" t="s">
        <v>321</v>
      </c>
      <c r="C473" s="812"/>
      <c r="D473" s="812"/>
      <c r="E473" s="812"/>
      <c r="F473" s="812"/>
      <c r="G473" s="825"/>
    </row>
    <row r="474" spans="1:7">
      <c r="A474" s="95"/>
      <c r="B474" s="817" t="s">
        <v>838</v>
      </c>
      <c r="C474" s="818"/>
      <c r="D474" s="98" t="s">
        <v>301</v>
      </c>
      <c r="E474" s="98" t="s">
        <v>297</v>
      </c>
      <c r="F474" s="99" t="s">
        <v>839</v>
      </c>
      <c r="G474" s="107" t="s">
        <v>840</v>
      </c>
    </row>
    <row r="475" spans="1:7">
      <c r="A475" s="95"/>
      <c r="B475" s="230"/>
      <c r="C475" s="102"/>
      <c r="D475" s="103" t="s">
        <v>322</v>
      </c>
      <c r="E475" s="103" t="s">
        <v>323</v>
      </c>
      <c r="F475" s="104" t="s">
        <v>324</v>
      </c>
      <c r="G475" s="109" t="s">
        <v>325</v>
      </c>
    </row>
    <row r="476" spans="1:7">
      <c r="A476" s="95"/>
      <c r="B476" s="826"/>
      <c r="C476" s="827"/>
      <c r="D476" s="96"/>
      <c r="E476" s="96"/>
      <c r="F476" s="96"/>
      <c r="G476" s="116"/>
    </row>
    <row r="477" spans="1:7" ht="13.5" thickBot="1">
      <c r="A477" s="95"/>
      <c r="B477" s="828" t="s">
        <v>841</v>
      </c>
      <c r="C477" s="829"/>
      <c r="D477" s="77"/>
      <c r="E477" s="82"/>
      <c r="F477" s="86"/>
      <c r="G477" s="112"/>
    </row>
    <row r="478" spans="1:7" ht="14.25" thickTop="1" thickBot="1">
      <c r="A478" s="95"/>
      <c r="B478" s="808"/>
      <c r="C478" s="808"/>
      <c r="D478" s="808"/>
      <c r="E478" s="809"/>
      <c r="F478" s="120" t="s">
        <v>856</v>
      </c>
      <c r="G478" s="118">
        <f>SUM(G473:G477)</f>
        <v>0</v>
      </c>
    </row>
    <row r="479" spans="1:7" ht="14.25" thickTop="1" thickBot="1">
      <c r="A479" s="95"/>
      <c r="B479" s="810"/>
      <c r="C479" s="810"/>
      <c r="D479" s="810"/>
      <c r="E479" s="810"/>
      <c r="F479" s="810"/>
      <c r="G479" s="834"/>
    </row>
    <row r="480" spans="1:7" ht="13.5" thickTop="1">
      <c r="A480" s="95"/>
      <c r="B480" s="811" t="s">
        <v>326</v>
      </c>
      <c r="C480" s="812"/>
      <c r="D480" s="812"/>
      <c r="E480" s="812"/>
      <c r="F480" s="813"/>
      <c r="G480" s="121">
        <f>+G444+G460+G471</f>
        <v>16403</v>
      </c>
    </row>
    <row r="481" spans="1:8">
      <c r="A481" s="95"/>
      <c r="B481" s="814" t="s">
        <v>861</v>
      </c>
      <c r="C481" s="815"/>
      <c r="D481" s="815"/>
      <c r="E481" s="816"/>
      <c r="F481" s="128">
        <f>'MANO DE OBRA'!D271</f>
        <v>0</v>
      </c>
      <c r="G481" s="122">
        <f>ROUND(G480*F481,0)</f>
        <v>0</v>
      </c>
    </row>
    <row r="482" spans="1:8" ht="13.5" thickBot="1">
      <c r="A482" s="95"/>
      <c r="B482" s="805" t="s">
        <v>1049</v>
      </c>
      <c r="C482" s="806"/>
      <c r="D482" s="806"/>
      <c r="E482" s="806"/>
      <c r="F482" s="807"/>
      <c r="G482" s="118">
        <f>ROUND(G480+G481,-2)</f>
        <v>16400</v>
      </c>
      <c r="H482" s="505" t="s">
        <v>1670</v>
      </c>
    </row>
    <row r="483" spans="1:8" ht="15" thickTop="1">
      <c r="A483" s="95"/>
      <c r="B483" s="225" t="s">
        <v>303</v>
      </c>
      <c r="C483" s="843"/>
      <c r="D483" s="843"/>
      <c r="E483" s="843"/>
      <c r="F483" s="92" t="s">
        <v>781</v>
      </c>
      <c r="G483" s="93" t="s">
        <v>1066</v>
      </c>
    </row>
    <row r="484" spans="1:8">
      <c r="A484" s="95"/>
      <c r="B484" s="226" t="s">
        <v>834</v>
      </c>
      <c r="C484" s="844" t="s">
        <v>342</v>
      </c>
      <c r="D484" s="844"/>
      <c r="E484" s="844"/>
      <c r="F484" s="15" t="s">
        <v>833</v>
      </c>
      <c r="G484" s="165" t="str">
        <f>'MANO DE OBRA'!$D$61</f>
        <v>Agosto de 2010</v>
      </c>
    </row>
    <row r="485" spans="1:8" ht="13.5" thickBot="1">
      <c r="A485" s="127"/>
      <c r="B485" s="228" t="s">
        <v>835</v>
      </c>
      <c r="C485" s="845" t="s">
        <v>785</v>
      </c>
      <c r="D485" s="845"/>
      <c r="E485" s="845"/>
      <c r="F485" s="845"/>
      <c r="G485" s="846"/>
    </row>
    <row r="486" spans="1:8" ht="14.25" thickTop="1" thickBot="1">
      <c r="A486" s="95"/>
      <c r="B486" s="847"/>
      <c r="C486" s="847"/>
      <c r="D486" s="847"/>
      <c r="E486" s="847"/>
      <c r="F486" s="847"/>
      <c r="G486" s="847"/>
    </row>
    <row r="487" spans="1:8" ht="13.5" thickTop="1">
      <c r="A487" s="95"/>
      <c r="B487" s="811" t="s">
        <v>304</v>
      </c>
      <c r="C487" s="812"/>
      <c r="D487" s="812"/>
      <c r="E487" s="812"/>
      <c r="F487" s="812"/>
      <c r="G487" s="825"/>
    </row>
    <row r="488" spans="1:8">
      <c r="A488" s="95"/>
      <c r="B488" s="229"/>
      <c r="C488" s="97"/>
      <c r="D488" s="98" t="s">
        <v>301</v>
      </c>
      <c r="E488" s="98" t="s">
        <v>1072</v>
      </c>
      <c r="F488" s="99" t="s">
        <v>839</v>
      </c>
      <c r="G488" s="107" t="s">
        <v>840</v>
      </c>
    </row>
    <row r="489" spans="1:8">
      <c r="A489" s="95"/>
      <c r="B489" s="821" t="s">
        <v>838</v>
      </c>
      <c r="C489" s="822"/>
      <c r="D489" s="100" t="s">
        <v>308</v>
      </c>
      <c r="E489" s="100" t="s">
        <v>305</v>
      </c>
      <c r="F489" s="101" t="s">
        <v>306</v>
      </c>
      <c r="G489" s="108" t="s">
        <v>310</v>
      </c>
    </row>
    <row r="490" spans="1:8">
      <c r="A490" s="95"/>
      <c r="B490" s="230"/>
      <c r="C490" s="102"/>
      <c r="D490" s="103"/>
      <c r="E490" s="103" t="s">
        <v>309</v>
      </c>
      <c r="F490" s="104" t="s">
        <v>307</v>
      </c>
      <c r="G490" s="109"/>
    </row>
    <row r="491" spans="1:8">
      <c r="A491" s="127"/>
      <c r="B491" s="823" t="str">
        <f>'MAQUINARIA Y EQUIPOS'!$C$28</f>
        <v>HERRAMIENTAS MENORES</v>
      </c>
      <c r="C491" s="824"/>
      <c r="D491" s="87">
        <v>1</v>
      </c>
      <c r="E491" s="82">
        <f>ROUND(G524*0.05,0)</f>
        <v>867</v>
      </c>
      <c r="F491" s="81">
        <v>1</v>
      </c>
      <c r="G491" s="110">
        <f>ROUND(D491*E491/F491,0)</f>
        <v>867</v>
      </c>
    </row>
    <row r="492" spans="1:8">
      <c r="A492" s="95"/>
      <c r="B492" s="835"/>
      <c r="C492" s="836"/>
      <c r="D492" s="37"/>
      <c r="E492" s="82"/>
      <c r="F492" s="83"/>
      <c r="G492" s="111"/>
    </row>
    <row r="493" spans="1:8">
      <c r="A493" s="95"/>
      <c r="B493" s="835"/>
      <c r="C493" s="836"/>
      <c r="D493" s="89"/>
      <c r="E493" s="82"/>
      <c r="F493" s="83"/>
      <c r="G493" s="111"/>
    </row>
    <row r="494" spans="1:8">
      <c r="A494" s="95"/>
      <c r="B494" s="835"/>
      <c r="C494" s="836"/>
      <c r="D494" s="89"/>
      <c r="E494" s="82"/>
      <c r="F494" s="83"/>
      <c r="G494" s="111"/>
    </row>
    <row r="495" spans="1:8">
      <c r="A495" s="95"/>
      <c r="B495" s="835" t="s">
        <v>841</v>
      </c>
      <c r="C495" s="836"/>
      <c r="D495" s="37"/>
      <c r="E495" s="82"/>
      <c r="F495" s="83"/>
      <c r="G495" s="111"/>
    </row>
    <row r="496" spans="1:8" ht="13.5" thickBot="1">
      <c r="A496" s="95"/>
      <c r="B496" s="839" t="s">
        <v>841</v>
      </c>
      <c r="C496" s="840"/>
      <c r="D496" s="77"/>
      <c r="E496" s="106"/>
      <c r="F496" s="86"/>
      <c r="G496" s="112"/>
    </row>
    <row r="497" spans="1:8" ht="14.25" thickTop="1" thickBot="1">
      <c r="A497" s="95"/>
      <c r="B497" s="808"/>
      <c r="C497" s="808"/>
      <c r="D497" s="808"/>
      <c r="E497" s="809"/>
      <c r="F497" s="119" t="s">
        <v>856</v>
      </c>
      <c r="G497" s="118">
        <f>SUM(G491:G496)</f>
        <v>867</v>
      </c>
    </row>
    <row r="498" spans="1:8" ht="14.25" thickTop="1" thickBot="1">
      <c r="A498" s="95"/>
      <c r="B498" s="830"/>
      <c r="C498" s="830"/>
      <c r="D498" s="830"/>
      <c r="E498" s="830"/>
      <c r="F498" s="830"/>
      <c r="G498" s="830"/>
    </row>
    <row r="499" spans="1:8" ht="13.5" thickTop="1">
      <c r="A499" s="95"/>
      <c r="B499" s="811" t="s">
        <v>311</v>
      </c>
      <c r="C499" s="812"/>
      <c r="D499" s="812"/>
      <c r="E499" s="812"/>
      <c r="F499" s="812"/>
      <c r="G499" s="825"/>
    </row>
    <row r="500" spans="1:8">
      <c r="A500" s="95"/>
      <c r="B500" s="817" t="s">
        <v>838</v>
      </c>
      <c r="C500" s="818"/>
      <c r="D500" s="98" t="s">
        <v>842</v>
      </c>
      <c r="E500" s="98" t="s">
        <v>853</v>
      </c>
      <c r="F500" s="99" t="s">
        <v>1047</v>
      </c>
      <c r="G500" s="107" t="s">
        <v>840</v>
      </c>
    </row>
    <row r="501" spans="1:8">
      <c r="A501" s="95"/>
      <c r="B501" s="230"/>
      <c r="C501" s="102"/>
      <c r="D501" s="100"/>
      <c r="E501" s="100" t="s">
        <v>312</v>
      </c>
      <c r="F501" s="101" t="s">
        <v>313</v>
      </c>
      <c r="G501" s="108" t="s">
        <v>314</v>
      </c>
    </row>
    <row r="502" spans="1:8">
      <c r="A502" s="125"/>
      <c r="B502" s="875"/>
      <c r="C502" s="876"/>
      <c r="D502" s="87"/>
      <c r="E502" s="10"/>
      <c r="F502" s="80"/>
      <c r="G502" s="110"/>
    </row>
    <row r="503" spans="1:8">
      <c r="A503" s="123"/>
      <c r="B503" s="877"/>
      <c r="C503" s="878"/>
      <c r="D503" s="88"/>
      <c r="E503" s="53"/>
      <c r="F503" s="82"/>
      <c r="G503" s="111"/>
    </row>
    <row r="504" spans="1:8">
      <c r="A504" s="95"/>
      <c r="B504" s="835"/>
      <c r="C504" s="836"/>
      <c r="D504" s="37"/>
      <c r="E504" s="55"/>
      <c r="F504" s="82"/>
      <c r="G504" s="111"/>
    </row>
    <row r="505" spans="1:8">
      <c r="A505" s="95"/>
      <c r="B505" s="835"/>
      <c r="C505" s="836"/>
      <c r="D505" s="37"/>
      <c r="E505" s="55"/>
      <c r="F505" s="82"/>
      <c r="G505" s="111"/>
    </row>
    <row r="506" spans="1:8">
      <c r="A506" s="95"/>
      <c r="B506" s="837"/>
      <c r="C506" s="838"/>
      <c r="D506" s="37"/>
      <c r="E506" s="55"/>
      <c r="F506" s="82"/>
      <c r="G506" s="111"/>
    </row>
    <row r="507" spans="1:8">
      <c r="A507" s="95"/>
      <c r="B507" s="837"/>
      <c r="C507" s="838"/>
      <c r="D507" s="53" t="s">
        <v>841</v>
      </c>
      <c r="E507" s="53"/>
      <c r="F507" s="82"/>
      <c r="G507" s="111"/>
    </row>
    <row r="508" spans="1:8">
      <c r="A508" s="95"/>
      <c r="B508" s="837" t="s">
        <v>841</v>
      </c>
      <c r="C508" s="838"/>
      <c r="D508" s="53" t="s">
        <v>841</v>
      </c>
      <c r="E508" s="53"/>
      <c r="F508" s="82"/>
      <c r="G508" s="111"/>
    </row>
    <row r="509" spans="1:8">
      <c r="A509" s="95"/>
      <c r="B509" s="837" t="s">
        <v>841</v>
      </c>
      <c r="C509" s="838"/>
      <c r="D509" s="53" t="s">
        <v>841</v>
      </c>
      <c r="E509" s="53"/>
      <c r="F509" s="82"/>
      <c r="G509" s="111"/>
      <c r="H509" s="505" t="s">
        <v>1670</v>
      </c>
    </row>
    <row r="510" spans="1:8" ht="13.5" thickBot="1">
      <c r="A510" s="95"/>
      <c r="B510" s="839" t="s">
        <v>841</v>
      </c>
      <c r="C510" s="840"/>
      <c r="D510" s="84" t="s">
        <v>841</v>
      </c>
      <c r="E510" s="84"/>
      <c r="F510" s="85"/>
      <c r="G510" s="112"/>
    </row>
    <row r="511" spans="1:8" ht="13.5" thickTop="1">
      <c r="A511" s="95"/>
      <c r="B511" s="808"/>
      <c r="C511" s="809"/>
      <c r="D511" s="801" t="s">
        <v>856</v>
      </c>
      <c r="E511" s="802"/>
      <c r="F511" s="9"/>
      <c r="G511" s="113">
        <f>SUM(G502:G510)</f>
        <v>0</v>
      </c>
    </row>
    <row r="512" spans="1:8">
      <c r="A512" s="95"/>
      <c r="B512" s="819"/>
      <c r="C512" s="820"/>
      <c r="D512" s="801" t="s">
        <v>857</v>
      </c>
      <c r="E512" s="802"/>
      <c r="F512" s="79">
        <f>'MANO DE OBRA'!$D$60</f>
        <v>0.05</v>
      </c>
      <c r="G512" s="113">
        <f>ROUND(G511*F512,0)</f>
        <v>0</v>
      </c>
    </row>
    <row r="513" spans="1:7" ht="13.5" thickBot="1">
      <c r="A513" s="95"/>
      <c r="B513" s="819"/>
      <c r="C513" s="820"/>
      <c r="D513" s="803" t="s">
        <v>320</v>
      </c>
      <c r="E513" s="804"/>
      <c r="F513" s="114"/>
      <c r="G513" s="118">
        <f>+G511+G512</f>
        <v>0</v>
      </c>
    </row>
    <row r="514" spans="1:7" ht="14.25" thickTop="1" thickBot="1">
      <c r="A514" s="95"/>
      <c r="B514" s="830"/>
      <c r="C514" s="830"/>
      <c r="D514" s="830"/>
      <c r="E514" s="830"/>
      <c r="F514" s="830"/>
      <c r="G514" s="830"/>
    </row>
    <row r="515" spans="1:7" ht="13.5" thickTop="1">
      <c r="A515" s="95"/>
      <c r="B515" s="811" t="s">
        <v>858</v>
      </c>
      <c r="C515" s="812"/>
      <c r="D515" s="812"/>
      <c r="E515" s="812"/>
      <c r="F515" s="812"/>
      <c r="G515" s="825"/>
    </row>
    <row r="516" spans="1:7">
      <c r="A516" s="95"/>
      <c r="B516" s="817"/>
      <c r="C516" s="818"/>
      <c r="D516" s="98" t="s">
        <v>301</v>
      </c>
      <c r="E516" s="98" t="s">
        <v>859</v>
      </c>
      <c r="F516" s="99" t="s">
        <v>839</v>
      </c>
      <c r="G516" s="107" t="s">
        <v>840</v>
      </c>
    </row>
    <row r="517" spans="1:7">
      <c r="A517" s="95"/>
      <c r="B517" s="821" t="s">
        <v>838</v>
      </c>
      <c r="C517" s="822"/>
      <c r="D517" s="100" t="s">
        <v>316</v>
      </c>
      <c r="E517" s="100" t="s">
        <v>315</v>
      </c>
      <c r="F517" s="101" t="s">
        <v>306</v>
      </c>
      <c r="G517" s="108" t="s">
        <v>319</v>
      </c>
    </row>
    <row r="518" spans="1:7">
      <c r="A518" s="95"/>
      <c r="B518" s="230"/>
      <c r="C518" s="102"/>
      <c r="D518" s="103"/>
      <c r="E518" s="103" t="s">
        <v>317</v>
      </c>
      <c r="F518" s="104" t="s">
        <v>318</v>
      </c>
      <c r="G518" s="109"/>
    </row>
    <row r="519" spans="1:7">
      <c r="A519" s="95"/>
      <c r="B519" s="823" t="str">
        <f>'MANO DE OBRA'!$B$10</f>
        <v>AYUDANTE CUAD. TIPO AA</v>
      </c>
      <c r="C519" s="824"/>
      <c r="D519" s="87">
        <v>1</v>
      </c>
      <c r="E519" s="80">
        <f>'MANO DE OBRA'!$E$10</f>
        <v>34680</v>
      </c>
      <c r="F519" s="81">
        <v>2</v>
      </c>
      <c r="G519" s="110">
        <f>ROUND(D519*E519/F519,0)</f>
        <v>17340</v>
      </c>
    </row>
    <row r="520" spans="1:7">
      <c r="A520" s="95"/>
      <c r="B520" s="835"/>
      <c r="C520" s="836"/>
      <c r="D520" s="37"/>
      <c r="E520" s="82"/>
      <c r="F520" s="83"/>
      <c r="G520" s="111"/>
    </row>
    <row r="521" spans="1:7">
      <c r="A521" s="95"/>
      <c r="B521" s="835"/>
      <c r="C521" s="836"/>
      <c r="D521" s="89"/>
      <c r="E521" s="82"/>
      <c r="F521" s="83"/>
      <c r="G521" s="111"/>
    </row>
    <row r="522" spans="1:7">
      <c r="A522" s="95"/>
      <c r="B522" s="835" t="s">
        <v>841</v>
      </c>
      <c r="C522" s="836"/>
      <c r="D522" s="37"/>
      <c r="E522" s="82"/>
      <c r="F522" s="83"/>
      <c r="G522" s="111"/>
    </row>
    <row r="523" spans="1:7" ht="13.5" thickBot="1">
      <c r="A523" s="95"/>
      <c r="B523" s="828" t="s">
        <v>841</v>
      </c>
      <c r="C523" s="829"/>
      <c r="D523" s="77"/>
      <c r="E523" s="82"/>
      <c r="F523" s="86"/>
      <c r="G523" s="112"/>
    </row>
    <row r="524" spans="1:7" ht="14.25" thickTop="1" thickBot="1">
      <c r="A524" s="95"/>
      <c r="B524" s="808"/>
      <c r="C524" s="808"/>
      <c r="D524" s="808"/>
      <c r="E524" s="809"/>
      <c r="F524" s="120" t="s">
        <v>856</v>
      </c>
      <c r="G524" s="118">
        <f>SUM(G519:G523)</f>
        <v>17340</v>
      </c>
    </row>
    <row r="525" spans="1:7" ht="14.25" thickTop="1" thickBot="1">
      <c r="A525" s="95"/>
      <c r="B525" s="810"/>
      <c r="C525" s="810"/>
      <c r="D525" s="810"/>
      <c r="E525" s="810"/>
      <c r="F525" s="810"/>
      <c r="G525" s="810"/>
    </row>
    <row r="526" spans="1:7" ht="13.5" thickTop="1">
      <c r="A526" s="95"/>
      <c r="B526" s="811" t="s">
        <v>321</v>
      </c>
      <c r="C526" s="812"/>
      <c r="D526" s="812"/>
      <c r="E526" s="812"/>
      <c r="F526" s="812"/>
      <c r="G526" s="825"/>
    </row>
    <row r="527" spans="1:7">
      <c r="A527" s="95"/>
      <c r="B527" s="817" t="s">
        <v>838</v>
      </c>
      <c r="C527" s="818"/>
      <c r="D527" s="98" t="s">
        <v>301</v>
      </c>
      <c r="E527" s="98" t="s">
        <v>297</v>
      </c>
      <c r="F527" s="99" t="s">
        <v>839</v>
      </c>
      <c r="G527" s="107" t="s">
        <v>840</v>
      </c>
    </row>
    <row r="528" spans="1:7">
      <c r="A528" s="95"/>
      <c r="B528" s="230"/>
      <c r="C528" s="102"/>
      <c r="D528" s="103" t="s">
        <v>322</v>
      </c>
      <c r="E528" s="103" t="s">
        <v>323</v>
      </c>
      <c r="F528" s="104" t="s">
        <v>324</v>
      </c>
      <c r="G528" s="109" t="s">
        <v>325</v>
      </c>
    </row>
    <row r="529" spans="1:8">
      <c r="A529" s="95"/>
      <c r="B529" s="826"/>
      <c r="C529" s="827"/>
      <c r="D529" s="96"/>
      <c r="E529" s="96"/>
      <c r="F529" s="96"/>
      <c r="G529" s="116"/>
    </row>
    <row r="530" spans="1:8" ht="13.5" thickBot="1">
      <c r="A530" s="95"/>
      <c r="B530" s="828" t="s">
        <v>841</v>
      </c>
      <c r="C530" s="829"/>
      <c r="D530" s="77"/>
      <c r="E530" s="82"/>
      <c r="F530" s="86"/>
      <c r="G530" s="112"/>
    </row>
    <row r="531" spans="1:8" ht="14.25" thickTop="1" thickBot="1">
      <c r="A531" s="95"/>
      <c r="B531" s="808"/>
      <c r="C531" s="808"/>
      <c r="D531" s="808"/>
      <c r="E531" s="809"/>
      <c r="F531" s="120" t="s">
        <v>856</v>
      </c>
      <c r="G531" s="118">
        <f>SUM(G526:G530)</f>
        <v>0</v>
      </c>
    </row>
    <row r="532" spans="1:8" ht="14.25" thickTop="1" thickBot="1">
      <c r="A532" s="95"/>
      <c r="B532" s="810"/>
      <c r="C532" s="810"/>
      <c r="D532" s="810"/>
      <c r="E532" s="810"/>
      <c r="F532" s="810"/>
      <c r="G532" s="834"/>
    </row>
    <row r="533" spans="1:8" ht="13.5" thickTop="1">
      <c r="A533" s="95"/>
      <c r="B533" s="811" t="s">
        <v>326</v>
      </c>
      <c r="C533" s="812"/>
      <c r="D533" s="812"/>
      <c r="E533" s="812"/>
      <c r="F533" s="813"/>
      <c r="G533" s="121">
        <f>+G497+G513+G524</f>
        <v>18207</v>
      </c>
    </row>
    <row r="534" spans="1:8">
      <c r="A534" s="95"/>
      <c r="B534" s="814" t="s">
        <v>861</v>
      </c>
      <c r="C534" s="815"/>
      <c r="D534" s="815"/>
      <c r="E534" s="816"/>
      <c r="F534" s="128">
        <f>'MANO DE OBRA'!D324</f>
        <v>0</v>
      </c>
      <c r="G534" s="122">
        <f>ROUND(G533*F534,0)</f>
        <v>0</v>
      </c>
    </row>
    <row r="535" spans="1:8" ht="13.5" thickBot="1">
      <c r="A535" s="95"/>
      <c r="B535" s="805" t="s">
        <v>1049</v>
      </c>
      <c r="C535" s="806"/>
      <c r="D535" s="806"/>
      <c r="E535" s="806"/>
      <c r="F535" s="807"/>
      <c r="G535" s="118">
        <f>ROUND(G533+G534,-2)</f>
        <v>18200</v>
      </c>
      <c r="H535" s="505" t="s">
        <v>1670</v>
      </c>
    </row>
    <row r="536" spans="1:8" ht="15" thickTop="1">
      <c r="A536" s="95"/>
      <c r="B536" s="225" t="s">
        <v>303</v>
      </c>
      <c r="C536" s="843"/>
      <c r="D536" s="843"/>
      <c r="E536" s="843"/>
      <c r="F536" s="92" t="s">
        <v>781</v>
      </c>
      <c r="G536" s="93" t="s">
        <v>1066</v>
      </c>
    </row>
    <row r="537" spans="1:8">
      <c r="A537" s="95"/>
      <c r="B537" s="226" t="s">
        <v>834</v>
      </c>
      <c r="C537" s="844" t="s">
        <v>342</v>
      </c>
      <c r="D537" s="844"/>
      <c r="E537" s="844"/>
      <c r="F537" s="15" t="s">
        <v>833</v>
      </c>
      <c r="G537" s="165" t="str">
        <f>'MANO DE OBRA'!$D$61</f>
        <v>Agosto de 2010</v>
      </c>
    </row>
    <row r="538" spans="1:8" ht="13.5" thickBot="1">
      <c r="A538" s="127"/>
      <c r="B538" s="228" t="s">
        <v>835</v>
      </c>
      <c r="C538" s="845" t="s">
        <v>786</v>
      </c>
      <c r="D538" s="845"/>
      <c r="E538" s="845"/>
      <c r="F538" s="845"/>
      <c r="G538" s="846"/>
    </row>
    <row r="539" spans="1:8" ht="14.25" thickTop="1" thickBot="1">
      <c r="A539" s="95"/>
      <c r="B539" s="847"/>
      <c r="C539" s="847"/>
      <c r="D539" s="847"/>
      <c r="E539" s="847"/>
      <c r="F539" s="847"/>
      <c r="G539" s="847"/>
    </row>
    <row r="540" spans="1:8" ht="13.5" thickTop="1">
      <c r="A540" s="95"/>
      <c r="B540" s="811" t="s">
        <v>304</v>
      </c>
      <c r="C540" s="812"/>
      <c r="D540" s="812"/>
      <c r="E540" s="812"/>
      <c r="F540" s="812"/>
      <c r="G540" s="825"/>
    </row>
    <row r="541" spans="1:8">
      <c r="A541" s="95"/>
      <c r="B541" s="229"/>
      <c r="C541" s="97"/>
      <c r="D541" s="98" t="s">
        <v>301</v>
      </c>
      <c r="E541" s="98" t="s">
        <v>1072</v>
      </c>
      <c r="F541" s="99" t="s">
        <v>839</v>
      </c>
      <c r="G541" s="107" t="s">
        <v>840</v>
      </c>
    </row>
    <row r="542" spans="1:8">
      <c r="A542" s="95"/>
      <c r="B542" s="821" t="s">
        <v>838</v>
      </c>
      <c r="C542" s="822"/>
      <c r="D542" s="100" t="s">
        <v>308</v>
      </c>
      <c r="E542" s="100" t="s">
        <v>305</v>
      </c>
      <c r="F542" s="101" t="s">
        <v>306</v>
      </c>
      <c r="G542" s="108" t="s">
        <v>310</v>
      </c>
    </row>
    <row r="543" spans="1:8">
      <c r="A543" s="95"/>
      <c r="B543" s="230"/>
      <c r="C543" s="102"/>
      <c r="D543" s="103"/>
      <c r="E543" s="103" t="s">
        <v>309</v>
      </c>
      <c r="F543" s="104" t="s">
        <v>307</v>
      </c>
      <c r="G543" s="109"/>
    </row>
    <row r="544" spans="1:8">
      <c r="A544" s="127"/>
      <c r="B544" s="823" t="str">
        <f>'MAQUINARIA Y EQUIPOS'!$C$28</f>
        <v>HERRAMIENTAS MENORES</v>
      </c>
      <c r="C544" s="824"/>
      <c r="D544" s="87">
        <v>1</v>
      </c>
      <c r="E544" s="82">
        <f>ROUND(G577*0.05,0)</f>
        <v>1304</v>
      </c>
      <c r="F544" s="81">
        <v>1</v>
      </c>
      <c r="G544" s="110">
        <f>ROUND(D544*E544/F544,0)</f>
        <v>1304</v>
      </c>
    </row>
    <row r="545" spans="1:7">
      <c r="A545" s="95"/>
      <c r="B545" s="835"/>
      <c r="C545" s="836"/>
      <c r="D545" s="37"/>
      <c r="E545" s="82"/>
      <c r="F545" s="83"/>
      <c r="G545" s="111"/>
    </row>
    <row r="546" spans="1:7">
      <c r="A546" s="95"/>
      <c r="B546" s="835"/>
      <c r="C546" s="836"/>
      <c r="D546" s="89"/>
      <c r="E546" s="82"/>
      <c r="F546" s="83"/>
      <c r="G546" s="111"/>
    </row>
    <row r="547" spans="1:7">
      <c r="A547" s="95"/>
      <c r="B547" s="835"/>
      <c r="C547" s="836"/>
      <c r="D547" s="89"/>
      <c r="E547" s="82"/>
      <c r="F547" s="83"/>
      <c r="G547" s="111"/>
    </row>
    <row r="548" spans="1:7">
      <c r="A548" s="95"/>
      <c r="B548" s="835" t="s">
        <v>841</v>
      </c>
      <c r="C548" s="836"/>
      <c r="D548" s="37"/>
      <c r="E548" s="82"/>
      <c r="F548" s="83"/>
      <c r="G548" s="111"/>
    </row>
    <row r="549" spans="1:7" ht="13.5" thickBot="1">
      <c r="A549" s="95"/>
      <c r="B549" s="839" t="s">
        <v>841</v>
      </c>
      <c r="C549" s="840"/>
      <c r="D549" s="77"/>
      <c r="E549" s="106"/>
      <c r="F549" s="86"/>
      <c r="G549" s="112"/>
    </row>
    <row r="550" spans="1:7" ht="14.25" thickTop="1" thickBot="1">
      <c r="A550" s="95"/>
      <c r="B550" s="808"/>
      <c r="C550" s="808"/>
      <c r="D550" s="808"/>
      <c r="E550" s="809"/>
      <c r="F550" s="119" t="s">
        <v>856</v>
      </c>
      <c r="G550" s="118">
        <f>SUM(G544:G549)</f>
        <v>1304</v>
      </c>
    </row>
    <row r="551" spans="1:7" ht="14.25" thickTop="1" thickBot="1">
      <c r="A551" s="95"/>
      <c r="B551" s="830"/>
      <c r="C551" s="830"/>
      <c r="D551" s="830"/>
      <c r="E551" s="830"/>
      <c r="F551" s="830"/>
      <c r="G551" s="830"/>
    </row>
    <row r="552" spans="1:7" ht="13.5" thickTop="1">
      <c r="A552" s="95"/>
      <c r="B552" s="811" t="s">
        <v>311</v>
      </c>
      <c r="C552" s="812"/>
      <c r="D552" s="812"/>
      <c r="E552" s="812"/>
      <c r="F552" s="812"/>
      <c r="G552" s="825"/>
    </row>
    <row r="553" spans="1:7">
      <c r="A553" s="95"/>
      <c r="B553" s="817" t="s">
        <v>838</v>
      </c>
      <c r="C553" s="818"/>
      <c r="D553" s="98" t="s">
        <v>842</v>
      </c>
      <c r="E553" s="98" t="s">
        <v>853</v>
      </c>
      <c r="F553" s="99" t="s">
        <v>1047</v>
      </c>
      <c r="G553" s="107" t="s">
        <v>840</v>
      </c>
    </row>
    <row r="554" spans="1:7">
      <c r="A554" s="95"/>
      <c r="B554" s="230"/>
      <c r="C554" s="102"/>
      <c r="D554" s="100"/>
      <c r="E554" s="100" t="s">
        <v>312</v>
      </c>
      <c r="F554" s="101" t="s">
        <v>313</v>
      </c>
      <c r="G554" s="108" t="s">
        <v>314</v>
      </c>
    </row>
    <row r="555" spans="1:7">
      <c r="A555" s="125"/>
      <c r="B555" s="875"/>
      <c r="C555" s="876"/>
      <c r="D555" s="87"/>
      <c r="E555" s="10"/>
      <c r="F555" s="80"/>
      <c r="G555" s="110"/>
    </row>
    <row r="556" spans="1:7">
      <c r="A556" s="123"/>
      <c r="B556" s="877"/>
      <c r="C556" s="878"/>
      <c r="D556" s="88"/>
      <c r="E556" s="53"/>
      <c r="F556" s="82"/>
      <c r="G556" s="111"/>
    </row>
    <row r="557" spans="1:7">
      <c r="A557" s="95"/>
      <c r="B557" s="835"/>
      <c r="C557" s="836"/>
      <c r="D557" s="37"/>
      <c r="E557" s="55"/>
      <c r="F557" s="82"/>
      <c r="G557" s="111"/>
    </row>
    <row r="558" spans="1:7">
      <c r="A558" s="95"/>
      <c r="B558" s="835"/>
      <c r="C558" s="836"/>
      <c r="D558" s="37"/>
      <c r="E558" s="55"/>
      <c r="F558" s="82"/>
      <c r="G558" s="111"/>
    </row>
    <row r="559" spans="1:7">
      <c r="A559" s="95"/>
      <c r="B559" s="837"/>
      <c r="C559" s="838"/>
      <c r="D559" s="37"/>
      <c r="E559" s="55"/>
      <c r="F559" s="82"/>
      <c r="G559" s="111"/>
    </row>
    <row r="560" spans="1:7">
      <c r="A560" s="95"/>
      <c r="B560" s="837"/>
      <c r="C560" s="838"/>
      <c r="D560" s="53" t="s">
        <v>841</v>
      </c>
      <c r="E560" s="53"/>
      <c r="F560" s="82"/>
      <c r="G560" s="111"/>
    </row>
    <row r="561" spans="1:8">
      <c r="A561" s="95"/>
      <c r="B561" s="837" t="s">
        <v>841</v>
      </c>
      <c r="C561" s="838"/>
      <c r="D561" s="53" t="s">
        <v>841</v>
      </c>
      <c r="E561" s="53"/>
      <c r="F561" s="82"/>
      <c r="G561" s="111"/>
    </row>
    <row r="562" spans="1:8">
      <c r="A562" s="95"/>
      <c r="B562" s="837" t="s">
        <v>841</v>
      </c>
      <c r="C562" s="838"/>
      <c r="D562" s="53" t="s">
        <v>841</v>
      </c>
      <c r="E562" s="53"/>
      <c r="F562" s="82"/>
      <c r="G562" s="111"/>
      <c r="H562" s="505" t="s">
        <v>1670</v>
      </c>
    </row>
    <row r="563" spans="1:8" ht="13.5" thickBot="1">
      <c r="A563" s="95"/>
      <c r="B563" s="839" t="s">
        <v>841</v>
      </c>
      <c r="C563" s="840"/>
      <c r="D563" s="84" t="s">
        <v>841</v>
      </c>
      <c r="E563" s="84"/>
      <c r="F563" s="85"/>
      <c r="G563" s="112"/>
    </row>
    <row r="564" spans="1:8" ht="13.5" thickTop="1">
      <c r="A564" s="95"/>
      <c r="B564" s="808"/>
      <c r="C564" s="809"/>
      <c r="D564" s="801" t="s">
        <v>856</v>
      </c>
      <c r="E564" s="802"/>
      <c r="F564" s="9"/>
      <c r="G564" s="113">
        <f>SUM(G555:G563)</f>
        <v>0</v>
      </c>
    </row>
    <row r="565" spans="1:8">
      <c r="A565" s="95"/>
      <c r="B565" s="819"/>
      <c r="C565" s="820"/>
      <c r="D565" s="801" t="s">
        <v>857</v>
      </c>
      <c r="E565" s="802"/>
      <c r="F565" s="79">
        <f>'MANO DE OBRA'!$D$60</f>
        <v>0.05</v>
      </c>
      <c r="G565" s="113">
        <f>ROUND(G564*F565,0)</f>
        <v>0</v>
      </c>
    </row>
    <row r="566" spans="1:8" ht="13.5" thickBot="1">
      <c r="A566" s="95"/>
      <c r="B566" s="819"/>
      <c r="C566" s="820"/>
      <c r="D566" s="803" t="s">
        <v>320</v>
      </c>
      <c r="E566" s="804"/>
      <c r="F566" s="114"/>
      <c r="G566" s="118">
        <f>+G564+G565</f>
        <v>0</v>
      </c>
    </row>
    <row r="567" spans="1:8" ht="14.25" thickTop="1" thickBot="1">
      <c r="A567" s="95"/>
      <c r="B567" s="830"/>
      <c r="C567" s="830"/>
      <c r="D567" s="830"/>
      <c r="E567" s="830"/>
      <c r="F567" s="830"/>
      <c r="G567" s="830"/>
    </row>
    <row r="568" spans="1:8" ht="13.5" thickTop="1">
      <c r="A568" s="95"/>
      <c r="B568" s="811" t="s">
        <v>858</v>
      </c>
      <c r="C568" s="812"/>
      <c r="D568" s="812"/>
      <c r="E568" s="812"/>
      <c r="F568" s="812"/>
      <c r="G568" s="825"/>
    </row>
    <row r="569" spans="1:8">
      <c r="A569" s="95"/>
      <c r="B569" s="817"/>
      <c r="C569" s="818"/>
      <c r="D569" s="98" t="s">
        <v>301</v>
      </c>
      <c r="E569" s="98" t="s">
        <v>859</v>
      </c>
      <c r="F569" s="99" t="s">
        <v>839</v>
      </c>
      <c r="G569" s="107" t="s">
        <v>840</v>
      </c>
    </row>
    <row r="570" spans="1:8">
      <c r="A570" s="95"/>
      <c r="B570" s="821" t="s">
        <v>838</v>
      </c>
      <c r="C570" s="822"/>
      <c r="D570" s="100" t="s">
        <v>316</v>
      </c>
      <c r="E570" s="100" t="s">
        <v>315</v>
      </c>
      <c r="F570" s="101" t="s">
        <v>306</v>
      </c>
      <c r="G570" s="108" t="s">
        <v>319</v>
      </c>
    </row>
    <row r="571" spans="1:8">
      <c r="A571" s="95"/>
      <c r="B571" s="230"/>
      <c r="C571" s="102"/>
      <c r="D571" s="103"/>
      <c r="E571" s="103" t="s">
        <v>317</v>
      </c>
      <c r="F571" s="104" t="s">
        <v>318</v>
      </c>
      <c r="G571" s="109"/>
    </row>
    <row r="572" spans="1:8">
      <c r="A572" s="95"/>
      <c r="B572" s="823" t="str">
        <f>'MANO DE OBRA'!$B$10</f>
        <v>AYUDANTE CUAD. TIPO AA</v>
      </c>
      <c r="C572" s="824"/>
      <c r="D572" s="87">
        <v>1</v>
      </c>
      <c r="E572" s="80">
        <f>'MANO DE OBRA'!$E$10</f>
        <v>34680</v>
      </c>
      <c r="F572" s="81">
        <v>1.33</v>
      </c>
      <c r="G572" s="110">
        <f>ROUND(D572*E572/F572,0)</f>
        <v>26075</v>
      </c>
    </row>
    <row r="573" spans="1:8">
      <c r="A573" s="95"/>
      <c r="B573" s="835"/>
      <c r="C573" s="836"/>
      <c r="D573" s="37"/>
      <c r="E573" s="82"/>
      <c r="F573" s="83"/>
      <c r="G573" s="111"/>
    </row>
    <row r="574" spans="1:8">
      <c r="A574" s="95"/>
      <c r="B574" s="835"/>
      <c r="C574" s="836"/>
      <c r="D574" s="89"/>
      <c r="E574" s="82"/>
      <c r="F574" s="83"/>
      <c r="G574" s="111"/>
    </row>
    <row r="575" spans="1:8">
      <c r="A575" s="95"/>
      <c r="B575" s="835" t="s">
        <v>841</v>
      </c>
      <c r="C575" s="836"/>
      <c r="D575" s="37"/>
      <c r="E575" s="82"/>
      <c r="F575" s="83"/>
      <c r="G575" s="111"/>
    </row>
    <row r="576" spans="1:8" ht="13.5" thickBot="1">
      <c r="A576" s="95"/>
      <c r="B576" s="828" t="s">
        <v>841</v>
      </c>
      <c r="C576" s="829"/>
      <c r="D576" s="77"/>
      <c r="E576" s="82"/>
      <c r="F576" s="86"/>
      <c r="G576" s="112"/>
    </row>
    <row r="577" spans="1:8" ht="14.25" thickTop="1" thickBot="1">
      <c r="A577" s="95"/>
      <c r="B577" s="808"/>
      <c r="C577" s="808"/>
      <c r="D577" s="808"/>
      <c r="E577" s="809"/>
      <c r="F577" s="120" t="s">
        <v>856</v>
      </c>
      <c r="G577" s="118">
        <f>SUM(G572:G576)</f>
        <v>26075</v>
      </c>
    </row>
    <row r="578" spans="1:8" ht="14.25" thickTop="1" thickBot="1">
      <c r="A578" s="95"/>
      <c r="B578" s="810"/>
      <c r="C578" s="810"/>
      <c r="D578" s="810"/>
      <c r="E578" s="810"/>
      <c r="F578" s="810"/>
      <c r="G578" s="810"/>
    </row>
    <row r="579" spans="1:8" ht="13.5" thickTop="1">
      <c r="A579" s="95"/>
      <c r="B579" s="811" t="s">
        <v>321</v>
      </c>
      <c r="C579" s="812"/>
      <c r="D579" s="812"/>
      <c r="E579" s="812"/>
      <c r="F579" s="812"/>
      <c r="G579" s="825"/>
    </row>
    <row r="580" spans="1:8">
      <c r="A580" s="95"/>
      <c r="B580" s="817" t="s">
        <v>838</v>
      </c>
      <c r="C580" s="818"/>
      <c r="D580" s="98" t="s">
        <v>301</v>
      </c>
      <c r="E580" s="98" t="s">
        <v>297</v>
      </c>
      <c r="F580" s="99" t="s">
        <v>839</v>
      </c>
      <c r="G580" s="107" t="s">
        <v>840</v>
      </c>
    </row>
    <row r="581" spans="1:8">
      <c r="A581" s="95"/>
      <c r="B581" s="230"/>
      <c r="C581" s="102"/>
      <c r="D581" s="103" t="s">
        <v>322</v>
      </c>
      <c r="E581" s="103" t="s">
        <v>323</v>
      </c>
      <c r="F581" s="104" t="s">
        <v>324</v>
      </c>
      <c r="G581" s="109" t="s">
        <v>325</v>
      </c>
    </row>
    <row r="582" spans="1:8">
      <c r="A582" s="95"/>
      <c r="B582" s="826"/>
      <c r="C582" s="827"/>
      <c r="D582" s="96"/>
      <c r="E582" s="96"/>
      <c r="F582" s="96"/>
      <c r="G582" s="116"/>
    </row>
    <row r="583" spans="1:8" ht="13.5" thickBot="1">
      <c r="A583" s="95"/>
      <c r="B583" s="828" t="s">
        <v>841</v>
      </c>
      <c r="C583" s="829"/>
      <c r="D583" s="77"/>
      <c r="E583" s="82"/>
      <c r="F583" s="86"/>
      <c r="G583" s="112"/>
    </row>
    <row r="584" spans="1:8" ht="14.25" thickTop="1" thickBot="1">
      <c r="A584" s="95"/>
      <c r="B584" s="808"/>
      <c r="C584" s="808"/>
      <c r="D584" s="808"/>
      <c r="E584" s="809"/>
      <c r="F584" s="120" t="s">
        <v>856</v>
      </c>
      <c r="G584" s="118">
        <f>SUM(G579:G583)</f>
        <v>0</v>
      </c>
    </row>
    <row r="585" spans="1:8" ht="14.25" thickTop="1" thickBot="1">
      <c r="A585" s="95"/>
      <c r="B585" s="810"/>
      <c r="C585" s="810"/>
      <c r="D585" s="810"/>
      <c r="E585" s="810"/>
      <c r="F585" s="810"/>
      <c r="G585" s="834"/>
    </row>
    <row r="586" spans="1:8" ht="13.5" thickTop="1">
      <c r="A586" s="95"/>
      <c r="B586" s="811" t="s">
        <v>326</v>
      </c>
      <c r="C586" s="812"/>
      <c r="D586" s="812"/>
      <c r="E586" s="812"/>
      <c r="F586" s="813"/>
      <c r="G586" s="121">
        <f>+G550+G566+G577</f>
        <v>27379</v>
      </c>
    </row>
    <row r="587" spans="1:8">
      <c r="A587" s="95"/>
      <c r="B587" s="814" t="s">
        <v>861</v>
      </c>
      <c r="C587" s="815"/>
      <c r="D587" s="815"/>
      <c r="E587" s="816"/>
      <c r="F587" s="128">
        <f>'MANO DE OBRA'!D377</f>
        <v>0</v>
      </c>
      <c r="G587" s="122">
        <f>ROUND(G586*F587,0)</f>
        <v>0</v>
      </c>
    </row>
    <row r="588" spans="1:8" ht="13.5" thickBot="1">
      <c r="A588" s="95"/>
      <c r="B588" s="805" t="s">
        <v>1049</v>
      </c>
      <c r="C588" s="806"/>
      <c r="D588" s="806"/>
      <c r="E588" s="806"/>
      <c r="F588" s="807"/>
      <c r="G588" s="118">
        <f>ROUND(G586+G587,-2)</f>
        <v>27400</v>
      </c>
      <c r="H588" s="505" t="s">
        <v>1670</v>
      </c>
    </row>
    <row r="589" spans="1:8" ht="15" thickTop="1">
      <c r="A589" s="95"/>
      <c r="B589" s="225" t="s">
        <v>303</v>
      </c>
      <c r="C589" s="843"/>
      <c r="D589" s="843"/>
      <c r="E589" s="843"/>
      <c r="F589" s="92" t="s">
        <v>781</v>
      </c>
      <c r="G589" s="93" t="s">
        <v>1066</v>
      </c>
    </row>
    <row r="590" spans="1:8">
      <c r="A590" s="95"/>
      <c r="B590" s="226" t="s">
        <v>834</v>
      </c>
      <c r="C590" s="844" t="s">
        <v>342</v>
      </c>
      <c r="D590" s="844"/>
      <c r="E590" s="844"/>
      <c r="F590" s="15" t="s">
        <v>833</v>
      </c>
      <c r="G590" s="165" t="str">
        <f>'MANO DE OBRA'!$D$61</f>
        <v>Agosto de 2010</v>
      </c>
    </row>
    <row r="591" spans="1:8" ht="13.5" thickBot="1">
      <c r="A591" s="127"/>
      <c r="B591" s="228" t="s">
        <v>835</v>
      </c>
      <c r="C591" s="845" t="s">
        <v>787</v>
      </c>
      <c r="D591" s="845"/>
      <c r="E591" s="845"/>
      <c r="F591" s="845"/>
      <c r="G591" s="846"/>
    </row>
    <row r="592" spans="1:8" ht="14.25" thickTop="1" thickBot="1">
      <c r="A592" s="95"/>
      <c r="B592" s="847"/>
      <c r="C592" s="847"/>
      <c r="D592" s="847"/>
      <c r="E592" s="847"/>
      <c r="F592" s="847"/>
      <c r="G592" s="847"/>
    </row>
    <row r="593" spans="1:7" ht="13.5" thickTop="1">
      <c r="A593" s="95"/>
      <c r="B593" s="811" t="s">
        <v>304</v>
      </c>
      <c r="C593" s="812"/>
      <c r="D593" s="812"/>
      <c r="E593" s="812"/>
      <c r="F593" s="812"/>
      <c r="G593" s="825"/>
    </row>
    <row r="594" spans="1:7">
      <c r="A594" s="95"/>
      <c r="B594" s="229"/>
      <c r="C594" s="97"/>
      <c r="D594" s="98" t="s">
        <v>301</v>
      </c>
      <c r="E594" s="98" t="s">
        <v>1072</v>
      </c>
      <c r="F594" s="99" t="s">
        <v>839</v>
      </c>
      <c r="G594" s="107" t="s">
        <v>840</v>
      </c>
    </row>
    <row r="595" spans="1:7">
      <c r="A595" s="95"/>
      <c r="B595" s="821" t="s">
        <v>838</v>
      </c>
      <c r="C595" s="822"/>
      <c r="D595" s="100" t="s">
        <v>308</v>
      </c>
      <c r="E595" s="100" t="s">
        <v>305</v>
      </c>
      <c r="F595" s="101" t="s">
        <v>306</v>
      </c>
      <c r="G595" s="108" t="s">
        <v>310</v>
      </c>
    </row>
    <row r="596" spans="1:7">
      <c r="A596" s="95"/>
      <c r="B596" s="230"/>
      <c r="C596" s="102"/>
      <c r="D596" s="103"/>
      <c r="E596" s="103" t="s">
        <v>309</v>
      </c>
      <c r="F596" s="104" t="s">
        <v>307</v>
      </c>
      <c r="G596" s="109"/>
    </row>
    <row r="597" spans="1:7">
      <c r="A597" s="127"/>
      <c r="B597" s="823" t="str">
        <f>'MAQUINARIA Y EQUIPOS'!$C$28</f>
        <v>HERRAMIENTAS MENORES</v>
      </c>
      <c r="C597" s="824"/>
      <c r="D597" s="87">
        <v>1</v>
      </c>
      <c r="E597" s="82">
        <f>ROUND(G630*0.05,0)</f>
        <v>1734</v>
      </c>
      <c r="F597" s="81">
        <v>1</v>
      </c>
      <c r="G597" s="110">
        <f>ROUND(D597*E597/F597,0)</f>
        <v>1734</v>
      </c>
    </row>
    <row r="598" spans="1:7">
      <c r="A598" s="95"/>
      <c r="B598" s="835"/>
      <c r="C598" s="836"/>
      <c r="D598" s="37"/>
      <c r="E598" s="82"/>
      <c r="F598" s="83"/>
      <c r="G598" s="111"/>
    </row>
    <row r="599" spans="1:7">
      <c r="A599" s="95"/>
      <c r="B599" s="835"/>
      <c r="C599" s="836"/>
      <c r="D599" s="89"/>
      <c r="E599" s="82"/>
      <c r="F599" s="83"/>
      <c r="G599" s="111"/>
    </row>
    <row r="600" spans="1:7">
      <c r="A600" s="95"/>
      <c r="B600" s="835"/>
      <c r="C600" s="836"/>
      <c r="D600" s="89"/>
      <c r="E600" s="82"/>
      <c r="F600" s="83"/>
      <c r="G600" s="111"/>
    </row>
    <row r="601" spans="1:7">
      <c r="A601" s="95"/>
      <c r="B601" s="835" t="s">
        <v>841</v>
      </c>
      <c r="C601" s="836"/>
      <c r="D601" s="37"/>
      <c r="E601" s="82"/>
      <c r="F601" s="83"/>
      <c r="G601" s="111"/>
    </row>
    <row r="602" spans="1:7" ht="13.5" thickBot="1">
      <c r="A602" s="95"/>
      <c r="B602" s="839" t="s">
        <v>841</v>
      </c>
      <c r="C602" s="840"/>
      <c r="D602" s="77"/>
      <c r="E602" s="106"/>
      <c r="F602" s="86"/>
      <c r="G602" s="112"/>
    </row>
    <row r="603" spans="1:7" ht="14.25" thickTop="1" thickBot="1">
      <c r="A603" s="95"/>
      <c r="B603" s="808"/>
      <c r="C603" s="808"/>
      <c r="D603" s="808"/>
      <c r="E603" s="809"/>
      <c r="F603" s="119" t="s">
        <v>856</v>
      </c>
      <c r="G603" s="118">
        <f>SUM(G597:G602)</f>
        <v>1734</v>
      </c>
    </row>
    <row r="604" spans="1:7" ht="14.25" thickTop="1" thickBot="1">
      <c r="A604" s="95"/>
      <c r="B604" s="830"/>
      <c r="C604" s="830"/>
      <c r="D604" s="830"/>
      <c r="E604" s="830"/>
      <c r="F604" s="830"/>
      <c r="G604" s="830"/>
    </row>
    <row r="605" spans="1:7" ht="13.5" thickTop="1">
      <c r="A605" s="95"/>
      <c r="B605" s="811" t="s">
        <v>311</v>
      </c>
      <c r="C605" s="812"/>
      <c r="D605" s="812"/>
      <c r="E605" s="812"/>
      <c r="F605" s="812"/>
      <c r="G605" s="825"/>
    </row>
    <row r="606" spans="1:7">
      <c r="A606" s="95"/>
      <c r="B606" s="817" t="s">
        <v>838</v>
      </c>
      <c r="C606" s="818"/>
      <c r="D606" s="98" t="s">
        <v>842</v>
      </c>
      <c r="E606" s="98" t="s">
        <v>853</v>
      </c>
      <c r="F606" s="99" t="s">
        <v>1047</v>
      </c>
      <c r="G606" s="107" t="s">
        <v>840</v>
      </c>
    </row>
    <row r="607" spans="1:7">
      <c r="A607" s="95"/>
      <c r="B607" s="230"/>
      <c r="C607" s="102"/>
      <c r="D607" s="100"/>
      <c r="E607" s="100" t="s">
        <v>312</v>
      </c>
      <c r="F607" s="101" t="s">
        <v>313</v>
      </c>
      <c r="G607" s="108" t="s">
        <v>314</v>
      </c>
    </row>
    <row r="608" spans="1:7">
      <c r="A608" s="125"/>
      <c r="B608" s="875"/>
      <c r="C608" s="876"/>
      <c r="D608" s="87"/>
      <c r="E608" s="10"/>
      <c r="F608" s="80"/>
      <c r="G608" s="110"/>
    </row>
    <row r="609" spans="1:8">
      <c r="A609" s="123"/>
      <c r="B609" s="877"/>
      <c r="C609" s="878"/>
      <c r="D609" s="88"/>
      <c r="E609" s="53"/>
      <c r="F609" s="82"/>
      <c r="G609" s="111"/>
    </row>
    <row r="610" spans="1:8">
      <c r="A610" s="95"/>
      <c r="B610" s="835"/>
      <c r="C610" s="836"/>
      <c r="D610" s="37"/>
      <c r="E610" s="55"/>
      <c r="F610" s="82"/>
      <c r="G610" s="111"/>
    </row>
    <row r="611" spans="1:8">
      <c r="A611" s="95"/>
      <c r="B611" s="835"/>
      <c r="C611" s="836"/>
      <c r="D611" s="37"/>
      <c r="E611" s="55"/>
      <c r="F611" s="82"/>
      <c r="G611" s="111"/>
    </row>
    <row r="612" spans="1:8">
      <c r="A612" s="95"/>
      <c r="B612" s="837"/>
      <c r="C612" s="838"/>
      <c r="D612" s="37"/>
      <c r="E612" s="55"/>
      <c r="F612" s="82"/>
      <c r="G612" s="111"/>
    </row>
    <row r="613" spans="1:8">
      <c r="A613" s="95"/>
      <c r="B613" s="837"/>
      <c r="C613" s="838"/>
      <c r="D613" s="53" t="s">
        <v>841</v>
      </c>
      <c r="E613" s="53"/>
      <c r="F613" s="82"/>
      <c r="G613" s="111"/>
    </row>
    <row r="614" spans="1:8">
      <c r="A614" s="95"/>
      <c r="B614" s="837" t="s">
        <v>841</v>
      </c>
      <c r="C614" s="838"/>
      <c r="D614" s="53" t="s">
        <v>841</v>
      </c>
      <c r="E614" s="53"/>
      <c r="F614" s="82"/>
      <c r="G614" s="111"/>
    </row>
    <row r="615" spans="1:8">
      <c r="A615" s="95"/>
      <c r="B615" s="837" t="s">
        <v>841</v>
      </c>
      <c r="C615" s="838"/>
      <c r="D615" s="53" t="s">
        <v>841</v>
      </c>
      <c r="E615" s="53"/>
      <c r="F615" s="82"/>
      <c r="G615" s="111"/>
      <c r="H615" s="505" t="s">
        <v>1670</v>
      </c>
    </row>
    <row r="616" spans="1:8" ht="13.5" thickBot="1">
      <c r="A616" s="95"/>
      <c r="B616" s="839" t="s">
        <v>841</v>
      </c>
      <c r="C616" s="840"/>
      <c r="D616" s="84" t="s">
        <v>841</v>
      </c>
      <c r="E616" s="84"/>
      <c r="F616" s="85"/>
      <c r="G616" s="112"/>
    </row>
    <row r="617" spans="1:8" ht="13.5" thickTop="1">
      <c r="A617" s="95"/>
      <c r="B617" s="808"/>
      <c r="C617" s="809"/>
      <c r="D617" s="801" t="s">
        <v>856</v>
      </c>
      <c r="E617" s="802"/>
      <c r="F617" s="9"/>
      <c r="G617" s="113">
        <f>SUM(G608:G616)</f>
        <v>0</v>
      </c>
    </row>
    <row r="618" spans="1:8">
      <c r="A618" s="95"/>
      <c r="B618" s="819"/>
      <c r="C618" s="820"/>
      <c r="D618" s="801" t="s">
        <v>857</v>
      </c>
      <c r="E618" s="802"/>
      <c r="F618" s="79">
        <f>'MANO DE OBRA'!$D$60</f>
        <v>0.05</v>
      </c>
      <c r="G618" s="113">
        <f>ROUND(G617*F618,0)</f>
        <v>0</v>
      </c>
    </row>
    <row r="619" spans="1:8" ht="13.5" thickBot="1">
      <c r="A619" s="95"/>
      <c r="B619" s="819"/>
      <c r="C619" s="820"/>
      <c r="D619" s="803" t="s">
        <v>320</v>
      </c>
      <c r="E619" s="804"/>
      <c r="F619" s="114"/>
      <c r="G619" s="118">
        <f>+G617+G618</f>
        <v>0</v>
      </c>
    </row>
    <row r="620" spans="1:8" ht="14.25" thickTop="1" thickBot="1">
      <c r="A620" s="95"/>
      <c r="B620" s="830"/>
      <c r="C620" s="830"/>
      <c r="D620" s="830"/>
      <c r="E620" s="830"/>
      <c r="F620" s="830"/>
      <c r="G620" s="830"/>
    </row>
    <row r="621" spans="1:8" ht="13.5" thickTop="1">
      <c r="A621" s="95"/>
      <c r="B621" s="811" t="s">
        <v>858</v>
      </c>
      <c r="C621" s="812"/>
      <c r="D621" s="812"/>
      <c r="E621" s="812"/>
      <c r="F621" s="812"/>
      <c r="G621" s="825"/>
    </row>
    <row r="622" spans="1:8">
      <c r="A622" s="95"/>
      <c r="B622" s="817"/>
      <c r="C622" s="818"/>
      <c r="D622" s="98" t="s">
        <v>301</v>
      </c>
      <c r="E622" s="98" t="s">
        <v>859</v>
      </c>
      <c r="F622" s="99" t="s">
        <v>839</v>
      </c>
      <c r="G622" s="107" t="s">
        <v>840</v>
      </c>
    </row>
    <row r="623" spans="1:8">
      <c r="A623" s="95"/>
      <c r="B623" s="821" t="s">
        <v>838</v>
      </c>
      <c r="C623" s="822"/>
      <c r="D623" s="100" t="s">
        <v>316</v>
      </c>
      <c r="E623" s="100" t="s">
        <v>315</v>
      </c>
      <c r="F623" s="101" t="s">
        <v>306</v>
      </c>
      <c r="G623" s="108" t="s">
        <v>319</v>
      </c>
    </row>
    <row r="624" spans="1:8">
      <c r="A624" s="95"/>
      <c r="B624" s="230"/>
      <c r="C624" s="102"/>
      <c r="D624" s="103"/>
      <c r="E624" s="103" t="s">
        <v>317</v>
      </c>
      <c r="F624" s="104" t="s">
        <v>318</v>
      </c>
      <c r="G624" s="109"/>
    </row>
    <row r="625" spans="1:7">
      <c r="A625" s="95"/>
      <c r="B625" s="823" t="str">
        <f>'MANO DE OBRA'!$B$10</f>
        <v>AYUDANTE CUAD. TIPO AA</v>
      </c>
      <c r="C625" s="824"/>
      <c r="D625" s="87">
        <v>1</v>
      </c>
      <c r="E625" s="80">
        <f>'MANO DE OBRA'!$E$10</f>
        <v>34680</v>
      </c>
      <c r="F625" s="81">
        <v>1</v>
      </c>
      <c r="G625" s="110">
        <f>ROUND(D625*E625/F625,0)</f>
        <v>34680</v>
      </c>
    </row>
    <row r="626" spans="1:7">
      <c r="A626" s="95"/>
      <c r="B626" s="835"/>
      <c r="C626" s="836"/>
      <c r="D626" s="37"/>
      <c r="E626" s="82"/>
      <c r="F626" s="83"/>
      <c r="G626" s="111"/>
    </row>
    <row r="627" spans="1:7">
      <c r="A627" s="95"/>
      <c r="B627" s="835"/>
      <c r="C627" s="836"/>
      <c r="D627" s="89"/>
      <c r="E627" s="82"/>
      <c r="F627" s="83"/>
      <c r="G627" s="111"/>
    </row>
    <row r="628" spans="1:7">
      <c r="A628" s="95"/>
      <c r="B628" s="835" t="s">
        <v>841</v>
      </c>
      <c r="C628" s="836"/>
      <c r="D628" s="37"/>
      <c r="E628" s="82"/>
      <c r="F628" s="83"/>
      <c r="G628" s="111"/>
    </row>
    <row r="629" spans="1:7" ht="13.5" thickBot="1">
      <c r="A629" s="95"/>
      <c r="B629" s="828" t="s">
        <v>841</v>
      </c>
      <c r="C629" s="829"/>
      <c r="D629" s="77"/>
      <c r="E629" s="82"/>
      <c r="F629" s="86"/>
      <c r="G629" s="112"/>
    </row>
    <row r="630" spans="1:7" ht="14.25" thickTop="1" thickBot="1">
      <c r="A630" s="95"/>
      <c r="B630" s="808"/>
      <c r="C630" s="808"/>
      <c r="D630" s="808"/>
      <c r="E630" s="809"/>
      <c r="F630" s="120" t="s">
        <v>856</v>
      </c>
      <c r="G630" s="118">
        <f>SUM(G625:G629)</f>
        <v>34680</v>
      </c>
    </row>
    <row r="631" spans="1:7" ht="14.25" thickTop="1" thickBot="1">
      <c r="A631" s="95"/>
      <c r="B631" s="810"/>
      <c r="C631" s="810"/>
      <c r="D631" s="810"/>
      <c r="E631" s="810"/>
      <c r="F631" s="810"/>
      <c r="G631" s="810"/>
    </row>
    <row r="632" spans="1:7" ht="13.5" thickTop="1">
      <c r="A632" s="95"/>
      <c r="B632" s="811" t="s">
        <v>321</v>
      </c>
      <c r="C632" s="812"/>
      <c r="D632" s="812"/>
      <c r="E632" s="812"/>
      <c r="F632" s="812"/>
      <c r="G632" s="825"/>
    </row>
    <row r="633" spans="1:7">
      <c r="A633" s="95"/>
      <c r="B633" s="817" t="s">
        <v>838</v>
      </c>
      <c r="C633" s="818"/>
      <c r="D633" s="98" t="s">
        <v>301</v>
      </c>
      <c r="E633" s="98" t="s">
        <v>297</v>
      </c>
      <c r="F633" s="99" t="s">
        <v>839</v>
      </c>
      <c r="G633" s="107" t="s">
        <v>840</v>
      </c>
    </row>
    <row r="634" spans="1:7">
      <c r="A634" s="95"/>
      <c r="B634" s="230"/>
      <c r="C634" s="102"/>
      <c r="D634" s="103" t="s">
        <v>322</v>
      </c>
      <c r="E634" s="103" t="s">
        <v>323</v>
      </c>
      <c r="F634" s="104" t="s">
        <v>324</v>
      </c>
      <c r="G634" s="109" t="s">
        <v>325</v>
      </c>
    </row>
    <row r="635" spans="1:7">
      <c r="A635" s="95"/>
      <c r="B635" s="826"/>
      <c r="C635" s="827"/>
      <c r="D635" s="96"/>
      <c r="E635" s="96"/>
      <c r="F635" s="96"/>
      <c r="G635" s="116"/>
    </row>
    <row r="636" spans="1:7" ht="13.5" thickBot="1">
      <c r="A636" s="95"/>
      <c r="B636" s="828" t="s">
        <v>841</v>
      </c>
      <c r="C636" s="829"/>
      <c r="D636" s="77"/>
      <c r="E636" s="82"/>
      <c r="F636" s="86"/>
      <c r="G636" s="112"/>
    </row>
    <row r="637" spans="1:7" ht="14.25" thickTop="1" thickBot="1">
      <c r="A637" s="95"/>
      <c r="B637" s="808"/>
      <c r="C637" s="808"/>
      <c r="D637" s="808"/>
      <c r="E637" s="809"/>
      <c r="F637" s="120" t="s">
        <v>856</v>
      </c>
      <c r="G637" s="118">
        <f>SUM(G632:G636)</f>
        <v>0</v>
      </c>
    </row>
    <row r="638" spans="1:7" ht="14.25" thickTop="1" thickBot="1">
      <c r="A638" s="95"/>
      <c r="B638" s="810"/>
      <c r="C638" s="810"/>
      <c r="D638" s="810"/>
      <c r="E638" s="810"/>
      <c r="F638" s="810"/>
      <c r="G638" s="834"/>
    </row>
    <row r="639" spans="1:7" ht="13.5" thickTop="1">
      <c r="A639" s="95"/>
      <c r="B639" s="811" t="s">
        <v>326</v>
      </c>
      <c r="C639" s="812"/>
      <c r="D639" s="812"/>
      <c r="E639" s="812"/>
      <c r="F639" s="813"/>
      <c r="G639" s="121">
        <f>+G603+G619+G630</f>
        <v>36414</v>
      </c>
    </row>
    <row r="640" spans="1:7">
      <c r="A640" s="95"/>
      <c r="B640" s="814" t="s">
        <v>861</v>
      </c>
      <c r="C640" s="815"/>
      <c r="D640" s="815"/>
      <c r="E640" s="816"/>
      <c r="F640" s="128">
        <f>'MANO DE OBRA'!D430</f>
        <v>0</v>
      </c>
      <c r="G640" s="122">
        <f>ROUND(G639*F640,0)</f>
        <v>0</v>
      </c>
    </row>
    <row r="641" spans="1:8" ht="13.5" thickBot="1">
      <c r="A641" s="95"/>
      <c r="B641" s="805" t="s">
        <v>1049</v>
      </c>
      <c r="C641" s="806"/>
      <c r="D641" s="806"/>
      <c r="E641" s="806"/>
      <c r="F641" s="807"/>
      <c r="G641" s="118">
        <f>ROUND(G639+G640,-2)</f>
        <v>36400</v>
      </c>
      <c r="H641" s="505" t="s">
        <v>1670</v>
      </c>
    </row>
    <row r="642" spans="1:8" ht="15" thickTop="1">
      <c r="A642" s="95"/>
      <c r="B642" s="225" t="s">
        <v>303</v>
      </c>
      <c r="C642" s="843"/>
      <c r="D642" s="843"/>
      <c r="E642" s="843"/>
      <c r="F642" s="92" t="s">
        <v>781</v>
      </c>
      <c r="G642" s="93" t="s">
        <v>1066</v>
      </c>
    </row>
    <row r="643" spans="1:8">
      <c r="A643" s="95"/>
      <c r="B643" s="226" t="s">
        <v>834</v>
      </c>
      <c r="C643" s="844" t="s">
        <v>342</v>
      </c>
      <c r="D643" s="844"/>
      <c r="E643" s="844"/>
      <c r="F643" s="15" t="s">
        <v>833</v>
      </c>
      <c r="G643" s="165" t="str">
        <f>'MANO DE OBRA'!$D$61</f>
        <v>Agosto de 2010</v>
      </c>
    </row>
    <row r="644" spans="1:8" ht="13.5" thickBot="1">
      <c r="A644" s="127"/>
      <c r="B644" s="228" t="s">
        <v>835</v>
      </c>
      <c r="C644" s="845" t="s">
        <v>788</v>
      </c>
      <c r="D644" s="845"/>
      <c r="E644" s="845"/>
      <c r="F644" s="845"/>
      <c r="G644" s="846"/>
    </row>
    <row r="645" spans="1:8" ht="14.25" thickTop="1" thickBot="1">
      <c r="A645" s="95"/>
      <c r="B645" s="847"/>
      <c r="C645" s="847"/>
      <c r="D645" s="847"/>
      <c r="E645" s="847"/>
      <c r="F645" s="847"/>
      <c r="G645" s="847"/>
    </row>
    <row r="646" spans="1:8" ht="13.5" thickTop="1">
      <c r="A646" s="95"/>
      <c r="B646" s="811" t="s">
        <v>304</v>
      </c>
      <c r="C646" s="812"/>
      <c r="D646" s="812"/>
      <c r="E646" s="812"/>
      <c r="F646" s="812"/>
      <c r="G646" s="825"/>
    </row>
    <row r="647" spans="1:8">
      <c r="A647" s="95"/>
      <c r="B647" s="229"/>
      <c r="C647" s="97"/>
      <c r="D647" s="98" t="s">
        <v>301</v>
      </c>
      <c r="E647" s="98" t="s">
        <v>1072</v>
      </c>
      <c r="F647" s="99" t="s">
        <v>839</v>
      </c>
      <c r="G647" s="107" t="s">
        <v>840</v>
      </c>
    </row>
    <row r="648" spans="1:8">
      <c r="A648" s="95"/>
      <c r="B648" s="821" t="s">
        <v>838</v>
      </c>
      <c r="C648" s="822"/>
      <c r="D648" s="100" t="s">
        <v>308</v>
      </c>
      <c r="E648" s="100" t="s">
        <v>305</v>
      </c>
      <c r="F648" s="101" t="s">
        <v>306</v>
      </c>
      <c r="G648" s="108" t="s">
        <v>310</v>
      </c>
    </row>
    <row r="649" spans="1:8">
      <c r="A649" s="95"/>
      <c r="B649" s="230"/>
      <c r="C649" s="102"/>
      <c r="D649" s="103"/>
      <c r="E649" s="103" t="s">
        <v>309</v>
      </c>
      <c r="F649" s="104" t="s">
        <v>307</v>
      </c>
      <c r="G649" s="109"/>
    </row>
    <row r="650" spans="1:8">
      <c r="A650" s="127"/>
      <c r="B650" s="823" t="str">
        <f>'MAQUINARIA Y EQUIPOS'!$C$28</f>
        <v>HERRAMIENTAS MENORES</v>
      </c>
      <c r="C650" s="824"/>
      <c r="D650" s="87">
        <v>1</v>
      </c>
      <c r="E650" s="82">
        <f>ROUND(G683*0.05,0)</f>
        <v>2442</v>
      </c>
      <c r="F650" s="81">
        <v>1</v>
      </c>
      <c r="G650" s="110">
        <f>ROUND(D650*E650/F650,0)</f>
        <v>2442</v>
      </c>
    </row>
    <row r="651" spans="1:8">
      <c r="A651" s="95"/>
      <c r="B651" s="835"/>
      <c r="C651" s="836"/>
      <c r="D651" s="37"/>
      <c r="E651" s="82"/>
      <c r="F651" s="83"/>
      <c r="G651" s="111"/>
    </row>
    <row r="652" spans="1:8">
      <c r="A652" s="95"/>
      <c r="B652" s="835"/>
      <c r="C652" s="836"/>
      <c r="D652" s="89"/>
      <c r="E652" s="82"/>
      <c r="F652" s="83"/>
      <c r="G652" s="111"/>
    </row>
    <row r="653" spans="1:8">
      <c r="A653" s="95"/>
      <c r="B653" s="835"/>
      <c r="C653" s="836"/>
      <c r="D653" s="89"/>
      <c r="E653" s="82"/>
      <c r="F653" s="83"/>
      <c r="G653" s="111"/>
    </row>
    <row r="654" spans="1:8">
      <c r="A654" s="95"/>
      <c r="B654" s="835" t="s">
        <v>841</v>
      </c>
      <c r="C654" s="836"/>
      <c r="D654" s="37"/>
      <c r="E654" s="82"/>
      <c r="F654" s="83"/>
      <c r="G654" s="111"/>
    </row>
    <row r="655" spans="1:8" ht="13.5" thickBot="1">
      <c r="A655" s="95"/>
      <c r="B655" s="839" t="s">
        <v>841</v>
      </c>
      <c r="C655" s="840"/>
      <c r="D655" s="77"/>
      <c r="E655" s="106"/>
      <c r="F655" s="86"/>
      <c r="G655" s="112"/>
    </row>
    <row r="656" spans="1:8" ht="14.25" thickTop="1" thickBot="1">
      <c r="A656" s="95"/>
      <c r="B656" s="808"/>
      <c r="C656" s="808"/>
      <c r="D656" s="808"/>
      <c r="E656" s="809"/>
      <c r="F656" s="119" t="s">
        <v>856</v>
      </c>
      <c r="G656" s="118">
        <f>SUM(G650:G655)</f>
        <v>2442</v>
      </c>
    </row>
    <row r="657" spans="1:8" ht="14.25" thickTop="1" thickBot="1">
      <c r="A657" s="95"/>
      <c r="B657" s="830"/>
      <c r="C657" s="830"/>
      <c r="D657" s="830"/>
      <c r="E657" s="830"/>
      <c r="F657" s="830"/>
      <c r="G657" s="830"/>
    </row>
    <row r="658" spans="1:8" ht="13.5" thickTop="1">
      <c r="A658" s="95"/>
      <c r="B658" s="811" t="s">
        <v>311</v>
      </c>
      <c r="C658" s="812"/>
      <c r="D658" s="812"/>
      <c r="E658" s="812"/>
      <c r="F658" s="812"/>
      <c r="G658" s="825"/>
    </row>
    <row r="659" spans="1:8">
      <c r="A659" s="95"/>
      <c r="B659" s="817" t="s">
        <v>838</v>
      </c>
      <c r="C659" s="818"/>
      <c r="D659" s="98" t="s">
        <v>842</v>
      </c>
      <c r="E659" s="98" t="s">
        <v>853</v>
      </c>
      <c r="F659" s="99" t="s">
        <v>1047</v>
      </c>
      <c r="G659" s="107" t="s">
        <v>840</v>
      </c>
    </row>
    <row r="660" spans="1:8">
      <c r="A660" s="95"/>
      <c r="B660" s="230"/>
      <c r="C660" s="102"/>
      <c r="D660" s="100"/>
      <c r="E660" s="100" t="s">
        <v>312</v>
      </c>
      <c r="F660" s="101" t="s">
        <v>313</v>
      </c>
      <c r="G660" s="108" t="s">
        <v>314</v>
      </c>
    </row>
    <row r="661" spans="1:8">
      <c r="A661" s="125"/>
      <c r="B661" s="875"/>
      <c r="C661" s="876"/>
      <c r="D661" s="87"/>
      <c r="E661" s="10"/>
      <c r="F661" s="80"/>
      <c r="G661" s="110"/>
    </row>
    <row r="662" spans="1:8">
      <c r="A662" s="123"/>
      <c r="B662" s="877"/>
      <c r="C662" s="878"/>
      <c r="D662" s="88"/>
      <c r="E662" s="53"/>
      <c r="F662" s="82"/>
      <c r="G662" s="111"/>
    </row>
    <row r="663" spans="1:8">
      <c r="A663" s="95"/>
      <c r="B663" s="835"/>
      <c r="C663" s="836"/>
      <c r="D663" s="37"/>
      <c r="E663" s="55"/>
      <c r="F663" s="82"/>
      <c r="G663" s="111"/>
    </row>
    <row r="664" spans="1:8">
      <c r="A664" s="95"/>
      <c r="B664" s="835"/>
      <c r="C664" s="836"/>
      <c r="D664" s="37"/>
      <c r="E664" s="55"/>
      <c r="F664" s="82"/>
      <c r="G664" s="111"/>
    </row>
    <row r="665" spans="1:8">
      <c r="A665" s="95"/>
      <c r="B665" s="837"/>
      <c r="C665" s="838"/>
      <c r="D665" s="37"/>
      <c r="E665" s="55"/>
      <c r="F665" s="82"/>
      <c r="G665" s="111"/>
    </row>
    <row r="666" spans="1:8">
      <c r="A666" s="95"/>
      <c r="B666" s="837"/>
      <c r="C666" s="838"/>
      <c r="D666" s="53" t="s">
        <v>841</v>
      </c>
      <c r="E666" s="53"/>
      <c r="F666" s="82"/>
      <c r="G666" s="111"/>
    </row>
    <row r="667" spans="1:8">
      <c r="A667" s="95"/>
      <c r="B667" s="837" t="s">
        <v>841</v>
      </c>
      <c r="C667" s="838"/>
      <c r="D667" s="53" t="s">
        <v>841</v>
      </c>
      <c r="E667" s="53"/>
      <c r="F667" s="82"/>
      <c r="G667" s="111"/>
    </row>
    <row r="668" spans="1:8">
      <c r="A668" s="95"/>
      <c r="B668" s="837" t="s">
        <v>841</v>
      </c>
      <c r="C668" s="838"/>
      <c r="D668" s="53" t="s">
        <v>841</v>
      </c>
      <c r="E668" s="53"/>
      <c r="F668" s="82"/>
      <c r="G668" s="111"/>
      <c r="H668" s="505" t="s">
        <v>1670</v>
      </c>
    </row>
    <row r="669" spans="1:8" ht="13.5" thickBot="1">
      <c r="A669" s="95"/>
      <c r="B669" s="839" t="s">
        <v>841</v>
      </c>
      <c r="C669" s="840"/>
      <c r="D669" s="84" t="s">
        <v>841</v>
      </c>
      <c r="E669" s="84"/>
      <c r="F669" s="85"/>
      <c r="G669" s="112"/>
    </row>
    <row r="670" spans="1:8" ht="13.5" thickTop="1">
      <c r="A670" s="95"/>
      <c r="B670" s="808"/>
      <c r="C670" s="809"/>
      <c r="D670" s="801" t="s">
        <v>856</v>
      </c>
      <c r="E670" s="802"/>
      <c r="F670" s="9"/>
      <c r="G670" s="113">
        <f>SUM(G661:G669)</f>
        <v>0</v>
      </c>
    </row>
    <row r="671" spans="1:8">
      <c r="A671" s="95"/>
      <c r="B671" s="819"/>
      <c r="C671" s="820"/>
      <c r="D671" s="801" t="s">
        <v>857</v>
      </c>
      <c r="E671" s="802"/>
      <c r="F671" s="79">
        <f>'MANO DE OBRA'!$D$60</f>
        <v>0.05</v>
      </c>
      <c r="G671" s="113">
        <f>ROUND(G670*F671,0)</f>
        <v>0</v>
      </c>
    </row>
    <row r="672" spans="1:8" ht="13.5" thickBot="1">
      <c r="A672" s="95"/>
      <c r="B672" s="819"/>
      <c r="C672" s="820"/>
      <c r="D672" s="803" t="s">
        <v>320</v>
      </c>
      <c r="E672" s="804"/>
      <c r="F672" s="114"/>
      <c r="G672" s="118">
        <f>+G670+G671</f>
        <v>0</v>
      </c>
    </row>
    <row r="673" spans="1:7" ht="14.25" thickTop="1" thickBot="1">
      <c r="A673" s="95"/>
      <c r="B673" s="830"/>
      <c r="C673" s="830"/>
      <c r="D673" s="830"/>
      <c r="E673" s="830"/>
      <c r="F673" s="830"/>
      <c r="G673" s="830"/>
    </row>
    <row r="674" spans="1:7" ht="13.5" thickTop="1">
      <c r="A674" s="95"/>
      <c r="B674" s="811" t="s">
        <v>858</v>
      </c>
      <c r="C674" s="812"/>
      <c r="D674" s="812"/>
      <c r="E674" s="812"/>
      <c r="F674" s="812"/>
      <c r="G674" s="825"/>
    </row>
    <row r="675" spans="1:7">
      <c r="A675" s="95"/>
      <c r="B675" s="817"/>
      <c r="C675" s="818"/>
      <c r="D675" s="98" t="s">
        <v>301</v>
      </c>
      <c r="E675" s="98" t="s">
        <v>859</v>
      </c>
      <c r="F675" s="99" t="s">
        <v>839</v>
      </c>
      <c r="G675" s="107" t="s">
        <v>840</v>
      </c>
    </row>
    <row r="676" spans="1:7">
      <c r="A676" s="95"/>
      <c r="B676" s="821" t="s">
        <v>838</v>
      </c>
      <c r="C676" s="822"/>
      <c r="D676" s="100" t="s">
        <v>316</v>
      </c>
      <c r="E676" s="100" t="s">
        <v>315</v>
      </c>
      <c r="F676" s="101" t="s">
        <v>306</v>
      </c>
      <c r="G676" s="108" t="s">
        <v>319</v>
      </c>
    </row>
    <row r="677" spans="1:7">
      <c r="A677" s="95"/>
      <c r="B677" s="230"/>
      <c r="C677" s="102"/>
      <c r="D677" s="103"/>
      <c r="E677" s="103" t="s">
        <v>317</v>
      </c>
      <c r="F677" s="104" t="s">
        <v>318</v>
      </c>
      <c r="G677" s="109"/>
    </row>
    <row r="678" spans="1:7">
      <c r="A678" s="95"/>
      <c r="B678" s="823" t="str">
        <f>'MANO DE OBRA'!$B$10</f>
        <v>AYUDANTE CUAD. TIPO AA</v>
      </c>
      <c r="C678" s="824"/>
      <c r="D678" s="87">
        <v>1</v>
      </c>
      <c r="E678" s="80">
        <f>'MANO DE OBRA'!$E$10</f>
        <v>34680</v>
      </c>
      <c r="F678" s="81">
        <v>0.71</v>
      </c>
      <c r="G678" s="110">
        <f>ROUND(D678*E678/F678,0)</f>
        <v>48845</v>
      </c>
    </row>
    <row r="679" spans="1:7">
      <c r="A679" s="95"/>
      <c r="B679" s="835"/>
      <c r="C679" s="836"/>
      <c r="D679" s="37"/>
      <c r="E679" s="82"/>
      <c r="F679" s="83"/>
      <c r="G679" s="111"/>
    </row>
    <row r="680" spans="1:7">
      <c r="A680" s="95"/>
      <c r="B680" s="835"/>
      <c r="C680" s="836"/>
      <c r="D680" s="89"/>
      <c r="E680" s="82"/>
      <c r="F680" s="83"/>
      <c r="G680" s="111"/>
    </row>
    <row r="681" spans="1:7">
      <c r="A681" s="95"/>
      <c r="B681" s="835" t="s">
        <v>841</v>
      </c>
      <c r="C681" s="836"/>
      <c r="D681" s="37"/>
      <c r="E681" s="82"/>
      <c r="F681" s="83"/>
      <c r="G681" s="111"/>
    </row>
    <row r="682" spans="1:7" ht="13.5" thickBot="1">
      <c r="A682" s="95"/>
      <c r="B682" s="828" t="s">
        <v>841</v>
      </c>
      <c r="C682" s="829"/>
      <c r="D682" s="77"/>
      <c r="E682" s="82"/>
      <c r="F682" s="86"/>
      <c r="G682" s="112"/>
    </row>
    <row r="683" spans="1:7" ht="14.25" thickTop="1" thickBot="1">
      <c r="A683" s="95"/>
      <c r="B683" s="808"/>
      <c r="C683" s="808"/>
      <c r="D683" s="808"/>
      <c r="E683" s="809"/>
      <c r="F683" s="120" t="s">
        <v>856</v>
      </c>
      <c r="G683" s="118">
        <f>SUM(G678:G682)</f>
        <v>48845</v>
      </c>
    </row>
    <row r="684" spans="1:7" ht="14.25" thickTop="1" thickBot="1">
      <c r="A684" s="95"/>
      <c r="B684" s="810"/>
      <c r="C684" s="810"/>
      <c r="D684" s="810"/>
      <c r="E684" s="810"/>
      <c r="F684" s="810"/>
      <c r="G684" s="810"/>
    </row>
    <row r="685" spans="1:7" ht="13.5" thickTop="1">
      <c r="A685" s="95"/>
      <c r="B685" s="811" t="s">
        <v>321</v>
      </c>
      <c r="C685" s="812"/>
      <c r="D685" s="812"/>
      <c r="E685" s="812"/>
      <c r="F685" s="812"/>
      <c r="G685" s="825"/>
    </row>
    <row r="686" spans="1:7">
      <c r="A686" s="95"/>
      <c r="B686" s="817" t="s">
        <v>838</v>
      </c>
      <c r="C686" s="818"/>
      <c r="D686" s="98" t="s">
        <v>301</v>
      </c>
      <c r="E686" s="98" t="s">
        <v>297</v>
      </c>
      <c r="F686" s="99" t="s">
        <v>839</v>
      </c>
      <c r="G686" s="107" t="s">
        <v>840</v>
      </c>
    </row>
    <row r="687" spans="1:7">
      <c r="A687" s="95"/>
      <c r="B687" s="230"/>
      <c r="C687" s="102"/>
      <c r="D687" s="103" t="s">
        <v>322</v>
      </c>
      <c r="E687" s="103" t="s">
        <v>323</v>
      </c>
      <c r="F687" s="104" t="s">
        <v>324</v>
      </c>
      <c r="G687" s="109" t="s">
        <v>325</v>
      </c>
    </row>
    <row r="688" spans="1:7">
      <c r="A688" s="95"/>
      <c r="B688" s="826"/>
      <c r="C688" s="827"/>
      <c r="D688" s="96"/>
      <c r="E688" s="96"/>
      <c r="F688" s="96"/>
      <c r="G688" s="116"/>
    </row>
    <row r="689" spans="1:8" ht="13.5" thickBot="1">
      <c r="A689" s="95"/>
      <c r="B689" s="828" t="s">
        <v>841</v>
      </c>
      <c r="C689" s="829"/>
      <c r="D689" s="77"/>
      <c r="E689" s="82"/>
      <c r="F689" s="86"/>
      <c r="G689" s="112"/>
    </row>
    <row r="690" spans="1:8" ht="14.25" thickTop="1" thickBot="1">
      <c r="A690" s="95"/>
      <c r="B690" s="808"/>
      <c r="C690" s="808"/>
      <c r="D690" s="808"/>
      <c r="E690" s="809"/>
      <c r="F690" s="120" t="s">
        <v>856</v>
      </c>
      <c r="G690" s="118">
        <f>SUM(G685:G689)</f>
        <v>0</v>
      </c>
    </row>
    <row r="691" spans="1:8" ht="14.25" thickTop="1" thickBot="1">
      <c r="A691" s="95"/>
      <c r="B691" s="810"/>
      <c r="C691" s="810"/>
      <c r="D691" s="810"/>
      <c r="E691" s="810"/>
      <c r="F691" s="810"/>
      <c r="G691" s="834"/>
    </row>
    <row r="692" spans="1:8" ht="13.5" thickTop="1">
      <c r="A692" s="95"/>
      <c r="B692" s="811" t="s">
        <v>326</v>
      </c>
      <c r="C692" s="812"/>
      <c r="D692" s="812"/>
      <c r="E692" s="812"/>
      <c r="F692" s="813"/>
      <c r="G692" s="121">
        <f>+G656+G672+G683</f>
        <v>51287</v>
      </c>
    </row>
    <row r="693" spans="1:8">
      <c r="A693" s="95"/>
      <c r="B693" s="814" t="s">
        <v>861</v>
      </c>
      <c r="C693" s="815"/>
      <c r="D693" s="815"/>
      <c r="E693" s="816"/>
      <c r="F693" s="128">
        <f>'MANO DE OBRA'!D483</f>
        <v>0</v>
      </c>
      <c r="G693" s="122">
        <f>ROUND(G692*F693,0)</f>
        <v>0</v>
      </c>
    </row>
    <row r="694" spans="1:8" ht="13.5" thickBot="1">
      <c r="A694" s="95"/>
      <c r="B694" s="805" t="s">
        <v>1049</v>
      </c>
      <c r="C694" s="806"/>
      <c r="D694" s="806"/>
      <c r="E694" s="806"/>
      <c r="F694" s="807"/>
      <c r="G694" s="118">
        <f>ROUND(G692+G693,-2)</f>
        <v>51300</v>
      </c>
      <c r="H694" s="505" t="s">
        <v>1670</v>
      </c>
    </row>
    <row r="695" spans="1:8" ht="15" thickTop="1">
      <c r="A695" s="95"/>
      <c r="B695" s="225" t="s">
        <v>303</v>
      </c>
      <c r="C695" s="843"/>
      <c r="D695" s="843"/>
      <c r="E695" s="843"/>
      <c r="F695" s="92" t="s">
        <v>781</v>
      </c>
      <c r="G695" s="93" t="s">
        <v>1066</v>
      </c>
    </row>
    <row r="696" spans="1:8">
      <c r="A696" s="95"/>
      <c r="B696" s="226" t="s">
        <v>834</v>
      </c>
      <c r="C696" s="844" t="s">
        <v>342</v>
      </c>
      <c r="D696" s="844"/>
      <c r="E696" s="844"/>
      <c r="F696" s="15" t="s">
        <v>833</v>
      </c>
      <c r="G696" s="165" t="str">
        <f>'MANO DE OBRA'!$D$61</f>
        <v>Agosto de 2010</v>
      </c>
    </row>
    <row r="697" spans="1:8" ht="13.5" thickBot="1">
      <c r="A697" s="127"/>
      <c r="B697" s="228" t="s">
        <v>835</v>
      </c>
      <c r="C697" s="845" t="s">
        <v>789</v>
      </c>
      <c r="D697" s="845"/>
      <c r="E697" s="845"/>
      <c r="F697" s="845"/>
      <c r="G697" s="846"/>
    </row>
    <row r="698" spans="1:8" ht="14.25" thickTop="1" thickBot="1">
      <c r="A698" s="95"/>
      <c r="B698" s="847"/>
      <c r="C698" s="847"/>
      <c r="D698" s="847"/>
      <c r="E698" s="847"/>
      <c r="F698" s="847"/>
      <c r="G698" s="847"/>
    </row>
    <row r="699" spans="1:8" ht="13.5" thickTop="1">
      <c r="A699" s="95"/>
      <c r="B699" s="811" t="s">
        <v>304</v>
      </c>
      <c r="C699" s="812"/>
      <c r="D699" s="812"/>
      <c r="E699" s="812"/>
      <c r="F699" s="812"/>
      <c r="G699" s="825"/>
    </row>
    <row r="700" spans="1:8">
      <c r="A700" s="95"/>
      <c r="B700" s="229"/>
      <c r="C700" s="97"/>
      <c r="D700" s="98" t="s">
        <v>301</v>
      </c>
      <c r="E700" s="98" t="s">
        <v>1072</v>
      </c>
      <c r="F700" s="99" t="s">
        <v>839</v>
      </c>
      <c r="G700" s="107" t="s">
        <v>840</v>
      </c>
    </row>
    <row r="701" spans="1:8">
      <c r="A701" s="95"/>
      <c r="B701" s="821" t="s">
        <v>838</v>
      </c>
      <c r="C701" s="822"/>
      <c r="D701" s="100" t="s">
        <v>308</v>
      </c>
      <c r="E701" s="100" t="s">
        <v>305</v>
      </c>
      <c r="F701" s="101" t="s">
        <v>306</v>
      </c>
      <c r="G701" s="108" t="s">
        <v>310</v>
      </c>
    </row>
    <row r="702" spans="1:8">
      <c r="A702" s="95"/>
      <c r="B702" s="230"/>
      <c r="C702" s="102"/>
      <c r="D702" s="103"/>
      <c r="E702" s="103" t="s">
        <v>309</v>
      </c>
      <c r="F702" s="104" t="s">
        <v>307</v>
      </c>
      <c r="G702" s="109"/>
    </row>
    <row r="703" spans="1:8">
      <c r="A703" s="127"/>
      <c r="B703" s="823" t="str">
        <f>'MAQUINARIA Y EQUIPOS'!$C$28</f>
        <v>HERRAMIENTAS MENORES</v>
      </c>
      <c r="C703" s="824"/>
      <c r="D703" s="87">
        <v>1</v>
      </c>
      <c r="E703" s="82">
        <f>ROUND(G736*0.05,0)</f>
        <v>867</v>
      </c>
      <c r="F703" s="81">
        <v>1</v>
      </c>
      <c r="G703" s="110">
        <f>ROUND(D703*E703/F703,0)</f>
        <v>867</v>
      </c>
    </row>
    <row r="704" spans="1:8">
      <c r="A704" s="95"/>
      <c r="B704" s="835"/>
      <c r="C704" s="836"/>
      <c r="D704" s="37"/>
      <c r="E704" s="82"/>
      <c r="F704" s="83"/>
      <c r="G704" s="111"/>
    </row>
    <row r="705" spans="1:7">
      <c r="A705" s="95"/>
      <c r="B705" s="835"/>
      <c r="C705" s="836"/>
      <c r="D705" s="89"/>
      <c r="E705" s="82"/>
      <c r="F705" s="83"/>
      <c r="G705" s="111"/>
    </row>
    <row r="706" spans="1:7">
      <c r="A706" s="95"/>
      <c r="B706" s="835"/>
      <c r="C706" s="836"/>
      <c r="D706" s="89"/>
      <c r="E706" s="82"/>
      <c r="F706" s="83"/>
      <c r="G706" s="111"/>
    </row>
    <row r="707" spans="1:7">
      <c r="A707" s="95"/>
      <c r="B707" s="835" t="s">
        <v>841</v>
      </c>
      <c r="C707" s="836"/>
      <c r="D707" s="37"/>
      <c r="E707" s="82"/>
      <c r="F707" s="83"/>
      <c r="G707" s="111"/>
    </row>
    <row r="708" spans="1:7" ht="13.5" thickBot="1">
      <c r="A708" s="95"/>
      <c r="B708" s="839" t="s">
        <v>841</v>
      </c>
      <c r="C708" s="840"/>
      <c r="D708" s="77"/>
      <c r="E708" s="106"/>
      <c r="F708" s="86"/>
      <c r="G708" s="112"/>
    </row>
    <row r="709" spans="1:7" ht="14.25" thickTop="1" thickBot="1">
      <c r="A709" s="95"/>
      <c r="B709" s="808"/>
      <c r="C709" s="808"/>
      <c r="D709" s="808"/>
      <c r="E709" s="809"/>
      <c r="F709" s="119" t="s">
        <v>856</v>
      </c>
      <c r="G709" s="118">
        <f>SUM(G703:G708)</f>
        <v>867</v>
      </c>
    </row>
    <row r="710" spans="1:7" ht="14.25" thickTop="1" thickBot="1">
      <c r="A710" s="95"/>
      <c r="B710" s="830"/>
      <c r="C710" s="830"/>
      <c r="D710" s="830"/>
      <c r="E710" s="830"/>
      <c r="F710" s="830"/>
      <c r="G710" s="830"/>
    </row>
    <row r="711" spans="1:7" ht="13.5" thickTop="1">
      <c r="A711" s="95"/>
      <c r="B711" s="811" t="s">
        <v>311</v>
      </c>
      <c r="C711" s="812"/>
      <c r="D711" s="812"/>
      <c r="E711" s="812"/>
      <c r="F711" s="812"/>
      <c r="G711" s="825"/>
    </row>
    <row r="712" spans="1:7">
      <c r="A712" s="95"/>
      <c r="B712" s="817" t="s">
        <v>838</v>
      </c>
      <c r="C712" s="818"/>
      <c r="D712" s="98" t="s">
        <v>842</v>
      </c>
      <c r="E712" s="98" t="s">
        <v>853</v>
      </c>
      <c r="F712" s="99" t="s">
        <v>1047</v>
      </c>
      <c r="G712" s="107" t="s">
        <v>840</v>
      </c>
    </row>
    <row r="713" spans="1:7">
      <c r="A713" s="95"/>
      <c r="B713" s="230"/>
      <c r="C713" s="102"/>
      <c r="D713" s="100"/>
      <c r="E713" s="100" t="s">
        <v>312</v>
      </c>
      <c r="F713" s="101" t="s">
        <v>313</v>
      </c>
      <c r="G713" s="108" t="s">
        <v>314</v>
      </c>
    </row>
    <row r="714" spans="1:7">
      <c r="A714" s="125"/>
      <c r="B714" s="875"/>
      <c r="C714" s="876"/>
      <c r="D714" s="87"/>
      <c r="E714" s="10"/>
      <c r="F714" s="80"/>
      <c r="G714" s="110"/>
    </row>
    <row r="715" spans="1:7">
      <c r="A715" s="123"/>
      <c r="B715" s="877"/>
      <c r="C715" s="878"/>
      <c r="D715" s="88"/>
      <c r="E715" s="53"/>
      <c r="F715" s="82"/>
      <c r="G715" s="111"/>
    </row>
    <row r="716" spans="1:7">
      <c r="A716" s="95"/>
      <c r="B716" s="835"/>
      <c r="C716" s="836"/>
      <c r="D716" s="37"/>
      <c r="E716" s="55"/>
      <c r="F716" s="82"/>
      <c r="G716" s="111"/>
    </row>
    <row r="717" spans="1:7">
      <c r="A717" s="95"/>
      <c r="B717" s="835"/>
      <c r="C717" s="836"/>
      <c r="D717" s="37"/>
      <c r="E717" s="55"/>
      <c r="F717" s="82"/>
      <c r="G717" s="111"/>
    </row>
    <row r="718" spans="1:7">
      <c r="A718" s="95"/>
      <c r="B718" s="837"/>
      <c r="C718" s="838"/>
      <c r="D718" s="37"/>
      <c r="E718" s="55"/>
      <c r="F718" s="82"/>
      <c r="G718" s="111"/>
    </row>
    <row r="719" spans="1:7">
      <c r="A719" s="95"/>
      <c r="B719" s="837"/>
      <c r="C719" s="838"/>
      <c r="D719" s="53" t="s">
        <v>841</v>
      </c>
      <c r="E719" s="53"/>
      <c r="F719" s="82"/>
      <c r="G719" s="111"/>
    </row>
    <row r="720" spans="1:7">
      <c r="A720" s="95"/>
      <c r="B720" s="837" t="s">
        <v>841</v>
      </c>
      <c r="C720" s="838"/>
      <c r="D720" s="53" t="s">
        <v>841</v>
      </c>
      <c r="E720" s="53"/>
      <c r="F720" s="82"/>
      <c r="G720" s="111"/>
    </row>
    <row r="721" spans="1:8">
      <c r="A721" s="95"/>
      <c r="B721" s="837" t="s">
        <v>841</v>
      </c>
      <c r="C721" s="838"/>
      <c r="D721" s="53" t="s">
        <v>841</v>
      </c>
      <c r="E721" s="53"/>
      <c r="F721" s="82"/>
      <c r="G721" s="111"/>
      <c r="H721" s="505" t="s">
        <v>1670</v>
      </c>
    </row>
    <row r="722" spans="1:8" ht="13.5" thickBot="1">
      <c r="A722" s="95"/>
      <c r="B722" s="839" t="s">
        <v>841</v>
      </c>
      <c r="C722" s="840"/>
      <c r="D722" s="84" t="s">
        <v>841</v>
      </c>
      <c r="E722" s="84"/>
      <c r="F722" s="85"/>
      <c r="G722" s="112"/>
    </row>
    <row r="723" spans="1:8" ht="13.5" thickTop="1">
      <c r="A723" s="95"/>
      <c r="B723" s="808"/>
      <c r="C723" s="809"/>
      <c r="D723" s="801" t="s">
        <v>856</v>
      </c>
      <c r="E723" s="802"/>
      <c r="F723" s="9"/>
      <c r="G723" s="113">
        <f>SUM(G714:G722)</f>
        <v>0</v>
      </c>
    </row>
    <row r="724" spans="1:8">
      <c r="A724" s="95"/>
      <c r="B724" s="819"/>
      <c r="C724" s="820"/>
      <c r="D724" s="801" t="s">
        <v>857</v>
      </c>
      <c r="E724" s="802"/>
      <c r="F724" s="79">
        <f>'MANO DE OBRA'!$D$60</f>
        <v>0.05</v>
      </c>
      <c r="G724" s="113">
        <f>ROUND(G723*F724,0)</f>
        <v>0</v>
      </c>
    </row>
    <row r="725" spans="1:8" ht="13.5" thickBot="1">
      <c r="A725" s="95"/>
      <c r="B725" s="819"/>
      <c r="C725" s="820"/>
      <c r="D725" s="803" t="s">
        <v>320</v>
      </c>
      <c r="E725" s="804"/>
      <c r="F725" s="114"/>
      <c r="G725" s="118">
        <f>+G723+G724</f>
        <v>0</v>
      </c>
    </row>
    <row r="726" spans="1:8" ht="14.25" thickTop="1" thickBot="1">
      <c r="A726" s="95"/>
      <c r="B726" s="830"/>
      <c r="C726" s="830"/>
      <c r="D726" s="830"/>
      <c r="E726" s="830"/>
      <c r="F726" s="830"/>
      <c r="G726" s="830"/>
    </row>
    <row r="727" spans="1:8" ht="13.5" thickTop="1">
      <c r="A727" s="95"/>
      <c r="B727" s="811" t="s">
        <v>858</v>
      </c>
      <c r="C727" s="812"/>
      <c r="D727" s="812"/>
      <c r="E727" s="812"/>
      <c r="F727" s="812"/>
      <c r="G727" s="825"/>
    </row>
    <row r="728" spans="1:8">
      <c r="A728" s="95"/>
      <c r="B728" s="817"/>
      <c r="C728" s="818"/>
      <c r="D728" s="98" t="s">
        <v>301</v>
      </c>
      <c r="E728" s="98" t="s">
        <v>859</v>
      </c>
      <c r="F728" s="99" t="s">
        <v>839</v>
      </c>
      <c r="G728" s="107" t="s">
        <v>840</v>
      </c>
    </row>
    <row r="729" spans="1:8">
      <c r="A729" s="95"/>
      <c r="B729" s="821" t="s">
        <v>838</v>
      </c>
      <c r="C729" s="822"/>
      <c r="D729" s="100" t="s">
        <v>316</v>
      </c>
      <c r="E729" s="100" t="s">
        <v>315</v>
      </c>
      <c r="F729" s="101" t="s">
        <v>306</v>
      </c>
      <c r="G729" s="108" t="s">
        <v>319</v>
      </c>
    </row>
    <row r="730" spans="1:8">
      <c r="A730" s="95"/>
      <c r="B730" s="230"/>
      <c r="C730" s="102"/>
      <c r="D730" s="103"/>
      <c r="E730" s="103" t="s">
        <v>317</v>
      </c>
      <c r="F730" s="104" t="s">
        <v>318</v>
      </c>
      <c r="G730" s="109"/>
    </row>
    <row r="731" spans="1:8">
      <c r="A731" s="95"/>
      <c r="B731" s="823" t="str">
        <f>'MANO DE OBRA'!$B$10</f>
        <v>AYUDANTE CUAD. TIPO AA</v>
      </c>
      <c r="C731" s="824"/>
      <c r="D731" s="87">
        <v>1</v>
      </c>
      <c r="E731" s="80">
        <f>'MANO DE OBRA'!$E$10</f>
        <v>34680</v>
      </c>
      <c r="F731" s="81">
        <v>2</v>
      </c>
      <c r="G731" s="110">
        <f>ROUND(D731*E731/F731,0)</f>
        <v>17340</v>
      </c>
    </row>
    <row r="732" spans="1:8">
      <c r="A732" s="95"/>
      <c r="B732" s="835"/>
      <c r="C732" s="836"/>
      <c r="D732" s="37"/>
      <c r="E732" s="82"/>
      <c r="F732" s="83"/>
      <c r="G732" s="111"/>
    </row>
    <row r="733" spans="1:8">
      <c r="A733" s="95"/>
      <c r="B733" s="835"/>
      <c r="C733" s="836"/>
      <c r="D733" s="89"/>
      <c r="E733" s="82"/>
      <c r="F733" s="83"/>
      <c r="G733" s="111"/>
    </row>
    <row r="734" spans="1:8">
      <c r="A734" s="95"/>
      <c r="B734" s="835" t="s">
        <v>841</v>
      </c>
      <c r="C734" s="836"/>
      <c r="D734" s="37"/>
      <c r="E734" s="82"/>
      <c r="F734" s="83"/>
      <c r="G734" s="111"/>
    </row>
    <row r="735" spans="1:8" ht="13.5" thickBot="1">
      <c r="A735" s="95"/>
      <c r="B735" s="828" t="s">
        <v>841</v>
      </c>
      <c r="C735" s="829"/>
      <c r="D735" s="77"/>
      <c r="E735" s="82"/>
      <c r="F735" s="86"/>
      <c r="G735" s="112"/>
    </row>
    <row r="736" spans="1:8" ht="14.25" thickTop="1" thickBot="1">
      <c r="A736" s="95"/>
      <c r="B736" s="808"/>
      <c r="C736" s="808"/>
      <c r="D736" s="808"/>
      <c r="E736" s="809"/>
      <c r="F736" s="120" t="s">
        <v>856</v>
      </c>
      <c r="G736" s="118">
        <f>SUM(G731:G735)</f>
        <v>17340</v>
      </c>
    </row>
    <row r="737" spans="1:8" ht="14.25" thickTop="1" thickBot="1">
      <c r="A737" s="95"/>
      <c r="B737" s="810"/>
      <c r="C737" s="810"/>
      <c r="D737" s="810"/>
      <c r="E737" s="810"/>
      <c r="F737" s="810"/>
      <c r="G737" s="810"/>
    </row>
    <row r="738" spans="1:8" ht="13.5" thickTop="1">
      <c r="A738" s="95"/>
      <c r="B738" s="811" t="s">
        <v>321</v>
      </c>
      <c r="C738" s="812"/>
      <c r="D738" s="812"/>
      <c r="E738" s="812"/>
      <c r="F738" s="812"/>
      <c r="G738" s="825"/>
    </row>
    <row r="739" spans="1:8">
      <c r="A739" s="95"/>
      <c r="B739" s="817" t="s">
        <v>838</v>
      </c>
      <c r="C739" s="818"/>
      <c r="D739" s="98" t="s">
        <v>301</v>
      </c>
      <c r="E739" s="98" t="s">
        <v>297</v>
      </c>
      <c r="F739" s="99" t="s">
        <v>839</v>
      </c>
      <c r="G739" s="107" t="s">
        <v>840</v>
      </c>
    </row>
    <row r="740" spans="1:8">
      <c r="A740" s="95"/>
      <c r="B740" s="230"/>
      <c r="C740" s="102"/>
      <c r="D740" s="103" t="s">
        <v>322</v>
      </c>
      <c r="E740" s="103" t="s">
        <v>323</v>
      </c>
      <c r="F740" s="104" t="s">
        <v>324</v>
      </c>
      <c r="G740" s="109" t="s">
        <v>325</v>
      </c>
    </row>
    <row r="741" spans="1:8">
      <c r="A741" s="95"/>
      <c r="B741" s="826"/>
      <c r="C741" s="827"/>
      <c r="D741" s="96"/>
      <c r="E741" s="96"/>
      <c r="F741" s="96"/>
      <c r="G741" s="116"/>
    </row>
    <row r="742" spans="1:8" ht="13.5" thickBot="1">
      <c r="A742" s="95"/>
      <c r="B742" s="828" t="s">
        <v>841</v>
      </c>
      <c r="C742" s="829"/>
      <c r="D742" s="77"/>
      <c r="E742" s="82"/>
      <c r="F742" s="86"/>
      <c r="G742" s="112"/>
    </row>
    <row r="743" spans="1:8" ht="14.25" thickTop="1" thickBot="1">
      <c r="A743" s="95"/>
      <c r="B743" s="808"/>
      <c r="C743" s="808"/>
      <c r="D743" s="808"/>
      <c r="E743" s="809"/>
      <c r="F743" s="120" t="s">
        <v>856</v>
      </c>
      <c r="G743" s="118">
        <f>SUM(G738:G742)</f>
        <v>0</v>
      </c>
    </row>
    <row r="744" spans="1:8" ht="14.25" thickTop="1" thickBot="1">
      <c r="A744" s="95"/>
      <c r="B744" s="810"/>
      <c r="C744" s="810"/>
      <c r="D744" s="810"/>
      <c r="E744" s="810"/>
      <c r="F744" s="810"/>
      <c r="G744" s="834"/>
    </row>
    <row r="745" spans="1:8" ht="13.5" thickTop="1">
      <c r="A745" s="95"/>
      <c r="B745" s="811" t="s">
        <v>326</v>
      </c>
      <c r="C745" s="812"/>
      <c r="D745" s="812"/>
      <c r="E745" s="812"/>
      <c r="F745" s="813"/>
      <c r="G745" s="121">
        <f>+G709+G725+G736</f>
        <v>18207</v>
      </c>
    </row>
    <row r="746" spans="1:8">
      <c r="A746" s="95"/>
      <c r="B746" s="814" t="s">
        <v>861</v>
      </c>
      <c r="C746" s="815"/>
      <c r="D746" s="815"/>
      <c r="E746" s="816"/>
      <c r="F746" s="128">
        <f>'MANO DE OBRA'!D536</f>
        <v>0</v>
      </c>
      <c r="G746" s="122">
        <f>ROUND(G745*F746,0)</f>
        <v>0</v>
      </c>
    </row>
    <row r="747" spans="1:8" ht="13.5" thickBot="1">
      <c r="A747" s="95"/>
      <c r="B747" s="805" t="s">
        <v>1049</v>
      </c>
      <c r="C747" s="806"/>
      <c r="D747" s="806"/>
      <c r="E747" s="806"/>
      <c r="F747" s="807"/>
      <c r="G747" s="118">
        <f>ROUND(G745+G746,-2)</f>
        <v>18200</v>
      </c>
      <c r="H747" s="505" t="s">
        <v>1670</v>
      </c>
    </row>
    <row r="748" spans="1:8" ht="15" thickTop="1">
      <c r="A748" s="95"/>
      <c r="B748" s="225" t="s">
        <v>303</v>
      </c>
      <c r="C748" s="843"/>
      <c r="D748" s="843"/>
      <c r="E748" s="843"/>
      <c r="F748" s="92" t="s">
        <v>781</v>
      </c>
      <c r="G748" s="93" t="s">
        <v>1066</v>
      </c>
    </row>
    <row r="749" spans="1:8">
      <c r="A749" s="95"/>
      <c r="B749" s="226" t="s">
        <v>834</v>
      </c>
      <c r="C749" s="844" t="s">
        <v>342</v>
      </c>
      <c r="D749" s="844"/>
      <c r="E749" s="844"/>
      <c r="F749" s="15" t="s">
        <v>833</v>
      </c>
      <c r="G749" s="165" t="str">
        <f>'MANO DE OBRA'!$D$61</f>
        <v>Agosto de 2010</v>
      </c>
    </row>
    <row r="750" spans="1:8" ht="13.5" thickBot="1">
      <c r="A750" s="127"/>
      <c r="B750" s="228" t="s">
        <v>835</v>
      </c>
      <c r="C750" s="845" t="s">
        <v>790</v>
      </c>
      <c r="D750" s="845"/>
      <c r="E750" s="845"/>
      <c r="F750" s="845"/>
      <c r="G750" s="846"/>
    </row>
    <row r="751" spans="1:8" ht="14.25" thickTop="1" thickBot="1">
      <c r="A751" s="95"/>
      <c r="B751" s="847"/>
      <c r="C751" s="847"/>
      <c r="D751" s="847"/>
      <c r="E751" s="847"/>
      <c r="F751" s="847"/>
      <c r="G751" s="847"/>
    </row>
    <row r="752" spans="1:8" ht="13.5" thickTop="1">
      <c r="A752" s="95"/>
      <c r="B752" s="811" t="s">
        <v>304</v>
      </c>
      <c r="C752" s="812"/>
      <c r="D752" s="812"/>
      <c r="E752" s="812"/>
      <c r="F752" s="812"/>
      <c r="G752" s="825"/>
    </row>
    <row r="753" spans="1:7">
      <c r="A753" s="95"/>
      <c r="B753" s="229"/>
      <c r="C753" s="97"/>
      <c r="D753" s="98" t="s">
        <v>301</v>
      </c>
      <c r="E753" s="98" t="s">
        <v>1072</v>
      </c>
      <c r="F753" s="99" t="s">
        <v>839</v>
      </c>
      <c r="G753" s="107" t="s">
        <v>840</v>
      </c>
    </row>
    <row r="754" spans="1:7">
      <c r="A754" s="95"/>
      <c r="B754" s="821" t="s">
        <v>838</v>
      </c>
      <c r="C754" s="822"/>
      <c r="D754" s="100" t="s">
        <v>308</v>
      </c>
      <c r="E754" s="100" t="s">
        <v>305</v>
      </c>
      <c r="F754" s="101" t="s">
        <v>306</v>
      </c>
      <c r="G754" s="108" t="s">
        <v>310</v>
      </c>
    </row>
    <row r="755" spans="1:7">
      <c r="A755" s="95"/>
      <c r="B755" s="230"/>
      <c r="C755" s="102"/>
      <c r="D755" s="103"/>
      <c r="E755" s="103" t="s">
        <v>309</v>
      </c>
      <c r="F755" s="104" t="s">
        <v>307</v>
      </c>
      <c r="G755" s="109"/>
    </row>
    <row r="756" spans="1:7">
      <c r="A756" s="127"/>
      <c r="B756" s="823" t="str">
        <f>'MAQUINARIA Y EQUIPOS'!$C$28</f>
        <v>HERRAMIENTAS MENORES</v>
      </c>
      <c r="C756" s="824"/>
      <c r="D756" s="87">
        <v>1</v>
      </c>
      <c r="E756" s="82">
        <f>ROUND(G789*0.05,0)</f>
        <v>1304</v>
      </c>
      <c r="F756" s="81">
        <v>1</v>
      </c>
      <c r="G756" s="110">
        <f>ROUND(D756*E756/F756,0)</f>
        <v>1304</v>
      </c>
    </row>
    <row r="757" spans="1:7">
      <c r="A757" s="95"/>
      <c r="B757" s="835"/>
      <c r="C757" s="836"/>
      <c r="D757" s="37"/>
      <c r="E757" s="82"/>
      <c r="F757" s="83"/>
      <c r="G757" s="111"/>
    </row>
    <row r="758" spans="1:7">
      <c r="A758" s="95"/>
      <c r="B758" s="835"/>
      <c r="C758" s="836"/>
      <c r="D758" s="89"/>
      <c r="E758" s="82"/>
      <c r="F758" s="83"/>
      <c r="G758" s="111"/>
    </row>
    <row r="759" spans="1:7">
      <c r="A759" s="95"/>
      <c r="B759" s="835"/>
      <c r="C759" s="836"/>
      <c r="D759" s="89"/>
      <c r="E759" s="82"/>
      <c r="F759" s="83"/>
      <c r="G759" s="111"/>
    </row>
    <row r="760" spans="1:7">
      <c r="A760" s="95"/>
      <c r="B760" s="835" t="s">
        <v>841</v>
      </c>
      <c r="C760" s="836"/>
      <c r="D760" s="37"/>
      <c r="E760" s="82"/>
      <c r="F760" s="83"/>
      <c r="G760" s="111"/>
    </row>
    <row r="761" spans="1:7" ht="13.5" thickBot="1">
      <c r="A761" s="95"/>
      <c r="B761" s="839" t="s">
        <v>841</v>
      </c>
      <c r="C761" s="840"/>
      <c r="D761" s="77"/>
      <c r="E761" s="106"/>
      <c r="F761" s="86"/>
      <c r="G761" s="112"/>
    </row>
    <row r="762" spans="1:7" ht="14.25" thickTop="1" thickBot="1">
      <c r="A762" s="95"/>
      <c r="B762" s="808"/>
      <c r="C762" s="808"/>
      <c r="D762" s="808"/>
      <c r="E762" s="809"/>
      <c r="F762" s="119" t="s">
        <v>856</v>
      </c>
      <c r="G762" s="118">
        <f>SUM(G756:G761)</f>
        <v>1304</v>
      </c>
    </row>
    <row r="763" spans="1:7" ht="14.25" thickTop="1" thickBot="1">
      <c r="A763" s="95"/>
      <c r="B763" s="830"/>
      <c r="C763" s="830"/>
      <c r="D763" s="830"/>
      <c r="E763" s="830"/>
      <c r="F763" s="830"/>
      <c r="G763" s="830"/>
    </row>
    <row r="764" spans="1:7" ht="13.5" thickTop="1">
      <c r="A764" s="95"/>
      <c r="B764" s="811" t="s">
        <v>311</v>
      </c>
      <c r="C764" s="812"/>
      <c r="D764" s="812"/>
      <c r="E764" s="812"/>
      <c r="F764" s="812"/>
      <c r="G764" s="825"/>
    </row>
    <row r="765" spans="1:7">
      <c r="A765" s="95"/>
      <c r="B765" s="817" t="s">
        <v>838</v>
      </c>
      <c r="C765" s="818"/>
      <c r="D765" s="98" t="s">
        <v>842</v>
      </c>
      <c r="E765" s="98" t="s">
        <v>853</v>
      </c>
      <c r="F765" s="99" t="s">
        <v>1047</v>
      </c>
      <c r="G765" s="107" t="s">
        <v>840</v>
      </c>
    </row>
    <row r="766" spans="1:7">
      <c r="A766" s="95"/>
      <c r="B766" s="230"/>
      <c r="C766" s="102"/>
      <c r="D766" s="100"/>
      <c r="E766" s="100" t="s">
        <v>312</v>
      </c>
      <c r="F766" s="101" t="s">
        <v>313</v>
      </c>
      <c r="G766" s="108" t="s">
        <v>314</v>
      </c>
    </row>
    <row r="767" spans="1:7">
      <c r="A767" s="125"/>
      <c r="B767" s="875"/>
      <c r="C767" s="876"/>
      <c r="D767" s="87"/>
      <c r="E767" s="10"/>
      <c r="F767" s="80"/>
      <c r="G767" s="110"/>
    </row>
    <row r="768" spans="1:7">
      <c r="A768" s="123"/>
      <c r="B768" s="877"/>
      <c r="C768" s="878"/>
      <c r="D768" s="88"/>
      <c r="E768" s="53"/>
      <c r="F768" s="82"/>
      <c r="G768" s="111"/>
    </row>
    <row r="769" spans="1:8">
      <c r="A769" s="95"/>
      <c r="B769" s="835"/>
      <c r="C769" s="836"/>
      <c r="D769" s="37"/>
      <c r="E769" s="55"/>
      <c r="F769" s="82"/>
      <c r="G769" s="111"/>
    </row>
    <row r="770" spans="1:8">
      <c r="A770" s="95"/>
      <c r="B770" s="835"/>
      <c r="C770" s="836"/>
      <c r="D770" s="37"/>
      <c r="E770" s="55"/>
      <c r="F770" s="82"/>
      <c r="G770" s="111"/>
    </row>
    <row r="771" spans="1:8">
      <c r="A771" s="95"/>
      <c r="B771" s="837"/>
      <c r="C771" s="838"/>
      <c r="D771" s="37"/>
      <c r="E771" s="55"/>
      <c r="F771" s="82"/>
      <c r="G771" s="111"/>
    </row>
    <row r="772" spans="1:8">
      <c r="A772" s="95"/>
      <c r="B772" s="837"/>
      <c r="C772" s="838"/>
      <c r="D772" s="53" t="s">
        <v>841</v>
      </c>
      <c r="E772" s="53"/>
      <c r="F772" s="82"/>
      <c r="G772" s="111"/>
    </row>
    <row r="773" spans="1:8">
      <c r="A773" s="95"/>
      <c r="B773" s="837" t="s">
        <v>841</v>
      </c>
      <c r="C773" s="838"/>
      <c r="D773" s="53" t="s">
        <v>841</v>
      </c>
      <c r="E773" s="53"/>
      <c r="F773" s="82"/>
      <c r="G773" s="111"/>
      <c r="H773" s="505" t="s">
        <v>1670</v>
      </c>
    </row>
    <row r="774" spans="1:8">
      <c r="A774" s="95"/>
      <c r="B774" s="837" t="s">
        <v>841</v>
      </c>
      <c r="C774" s="838"/>
      <c r="D774" s="53" t="s">
        <v>841</v>
      </c>
      <c r="E774" s="53"/>
      <c r="F774" s="82"/>
      <c r="G774" s="111"/>
    </row>
    <row r="775" spans="1:8" ht="13.5" thickBot="1">
      <c r="A775" s="95"/>
      <c r="B775" s="839" t="s">
        <v>841</v>
      </c>
      <c r="C775" s="840"/>
      <c r="D775" s="84" t="s">
        <v>841</v>
      </c>
      <c r="E775" s="84"/>
      <c r="F775" s="85"/>
      <c r="G775" s="112"/>
    </row>
    <row r="776" spans="1:8" ht="13.5" thickTop="1">
      <c r="A776" s="95"/>
      <c r="B776" s="808"/>
      <c r="C776" s="809"/>
      <c r="D776" s="801" t="s">
        <v>856</v>
      </c>
      <c r="E776" s="802"/>
      <c r="F776" s="9"/>
      <c r="G776" s="113">
        <f>SUM(G767:G775)</f>
        <v>0</v>
      </c>
    </row>
    <row r="777" spans="1:8">
      <c r="A777" s="95"/>
      <c r="B777" s="819"/>
      <c r="C777" s="820"/>
      <c r="D777" s="801" t="s">
        <v>857</v>
      </c>
      <c r="E777" s="802"/>
      <c r="F777" s="79">
        <f>'MANO DE OBRA'!$D$60</f>
        <v>0.05</v>
      </c>
      <c r="G777" s="113">
        <f>ROUND(G776*F777,0)</f>
        <v>0</v>
      </c>
    </row>
    <row r="778" spans="1:8" ht="13.5" thickBot="1">
      <c r="A778" s="95"/>
      <c r="B778" s="819"/>
      <c r="C778" s="820"/>
      <c r="D778" s="803" t="s">
        <v>320</v>
      </c>
      <c r="E778" s="804"/>
      <c r="F778" s="114"/>
      <c r="G778" s="118">
        <f>+G776+G777</f>
        <v>0</v>
      </c>
    </row>
    <row r="779" spans="1:8" ht="14.25" thickTop="1" thickBot="1">
      <c r="A779" s="95"/>
      <c r="B779" s="830"/>
      <c r="C779" s="830"/>
      <c r="D779" s="830"/>
      <c r="E779" s="830"/>
      <c r="F779" s="830"/>
      <c r="G779" s="830"/>
    </row>
    <row r="780" spans="1:8" ht="13.5" thickTop="1">
      <c r="A780" s="95"/>
      <c r="B780" s="811" t="s">
        <v>858</v>
      </c>
      <c r="C780" s="812"/>
      <c r="D780" s="812"/>
      <c r="E780" s="812"/>
      <c r="F780" s="812"/>
      <c r="G780" s="825"/>
    </row>
    <row r="781" spans="1:8">
      <c r="A781" s="95"/>
      <c r="B781" s="817"/>
      <c r="C781" s="818"/>
      <c r="D781" s="98" t="s">
        <v>301</v>
      </c>
      <c r="E781" s="98" t="s">
        <v>859</v>
      </c>
      <c r="F781" s="99" t="s">
        <v>839</v>
      </c>
      <c r="G781" s="107" t="s">
        <v>840</v>
      </c>
    </row>
    <row r="782" spans="1:8">
      <c r="A782" s="95"/>
      <c r="B782" s="821" t="s">
        <v>838</v>
      </c>
      <c r="C782" s="822"/>
      <c r="D782" s="100" t="s">
        <v>316</v>
      </c>
      <c r="E782" s="100" t="s">
        <v>315</v>
      </c>
      <c r="F782" s="101" t="s">
        <v>306</v>
      </c>
      <c r="G782" s="108" t="s">
        <v>319</v>
      </c>
    </row>
    <row r="783" spans="1:8">
      <c r="A783" s="95"/>
      <c r="B783" s="230"/>
      <c r="C783" s="102"/>
      <c r="D783" s="103"/>
      <c r="E783" s="103" t="s">
        <v>317</v>
      </c>
      <c r="F783" s="104" t="s">
        <v>318</v>
      </c>
      <c r="G783" s="109"/>
    </row>
    <row r="784" spans="1:8">
      <c r="A784" s="95"/>
      <c r="B784" s="823" t="str">
        <f>'MANO DE OBRA'!$B$10</f>
        <v>AYUDANTE CUAD. TIPO AA</v>
      </c>
      <c r="C784" s="824"/>
      <c r="D784" s="87">
        <v>1</v>
      </c>
      <c r="E784" s="80">
        <f>'MANO DE OBRA'!$E$10</f>
        <v>34680</v>
      </c>
      <c r="F784" s="81">
        <v>1.33</v>
      </c>
      <c r="G784" s="110">
        <f>ROUND(D784*E784/F784,0)</f>
        <v>26075</v>
      </c>
    </row>
    <row r="785" spans="1:8">
      <c r="A785" s="95"/>
      <c r="B785" s="835"/>
      <c r="C785" s="836"/>
      <c r="D785" s="37"/>
      <c r="E785" s="82"/>
      <c r="F785" s="83"/>
      <c r="G785" s="111"/>
    </row>
    <row r="786" spans="1:8">
      <c r="A786" s="95"/>
      <c r="B786" s="835"/>
      <c r="C786" s="836"/>
      <c r="D786" s="89"/>
      <c r="E786" s="82"/>
      <c r="F786" s="83"/>
      <c r="G786" s="111"/>
    </row>
    <row r="787" spans="1:8">
      <c r="A787" s="95"/>
      <c r="B787" s="835" t="s">
        <v>841</v>
      </c>
      <c r="C787" s="836"/>
      <c r="D787" s="37"/>
      <c r="E787" s="82"/>
      <c r="F787" s="83"/>
      <c r="G787" s="111"/>
    </row>
    <row r="788" spans="1:8" ht="13.5" thickBot="1">
      <c r="A788" s="95"/>
      <c r="B788" s="828" t="s">
        <v>841</v>
      </c>
      <c r="C788" s="829"/>
      <c r="D788" s="77"/>
      <c r="E788" s="82"/>
      <c r="F788" s="86"/>
      <c r="G788" s="112"/>
    </row>
    <row r="789" spans="1:8" ht="14.25" thickTop="1" thickBot="1">
      <c r="A789" s="95"/>
      <c r="B789" s="808"/>
      <c r="C789" s="808"/>
      <c r="D789" s="808"/>
      <c r="E789" s="809"/>
      <c r="F789" s="120" t="s">
        <v>856</v>
      </c>
      <c r="G789" s="118">
        <f>SUM(G784:G788)</f>
        <v>26075</v>
      </c>
    </row>
    <row r="790" spans="1:8" ht="14.25" thickTop="1" thickBot="1">
      <c r="A790" s="95"/>
      <c r="B790" s="810"/>
      <c r="C790" s="810"/>
      <c r="D790" s="810"/>
      <c r="E790" s="810"/>
      <c r="F790" s="810"/>
      <c r="G790" s="810"/>
    </row>
    <row r="791" spans="1:8" ht="13.5" thickTop="1">
      <c r="A791" s="95"/>
      <c r="B791" s="811" t="s">
        <v>321</v>
      </c>
      <c r="C791" s="812"/>
      <c r="D791" s="812"/>
      <c r="E791" s="812"/>
      <c r="F791" s="812"/>
      <c r="G791" s="825"/>
    </row>
    <row r="792" spans="1:8">
      <c r="A792" s="95"/>
      <c r="B792" s="817" t="s">
        <v>838</v>
      </c>
      <c r="C792" s="818"/>
      <c r="D792" s="98" t="s">
        <v>301</v>
      </c>
      <c r="E792" s="98" t="s">
        <v>297</v>
      </c>
      <c r="F792" s="99" t="s">
        <v>839</v>
      </c>
      <c r="G792" s="107" t="s">
        <v>840</v>
      </c>
    </row>
    <row r="793" spans="1:8">
      <c r="A793" s="95"/>
      <c r="B793" s="230"/>
      <c r="C793" s="102"/>
      <c r="D793" s="103" t="s">
        <v>322</v>
      </c>
      <c r="E793" s="103" t="s">
        <v>323</v>
      </c>
      <c r="F793" s="104" t="s">
        <v>324</v>
      </c>
      <c r="G793" s="109" t="s">
        <v>325</v>
      </c>
    </row>
    <row r="794" spans="1:8">
      <c r="A794" s="95"/>
      <c r="B794" s="826"/>
      <c r="C794" s="827"/>
      <c r="D794" s="96"/>
      <c r="E794" s="96"/>
      <c r="F794" s="96"/>
      <c r="G794" s="116"/>
    </row>
    <row r="795" spans="1:8" ht="13.5" thickBot="1">
      <c r="A795" s="95"/>
      <c r="B795" s="828" t="s">
        <v>841</v>
      </c>
      <c r="C795" s="829"/>
      <c r="D795" s="77"/>
      <c r="E795" s="82"/>
      <c r="F795" s="86"/>
      <c r="G795" s="112"/>
    </row>
    <row r="796" spans="1:8" ht="14.25" thickTop="1" thickBot="1">
      <c r="A796" s="95"/>
      <c r="B796" s="808"/>
      <c r="C796" s="808"/>
      <c r="D796" s="808"/>
      <c r="E796" s="809"/>
      <c r="F796" s="120" t="s">
        <v>856</v>
      </c>
      <c r="G796" s="118">
        <f>SUM(G791:G795)</f>
        <v>0</v>
      </c>
    </row>
    <row r="797" spans="1:8" ht="14.25" thickTop="1" thickBot="1">
      <c r="A797" s="95"/>
      <c r="B797" s="810"/>
      <c r="C797" s="810"/>
      <c r="D797" s="810"/>
      <c r="E797" s="810"/>
      <c r="F797" s="810"/>
      <c r="G797" s="834"/>
    </row>
    <row r="798" spans="1:8" ht="13.5" thickTop="1">
      <c r="A798" s="95"/>
      <c r="B798" s="811" t="s">
        <v>326</v>
      </c>
      <c r="C798" s="812"/>
      <c r="D798" s="812"/>
      <c r="E798" s="812"/>
      <c r="F798" s="813"/>
      <c r="G798" s="121">
        <f>+G762+G778+G789</f>
        <v>27379</v>
      </c>
    </row>
    <row r="799" spans="1:8">
      <c r="A799" s="95"/>
      <c r="B799" s="814" t="s">
        <v>861</v>
      </c>
      <c r="C799" s="815"/>
      <c r="D799" s="815"/>
      <c r="E799" s="816"/>
      <c r="F799" s="128">
        <f>'MANO DE OBRA'!D589</f>
        <v>0</v>
      </c>
      <c r="G799" s="122">
        <f>ROUND(G798*F799,0)</f>
        <v>0</v>
      </c>
    </row>
    <row r="800" spans="1:8" ht="13.5" thickBot="1">
      <c r="A800" s="95"/>
      <c r="B800" s="805" t="s">
        <v>1049</v>
      </c>
      <c r="C800" s="806"/>
      <c r="D800" s="806"/>
      <c r="E800" s="806"/>
      <c r="F800" s="807"/>
      <c r="G800" s="118">
        <f>ROUND(G798+G799,-2)</f>
        <v>27400</v>
      </c>
      <c r="H800" s="505" t="s">
        <v>1670</v>
      </c>
    </row>
    <row r="801" spans="1:7" ht="15" thickTop="1">
      <c r="A801" s="95"/>
      <c r="B801" s="225" t="s">
        <v>303</v>
      </c>
      <c r="C801" s="843"/>
      <c r="D801" s="843"/>
      <c r="E801" s="843"/>
      <c r="F801" s="92" t="s">
        <v>781</v>
      </c>
      <c r="G801" s="93" t="s">
        <v>1066</v>
      </c>
    </row>
    <row r="802" spans="1:7">
      <c r="A802" s="95"/>
      <c r="B802" s="226" t="s">
        <v>834</v>
      </c>
      <c r="C802" s="844" t="s">
        <v>342</v>
      </c>
      <c r="D802" s="844"/>
      <c r="E802" s="844"/>
      <c r="F802" s="15" t="s">
        <v>833</v>
      </c>
      <c r="G802" s="165" t="str">
        <f>'MANO DE OBRA'!$D$61</f>
        <v>Agosto de 2010</v>
      </c>
    </row>
    <row r="803" spans="1:7" ht="13.5" thickBot="1">
      <c r="A803" s="127"/>
      <c r="B803" s="228" t="s">
        <v>835</v>
      </c>
      <c r="C803" s="845" t="s">
        <v>791</v>
      </c>
      <c r="D803" s="845"/>
      <c r="E803" s="845"/>
      <c r="F803" s="845"/>
      <c r="G803" s="846"/>
    </row>
    <row r="804" spans="1:7" ht="14.25" thickTop="1" thickBot="1">
      <c r="A804" s="95"/>
      <c r="B804" s="847"/>
      <c r="C804" s="847"/>
      <c r="D804" s="847"/>
      <c r="E804" s="847"/>
      <c r="F804" s="847"/>
      <c r="G804" s="847"/>
    </row>
    <row r="805" spans="1:7" ht="13.5" thickTop="1">
      <c r="A805" s="95"/>
      <c r="B805" s="811" t="s">
        <v>304</v>
      </c>
      <c r="C805" s="812"/>
      <c r="D805" s="812"/>
      <c r="E805" s="812"/>
      <c r="F805" s="812"/>
      <c r="G805" s="825"/>
    </row>
    <row r="806" spans="1:7">
      <c r="A806" s="95"/>
      <c r="B806" s="229"/>
      <c r="C806" s="97"/>
      <c r="D806" s="98" t="s">
        <v>301</v>
      </c>
      <c r="E806" s="98" t="s">
        <v>1072</v>
      </c>
      <c r="F806" s="99" t="s">
        <v>839</v>
      </c>
      <c r="G806" s="107" t="s">
        <v>840</v>
      </c>
    </row>
    <row r="807" spans="1:7">
      <c r="A807" s="95"/>
      <c r="B807" s="821" t="s">
        <v>838</v>
      </c>
      <c r="C807" s="822"/>
      <c r="D807" s="100" t="s">
        <v>308</v>
      </c>
      <c r="E807" s="100" t="s">
        <v>305</v>
      </c>
      <c r="F807" s="101" t="s">
        <v>306</v>
      </c>
      <c r="G807" s="108" t="s">
        <v>310</v>
      </c>
    </row>
    <row r="808" spans="1:7">
      <c r="A808" s="95"/>
      <c r="B808" s="230"/>
      <c r="C808" s="102"/>
      <c r="D808" s="103"/>
      <c r="E808" s="103" t="s">
        <v>309</v>
      </c>
      <c r="F808" s="104" t="s">
        <v>307</v>
      </c>
      <c r="G808" s="109"/>
    </row>
    <row r="809" spans="1:7">
      <c r="A809" s="127"/>
      <c r="B809" s="823" t="str">
        <f>'MAQUINARIA Y EQUIPOS'!$C$28</f>
        <v>HERRAMIENTAS MENORES</v>
      </c>
      <c r="C809" s="824"/>
      <c r="D809" s="87">
        <v>1</v>
      </c>
      <c r="E809" s="82">
        <f>ROUND(G842*0.05,0)</f>
        <v>1734</v>
      </c>
      <c r="F809" s="81">
        <v>1</v>
      </c>
      <c r="G809" s="110">
        <f>ROUND(D809*E809/F809,0)</f>
        <v>1734</v>
      </c>
    </row>
    <row r="810" spans="1:7">
      <c r="A810" s="95"/>
      <c r="B810" s="835"/>
      <c r="C810" s="836"/>
      <c r="D810" s="37"/>
      <c r="E810" s="82"/>
      <c r="F810" s="83"/>
      <c r="G810" s="111"/>
    </row>
    <row r="811" spans="1:7">
      <c r="A811" s="95"/>
      <c r="B811" s="835"/>
      <c r="C811" s="836"/>
      <c r="D811" s="89"/>
      <c r="E811" s="82"/>
      <c r="F811" s="83"/>
      <c r="G811" s="111"/>
    </row>
    <row r="812" spans="1:7">
      <c r="A812" s="95"/>
      <c r="B812" s="835"/>
      <c r="C812" s="836"/>
      <c r="D812" s="89"/>
      <c r="E812" s="82"/>
      <c r="F812" s="83"/>
      <c r="G812" s="111"/>
    </row>
    <row r="813" spans="1:7">
      <c r="A813" s="95"/>
      <c r="B813" s="835" t="s">
        <v>841</v>
      </c>
      <c r="C813" s="836"/>
      <c r="D813" s="37"/>
      <c r="E813" s="82"/>
      <c r="F813" s="83"/>
      <c r="G813" s="111"/>
    </row>
    <row r="814" spans="1:7" ht="13.5" thickBot="1">
      <c r="A814" s="95"/>
      <c r="B814" s="839" t="s">
        <v>841</v>
      </c>
      <c r="C814" s="840"/>
      <c r="D814" s="77"/>
      <c r="E814" s="106"/>
      <c r="F814" s="86"/>
      <c r="G814" s="112"/>
    </row>
    <row r="815" spans="1:7" ht="14.25" thickTop="1" thickBot="1">
      <c r="A815" s="95"/>
      <c r="B815" s="808"/>
      <c r="C815" s="808"/>
      <c r="D815" s="808"/>
      <c r="E815" s="809"/>
      <c r="F815" s="119" t="s">
        <v>856</v>
      </c>
      <c r="G815" s="118">
        <f>SUM(G809:G814)</f>
        <v>1734</v>
      </c>
    </row>
    <row r="816" spans="1:7" ht="14.25" thickTop="1" thickBot="1">
      <c r="A816" s="95"/>
      <c r="B816" s="830"/>
      <c r="C816" s="830"/>
      <c r="D816" s="830"/>
      <c r="E816" s="830"/>
      <c r="F816" s="830"/>
      <c r="G816" s="830"/>
    </row>
    <row r="817" spans="1:8" ht="13.5" thickTop="1">
      <c r="A817" s="95"/>
      <c r="B817" s="811" t="s">
        <v>311</v>
      </c>
      <c r="C817" s="812"/>
      <c r="D817" s="812"/>
      <c r="E817" s="812"/>
      <c r="F817" s="812"/>
      <c r="G817" s="825"/>
    </row>
    <row r="818" spans="1:8">
      <c r="A818" s="95"/>
      <c r="B818" s="817" t="s">
        <v>838</v>
      </c>
      <c r="C818" s="818"/>
      <c r="D818" s="98" t="s">
        <v>842</v>
      </c>
      <c r="E818" s="98" t="s">
        <v>853</v>
      </c>
      <c r="F818" s="99" t="s">
        <v>1047</v>
      </c>
      <c r="G818" s="107" t="s">
        <v>840</v>
      </c>
    </row>
    <row r="819" spans="1:8">
      <c r="A819" s="95"/>
      <c r="B819" s="230"/>
      <c r="C819" s="102"/>
      <c r="D819" s="100"/>
      <c r="E819" s="100" t="s">
        <v>312</v>
      </c>
      <c r="F819" s="101" t="s">
        <v>313</v>
      </c>
      <c r="G819" s="108" t="s">
        <v>314</v>
      </c>
    </row>
    <row r="820" spans="1:8">
      <c r="A820" s="125"/>
      <c r="B820" s="875"/>
      <c r="C820" s="876"/>
      <c r="D820" s="87"/>
      <c r="E820" s="10"/>
      <c r="F820" s="80"/>
      <c r="G820" s="110"/>
    </row>
    <row r="821" spans="1:8">
      <c r="A821" s="123"/>
      <c r="B821" s="877"/>
      <c r="C821" s="878"/>
      <c r="D821" s="88"/>
      <c r="E821" s="53"/>
      <c r="F821" s="82"/>
      <c r="G821" s="111"/>
    </row>
    <row r="822" spans="1:8">
      <c r="A822" s="95"/>
      <c r="B822" s="835"/>
      <c r="C822" s="836"/>
      <c r="D822" s="37"/>
      <c r="E822" s="55"/>
      <c r="F822" s="82"/>
      <c r="G822" s="111"/>
    </row>
    <row r="823" spans="1:8">
      <c r="A823" s="95"/>
      <c r="B823" s="835"/>
      <c r="C823" s="836"/>
      <c r="D823" s="37"/>
      <c r="E823" s="55"/>
      <c r="F823" s="82"/>
      <c r="G823" s="111"/>
    </row>
    <row r="824" spans="1:8">
      <c r="A824" s="95"/>
      <c r="B824" s="837"/>
      <c r="C824" s="838"/>
      <c r="D824" s="37"/>
      <c r="E824" s="55"/>
      <c r="F824" s="82"/>
      <c r="G824" s="111"/>
    </row>
    <row r="825" spans="1:8">
      <c r="A825" s="95"/>
      <c r="B825" s="837"/>
      <c r="C825" s="838"/>
      <c r="D825" s="53" t="s">
        <v>841</v>
      </c>
      <c r="E825" s="53"/>
      <c r="F825" s="82"/>
      <c r="G825" s="111"/>
    </row>
    <row r="826" spans="1:8">
      <c r="A826" s="95"/>
      <c r="B826" s="837" t="s">
        <v>841</v>
      </c>
      <c r="C826" s="838"/>
      <c r="D826" s="53" t="s">
        <v>841</v>
      </c>
      <c r="E826" s="53"/>
      <c r="F826" s="82"/>
      <c r="G826" s="111"/>
    </row>
    <row r="827" spans="1:8">
      <c r="A827" s="95"/>
      <c r="B827" s="837" t="s">
        <v>841</v>
      </c>
      <c r="C827" s="838"/>
      <c r="D827" s="53" t="s">
        <v>841</v>
      </c>
      <c r="E827" s="53"/>
      <c r="F827" s="82"/>
      <c r="G827" s="111"/>
      <c r="H827" s="505" t="s">
        <v>1670</v>
      </c>
    </row>
    <row r="828" spans="1:8" ht="13.5" thickBot="1">
      <c r="A828" s="95"/>
      <c r="B828" s="839" t="s">
        <v>841</v>
      </c>
      <c r="C828" s="840"/>
      <c r="D828" s="84" t="s">
        <v>841</v>
      </c>
      <c r="E828" s="84"/>
      <c r="F828" s="85"/>
      <c r="G828" s="112"/>
    </row>
    <row r="829" spans="1:8" ht="13.5" thickTop="1">
      <c r="A829" s="95"/>
      <c r="B829" s="808"/>
      <c r="C829" s="809"/>
      <c r="D829" s="801" t="s">
        <v>856</v>
      </c>
      <c r="E829" s="802"/>
      <c r="F829" s="9"/>
      <c r="G829" s="113">
        <f>SUM(G820:G828)</f>
        <v>0</v>
      </c>
    </row>
    <row r="830" spans="1:8">
      <c r="A830" s="95"/>
      <c r="B830" s="819"/>
      <c r="C830" s="820"/>
      <c r="D830" s="801" t="s">
        <v>857</v>
      </c>
      <c r="E830" s="802"/>
      <c r="F830" s="79">
        <f>'MANO DE OBRA'!$D$60</f>
        <v>0.05</v>
      </c>
      <c r="G830" s="113">
        <f>ROUND(G829*F830,0)</f>
        <v>0</v>
      </c>
    </row>
    <row r="831" spans="1:8" ht="13.5" thickBot="1">
      <c r="A831" s="95"/>
      <c r="B831" s="819"/>
      <c r="C831" s="820"/>
      <c r="D831" s="803" t="s">
        <v>320</v>
      </c>
      <c r="E831" s="804"/>
      <c r="F831" s="114"/>
      <c r="G831" s="118">
        <f>+G829+G830</f>
        <v>0</v>
      </c>
    </row>
    <row r="832" spans="1:8" ht="14.25" thickTop="1" thickBot="1">
      <c r="A832" s="95"/>
      <c r="B832" s="830"/>
      <c r="C832" s="830"/>
      <c r="D832" s="830"/>
      <c r="E832" s="830"/>
      <c r="F832" s="830"/>
      <c r="G832" s="830"/>
    </row>
    <row r="833" spans="1:7" ht="13.5" thickTop="1">
      <c r="A833" s="95"/>
      <c r="B833" s="811" t="s">
        <v>858</v>
      </c>
      <c r="C833" s="812"/>
      <c r="D833" s="812"/>
      <c r="E833" s="812"/>
      <c r="F833" s="812"/>
      <c r="G833" s="825"/>
    </row>
    <row r="834" spans="1:7">
      <c r="A834" s="95"/>
      <c r="B834" s="817"/>
      <c r="C834" s="818"/>
      <c r="D834" s="98" t="s">
        <v>301</v>
      </c>
      <c r="E834" s="98" t="s">
        <v>859</v>
      </c>
      <c r="F834" s="99" t="s">
        <v>839</v>
      </c>
      <c r="G834" s="107" t="s">
        <v>840</v>
      </c>
    </row>
    <row r="835" spans="1:7">
      <c r="A835" s="95"/>
      <c r="B835" s="821" t="s">
        <v>838</v>
      </c>
      <c r="C835" s="822"/>
      <c r="D835" s="100" t="s">
        <v>316</v>
      </c>
      <c r="E835" s="100" t="s">
        <v>315</v>
      </c>
      <c r="F835" s="101" t="s">
        <v>306</v>
      </c>
      <c r="G835" s="108" t="s">
        <v>319</v>
      </c>
    </row>
    <row r="836" spans="1:7">
      <c r="A836" s="95"/>
      <c r="B836" s="230"/>
      <c r="C836" s="102"/>
      <c r="D836" s="103"/>
      <c r="E836" s="103" t="s">
        <v>317</v>
      </c>
      <c r="F836" s="104" t="s">
        <v>318</v>
      </c>
      <c r="G836" s="109"/>
    </row>
    <row r="837" spans="1:7">
      <c r="A837" s="95"/>
      <c r="B837" s="823" t="str">
        <f>'MANO DE OBRA'!$B$10</f>
        <v>AYUDANTE CUAD. TIPO AA</v>
      </c>
      <c r="C837" s="824"/>
      <c r="D837" s="87">
        <v>1</v>
      </c>
      <c r="E837" s="80">
        <f>'MANO DE OBRA'!$E$10</f>
        <v>34680</v>
      </c>
      <c r="F837" s="81">
        <v>1</v>
      </c>
      <c r="G837" s="110">
        <f>ROUND(D837*E837/F837,0)</f>
        <v>34680</v>
      </c>
    </row>
    <row r="838" spans="1:7">
      <c r="A838" s="95"/>
      <c r="B838" s="835"/>
      <c r="C838" s="836"/>
      <c r="D838" s="37"/>
      <c r="E838" s="82"/>
      <c r="F838" s="83"/>
      <c r="G838" s="111"/>
    </row>
    <row r="839" spans="1:7">
      <c r="A839" s="95"/>
      <c r="B839" s="835"/>
      <c r="C839" s="836"/>
      <c r="D839" s="89"/>
      <c r="E839" s="82"/>
      <c r="F839" s="83"/>
      <c r="G839" s="111"/>
    </row>
    <row r="840" spans="1:7">
      <c r="A840" s="95"/>
      <c r="B840" s="835" t="s">
        <v>841</v>
      </c>
      <c r="C840" s="836"/>
      <c r="D840" s="37"/>
      <c r="E840" s="82"/>
      <c r="F840" s="83"/>
      <c r="G840" s="111"/>
    </row>
    <row r="841" spans="1:7" ht="13.5" thickBot="1">
      <c r="A841" s="95"/>
      <c r="B841" s="828" t="s">
        <v>841</v>
      </c>
      <c r="C841" s="829"/>
      <c r="D841" s="77"/>
      <c r="E841" s="82"/>
      <c r="F841" s="86"/>
      <c r="G841" s="112"/>
    </row>
    <row r="842" spans="1:7" ht="14.25" thickTop="1" thickBot="1">
      <c r="A842" s="95"/>
      <c r="B842" s="808"/>
      <c r="C842" s="808"/>
      <c r="D842" s="808"/>
      <c r="E842" s="809"/>
      <c r="F842" s="120" t="s">
        <v>856</v>
      </c>
      <c r="G842" s="118">
        <f>SUM(G837:G841)</f>
        <v>34680</v>
      </c>
    </row>
    <row r="843" spans="1:7" ht="14.25" thickTop="1" thickBot="1">
      <c r="A843" s="95"/>
      <c r="B843" s="810"/>
      <c r="C843" s="810"/>
      <c r="D843" s="810"/>
      <c r="E843" s="810"/>
      <c r="F843" s="810"/>
      <c r="G843" s="810"/>
    </row>
    <row r="844" spans="1:7" ht="13.5" thickTop="1">
      <c r="A844" s="95"/>
      <c r="B844" s="811" t="s">
        <v>321</v>
      </c>
      <c r="C844" s="812"/>
      <c r="D844" s="812"/>
      <c r="E844" s="812"/>
      <c r="F844" s="812"/>
      <c r="G844" s="825"/>
    </row>
    <row r="845" spans="1:7">
      <c r="A845" s="95"/>
      <c r="B845" s="817" t="s">
        <v>838</v>
      </c>
      <c r="C845" s="818"/>
      <c r="D845" s="98" t="s">
        <v>301</v>
      </c>
      <c r="E845" s="98" t="s">
        <v>297</v>
      </c>
      <c r="F845" s="99" t="s">
        <v>839</v>
      </c>
      <c r="G845" s="107" t="s">
        <v>840</v>
      </c>
    </row>
    <row r="846" spans="1:7">
      <c r="A846" s="95"/>
      <c r="B846" s="230"/>
      <c r="C846" s="102"/>
      <c r="D846" s="103" t="s">
        <v>322</v>
      </c>
      <c r="E846" s="103" t="s">
        <v>323</v>
      </c>
      <c r="F846" s="104" t="s">
        <v>324</v>
      </c>
      <c r="G846" s="109" t="s">
        <v>325</v>
      </c>
    </row>
    <row r="847" spans="1:7">
      <c r="A847" s="95"/>
      <c r="B847" s="826"/>
      <c r="C847" s="827"/>
      <c r="D847" s="96"/>
      <c r="E847" s="96"/>
      <c r="F847" s="96"/>
      <c r="G847" s="116"/>
    </row>
    <row r="848" spans="1:7" ht="13.5" thickBot="1">
      <c r="A848" s="95"/>
      <c r="B848" s="828" t="s">
        <v>841</v>
      </c>
      <c r="C848" s="829"/>
      <c r="D848" s="77"/>
      <c r="E848" s="82"/>
      <c r="F848" s="86"/>
      <c r="G848" s="112"/>
    </row>
    <row r="849" spans="1:8" ht="14.25" thickTop="1" thickBot="1">
      <c r="A849" s="95"/>
      <c r="B849" s="808"/>
      <c r="C849" s="808"/>
      <c r="D849" s="808"/>
      <c r="E849" s="809"/>
      <c r="F849" s="120" t="s">
        <v>856</v>
      </c>
      <c r="G849" s="118">
        <f>SUM(G844:G848)</f>
        <v>0</v>
      </c>
    </row>
    <row r="850" spans="1:8" ht="14.25" thickTop="1" thickBot="1">
      <c r="A850" s="95"/>
      <c r="B850" s="810"/>
      <c r="C850" s="810"/>
      <c r="D850" s="810"/>
      <c r="E850" s="810"/>
      <c r="F850" s="810"/>
      <c r="G850" s="834"/>
    </row>
    <row r="851" spans="1:8" ht="13.5" thickTop="1">
      <c r="A851" s="95"/>
      <c r="B851" s="811" t="s">
        <v>326</v>
      </c>
      <c r="C851" s="812"/>
      <c r="D851" s="812"/>
      <c r="E851" s="812"/>
      <c r="F851" s="813"/>
      <c r="G851" s="121">
        <f>+G815+G831+G842</f>
        <v>36414</v>
      </c>
    </row>
    <row r="852" spans="1:8">
      <c r="A852" s="95"/>
      <c r="B852" s="814" t="s">
        <v>861</v>
      </c>
      <c r="C852" s="815"/>
      <c r="D852" s="815"/>
      <c r="E852" s="816"/>
      <c r="F852" s="128">
        <f>'MANO DE OBRA'!D642</f>
        <v>0</v>
      </c>
      <c r="G852" s="122">
        <f>ROUND(G851*F852,0)</f>
        <v>0</v>
      </c>
    </row>
    <row r="853" spans="1:8" ht="13.5" thickBot="1">
      <c r="A853" s="95"/>
      <c r="B853" s="805" t="s">
        <v>1049</v>
      </c>
      <c r="C853" s="806"/>
      <c r="D853" s="806"/>
      <c r="E853" s="806"/>
      <c r="F853" s="807"/>
      <c r="G853" s="118">
        <f>ROUND(G851+G852,-2)</f>
        <v>36400</v>
      </c>
      <c r="H853" s="505" t="s">
        <v>1670</v>
      </c>
    </row>
    <row r="854" spans="1:8" ht="15" thickTop="1">
      <c r="A854" s="95"/>
      <c r="B854" s="225" t="s">
        <v>303</v>
      </c>
      <c r="C854" s="843"/>
      <c r="D854" s="843"/>
      <c r="E854" s="843"/>
      <c r="F854" s="92" t="s">
        <v>781</v>
      </c>
      <c r="G854" s="93" t="s">
        <v>1066</v>
      </c>
    </row>
    <row r="855" spans="1:8">
      <c r="A855" s="95"/>
      <c r="B855" s="226" t="s">
        <v>834</v>
      </c>
      <c r="C855" s="844" t="s">
        <v>342</v>
      </c>
      <c r="D855" s="844"/>
      <c r="E855" s="844"/>
      <c r="F855" s="15" t="s">
        <v>833</v>
      </c>
      <c r="G855" s="165" t="str">
        <f>'MANO DE OBRA'!$D$61</f>
        <v>Agosto de 2010</v>
      </c>
    </row>
    <row r="856" spans="1:8" ht="13.5" thickBot="1">
      <c r="A856" s="127"/>
      <c r="B856" s="228" t="s">
        <v>835</v>
      </c>
      <c r="C856" s="845" t="s">
        <v>792</v>
      </c>
      <c r="D856" s="845"/>
      <c r="E856" s="845"/>
      <c r="F856" s="845"/>
      <c r="G856" s="846"/>
    </row>
    <row r="857" spans="1:8" ht="14.25" thickTop="1" thickBot="1">
      <c r="A857" s="95"/>
      <c r="B857" s="847"/>
      <c r="C857" s="847"/>
      <c r="D857" s="847"/>
      <c r="E857" s="847"/>
      <c r="F857" s="847"/>
      <c r="G857" s="847"/>
    </row>
    <row r="858" spans="1:8" ht="13.5" thickTop="1">
      <c r="A858" s="95"/>
      <c r="B858" s="811" t="s">
        <v>304</v>
      </c>
      <c r="C858" s="812"/>
      <c r="D858" s="812"/>
      <c r="E858" s="812"/>
      <c r="F858" s="812"/>
      <c r="G858" s="825"/>
    </row>
    <row r="859" spans="1:8">
      <c r="A859" s="95"/>
      <c r="B859" s="229"/>
      <c r="C859" s="97"/>
      <c r="D859" s="98" t="s">
        <v>301</v>
      </c>
      <c r="E859" s="98" t="s">
        <v>1072</v>
      </c>
      <c r="F859" s="99" t="s">
        <v>839</v>
      </c>
      <c r="G859" s="107" t="s">
        <v>840</v>
      </c>
    </row>
    <row r="860" spans="1:8">
      <c r="A860" s="95"/>
      <c r="B860" s="821" t="s">
        <v>838</v>
      </c>
      <c r="C860" s="822"/>
      <c r="D860" s="100" t="s">
        <v>308</v>
      </c>
      <c r="E860" s="100" t="s">
        <v>305</v>
      </c>
      <c r="F860" s="101" t="s">
        <v>306</v>
      </c>
      <c r="G860" s="108" t="s">
        <v>310</v>
      </c>
    </row>
    <row r="861" spans="1:8">
      <c r="A861" s="95"/>
      <c r="B861" s="230"/>
      <c r="C861" s="102"/>
      <c r="D861" s="103"/>
      <c r="E861" s="103" t="s">
        <v>309</v>
      </c>
      <c r="F861" s="104" t="s">
        <v>307</v>
      </c>
      <c r="G861" s="109"/>
    </row>
    <row r="862" spans="1:8">
      <c r="A862" s="127"/>
      <c r="B862" s="823" t="str">
        <f>'MAQUINARIA Y EQUIPOS'!$C$28</f>
        <v>HERRAMIENTAS MENORES</v>
      </c>
      <c r="C862" s="824"/>
      <c r="D862" s="87">
        <v>1</v>
      </c>
      <c r="E862" s="82">
        <f>ROUND(G895*0.05,0)</f>
        <v>2442</v>
      </c>
      <c r="F862" s="81">
        <v>1</v>
      </c>
      <c r="G862" s="110">
        <f>ROUND(D862*E862/F862,0)</f>
        <v>2442</v>
      </c>
    </row>
    <row r="863" spans="1:8">
      <c r="A863" s="95"/>
      <c r="B863" s="835"/>
      <c r="C863" s="836"/>
      <c r="D863" s="37"/>
      <c r="E863" s="82"/>
      <c r="F863" s="83"/>
      <c r="G863" s="111"/>
    </row>
    <row r="864" spans="1:8">
      <c r="A864" s="95"/>
      <c r="B864" s="835"/>
      <c r="C864" s="836"/>
      <c r="D864" s="89"/>
      <c r="E864" s="82"/>
      <c r="F864" s="83"/>
      <c r="G864" s="111"/>
    </row>
    <row r="865" spans="1:8">
      <c r="A865" s="95"/>
      <c r="B865" s="835"/>
      <c r="C865" s="836"/>
      <c r="D865" s="89"/>
      <c r="E865" s="82"/>
      <c r="F865" s="83"/>
      <c r="G865" s="111"/>
    </row>
    <row r="866" spans="1:8">
      <c r="A866" s="95"/>
      <c r="B866" s="835" t="s">
        <v>841</v>
      </c>
      <c r="C866" s="836"/>
      <c r="D866" s="37"/>
      <c r="E866" s="82"/>
      <c r="F866" s="83"/>
      <c r="G866" s="111"/>
    </row>
    <row r="867" spans="1:8" ht="13.5" thickBot="1">
      <c r="A867" s="95"/>
      <c r="B867" s="839" t="s">
        <v>841</v>
      </c>
      <c r="C867" s="840"/>
      <c r="D867" s="77"/>
      <c r="E867" s="106"/>
      <c r="F867" s="86"/>
      <c r="G867" s="112"/>
    </row>
    <row r="868" spans="1:8" ht="14.25" thickTop="1" thickBot="1">
      <c r="A868" s="95"/>
      <c r="B868" s="808"/>
      <c r="C868" s="808"/>
      <c r="D868" s="808"/>
      <c r="E868" s="809"/>
      <c r="F868" s="119" t="s">
        <v>856</v>
      </c>
      <c r="G868" s="118">
        <f>SUM(G862:G867)</f>
        <v>2442</v>
      </c>
    </row>
    <row r="869" spans="1:8" ht="14.25" thickTop="1" thickBot="1">
      <c r="A869" s="95"/>
      <c r="B869" s="830"/>
      <c r="C869" s="830"/>
      <c r="D869" s="830"/>
      <c r="E869" s="830"/>
      <c r="F869" s="830"/>
      <c r="G869" s="830"/>
    </row>
    <row r="870" spans="1:8" ht="13.5" thickTop="1">
      <c r="A870" s="95"/>
      <c r="B870" s="811" t="s">
        <v>311</v>
      </c>
      <c r="C870" s="812"/>
      <c r="D870" s="812"/>
      <c r="E870" s="812"/>
      <c r="F870" s="812"/>
      <c r="G870" s="825"/>
    </row>
    <row r="871" spans="1:8">
      <c r="A871" s="95"/>
      <c r="B871" s="817" t="s">
        <v>838</v>
      </c>
      <c r="C871" s="818"/>
      <c r="D871" s="98" t="s">
        <v>842</v>
      </c>
      <c r="E871" s="98" t="s">
        <v>853</v>
      </c>
      <c r="F871" s="99" t="s">
        <v>1047</v>
      </c>
      <c r="G871" s="107" t="s">
        <v>840</v>
      </c>
    </row>
    <row r="872" spans="1:8">
      <c r="A872" s="95"/>
      <c r="B872" s="230"/>
      <c r="C872" s="102"/>
      <c r="D872" s="100"/>
      <c r="E872" s="100" t="s">
        <v>312</v>
      </c>
      <c r="F872" s="101" t="s">
        <v>313</v>
      </c>
      <c r="G872" s="108" t="s">
        <v>314</v>
      </c>
    </row>
    <row r="873" spans="1:8">
      <c r="A873" s="125"/>
      <c r="B873" s="875"/>
      <c r="C873" s="876"/>
      <c r="D873" s="87"/>
      <c r="E873" s="10"/>
      <c r="F873" s="80"/>
      <c r="G873" s="110"/>
    </row>
    <row r="874" spans="1:8">
      <c r="A874" s="123"/>
      <c r="B874" s="877"/>
      <c r="C874" s="878"/>
      <c r="D874" s="88"/>
      <c r="E874" s="53"/>
      <c r="F874" s="82"/>
      <c r="G874" s="111"/>
    </row>
    <row r="875" spans="1:8">
      <c r="A875" s="95"/>
      <c r="B875" s="835"/>
      <c r="C875" s="836"/>
      <c r="D875" s="37"/>
      <c r="E875" s="55"/>
      <c r="F875" s="82"/>
      <c r="G875" s="111"/>
    </row>
    <row r="876" spans="1:8">
      <c r="A876" s="95"/>
      <c r="B876" s="835"/>
      <c r="C876" s="836"/>
      <c r="D876" s="37"/>
      <c r="E876" s="55"/>
      <c r="F876" s="82"/>
      <c r="G876" s="111"/>
    </row>
    <row r="877" spans="1:8">
      <c r="A877" s="95"/>
      <c r="B877" s="837"/>
      <c r="C877" s="838"/>
      <c r="D877" s="37"/>
      <c r="E877" s="55"/>
      <c r="F877" s="82"/>
      <c r="G877" s="111"/>
    </row>
    <row r="878" spans="1:8">
      <c r="A878" s="95"/>
      <c r="B878" s="837"/>
      <c r="C878" s="838"/>
      <c r="D878" s="53" t="s">
        <v>841</v>
      </c>
      <c r="E878" s="53"/>
      <c r="F878" s="82"/>
      <c r="G878" s="111"/>
    </row>
    <row r="879" spans="1:8">
      <c r="A879" s="95"/>
      <c r="B879" s="837" t="s">
        <v>841</v>
      </c>
      <c r="C879" s="838"/>
      <c r="D879" s="53" t="s">
        <v>841</v>
      </c>
      <c r="E879" s="53"/>
      <c r="F879" s="82"/>
      <c r="G879" s="111"/>
    </row>
    <row r="880" spans="1:8">
      <c r="A880" s="95"/>
      <c r="B880" s="837" t="s">
        <v>841</v>
      </c>
      <c r="C880" s="838"/>
      <c r="D880" s="53" t="s">
        <v>841</v>
      </c>
      <c r="E880" s="53"/>
      <c r="F880" s="82"/>
      <c r="G880" s="111"/>
      <c r="H880" s="505" t="s">
        <v>1670</v>
      </c>
    </row>
    <row r="881" spans="1:7" ht="13.5" thickBot="1">
      <c r="A881" s="95"/>
      <c r="B881" s="839" t="s">
        <v>841</v>
      </c>
      <c r="C881" s="840"/>
      <c r="D881" s="84" t="s">
        <v>841</v>
      </c>
      <c r="E881" s="84"/>
      <c r="F881" s="85"/>
      <c r="G881" s="112"/>
    </row>
    <row r="882" spans="1:7" ht="13.5" thickTop="1">
      <c r="A882" s="95"/>
      <c r="B882" s="808"/>
      <c r="C882" s="809"/>
      <c r="D882" s="801" t="s">
        <v>856</v>
      </c>
      <c r="E882" s="802"/>
      <c r="F882" s="9"/>
      <c r="G882" s="113">
        <f>SUM(G873:G881)</f>
        <v>0</v>
      </c>
    </row>
    <row r="883" spans="1:7">
      <c r="A883" s="95"/>
      <c r="B883" s="819"/>
      <c r="C883" s="820"/>
      <c r="D883" s="801" t="s">
        <v>857</v>
      </c>
      <c r="E883" s="802"/>
      <c r="F883" s="79">
        <f>'MANO DE OBRA'!$D$60</f>
        <v>0.05</v>
      </c>
      <c r="G883" s="113">
        <f>ROUND(G882*F883,0)</f>
        <v>0</v>
      </c>
    </row>
    <row r="884" spans="1:7" ht="13.5" thickBot="1">
      <c r="A884" s="95"/>
      <c r="B884" s="819"/>
      <c r="C884" s="820"/>
      <c r="D884" s="803" t="s">
        <v>320</v>
      </c>
      <c r="E884" s="804"/>
      <c r="F884" s="114"/>
      <c r="G884" s="118">
        <f>+G882+G883</f>
        <v>0</v>
      </c>
    </row>
    <row r="885" spans="1:7" ht="14.25" thickTop="1" thickBot="1">
      <c r="A885" s="95"/>
      <c r="B885" s="830"/>
      <c r="C885" s="830"/>
      <c r="D885" s="830"/>
      <c r="E885" s="830"/>
      <c r="F885" s="830"/>
      <c r="G885" s="830"/>
    </row>
    <row r="886" spans="1:7" ht="13.5" thickTop="1">
      <c r="A886" s="95"/>
      <c r="B886" s="811" t="s">
        <v>858</v>
      </c>
      <c r="C886" s="812"/>
      <c r="D886" s="812"/>
      <c r="E886" s="812"/>
      <c r="F886" s="812"/>
      <c r="G886" s="825"/>
    </row>
    <row r="887" spans="1:7">
      <c r="A887" s="95"/>
      <c r="B887" s="817"/>
      <c r="C887" s="818"/>
      <c r="D887" s="98" t="s">
        <v>301</v>
      </c>
      <c r="E887" s="98" t="s">
        <v>859</v>
      </c>
      <c r="F887" s="99" t="s">
        <v>839</v>
      </c>
      <c r="G887" s="107" t="s">
        <v>840</v>
      </c>
    </row>
    <row r="888" spans="1:7">
      <c r="A888" s="95"/>
      <c r="B888" s="821" t="s">
        <v>838</v>
      </c>
      <c r="C888" s="822"/>
      <c r="D888" s="100" t="s">
        <v>316</v>
      </c>
      <c r="E888" s="100" t="s">
        <v>315</v>
      </c>
      <c r="F888" s="101" t="s">
        <v>306</v>
      </c>
      <c r="G888" s="108" t="s">
        <v>319</v>
      </c>
    </row>
    <row r="889" spans="1:7">
      <c r="A889" s="95"/>
      <c r="B889" s="230"/>
      <c r="C889" s="102"/>
      <c r="D889" s="103"/>
      <c r="E889" s="103" t="s">
        <v>317</v>
      </c>
      <c r="F889" s="104" t="s">
        <v>318</v>
      </c>
      <c r="G889" s="109"/>
    </row>
    <row r="890" spans="1:7">
      <c r="A890" s="95"/>
      <c r="B890" s="823" t="str">
        <f>'MANO DE OBRA'!$B$10</f>
        <v>AYUDANTE CUAD. TIPO AA</v>
      </c>
      <c r="C890" s="824"/>
      <c r="D890" s="87">
        <v>1</v>
      </c>
      <c r="E890" s="80">
        <f>'MANO DE OBRA'!$E$10</f>
        <v>34680</v>
      </c>
      <c r="F890" s="81">
        <v>0.71</v>
      </c>
      <c r="G890" s="110">
        <f>ROUND(D890*E890/F890,0)</f>
        <v>48845</v>
      </c>
    </row>
    <row r="891" spans="1:7">
      <c r="A891" s="95"/>
      <c r="B891" s="835"/>
      <c r="C891" s="836"/>
      <c r="D891" s="37"/>
      <c r="E891" s="82"/>
      <c r="F891" s="83"/>
      <c r="G891" s="111"/>
    </row>
    <row r="892" spans="1:7">
      <c r="A892" s="95"/>
      <c r="B892" s="835"/>
      <c r="C892" s="836"/>
      <c r="D892" s="89"/>
      <c r="E892" s="82"/>
      <c r="F892" s="83"/>
      <c r="G892" s="111"/>
    </row>
    <row r="893" spans="1:7">
      <c r="A893" s="95"/>
      <c r="B893" s="835" t="s">
        <v>841</v>
      </c>
      <c r="C893" s="836"/>
      <c r="D893" s="37"/>
      <c r="E893" s="82"/>
      <c r="F893" s="83"/>
      <c r="G893" s="111"/>
    </row>
    <row r="894" spans="1:7" ht="13.5" thickBot="1">
      <c r="A894" s="95"/>
      <c r="B894" s="828" t="s">
        <v>841</v>
      </c>
      <c r="C894" s="829"/>
      <c r="D894" s="77"/>
      <c r="E894" s="82"/>
      <c r="F894" s="86"/>
      <c r="G894" s="112"/>
    </row>
    <row r="895" spans="1:7" ht="14.25" thickTop="1" thickBot="1">
      <c r="A895" s="95"/>
      <c r="B895" s="808"/>
      <c r="C895" s="808"/>
      <c r="D895" s="808"/>
      <c r="E895" s="809"/>
      <c r="F895" s="120" t="s">
        <v>856</v>
      </c>
      <c r="G895" s="118">
        <f>SUM(G890:G894)</f>
        <v>48845</v>
      </c>
    </row>
    <row r="896" spans="1:7" ht="14.25" thickTop="1" thickBot="1">
      <c r="A896" s="95"/>
      <c r="B896" s="810"/>
      <c r="C896" s="810"/>
      <c r="D896" s="810"/>
      <c r="E896" s="810"/>
      <c r="F896" s="810"/>
      <c r="G896" s="810"/>
    </row>
    <row r="897" spans="1:8" ht="13.5" thickTop="1">
      <c r="A897" s="95"/>
      <c r="B897" s="811" t="s">
        <v>321</v>
      </c>
      <c r="C897" s="812"/>
      <c r="D897" s="812"/>
      <c r="E897" s="812"/>
      <c r="F897" s="812"/>
      <c r="G897" s="825"/>
    </row>
    <row r="898" spans="1:8">
      <c r="A898" s="95"/>
      <c r="B898" s="817" t="s">
        <v>838</v>
      </c>
      <c r="C898" s="818"/>
      <c r="D898" s="98" t="s">
        <v>301</v>
      </c>
      <c r="E898" s="98" t="s">
        <v>297</v>
      </c>
      <c r="F898" s="99" t="s">
        <v>839</v>
      </c>
      <c r="G898" s="107" t="s">
        <v>840</v>
      </c>
    </row>
    <row r="899" spans="1:8">
      <c r="A899" s="95"/>
      <c r="B899" s="230"/>
      <c r="C899" s="102"/>
      <c r="D899" s="103" t="s">
        <v>322</v>
      </c>
      <c r="E899" s="103" t="s">
        <v>323</v>
      </c>
      <c r="F899" s="104" t="s">
        <v>324</v>
      </c>
      <c r="G899" s="109" t="s">
        <v>325</v>
      </c>
    </row>
    <row r="900" spans="1:8">
      <c r="A900" s="95"/>
      <c r="B900" s="826"/>
      <c r="C900" s="827"/>
      <c r="D900" s="96"/>
      <c r="E900" s="96"/>
      <c r="F900" s="96"/>
      <c r="G900" s="116"/>
    </row>
    <row r="901" spans="1:8" ht="13.5" thickBot="1">
      <c r="A901" s="95"/>
      <c r="B901" s="828" t="s">
        <v>841</v>
      </c>
      <c r="C901" s="829"/>
      <c r="D901" s="77"/>
      <c r="E901" s="82"/>
      <c r="F901" s="86"/>
      <c r="G901" s="112"/>
    </row>
    <row r="902" spans="1:8" ht="14.25" thickTop="1" thickBot="1">
      <c r="A902" s="95"/>
      <c r="B902" s="808"/>
      <c r="C902" s="808"/>
      <c r="D902" s="808"/>
      <c r="E902" s="809"/>
      <c r="F902" s="120" t="s">
        <v>856</v>
      </c>
      <c r="G902" s="118">
        <f>SUM(G897:G901)</f>
        <v>0</v>
      </c>
    </row>
    <row r="903" spans="1:8" ht="14.25" thickTop="1" thickBot="1">
      <c r="A903" s="95"/>
      <c r="B903" s="810"/>
      <c r="C903" s="810"/>
      <c r="D903" s="810"/>
      <c r="E903" s="810"/>
      <c r="F903" s="810"/>
      <c r="G903" s="834"/>
    </row>
    <row r="904" spans="1:8" ht="13.5" thickTop="1">
      <c r="A904" s="95"/>
      <c r="B904" s="811" t="s">
        <v>326</v>
      </c>
      <c r="C904" s="812"/>
      <c r="D904" s="812"/>
      <c r="E904" s="812"/>
      <c r="F904" s="813"/>
      <c r="G904" s="121">
        <f>+G868+G884+G895</f>
        <v>51287</v>
      </c>
    </row>
    <row r="905" spans="1:8">
      <c r="A905" s="95"/>
      <c r="B905" s="814" t="s">
        <v>861</v>
      </c>
      <c r="C905" s="815"/>
      <c r="D905" s="815"/>
      <c r="E905" s="816"/>
      <c r="F905" s="128">
        <f>'MANO DE OBRA'!D695</f>
        <v>0</v>
      </c>
      <c r="G905" s="122">
        <f>ROUND(G904*F905,0)</f>
        <v>0</v>
      </c>
    </row>
    <row r="906" spans="1:8" ht="13.5" thickBot="1">
      <c r="A906" s="95"/>
      <c r="B906" s="805" t="s">
        <v>1049</v>
      </c>
      <c r="C906" s="806"/>
      <c r="D906" s="806"/>
      <c r="E906" s="806"/>
      <c r="F906" s="807"/>
      <c r="G906" s="118">
        <f>ROUND(G904+G905,-2)</f>
        <v>51300</v>
      </c>
      <c r="H906" s="505" t="s">
        <v>1670</v>
      </c>
    </row>
    <row r="907" spans="1:8" ht="15" thickTop="1">
      <c r="A907" s="95"/>
      <c r="B907" s="225" t="s">
        <v>303</v>
      </c>
      <c r="C907" s="843"/>
      <c r="D907" s="843"/>
      <c r="E907" s="843"/>
      <c r="F907" s="92" t="s">
        <v>781</v>
      </c>
      <c r="G907" s="93" t="s">
        <v>1066</v>
      </c>
    </row>
    <row r="908" spans="1:8">
      <c r="A908" s="95"/>
      <c r="B908" s="226" t="s">
        <v>834</v>
      </c>
      <c r="C908" s="844" t="s">
        <v>342</v>
      </c>
      <c r="D908" s="844"/>
      <c r="E908" s="844"/>
      <c r="F908" s="15" t="s">
        <v>833</v>
      </c>
      <c r="G908" s="165" t="str">
        <f>'MANO DE OBRA'!$D$61</f>
        <v>Agosto de 2010</v>
      </c>
    </row>
    <row r="909" spans="1:8" ht="13.5" thickBot="1">
      <c r="A909" s="127"/>
      <c r="B909" s="228" t="s">
        <v>835</v>
      </c>
      <c r="C909" s="845" t="s">
        <v>793</v>
      </c>
      <c r="D909" s="845"/>
      <c r="E909" s="845"/>
      <c r="F909" s="845"/>
      <c r="G909" s="846"/>
    </row>
    <row r="910" spans="1:8" ht="14.25" thickTop="1" thickBot="1">
      <c r="A910" s="95"/>
      <c r="B910" s="847"/>
      <c r="C910" s="847"/>
      <c r="D910" s="847"/>
      <c r="E910" s="847"/>
      <c r="F910" s="847"/>
      <c r="G910" s="847"/>
    </row>
    <row r="911" spans="1:8" ht="13.5" thickTop="1">
      <c r="A911" s="95"/>
      <c r="B911" s="811" t="s">
        <v>304</v>
      </c>
      <c r="C911" s="812"/>
      <c r="D911" s="812"/>
      <c r="E911" s="812"/>
      <c r="F911" s="812"/>
      <c r="G911" s="825"/>
    </row>
    <row r="912" spans="1:8">
      <c r="A912" s="95"/>
      <c r="B912" s="229"/>
      <c r="C912" s="97"/>
      <c r="D912" s="98" t="s">
        <v>301</v>
      </c>
      <c r="E912" s="98" t="s">
        <v>1072</v>
      </c>
      <c r="F912" s="99" t="s">
        <v>839</v>
      </c>
      <c r="G912" s="107" t="s">
        <v>840</v>
      </c>
    </row>
    <row r="913" spans="1:7">
      <c r="A913" s="95"/>
      <c r="B913" s="821" t="s">
        <v>838</v>
      </c>
      <c r="C913" s="822"/>
      <c r="D913" s="100" t="s">
        <v>308</v>
      </c>
      <c r="E913" s="100" t="s">
        <v>305</v>
      </c>
      <c r="F913" s="101" t="s">
        <v>306</v>
      </c>
      <c r="G913" s="108" t="s">
        <v>310</v>
      </c>
    </row>
    <row r="914" spans="1:7">
      <c r="A914" s="95"/>
      <c r="B914" s="230"/>
      <c r="C914" s="102"/>
      <c r="D914" s="103"/>
      <c r="E914" s="103" t="s">
        <v>309</v>
      </c>
      <c r="F914" s="104" t="s">
        <v>307</v>
      </c>
      <c r="G914" s="109"/>
    </row>
    <row r="915" spans="1:7">
      <c r="A915" s="127"/>
      <c r="B915" s="823" t="str">
        <f>'MAQUINARIA Y EQUIPOS'!$C$28</f>
        <v>HERRAMIENTAS MENORES</v>
      </c>
      <c r="C915" s="824"/>
      <c r="D915" s="87">
        <v>1</v>
      </c>
      <c r="E915" s="82">
        <f>ROUND(G948*0.05,0)</f>
        <v>3272</v>
      </c>
      <c r="F915" s="81">
        <v>1</v>
      </c>
      <c r="G915" s="110">
        <f>ROUND(D915*E915/F915,0)</f>
        <v>3272</v>
      </c>
    </row>
    <row r="916" spans="1:7">
      <c r="A916" s="95"/>
      <c r="B916" s="835"/>
      <c r="C916" s="836"/>
      <c r="D916" s="37"/>
      <c r="E916" s="82"/>
      <c r="F916" s="83"/>
      <c r="G916" s="111"/>
    </row>
    <row r="917" spans="1:7">
      <c r="A917" s="95"/>
      <c r="B917" s="835"/>
      <c r="C917" s="836"/>
      <c r="D917" s="89"/>
      <c r="E917" s="82"/>
      <c r="F917" s="83"/>
      <c r="G917" s="111"/>
    </row>
    <row r="918" spans="1:7">
      <c r="A918" s="95"/>
      <c r="B918" s="835"/>
      <c r="C918" s="836"/>
      <c r="D918" s="89"/>
      <c r="E918" s="82"/>
      <c r="F918" s="83"/>
      <c r="G918" s="111"/>
    </row>
    <row r="919" spans="1:7">
      <c r="A919" s="95"/>
      <c r="B919" s="835" t="s">
        <v>841</v>
      </c>
      <c r="C919" s="836"/>
      <c r="D919" s="37"/>
      <c r="E919" s="82"/>
      <c r="F919" s="83"/>
      <c r="G919" s="111"/>
    </row>
    <row r="920" spans="1:7" ht="13.5" thickBot="1">
      <c r="A920" s="95"/>
      <c r="B920" s="839" t="s">
        <v>841</v>
      </c>
      <c r="C920" s="840"/>
      <c r="D920" s="77"/>
      <c r="E920" s="106"/>
      <c r="F920" s="86"/>
      <c r="G920" s="112"/>
    </row>
    <row r="921" spans="1:7" ht="14.25" thickTop="1" thickBot="1">
      <c r="A921" s="95"/>
      <c r="B921" s="808"/>
      <c r="C921" s="808"/>
      <c r="D921" s="808"/>
      <c r="E921" s="809"/>
      <c r="F921" s="119" t="s">
        <v>856</v>
      </c>
      <c r="G921" s="118">
        <f>SUM(G915:G920)</f>
        <v>3272</v>
      </c>
    </row>
    <row r="922" spans="1:7" ht="14.25" thickTop="1" thickBot="1">
      <c r="A922" s="95"/>
      <c r="B922" s="830"/>
      <c r="C922" s="830"/>
      <c r="D922" s="830"/>
      <c r="E922" s="830"/>
      <c r="F922" s="830"/>
      <c r="G922" s="830"/>
    </row>
    <row r="923" spans="1:7" ht="13.5" thickTop="1">
      <c r="A923" s="95"/>
      <c r="B923" s="811" t="s">
        <v>311</v>
      </c>
      <c r="C923" s="812"/>
      <c r="D923" s="812"/>
      <c r="E923" s="812"/>
      <c r="F923" s="812"/>
      <c r="G923" s="825"/>
    </row>
    <row r="924" spans="1:7">
      <c r="A924" s="95"/>
      <c r="B924" s="817" t="s">
        <v>838</v>
      </c>
      <c r="C924" s="818"/>
      <c r="D924" s="98" t="s">
        <v>842</v>
      </c>
      <c r="E924" s="98" t="s">
        <v>853</v>
      </c>
      <c r="F924" s="99" t="s">
        <v>1047</v>
      </c>
      <c r="G924" s="107" t="s">
        <v>840</v>
      </c>
    </row>
    <row r="925" spans="1:7">
      <c r="A925" s="95"/>
      <c r="B925" s="230"/>
      <c r="C925" s="102"/>
      <c r="D925" s="100"/>
      <c r="E925" s="100" t="s">
        <v>312</v>
      </c>
      <c r="F925" s="101" t="s">
        <v>313</v>
      </c>
      <c r="G925" s="108" t="s">
        <v>314</v>
      </c>
    </row>
    <row r="926" spans="1:7">
      <c r="A926" s="125"/>
      <c r="B926" s="875"/>
      <c r="C926" s="876"/>
      <c r="D926" s="87"/>
      <c r="E926" s="10"/>
      <c r="F926" s="80"/>
      <c r="G926" s="110"/>
    </row>
    <row r="927" spans="1:7">
      <c r="A927" s="123"/>
      <c r="B927" s="877"/>
      <c r="C927" s="878"/>
      <c r="D927" s="88"/>
      <c r="E927" s="53"/>
      <c r="F927" s="82"/>
      <c r="G927" s="111"/>
    </row>
    <row r="928" spans="1:7">
      <c r="A928" s="95"/>
      <c r="B928" s="835"/>
      <c r="C928" s="836"/>
      <c r="D928" s="37"/>
      <c r="E928" s="55"/>
      <c r="F928" s="82"/>
      <c r="G928" s="111"/>
    </row>
    <row r="929" spans="1:8">
      <c r="A929" s="95"/>
      <c r="B929" s="835"/>
      <c r="C929" s="836"/>
      <c r="D929" s="37"/>
      <c r="E929" s="55"/>
      <c r="F929" s="82"/>
      <c r="G929" s="111"/>
    </row>
    <row r="930" spans="1:8">
      <c r="A930" s="95"/>
      <c r="B930" s="837"/>
      <c r="C930" s="838"/>
      <c r="D930" s="37"/>
      <c r="E930" s="55"/>
      <c r="F930" s="82"/>
      <c r="G930" s="111"/>
    </row>
    <row r="931" spans="1:8">
      <c r="A931" s="95"/>
      <c r="B931" s="837"/>
      <c r="C931" s="838"/>
      <c r="D931" s="53" t="s">
        <v>841</v>
      </c>
      <c r="E931" s="53"/>
      <c r="F931" s="82"/>
      <c r="G931" s="111"/>
    </row>
    <row r="932" spans="1:8">
      <c r="A932" s="95"/>
      <c r="B932" s="837" t="s">
        <v>841</v>
      </c>
      <c r="C932" s="838"/>
      <c r="D932" s="53" t="s">
        <v>841</v>
      </c>
      <c r="E932" s="53"/>
      <c r="F932" s="82"/>
      <c r="G932" s="111"/>
    </row>
    <row r="933" spans="1:8">
      <c r="A933" s="95"/>
      <c r="B933" s="837" t="s">
        <v>841</v>
      </c>
      <c r="C933" s="838"/>
      <c r="D933" s="53" t="s">
        <v>841</v>
      </c>
      <c r="E933" s="53"/>
      <c r="F933" s="82"/>
      <c r="G933" s="111"/>
      <c r="H933" s="505" t="s">
        <v>1670</v>
      </c>
    </row>
    <row r="934" spans="1:8" ht="13.5" thickBot="1">
      <c r="A934" s="95"/>
      <c r="B934" s="839" t="s">
        <v>841</v>
      </c>
      <c r="C934" s="840"/>
      <c r="D934" s="84" t="s">
        <v>841</v>
      </c>
      <c r="E934" s="84"/>
      <c r="F934" s="85"/>
      <c r="G934" s="112"/>
    </row>
    <row r="935" spans="1:8" ht="13.5" thickTop="1">
      <c r="A935" s="95"/>
      <c r="B935" s="808"/>
      <c r="C935" s="809"/>
      <c r="D935" s="801" t="s">
        <v>856</v>
      </c>
      <c r="E935" s="802"/>
      <c r="F935" s="9"/>
      <c r="G935" s="113">
        <f>SUM(G926:G934)</f>
        <v>0</v>
      </c>
    </row>
    <row r="936" spans="1:8">
      <c r="A936" s="95"/>
      <c r="B936" s="819"/>
      <c r="C936" s="820"/>
      <c r="D936" s="801" t="s">
        <v>857</v>
      </c>
      <c r="E936" s="802"/>
      <c r="F936" s="79">
        <f>'MANO DE OBRA'!$D$60</f>
        <v>0.05</v>
      </c>
      <c r="G936" s="113">
        <f>ROUND(G935*F936,0)</f>
        <v>0</v>
      </c>
    </row>
    <row r="937" spans="1:8" ht="13.5" thickBot="1">
      <c r="A937" s="95"/>
      <c r="B937" s="819"/>
      <c r="C937" s="820"/>
      <c r="D937" s="803" t="s">
        <v>320</v>
      </c>
      <c r="E937" s="804"/>
      <c r="F937" s="114"/>
      <c r="G937" s="118">
        <f>+G935+G936</f>
        <v>0</v>
      </c>
    </row>
    <row r="938" spans="1:8" ht="14.25" thickTop="1" thickBot="1">
      <c r="A938" s="95"/>
      <c r="B938" s="830"/>
      <c r="C938" s="830"/>
      <c r="D938" s="830"/>
      <c r="E938" s="830"/>
      <c r="F938" s="830"/>
      <c r="G938" s="830"/>
    </row>
    <row r="939" spans="1:8" ht="13.5" thickTop="1">
      <c r="A939" s="95"/>
      <c r="B939" s="811" t="s">
        <v>858</v>
      </c>
      <c r="C939" s="812"/>
      <c r="D939" s="812"/>
      <c r="E939" s="812"/>
      <c r="F939" s="812"/>
      <c r="G939" s="825"/>
    </row>
    <row r="940" spans="1:8">
      <c r="A940" s="95"/>
      <c r="B940" s="817"/>
      <c r="C940" s="818"/>
      <c r="D940" s="98" t="s">
        <v>301</v>
      </c>
      <c r="E940" s="98" t="s">
        <v>859</v>
      </c>
      <c r="F940" s="99" t="s">
        <v>839</v>
      </c>
      <c r="G940" s="107" t="s">
        <v>840</v>
      </c>
    </row>
    <row r="941" spans="1:8">
      <c r="A941" s="95"/>
      <c r="B941" s="821" t="s">
        <v>838</v>
      </c>
      <c r="C941" s="822"/>
      <c r="D941" s="100" t="s">
        <v>316</v>
      </c>
      <c r="E941" s="100" t="s">
        <v>315</v>
      </c>
      <c r="F941" s="101" t="s">
        <v>306</v>
      </c>
      <c r="G941" s="108" t="s">
        <v>319</v>
      </c>
    </row>
    <row r="942" spans="1:8">
      <c r="A942" s="95"/>
      <c r="B942" s="230"/>
      <c r="C942" s="102"/>
      <c r="D942" s="103"/>
      <c r="E942" s="103" t="s">
        <v>317</v>
      </c>
      <c r="F942" s="104" t="s">
        <v>318</v>
      </c>
      <c r="G942" s="109"/>
    </row>
    <row r="943" spans="1:8">
      <c r="A943" s="95"/>
      <c r="B943" s="823" t="str">
        <f>'MANO DE OBRA'!$B$10</f>
        <v>AYUDANTE CUAD. TIPO AA</v>
      </c>
      <c r="C943" s="824"/>
      <c r="D943" s="87">
        <v>1</v>
      </c>
      <c r="E943" s="80">
        <f>'MANO DE OBRA'!$E$10</f>
        <v>34680</v>
      </c>
      <c r="F943" s="81">
        <v>0.53</v>
      </c>
      <c r="G943" s="110">
        <f>ROUND(D943*E943/F943,0)</f>
        <v>65434</v>
      </c>
    </row>
    <row r="944" spans="1:8">
      <c r="A944" s="95"/>
      <c r="B944" s="835"/>
      <c r="C944" s="836"/>
      <c r="D944" s="37"/>
      <c r="E944" s="82"/>
      <c r="F944" s="83"/>
      <c r="G944" s="111"/>
    </row>
    <row r="945" spans="1:8">
      <c r="A945" s="95"/>
      <c r="B945" s="835"/>
      <c r="C945" s="836"/>
      <c r="D945" s="89"/>
      <c r="E945" s="82"/>
      <c r="F945" s="83"/>
      <c r="G945" s="111"/>
    </row>
    <row r="946" spans="1:8">
      <c r="A946" s="95"/>
      <c r="B946" s="835" t="s">
        <v>841</v>
      </c>
      <c r="C946" s="836"/>
      <c r="D946" s="37"/>
      <c r="E946" s="82"/>
      <c r="F946" s="83"/>
      <c r="G946" s="111"/>
    </row>
    <row r="947" spans="1:8" ht="13.5" thickBot="1">
      <c r="A947" s="95"/>
      <c r="B947" s="828" t="s">
        <v>841</v>
      </c>
      <c r="C947" s="829"/>
      <c r="D947" s="77"/>
      <c r="E947" s="82"/>
      <c r="F947" s="86"/>
      <c r="G947" s="112"/>
    </row>
    <row r="948" spans="1:8" ht="14.25" thickTop="1" thickBot="1">
      <c r="A948" s="95"/>
      <c r="B948" s="808"/>
      <c r="C948" s="808"/>
      <c r="D948" s="808"/>
      <c r="E948" s="809"/>
      <c r="F948" s="120" t="s">
        <v>856</v>
      </c>
      <c r="G948" s="118">
        <f>SUM(G943:G947)</f>
        <v>65434</v>
      </c>
    </row>
    <row r="949" spans="1:8" ht="14.25" thickTop="1" thickBot="1">
      <c r="A949" s="95"/>
      <c r="B949" s="810"/>
      <c r="C949" s="810"/>
      <c r="D949" s="810"/>
      <c r="E949" s="810"/>
      <c r="F949" s="810"/>
      <c r="G949" s="810"/>
    </row>
    <row r="950" spans="1:8" ht="13.5" thickTop="1">
      <c r="A950" s="95"/>
      <c r="B950" s="811" t="s">
        <v>321</v>
      </c>
      <c r="C950" s="812"/>
      <c r="D950" s="812"/>
      <c r="E950" s="812"/>
      <c r="F950" s="812"/>
      <c r="G950" s="825"/>
    </row>
    <row r="951" spans="1:8">
      <c r="A951" s="95"/>
      <c r="B951" s="817" t="s">
        <v>838</v>
      </c>
      <c r="C951" s="818"/>
      <c r="D951" s="98" t="s">
        <v>301</v>
      </c>
      <c r="E951" s="98" t="s">
        <v>297</v>
      </c>
      <c r="F951" s="99" t="s">
        <v>839</v>
      </c>
      <c r="G951" s="107" t="s">
        <v>840</v>
      </c>
    </row>
    <row r="952" spans="1:8">
      <c r="A952" s="95"/>
      <c r="B952" s="230"/>
      <c r="C952" s="102"/>
      <c r="D952" s="103" t="s">
        <v>322</v>
      </c>
      <c r="E952" s="103" t="s">
        <v>323</v>
      </c>
      <c r="F952" s="104" t="s">
        <v>324</v>
      </c>
      <c r="G952" s="109" t="s">
        <v>325</v>
      </c>
    </row>
    <row r="953" spans="1:8">
      <c r="A953" s="95"/>
      <c r="B953" s="826"/>
      <c r="C953" s="827"/>
      <c r="D953" s="96"/>
      <c r="E953" s="96"/>
      <c r="F953" s="96"/>
      <c r="G953" s="116"/>
    </row>
    <row r="954" spans="1:8" ht="13.5" thickBot="1">
      <c r="A954" s="95"/>
      <c r="B954" s="828" t="s">
        <v>841</v>
      </c>
      <c r="C954" s="829"/>
      <c r="D954" s="77"/>
      <c r="E954" s="82"/>
      <c r="F954" s="86"/>
      <c r="G954" s="112"/>
    </row>
    <row r="955" spans="1:8" ht="14.25" thickTop="1" thickBot="1">
      <c r="A955" s="95"/>
      <c r="B955" s="808"/>
      <c r="C955" s="808"/>
      <c r="D955" s="808"/>
      <c r="E955" s="809"/>
      <c r="F955" s="120" t="s">
        <v>856</v>
      </c>
      <c r="G955" s="118">
        <f>SUM(G950:G954)</f>
        <v>0</v>
      </c>
    </row>
    <row r="956" spans="1:8" ht="14.25" thickTop="1" thickBot="1">
      <c r="A956" s="95"/>
      <c r="B956" s="810"/>
      <c r="C956" s="810"/>
      <c r="D956" s="810"/>
      <c r="E956" s="810"/>
      <c r="F956" s="810"/>
      <c r="G956" s="834"/>
    </row>
    <row r="957" spans="1:8" ht="13.5" thickTop="1">
      <c r="A957" s="95"/>
      <c r="B957" s="811" t="s">
        <v>326</v>
      </c>
      <c r="C957" s="812"/>
      <c r="D957" s="812"/>
      <c r="E957" s="812"/>
      <c r="F957" s="813"/>
      <c r="G957" s="121">
        <f>+G921+G937+G948</f>
        <v>68706</v>
      </c>
    </row>
    <row r="958" spans="1:8">
      <c r="A958" s="95"/>
      <c r="B958" s="814" t="s">
        <v>861</v>
      </c>
      <c r="C958" s="815"/>
      <c r="D958" s="815"/>
      <c r="E958" s="816"/>
      <c r="F958" s="128">
        <f>'MANO DE OBRA'!D748</f>
        <v>0</v>
      </c>
      <c r="G958" s="122">
        <f>ROUND(G957*F958,0)</f>
        <v>0</v>
      </c>
    </row>
    <row r="959" spans="1:8" ht="13.5" thickBot="1">
      <c r="A959" s="95"/>
      <c r="B959" s="805" t="s">
        <v>1049</v>
      </c>
      <c r="C959" s="806"/>
      <c r="D959" s="806"/>
      <c r="E959" s="806"/>
      <c r="F959" s="807"/>
      <c r="G959" s="118">
        <f>ROUND(G957+G958,-2)</f>
        <v>68700</v>
      </c>
      <c r="H959" s="505" t="s">
        <v>1670</v>
      </c>
    </row>
    <row r="960" spans="1:8" ht="15" thickTop="1">
      <c r="A960" s="95"/>
      <c r="B960" s="225" t="s">
        <v>303</v>
      </c>
      <c r="C960" s="843"/>
      <c r="D960" s="843"/>
      <c r="E960" s="843"/>
      <c r="F960" s="92" t="s">
        <v>781</v>
      </c>
      <c r="G960" s="93" t="s">
        <v>1066</v>
      </c>
    </row>
    <row r="961" spans="1:7">
      <c r="A961" s="95"/>
      <c r="B961" s="226" t="s">
        <v>834</v>
      </c>
      <c r="C961" s="844" t="s">
        <v>342</v>
      </c>
      <c r="D961" s="844"/>
      <c r="E961" s="844"/>
      <c r="F961" s="15" t="s">
        <v>833</v>
      </c>
      <c r="G961" s="165" t="str">
        <f>'MANO DE OBRA'!$D$61</f>
        <v>Agosto de 2010</v>
      </c>
    </row>
    <row r="962" spans="1:7" ht="13.5" thickBot="1">
      <c r="A962" s="127"/>
      <c r="B962" s="228" t="s">
        <v>835</v>
      </c>
      <c r="C962" s="845" t="s">
        <v>794</v>
      </c>
      <c r="D962" s="845"/>
      <c r="E962" s="845"/>
      <c r="F962" s="845"/>
      <c r="G962" s="846"/>
    </row>
    <row r="963" spans="1:7" ht="14.25" thickTop="1" thickBot="1">
      <c r="A963" s="95"/>
      <c r="B963" s="847"/>
      <c r="C963" s="847"/>
      <c r="D963" s="847"/>
      <c r="E963" s="847"/>
      <c r="F963" s="847"/>
      <c r="G963" s="847"/>
    </row>
    <row r="964" spans="1:7" ht="13.5" thickTop="1">
      <c r="A964" s="95"/>
      <c r="B964" s="811" t="s">
        <v>304</v>
      </c>
      <c r="C964" s="812"/>
      <c r="D964" s="812"/>
      <c r="E964" s="812"/>
      <c r="F964" s="812"/>
      <c r="G964" s="825"/>
    </row>
    <row r="965" spans="1:7">
      <c r="A965" s="95"/>
      <c r="B965" s="229"/>
      <c r="C965" s="97"/>
      <c r="D965" s="98" t="s">
        <v>301</v>
      </c>
      <c r="E965" s="98" t="s">
        <v>1072</v>
      </c>
      <c r="F965" s="99" t="s">
        <v>839</v>
      </c>
      <c r="G965" s="107" t="s">
        <v>840</v>
      </c>
    </row>
    <row r="966" spans="1:7">
      <c r="A966" s="95"/>
      <c r="B966" s="821" t="s">
        <v>838</v>
      </c>
      <c r="C966" s="822"/>
      <c r="D966" s="100" t="s">
        <v>308</v>
      </c>
      <c r="E966" s="100" t="s">
        <v>305</v>
      </c>
      <c r="F966" s="101" t="s">
        <v>306</v>
      </c>
      <c r="G966" s="108" t="s">
        <v>310</v>
      </c>
    </row>
    <row r="967" spans="1:7">
      <c r="A967" s="95"/>
      <c r="B967" s="230"/>
      <c r="C967" s="102"/>
      <c r="D967" s="103"/>
      <c r="E967" s="103" t="s">
        <v>309</v>
      </c>
      <c r="F967" s="104" t="s">
        <v>307</v>
      </c>
      <c r="G967" s="109"/>
    </row>
    <row r="968" spans="1:7">
      <c r="A968" s="127"/>
      <c r="B968" s="823" t="str">
        <f>'MAQUINARIA Y EQUIPOS'!$C$28</f>
        <v>HERRAMIENTAS MENORES</v>
      </c>
      <c r="C968" s="824"/>
      <c r="D968" s="87">
        <v>1</v>
      </c>
      <c r="E968" s="82">
        <f>ROUND(G1001*0.05,0)</f>
        <v>1521</v>
      </c>
      <c r="F968" s="81">
        <v>1</v>
      </c>
      <c r="G968" s="110">
        <f>ROUND(D968*E968/F968,0)</f>
        <v>1521</v>
      </c>
    </row>
    <row r="969" spans="1:7">
      <c r="A969" s="95"/>
      <c r="B969" s="835"/>
      <c r="C969" s="836"/>
      <c r="D969" s="37"/>
      <c r="E969" s="82"/>
      <c r="F969" s="83"/>
      <c r="G969" s="111"/>
    </row>
    <row r="970" spans="1:7">
      <c r="A970" s="95"/>
      <c r="B970" s="835"/>
      <c r="C970" s="836"/>
      <c r="D970" s="89"/>
      <c r="E970" s="82"/>
      <c r="F970" s="83"/>
      <c r="G970" s="111"/>
    </row>
    <row r="971" spans="1:7">
      <c r="A971" s="95"/>
      <c r="B971" s="835"/>
      <c r="C971" s="836"/>
      <c r="D971" s="89"/>
      <c r="E971" s="82"/>
      <c r="F971" s="83"/>
      <c r="G971" s="111"/>
    </row>
    <row r="972" spans="1:7">
      <c r="A972" s="95"/>
      <c r="B972" s="835" t="s">
        <v>841</v>
      </c>
      <c r="C972" s="836"/>
      <c r="D972" s="37"/>
      <c r="E972" s="82"/>
      <c r="F972" s="83"/>
      <c r="G972" s="111"/>
    </row>
    <row r="973" spans="1:7" ht="13.5" thickBot="1">
      <c r="A973" s="95"/>
      <c r="B973" s="839" t="s">
        <v>841</v>
      </c>
      <c r="C973" s="840"/>
      <c r="D973" s="77"/>
      <c r="E973" s="106"/>
      <c r="F973" s="86"/>
      <c r="G973" s="112"/>
    </row>
    <row r="974" spans="1:7" ht="14.25" thickTop="1" thickBot="1">
      <c r="A974" s="95"/>
      <c r="B974" s="808"/>
      <c r="C974" s="808"/>
      <c r="D974" s="808"/>
      <c r="E974" s="809"/>
      <c r="F974" s="119" t="s">
        <v>856</v>
      </c>
      <c r="G974" s="118">
        <f>SUM(G968:G973)</f>
        <v>1521</v>
      </c>
    </row>
    <row r="975" spans="1:7" ht="14.25" thickTop="1" thickBot="1">
      <c r="A975" s="95"/>
      <c r="B975" s="830"/>
      <c r="C975" s="830"/>
      <c r="D975" s="830"/>
      <c r="E975" s="830"/>
      <c r="F975" s="830"/>
      <c r="G975" s="830"/>
    </row>
    <row r="976" spans="1:7" ht="13.5" thickTop="1">
      <c r="A976" s="95"/>
      <c r="B976" s="811" t="s">
        <v>311</v>
      </c>
      <c r="C976" s="812"/>
      <c r="D976" s="812"/>
      <c r="E976" s="812"/>
      <c r="F976" s="812"/>
      <c r="G976" s="825"/>
    </row>
    <row r="977" spans="1:8">
      <c r="A977" s="95"/>
      <c r="B977" s="817" t="s">
        <v>838</v>
      </c>
      <c r="C977" s="818"/>
      <c r="D977" s="98" t="s">
        <v>842</v>
      </c>
      <c r="E977" s="98" t="s">
        <v>853</v>
      </c>
      <c r="F977" s="99" t="s">
        <v>1047</v>
      </c>
      <c r="G977" s="107" t="s">
        <v>840</v>
      </c>
    </row>
    <row r="978" spans="1:8">
      <c r="A978" s="95"/>
      <c r="B978" s="230"/>
      <c r="C978" s="102"/>
      <c r="D978" s="100"/>
      <c r="E978" s="100" t="s">
        <v>312</v>
      </c>
      <c r="F978" s="101" t="s">
        <v>313</v>
      </c>
      <c r="G978" s="108" t="s">
        <v>314</v>
      </c>
    </row>
    <row r="979" spans="1:8">
      <c r="A979" s="125"/>
      <c r="B979" s="875"/>
      <c r="C979" s="876"/>
      <c r="D979" s="87"/>
      <c r="E979" s="10"/>
      <c r="F979" s="80"/>
      <c r="G979" s="110"/>
    </row>
    <row r="980" spans="1:8">
      <c r="A980" s="123"/>
      <c r="B980" s="877"/>
      <c r="C980" s="878"/>
      <c r="D980" s="88"/>
      <c r="E980" s="53"/>
      <c r="F980" s="82"/>
      <c r="G980" s="111"/>
    </row>
    <row r="981" spans="1:8">
      <c r="A981" s="95"/>
      <c r="B981" s="835"/>
      <c r="C981" s="836"/>
      <c r="D981" s="37"/>
      <c r="E981" s="55"/>
      <c r="F981" s="82"/>
      <c r="G981" s="111"/>
    </row>
    <row r="982" spans="1:8">
      <c r="A982" s="95"/>
      <c r="B982" s="835"/>
      <c r="C982" s="836"/>
      <c r="D982" s="37"/>
      <c r="E982" s="55"/>
      <c r="F982" s="82"/>
      <c r="G982" s="111"/>
    </row>
    <row r="983" spans="1:8">
      <c r="A983" s="95"/>
      <c r="B983" s="837"/>
      <c r="C983" s="838"/>
      <c r="D983" s="37"/>
      <c r="E983" s="55"/>
      <c r="F983" s="82"/>
      <c r="G983" s="111"/>
    </row>
    <row r="984" spans="1:8">
      <c r="A984" s="95"/>
      <c r="B984" s="837"/>
      <c r="C984" s="838"/>
      <c r="D984" s="53" t="s">
        <v>841</v>
      </c>
      <c r="E984" s="53"/>
      <c r="F984" s="82"/>
      <c r="G984" s="111"/>
    </row>
    <row r="985" spans="1:8">
      <c r="A985" s="95"/>
      <c r="B985" s="837" t="s">
        <v>841</v>
      </c>
      <c r="C985" s="838"/>
      <c r="D985" s="53" t="s">
        <v>841</v>
      </c>
      <c r="E985" s="53"/>
      <c r="F985" s="82"/>
      <c r="G985" s="111"/>
    </row>
    <row r="986" spans="1:8">
      <c r="A986" s="95"/>
      <c r="B986" s="837" t="s">
        <v>841</v>
      </c>
      <c r="C986" s="838"/>
      <c r="D986" s="53" t="s">
        <v>841</v>
      </c>
      <c r="E986" s="53"/>
      <c r="F986" s="82"/>
      <c r="G986" s="111"/>
      <c r="H986" s="505" t="s">
        <v>1670</v>
      </c>
    </row>
    <row r="987" spans="1:8" ht="13.5" thickBot="1">
      <c r="A987" s="95"/>
      <c r="B987" s="839" t="s">
        <v>841</v>
      </c>
      <c r="C987" s="840"/>
      <c r="D987" s="84" t="s">
        <v>841</v>
      </c>
      <c r="E987" s="84"/>
      <c r="F987" s="85"/>
      <c r="G987" s="112"/>
    </row>
    <row r="988" spans="1:8" ht="13.5" thickTop="1">
      <c r="A988" s="95"/>
      <c r="B988" s="808"/>
      <c r="C988" s="809"/>
      <c r="D988" s="801" t="s">
        <v>856</v>
      </c>
      <c r="E988" s="802"/>
      <c r="F988" s="9"/>
      <c r="G988" s="113">
        <f>SUM(G979:G987)</f>
        <v>0</v>
      </c>
    </row>
    <row r="989" spans="1:8">
      <c r="A989" s="95"/>
      <c r="B989" s="819"/>
      <c r="C989" s="820"/>
      <c r="D989" s="801" t="s">
        <v>857</v>
      </c>
      <c r="E989" s="802"/>
      <c r="F989" s="79">
        <f>'MANO DE OBRA'!$D$60</f>
        <v>0.05</v>
      </c>
      <c r="G989" s="113">
        <f>ROUND(G988*F989,0)</f>
        <v>0</v>
      </c>
    </row>
    <row r="990" spans="1:8" ht="13.5" thickBot="1">
      <c r="A990" s="95"/>
      <c r="B990" s="819"/>
      <c r="C990" s="820"/>
      <c r="D990" s="803" t="s">
        <v>320</v>
      </c>
      <c r="E990" s="804"/>
      <c r="F990" s="114"/>
      <c r="G990" s="118">
        <f>+G988+G989</f>
        <v>0</v>
      </c>
    </row>
    <row r="991" spans="1:8" ht="14.25" thickTop="1" thickBot="1">
      <c r="A991" s="95"/>
      <c r="B991" s="830"/>
      <c r="C991" s="830"/>
      <c r="D991" s="830"/>
      <c r="E991" s="830"/>
      <c r="F991" s="830"/>
      <c r="G991" s="830"/>
    </row>
    <row r="992" spans="1:8" ht="13.5" thickTop="1">
      <c r="A992" s="95"/>
      <c r="B992" s="811" t="s">
        <v>858</v>
      </c>
      <c r="C992" s="812"/>
      <c r="D992" s="812"/>
      <c r="E992" s="812"/>
      <c r="F992" s="812"/>
      <c r="G992" s="825"/>
    </row>
    <row r="993" spans="1:7">
      <c r="A993" s="95"/>
      <c r="B993" s="817"/>
      <c r="C993" s="818"/>
      <c r="D993" s="98" t="s">
        <v>301</v>
      </c>
      <c r="E993" s="98" t="s">
        <v>859</v>
      </c>
      <c r="F993" s="99" t="s">
        <v>839</v>
      </c>
      <c r="G993" s="107" t="s">
        <v>840</v>
      </c>
    </row>
    <row r="994" spans="1:7">
      <c r="A994" s="95"/>
      <c r="B994" s="821" t="s">
        <v>838</v>
      </c>
      <c r="C994" s="822"/>
      <c r="D994" s="100" t="s">
        <v>316</v>
      </c>
      <c r="E994" s="100" t="s">
        <v>315</v>
      </c>
      <c r="F994" s="101" t="s">
        <v>306</v>
      </c>
      <c r="G994" s="108" t="s">
        <v>319</v>
      </c>
    </row>
    <row r="995" spans="1:7">
      <c r="A995" s="95"/>
      <c r="B995" s="230"/>
      <c r="C995" s="102"/>
      <c r="D995" s="103"/>
      <c r="E995" s="103" t="s">
        <v>317</v>
      </c>
      <c r="F995" s="104" t="s">
        <v>318</v>
      </c>
      <c r="G995" s="109"/>
    </row>
    <row r="996" spans="1:7">
      <c r="A996" s="95"/>
      <c r="B996" s="823" t="str">
        <f>'MANO DE OBRA'!$B$10</f>
        <v>AYUDANTE CUAD. TIPO AA</v>
      </c>
      <c r="C996" s="824"/>
      <c r="D996" s="87">
        <v>1</v>
      </c>
      <c r="E996" s="80">
        <f>'MANO DE OBRA'!$E$10</f>
        <v>34680</v>
      </c>
      <c r="F996" s="81">
        <v>1.1399999999999999</v>
      </c>
      <c r="G996" s="110">
        <f>ROUND(D996*E996/F996,0)</f>
        <v>30421</v>
      </c>
    </row>
    <row r="997" spans="1:7">
      <c r="A997" s="95"/>
      <c r="B997" s="835"/>
      <c r="C997" s="836"/>
      <c r="D997" s="37"/>
      <c r="E997" s="82"/>
      <c r="F997" s="83"/>
      <c r="G997" s="111"/>
    </row>
    <row r="998" spans="1:7">
      <c r="A998" s="95"/>
      <c r="B998" s="835"/>
      <c r="C998" s="836"/>
      <c r="D998" s="89"/>
      <c r="E998" s="82"/>
      <c r="F998" s="83"/>
      <c r="G998" s="111"/>
    </row>
    <row r="999" spans="1:7">
      <c r="A999" s="95"/>
      <c r="B999" s="835" t="s">
        <v>841</v>
      </c>
      <c r="C999" s="836"/>
      <c r="D999" s="37"/>
      <c r="E999" s="82"/>
      <c r="F999" s="83"/>
      <c r="G999" s="111"/>
    </row>
    <row r="1000" spans="1:7" ht="13.5" thickBot="1">
      <c r="A1000" s="95"/>
      <c r="B1000" s="828" t="s">
        <v>841</v>
      </c>
      <c r="C1000" s="829"/>
      <c r="D1000" s="77"/>
      <c r="E1000" s="82"/>
      <c r="F1000" s="86"/>
      <c r="G1000" s="112"/>
    </row>
    <row r="1001" spans="1:7" ht="14.25" thickTop="1" thickBot="1">
      <c r="A1001" s="95"/>
      <c r="B1001" s="808"/>
      <c r="C1001" s="808"/>
      <c r="D1001" s="808"/>
      <c r="E1001" s="809"/>
      <c r="F1001" s="120" t="s">
        <v>856</v>
      </c>
      <c r="G1001" s="118">
        <f>SUM(G996:G1000)</f>
        <v>30421</v>
      </c>
    </row>
    <row r="1002" spans="1:7" ht="14.25" thickTop="1" thickBot="1">
      <c r="A1002" s="95"/>
      <c r="B1002" s="810"/>
      <c r="C1002" s="810"/>
      <c r="D1002" s="810"/>
      <c r="E1002" s="810"/>
      <c r="F1002" s="810"/>
      <c r="G1002" s="810"/>
    </row>
    <row r="1003" spans="1:7" ht="13.5" thickTop="1">
      <c r="A1003" s="95"/>
      <c r="B1003" s="811" t="s">
        <v>321</v>
      </c>
      <c r="C1003" s="812"/>
      <c r="D1003" s="812"/>
      <c r="E1003" s="812"/>
      <c r="F1003" s="812"/>
      <c r="G1003" s="825"/>
    </row>
    <row r="1004" spans="1:7">
      <c r="A1004" s="95"/>
      <c r="B1004" s="817" t="s">
        <v>838</v>
      </c>
      <c r="C1004" s="818"/>
      <c r="D1004" s="98" t="s">
        <v>301</v>
      </c>
      <c r="E1004" s="98" t="s">
        <v>297</v>
      </c>
      <c r="F1004" s="99" t="s">
        <v>839</v>
      </c>
      <c r="G1004" s="107" t="s">
        <v>840</v>
      </c>
    </row>
    <row r="1005" spans="1:7">
      <c r="A1005" s="95"/>
      <c r="B1005" s="230"/>
      <c r="C1005" s="102"/>
      <c r="D1005" s="103" t="s">
        <v>322</v>
      </c>
      <c r="E1005" s="103" t="s">
        <v>323</v>
      </c>
      <c r="F1005" s="104" t="s">
        <v>324</v>
      </c>
      <c r="G1005" s="109" t="s">
        <v>325</v>
      </c>
    </row>
    <row r="1006" spans="1:7">
      <c r="A1006" s="95"/>
      <c r="B1006" s="826"/>
      <c r="C1006" s="827"/>
      <c r="D1006" s="96"/>
      <c r="E1006" s="96"/>
      <c r="F1006" s="96"/>
      <c r="G1006" s="116"/>
    </row>
    <row r="1007" spans="1:7" ht="13.5" thickBot="1">
      <c r="A1007" s="95"/>
      <c r="B1007" s="828" t="s">
        <v>841</v>
      </c>
      <c r="C1007" s="829"/>
      <c r="D1007" s="77"/>
      <c r="E1007" s="82"/>
      <c r="F1007" s="86"/>
      <c r="G1007" s="112"/>
    </row>
    <row r="1008" spans="1:7" ht="14.25" thickTop="1" thickBot="1">
      <c r="A1008" s="95"/>
      <c r="B1008" s="808"/>
      <c r="C1008" s="808"/>
      <c r="D1008" s="808"/>
      <c r="E1008" s="809"/>
      <c r="F1008" s="120" t="s">
        <v>856</v>
      </c>
      <c r="G1008" s="118">
        <f>SUM(G1003:G1007)</f>
        <v>0</v>
      </c>
    </row>
    <row r="1009" spans="1:8" ht="14.25" thickTop="1" thickBot="1">
      <c r="A1009" s="95"/>
      <c r="B1009" s="810"/>
      <c r="C1009" s="810"/>
      <c r="D1009" s="810"/>
      <c r="E1009" s="810"/>
      <c r="F1009" s="810"/>
      <c r="G1009" s="834"/>
    </row>
    <row r="1010" spans="1:8" ht="13.5" thickTop="1">
      <c r="A1010" s="95"/>
      <c r="B1010" s="811" t="s">
        <v>326</v>
      </c>
      <c r="C1010" s="812"/>
      <c r="D1010" s="812"/>
      <c r="E1010" s="812"/>
      <c r="F1010" s="813"/>
      <c r="G1010" s="121">
        <f>+G974+G990+G1001</f>
        <v>31942</v>
      </c>
    </row>
    <row r="1011" spans="1:8">
      <c r="A1011" s="95"/>
      <c r="B1011" s="814" t="s">
        <v>861</v>
      </c>
      <c r="C1011" s="815"/>
      <c r="D1011" s="815"/>
      <c r="E1011" s="816"/>
      <c r="F1011" s="128">
        <f>'MANO DE OBRA'!D801</f>
        <v>0</v>
      </c>
      <c r="G1011" s="122">
        <f>ROUND(G1010*F1011,0)</f>
        <v>0</v>
      </c>
    </row>
    <row r="1012" spans="1:8" ht="13.5" thickBot="1">
      <c r="A1012" s="95"/>
      <c r="B1012" s="805" t="s">
        <v>1049</v>
      </c>
      <c r="C1012" s="806"/>
      <c r="D1012" s="806"/>
      <c r="E1012" s="806"/>
      <c r="F1012" s="807"/>
      <c r="G1012" s="118">
        <f>ROUND(G1010+G1011,-2)</f>
        <v>31900</v>
      </c>
      <c r="H1012" s="505" t="s">
        <v>1670</v>
      </c>
    </row>
    <row r="1013" spans="1:8" ht="15" thickTop="1">
      <c r="A1013" s="95"/>
      <c r="B1013" s="225" t="s">
        <v>303</v>
      </c>
      <c r="C1013" s="843"/>
      <c r="D1013" s="843"/>
      <c r="E1013" s="843"/>
      <c r="F1013" s="92" t="s">
        <v>781</v>
      </c>
      <c r="G1013" s="93" t="s">
        <v>1066</v>
      </c>
    </row>
    <row r="1014" spans="1:8">
      <c r="A1014" s="95"/>
      <c r="B1014" s="226" t="s">
        <v>834</v>
      </c>
      <c r="C1014" s="844" t="s">
        <v>342</v>
      </c>
      <c r="D1014" s="844"/>
      <c r="E1014" s="844"/>
      <c r="F1014" s="15" t="s">
        <v>833</v>
      </c>
      <c r="G1014" s="165" t="str">
        <f>'MANO DE OBRA'!$D$61</f>
        <v>Agosto de 2010</v>
      </c>
    </row>
    <row r="1015" spans="1:8" ht="13.5" thickBot="1">
      <c r="A1015" s="127"/>
      <c r="B1015" s="228" t="s">
        <v>835</v>
      </c>
      <c r="C1015" s="845" t="s">
        <v>795</v>
      </c>
      <c r="D1015" s="845"/>
      <c r="E1015" s="845"/>
      <c r="F1015" s="845"/>
      <c r="G1015" s="846"/>
    </row>
    <row r="1016" spans="1:8" ht="14.25" thickTop="1" thickBot="1">
      <c r="A1016" s="95"/>
      <c r="B1016" s="847"/>
      <c r="C1016" s="847"/>
      <c r="D1016" s="847"/>
      <c r="E1016" s="847"/>
      <c r="F1016" s="847"/>
      <c r="G1016" s="847"/>
    </row>
    <row r="1017" spans="1:8" ht="13.5" thickTop="1">
      <c r="A1017" s="95"/>
      <c r="B1017" s="811" t="s">
        <v>304</v>
      </c>
      <c r="C1017" s="812"/>
      <c r="D1017" s="812"/>
      <c r="E1017" s="812"/>
      <c r="F1017" s="812"/>
      <c r="G1017" s="825"/>
    </row>
    <row r="1018" spans="1:8">
      <c r="A1018" s="95"/>
      <c r="B1018" s="229"/>
      <c r="C1018" s="97"/>
      <c r="D1018" s="98" t="s">
        <v>301</v>
      </c>
      <c r="E1018" s="98" t="s">
        <v>1072</v>
      </c>
      <c r="F1018" s="99" t="s">
        <v>839</v>
      </c>
      <c r="G1018" s="107" t="s">
        <v>840</v>
      </c>
    </row>
    <row r="1019" spans="1:8">
      <c r="A1019" s="95"/>
      <c r="B1019" s="821" t="s">
        <v>838</v>
      </c>
      <c r="C1019" s="822"/>
      <c r="D1019" s="100" t="s">
        <v>308</v>
      </c>
      <c r="E1019" s="100" t="s">
        <v>305</v>
      </c>
      <c r="F1019" s="101" t="s">
        <v>306</v>
      </c>
      <c r="G1019" s="108" t="s">
        <v>310</v>
      </c>
    </row>
    <row r="1020" spans="1:8">
      <c r="A1020" s="95"/>
      <c r="B1020" s="230"/>
      <c r="C1020" s="102"/>
      <c r="D1020" s="103"/>
      <c r="E1020" s="103" t="s">
        <v>309</v>
      </c>
      <c r="F1020" s="104" t="s">
        <v>307</v>
      </c>
      <c r="G1020" s="109"/>
    </row>
    <row r="1021" spans="1:8">
      <c r="A1021" s="127"/>
      <c r="B1021" s="823" t="str">
        <f>'MAQUINARIA Y EQUIPOS'!$C$28</f>
        <v>HERRAMIENTAS MENORES</v>
      </c>
      <c r="C1021" s="824"/>
      <c r="D1021" s="87">
        <v>1</v>
      </c>
      <c r="E1021" s="82">
        <f>ROUND(G1054*0.05,0)</f>
        <v>1734</v>
      </c>
      <c r="F1021" s="81">
        <v>1</v>
      </c>
      <c r="G1021" s="110">
        <f>ROUND(D1021*E1021/F1021,0)</f>
        <v>1734</v>
      </c>
    </row>
    <row r="1022" spans="1:8">
      <c r="A1022" s="95"/>
      <c r="B1022" s="835"/>
      <c r="C1022" s="836"/>
      <c r="D1022" s="37"/>
      <c r="E1022" s="82"/>
      <c r="F1022" s="83"/>
      <c r="G1022" s="111"/>
    </row>
    <row r="1023" spans="1:8">
      <c r="A1023" s="95"/>
      <c r="B1023" s="835"/>
      <c r="C1023" s="836"/>
      <c r="D1023" s="89"/>
      <c r="E1023" s="82"/>
      <c r="F1023" s="83"/>
      <c r="G1023" s="111"/>
    </row>
    <row r="1024" spans="1:8">
      <c r="A1024" s="95"/>
      <c r="B1024" s="835"/>
      <c r="C1024" s="836"/>
      <c r="D1024" s="89"/>
      <c r="E1024" s="82"/>
      <c r="F1024" s="83"/>
      <c r="G1024" s="111"/>
    </row>
    <row r="1025" spans="1:8">
      <c r="A1025" s="95"/>
      <c r="B1025" s="835" t="s">
        <v>841</v>
      </c>
      <c r="C1025" s="836"/>
      <c r="D1025" s="37"/>
      <c r="E1025" s="82"/>
      <c r="F1025" s="83"/>
      <c r="G1025" s="111"/>
    </row>
    <row r="1026" spans="1:8" ht="13.5" thickBot="1">
      <c r="A1026" s="95"/>
      <c r="B1026" s="839" t="s">
        <v>841</v>
      </c>
      <c r="C1026" s="840"/>
      <c r="D1026" s="77"/>
      <c r="E1026" s="106"/>
      <c r="F1026" s="86"/>
      <c r="G1026" s="112"/>
    </row>
    <row r="1027" spans="1:8" ht="14.25" thickTop="1" thickBot="1">
      <c r="A1027" s="95"/>
      <c r="B1027" s="808"/>
      <c r="C1027" s="808"/>
      <c r="D1027" s="808"/>
      <c r="E1027" s="809"/>
      <c r="F1027" s="119" t="s">
        <v>856</v>
      </c>
      <c r="G1027" s="118">
        <f>SUM(G1021:G1026)</f>
        <v>1734</v>
      </c>
    </row>
    <row r="1028" spans="1:8" ht="14.25" thickTop="1" thickBot="1">
      <c r="A1028" s="95"/>
      <c r="B1028" s="830"/>
      <c r="C1028" s="830"/>
      <c r="D1028" s="830"/>
      <c r="E1028" s="830"/>
      <c r="F1028" s="830"/>
      <c r="G1028" s="830"/>
    </row>
    <row r="1029" spans="1:8" ht="13.5" thickTop="1">
      <c r="A1029" s="95"/>
      <c r="B1029" s="811" t="s">
        <v>311</v>
      </c>
      <c r="C1029" s="812"/>
      <c r="D1029" s="812"/>
      <c r="E1029" s="812"/>
      <c r="F1029" s="812"/>
      <c r="G1029" s="825"/>
    </row>
    <row r="1030" spans="1:8">
      <c r="A1030" s="95"/>
      <c r="B1030" s="817" t="s">
        <v>838</v>
      </c>
      <c r="C1030" s="818"/>
      <c r="D1030" s="98" t="s">
        <v>842</v>
      </c>
      <c r="E1030" s="98" t="s">
        <v>853</v>
      </c>
      <c r="F1030" s="99" t="s">
        <v>1047</v>
      </c>
      <c r="G1030" s="107" t="s">
        <v>840</v>
      </c>
    </row>
    <row r="1031" spans="1:8">
      <c r="A1031" s="95"/>
      <c r="B1031" s="230"/>
      <c r="C1031" s="102"/>
      <c r="D1031" s="100"/>
      <c r="E1031" s="100" t="s">
        <v>312</v>
      </c>
      <c r="F1031" s="101" t="s">
        <v>313</v>
      </c>
      <c r="G1031" s="108" t="s">
        <v>314</v>
      </c>
    </row>
    <row r="1032" spans="1:8">
      <c r="A1032" s="125"/>
      <c r="B1032" s="875"/>
      <c r="C1032" s="876"/>
      <c r="D1032" s="87"/>
      <c r="E1032" s="10"/>
      <c r="F1032" s="80"/>
      <c r="G1032" s="110"/>
    </row>
    <row r="1033" spans="1:8">
      <c r="A1033" s="123"/>
      <c r="B1033" s="877"/>
      <c r="C1033" s="878"/>
      <c r="D1033" s="88"/>
      <c r="E1033" s="53"/>
      <c r="F1033" s="82"/>
      <c r="G1033" s="111"/>
    </row>
    <row r="1034" spans="1:8">
      <c r="A1034" s="95"/>
      <c r="B1034" s="835"/>
      <c r="C1034" s="836"/>
      <c r="D1034" s="37"/>
      <c r="E1034" s="55"/>
      <c r="F1034" s="82"/>
      <c r="G1034" s="111"/>
    </row>
    <row r="1035" spans="1:8">
      <c r="A1035" s="95"/>
      <c r="B1035" s="835"/>
      <c r="C1035" s="836"/>
      <c r="D1035" s="37"/>
      <c r="E1035" s="55"/>
      <c r="F1035" s="82"/>
      <c r="G1035" s="111"/>
    </row>
    <row r="1036" spans="1:8">
      <c r="A1036" s="95"/>
      <c r="B1036" s="837"/>
      <c r="C1036" s="838"/>
      <c r="D1036" s="37"/>
      <c r="E1036" s="55"/>
      <c r="F1036" s="82"/>
      <c r="G1036" s="111"/>
    </row>
    <row r="1037" spans="1:8">
      <c r="A1037" s="95"/>
      <c r="B1037" s="837"/>
      <c r="C1037" s="838"/>
      <c r="D1037" s="53" t="s">
        <v>841</v>
      </c>
      <c r="E1037" s="53"/>
      <c r="F1037" s="82"/>
      <c r="G1037" s="111"/>
    </row>
    <row r="1038" spans="1:8">
      <c r="A1038" s="95"/>
      <c r="B1038" s="837" t="s">
        <v>841</v>
      </c>
      <c r="C1038" s="838"/>
      <c r="D1038" s="53" t="s">
        <v>841</v>
      </c>
      <c r="E1038" s="53"/>
      <c r="F1038" s="82"/>
      <c r="G1038" s="111"/>
    </row>
    <row r="1039" spans="1:8">
      <c r="A1039" s="95"/>
      <c r="B1039" s="837" t="s">
        <v>841</v>
      </c>
      <c r="C1039" s="838"/>
      <c r="D1039" s="53" t="s">
        <v>841</v>
      </c>
      <c r="E1039" s="53"/>
      <c r="F1039" s="82"/>
      <c r="G1039" s="111"/>
      <c r="H1039" s="505" t="s">
        <v>1670</v>
      </c>
    </row>
    <row r="1040" spans="1:8" ht="13.5" thickBot="1">
      <c r="A1040" s="95"/>
      <c r="B1040" s="839" t="s">
        <v>841</v>
      </c>
      <c r="C1040" s="840"/>
      <c r="D1040" s="84" t="s">
        <v>841</v>
      </c>
      <c r="E1040" s="84"/>
      <c r="F1040" s="85"/>
      <c r="G1040" s="112"/>
    </row>
    <row r="1041" spans="1:7" ht="13.5" thickTop="1">
      <c r="A1041" s="95"/>
      <c r="B1041" s="808"/>
      <c r="C1041" s="809"/>
      <c r="D1041" s="801" t="s">
        <v>856</v>
      </c>
      <c r="E1041" s="802"/>
      <c r="F1041" s="9"/>
      <c r="G1041" s="113">
        <f>SUM(G1032:G1040)</f>
        <v>0</v>
      </c>
    </row>
    <row r="1042" spans="1:7">
      <c r="A1042" s="95"/>
      <c r="B1042" s="819"/>
      <c r="C1042" s="820"/>
      <c r="D1042" s="801" t="s">
        <v>857</v>
      </c>
      <c r="E1042" s="802"/>
      <c r="F1042" s="79">
        <f>'MANO DE OBRA'!$D$60</f>
        <v>0.05</v>
      </c>
      <c r="G1042" s="113">
        <f>ROUND(G1041*F1042,0)</f>
        <v>0</v>
      </c>
    </row>
    <row r="1043" spans="1:7" ht="13.5" thickBot="1">
      <c r="A1043" s="95"/>
      <c r="B1043" s="819"/>
      <c r="C1043" s="820"/>
      <c r="D1043" s="803" t="s">
        <v>320</v>
      </c>
      <c r="E1043" s="804"/>
      <c r="F1043" s="114"/>
      <c r="G1043" s="118">
        <f>+G1041+G1042</f>
        <v>0</v>
      </c>
    </row>
    <row r="1044" spans="1:7" ht="14.25" thickTop="1" thickBot="1">
      <c r="A1044" s="95"/>
      <c r="B1044" s="830"/>
      <c r="C1044" s="830"/>
      <c r="D1044" s="830"/>
      <c r="E1044" s="830"/>
      <c r="F1044" s="830"/>
      <c r="G1044" s="830"/>
    </row>
    <row r="1045" spans="1:7" ht="13.5" thickTop="1">
      <c r="A1045" s="95"/>
      <c r="B1045" s="811" t="s">
        <v>858</v>
      </c>
      <c r="C1045" s="812"/>
      <c r="D1045" s="812"/>
      <c r="E1045" s="812"/>
      <c r="F1045" s="812"/>
      <c r="G1045" s="825"/>
    </row>
    <row r="1046" spans="1:7">
      <c r="A1046" s="95"/>
      <c r="B1046" s="817"/>
      <c r="C1046" s="818"/>
      <c r="D1046" s="98" t="s">
        <v>301</v>
      </c>
      <c r="E1046" s="98" t="s">
        <v>859</v>
      </c>
      <c r="F1046" s="99" t="s">
        <v>839</v>
      </c>
      <c r="G1046" s="107" t="s">
        <v>840</v>
      </c>
    </row>
    <row r="1047" spans="1:7">
      <c r="A1047" s="95"/>
      <c r="B1047" s="821" t="s">
        <v>838</v>
      </c>
      <c r="C1047" s="822"/>
      <c r="D1047" s="100" t="s">
        <v>316</v>
      </c>
      <c r="E1047" s="100" t="s">
        <v>315</v>
      </c>
      <c r="F1047" s="101" t="s">
        <v>306</v>
      </c>
      <c r="G1047" s="108" t="s">
        <v>319</v>
      </c>
    </row>
    <row r="1048" spans="1:7">
      <c r="A1048" s="95"/>
      <c r="B1048" s="230"/>
      <c r="C1048" s="102"/>
      <c r="D1048" s="103"/>
      <c r="E1048" s="103" t="s">
        <v>317</v>
      </c>
      <c r="F1048" s="104" t="s">
        <v>318</v>
      </c>
      <c r="G1048" s="109"/>
    </row>
    <row r="1049" spans="1:7">
      <c r="A1049" s="95"/>
      <c r="B1049" s="823" t="str">
        <f>'MANO DE OBRA'!$B$10</f>
        <v>AYUDANTE CUAD. TIPO AA</v>
      </c>
      <c r="C1049" s="824"/>
      <c r="D1049" s="87">
        <v>1</v>
      </c>
      <c r="E1049" s="80">
        <f>'MANO DE OBRA'!$E$10</f>
        <v>34680</v>
      </c>
      <c r="F1049" s="81">
        <v>1</v>
      </c>
      <c r="G1049" s="110">
        <f>ROUND(D1049*E1049/F1049,0)</f>
        <v>34680</v>
      </c>
    </row>
    <row r="1050" spans="1:7">
      <c r="A1050" s="95"/>
      <c r="B1050" s="835"/>
      <c r="C1050" s="836"/>
      <c r="D1050" s="37"/>
      <c r="E1050" s="82"/>
      <c r="F1050" s="83"/>
      <c r="G1050" s="111"/>
    </row>
    <row r="1051" spans="1:7">
      <c r="A1051" s="95"/>
      <c r="B1051" s="835"/>
      <c r="C1051" s="836"/>
      <c r="D1051" s="89"/>
      <c r="E1051" s="82"/>
      <c r="F1051" s="83"/>
      <c r="G1051" s="111"/>
    </row>
    <row r="1052" spans="1:7">
      <c r="A1052" s="95"/>
      <c r="B1052" s="835" t="s">
        <v>841</v>
      </c>
      <c r="C1052" s="836"/>
      <c r="D1052" s="37"/>
      <c r="E1052" s="82"/>
      <c r="F1052" s="83"/>
      <c r="G1052" s="111"/>
    </row>
    <row r="1053" spans="1:7" ht="13.5" thickBot="1">
      <c r="A1053" s="95"/>
      <c r="B1053" s="828" t="s">
        <v>841</v>
      </c>
      <c r="C1053" s="829"/>
      <c r="D1053" s="77"/>
      <c r="E1053" s="82"/>
      <c r="F1053" s="86"/>
      <c r="G1053" s="112"/>
    </row>
    <row r="1054" spans="1:7" ht="14.25" thickTop="1" thickBot="1">
      <c r="A1054" s="95"/>
      <c r="B1054" s="808"/>
      <c r="C1054" s="808"/>
      <c r="D1054" s="808"/>
      <c r="E1054" s="809"/>
      <c r="F1054" s="120" t="s">
        <v>856</v>
      </c>
      <c r="G1054" s="118">
        <f>SUM(G1049:G1053)</f>
        <v>34680</v>
      </c>
    </row>
    <row r="1055" spans="1:7" ht="14.25" thickTop="1" thickBot="1">
      <c r="A1055" s="95"/>
      <c r="B1055" s="810"/>
      <c r="C1055" s="810"/>
      <c r="D1055" s="810"/>
      <c r="E1055" s="810"/>
      <c r="F1055" s="810"/>
      <c r="G1055" s="810"/>
    </row>
    <row r="1056" spans="1:7" ht="13.5" thickTop="1">
      <c r="A1056" s="95"/>
      <c r="B1056" s="811" t="s">
        <v>321</v>
      </c>
      <c r="C1056" s="812"/>
      <c r="D1056" s="812"/>
      <c r="E1056" s="812"/>
      <c r="F1056" s="812"/>
      <c r="G1056" s="825"/>
    </row>
    <row r="1057" spans="1:8">
      <c r="A1057" s="95"/>
      <c r="B1057" s="817" t="s">
        <v>838</v>
      </c>
      <c r="C1057" s="818"/>
      <c r="D1057" s="98" t="s">
        <v>301</v>
      </c>
      <c r="E1057" s="98" t="s">
        <v>297</v>
      </c>
      <c r="F1057" s="99" t="s">
        <v>839</v>
      </c>
      <c r="G1057" s="107" t="s">
        <v>840</v>
      </c>
    </row>
    <row r="1058" spans="1:8">
      <c r="A1058" s="95"/>
      <c r="B1058" s="230"/>
      <c r="C1058" s="102"/>
      <c r="D1058" s="103" t="s">
        <v>322</v>
      </c>
      <c r="E1058" s="103" t="s">
        <v>323</v>
      </c>
      <c r="F1058" s="104" t="s">
        <v>324</v>
      </c>
      <c r="G1058" s="109" t="s">
        <v>325</v>
      </c>
    </row>
    <row r="1059" spans="1:8">
      <c r="A1059" s="95"/>
      <c r="B1059" s="826"/>
      <c r="C1059" s="827"/>
      <c r="D1059" s="96"/>
      <c r="E1059" s="96"/>
      <c r="F1059" s="96"/>
      <c r="G1059" s="116"/>
    </row>
    <row r="1060" spans="1:8" ht="13.5" thickBot="1">
      <c r="A1060" s="95"/>
      <c r="B1060" s="828" t="s">
        <v>841</v>
      </c>
      <c r="C1060" s="829"/>
      <c r="D1060" s="77"/>
      <c r="E1060" s="82"/>
      <c r="F1060" s="86"/>
      <c r="G1060" s="112"/>
    </row>
    <row r="1061" spans="1:8" ht="14.25" thickTop="1" thickBot="1">
      <c r="A1061" s="95"/>
      <c r="B1061" s="808"/>
      <c r="C1061" s="808"/>
      <c r="D1061" s="808"/>
      <c r="E1061" s="809"/>
      <c r="F1061" s="120" t="s">
        <v>856</v>
      </c>
      <c r="G1061" s="118">
        <f>SUM(G1056:G1060)</f>
        <v>0</v>
      </c>
    </row>
    <row r="1062" spans="1:8" ht="14.25" thickTop="1" thickBot="1">
      <c r="A1062" s="95"/>
      <c r="B1062" s="810"/>
      <c r="C1062" s="810"/>
      <c r="D1062" s="810"/>
      <c r="E1062" s="810"/>
      <c r="F1062" s="810"/>
      <c r="G1062" s="834"/>
    </row>
    <row r="1063" spans="1:8" ht="13.5" thickTop="1">
      <c r="A1063" s="95"/>
      <c r="B1063" s="811" t="s">
        <v>326</v>
      </c>
      <c r="C1063" s="812"/>
      <c r="D1063" s="812"/>
      <c r="E1063" s="812"/>
      <c r="F1063" s="813"/>
      <c r="G1063" s="121">
        <f>+G1027+G1043+G1054</f>
        <v>36414</v>
      </c>
    </row>
    <row r="1064" spans="1:8">
      <c r="A1064" s="95"/>
      <c r="B1064" s="814" t="s">
        <v>861</v>
      </c>
      <c r="C1064" s="815"/>
      <c r="D1064" s="815"/>
      <c r="E1064" s="816"/>
      <c r="F1064" s="128">
        <f>'MANO DE OBRA'!D854</f>
        <v>0</v>
      </c>
      <c r="G1064" s="122">
        <f>ROUND(G1063*F1064,0)</f>
        <v>0</v>
      </c>
    </row>
    <row r="1065" spans="1:8" ht="13.5" thickBot="1">
      <c r="A1065" s="95"/>
      <c r="B1065" s="805" t="s">
        <v>1049</v>
      </c>
      <c r="C1065" s="806"/>
      <c r="D1065" s="806"/>
      <c r="E1065" s="806"/>
      <c r="F1065" s="807"/>
      <c r="G1065" s="118">
        <f>ROUND(G1063+G1064,-2)</f>
        <v>36400</v>
      </c>
      <c r="H1065" s="505" t="s">
        <v>1670</v>
      </c>
    </row>
    <row r="1066" spans="1:8" ht="15" thickTop="1">
      <c r="A1066" s="95"/>
      <c r="B1066" s="225" t="s">
        <v>303</v>
      </c>
      <c r="C1066" s="843"/>
      <c r="D1066" s="843"/>
      <c r="E1066" s="843"/>
      <c r="F1066" s="92" t="s">
        <v>781</v>
      </c>
      <c r="G1066" s="93" t="s">
        <v>1066</v>
      </c>
    </row>
    <row r="1067" spans="1:8">
      <c r="A1067" s="95"/>
      <c r="B1067" s="226" t="s">
        <v>834</v>
      </c>
      <c r="C1067" s="844" t="s">
        <v>342</v>
      </c>
      <c r="D1067" s="844"/>
      <c r="E1067" s="844"/>
      <c r="F1067" s="15" t="s">
        <v>833</v>
      </c>
      <c r="G1067" s="165" t="str">
        <f>'MANO DE OBRA'!$D$61</f>
        <v>Agosto de 2010</v>
      </c>
    </row>
    <row r="1068" spans="1:8" ht="13.5" thickBot="1">
      <c r="A1068" s="127"/>
      <c r="B1068" s="228" t="s">
        <v>835</v>
      </c>
      <c r="C1068" s="845" t="s">
        <v>802</v>
      </c>
      <c r="D1068" s="845"/>
      <c r="E1068" s="845"/>
      <c r="F1068" s="845"/>
      <c r="G1068" s="846"/>
    </row>
    <row r="1069" spans="1:8" ht="14.25" thickTop="1" thickBot="1">
      <c r="A1069" s="95"/>
      <c r="B1069" s="847"/>
      <c r="C1069" s="847"/>
      <c r="D1069" s="847"/>
      <c r="E1069" s="847"/>
      <c r="F1069" s="847"/>
      <c r="G1069" s="847"/>
    </row>
    <row r="1070" spans="1:8" ht="13.5" thickTop="1">
      <c r="A1070" s="95"/>
      <c r="B1070" s="811" t="s">
        <v>304</v>
      </c>
      <c r="C1070" s="812"/>
      <c r="D1070" s="812"/>
      <c r="E1070" s="812"/>
      <c r="F1070" s="812"/>
      <c r="G1070" s="825"/>
    </row>
    <row r="1071" spans="1:8">
      <c r="A1071" s="95"/>
      <c r="B1071" s="229"/>
      <c r="C1071" s="97"/>
      <c r="D1071" s="98" t="s">
        <v>301</v>
      </c>
      <c r="E1071" s="98" t="s">
        <v>1072</v>
      </c>
      <c r="F1071" s="99" t="s">
        <v>839</v>
      </c>
      <c r="G1071" s="107" t="s">
        <v>840</v>
      </c>
    </row>
    <row r="1072" spans="1:8">
      <c r="A1072" s="95"/>
      <c r="B1072" s="821" t="s">
        <v>838</v>
      </c>
      <c r="C1072" s="822"/>
      <c r="D1072" s="100" t="s">
        <v>308</v>
      </c>
      <c r="E1072" s="100" t="s">
        <v>305</v>
      </c>
      <c r="F1072" s="101" t="s">
        <v>306</v>
      </c>
      <c r="G1072" s="108" t="s">
        <v>310</v>
      </c>
    </row>
    <row r="1073" spans="1:7">
      <c r="A1073" s="95"/>
      <c r="B1073" s="230"/>
      <c r="C1073" s="102"/>
      <c r="D1073" s="103"/>
      <c r="E1073" s="103" t="s">
        <v>309</v>
      </c>
      <c r="F1073" s="104" t="s">
        <v>307</v>
      </c>
      <c r="G1073" s="109"/>
    </row>
    <row r="1074" spans="1:7">
      <c r="A1074" s="127"/>
      <c r="B1074" s="823" t="str">
        <f>'MAQUINARIA Y EQUIPOS'!$C$28</f>
        <v>HERRAMIENTAS MENORES</v>
      </c>
      <c r="C1074" s="824"/>
      <c r="D1074" s="87">
        <v>1</v>
      </c>
      <c r="E1074" s="82">
        <f>ROUND(G1107*0.05,0)</f>
        <v>2442</v>
      </c>
      <c r="F1074" s="81">
        <v>1</v>
      </c>
      <c r="G1074" s="110">
        <f>ROUND(D1074*E1074/F1074,0)</f>
        <v>2442</v>
      </c>
    </row>
    <row r="1075" spans="1:7">
      <c r="A1075" s="95"/>
      <c r="B1075" s="835"/>
      <c r="C1075" s="836"/>
      <c r="D1075" s="37"/>
      <c r="E1075" s="82"/>
      <c r="F1075" s="83"/>
      <c r="G1075" s="111"/>
    </row>
    <row r="1076" spans="1:7">
      <c r="A1076" s="95"/>
      <c r="B1076" s="835"/>
      <c r="C1076" s="836"/>
      <c r="D1076" s="89"/>
      <c r="E1076" s="82"/>
      <c r="F1076" s="83"/>
      <c r="G1076" s="111"/>
    </row>
    <row r="1077" spans="1:7">
      <c r="A1077" s="95"/>
      <c r="B1077" s="835"/>
      <c r="C1077" s="836"/>
      <c r="D1077" s="89"/>
      <c r="E1077" s="82"/>
      <c r="F1077" s="83"/>
      <c r="G1077" s="111"/>
    </row>
    <row r="1078" spans="1:7">
      <c r="A1078" s="95"/>
      <c r="B1078" s="835" t="s">
        <v>841</v>
      </c>
      <c r="C1078" s="836"/>
      <c r="D1078" s="37"/>
      <c r="E1078" s="82"/>
      <c r="F1078" s="83"/>
      <c r="G1078" s="111"/>
    </row>
    <row r="1079" spans="1:7" ht="13.5" thickBot="1">
      <c r="A1079" s="95"/>
      <c r="B1079" s="839" t="s">
        <v>841</v>
      </c>
      <c r="C1079" s="840"/>
      <c r="D1079" s="77"/>
      <c r="E1079" s="106"/>
      <c r="F1079" s="86"/>
      <c r="G1079" s="112"/>
    </row>
    <row r="1080" spans="1:7" ht="14.25" thickTop="1" thickBot="1">
      <c r="A1080" s="95"/>
      <c r="B1080" s="808"/>
      <c r="C1080" s="808"/>
      <c r="D1080" s="808"/>
      <c r="E1080" s="809"/>
      <c r="F1080" s="119" t="s">
        <v>856</v>
      </c>
      <c r="G1080" s="118">
        <f>SUM(G1074:G1079)</f>
        <v>2442</v>
      </c>
    </row>
    <row r="1081" spans="1:7" ht="14.25" thickTop="1" thickBot="1">
      <c r="A1081" s="95"/>
      <c r="B1081" s="830"/>
      <c r="C1081" s="830"/>
      <c r="D1081" s="830"/>
      <c r="E1081" s="830"/>
      <c r="F1081" s="830"/>
      <c r="G1081" s="830"/>
    </row>
    <row r="1082" spans="1:7" ht="13.5" thickTop="1">
      <c r="A1082" s="95"/>
      <c r="B1082" s="811" t="s">
        <v>311</v>
      </c>
      <c r="C1082" s="812"/>
      <c r="D1082" s="812"/>
      <c r="E1082" s="812"/>
      <c r="F1082" s="812"/>
      <c r="G1082" s="825"/>
    </row>
    <row r="1083" spans="1:7">
      <c r="A1083" s="95"/>
      <c r="B1083" s="817" t="s">
        <v>838</v>
      </c>
      <c r="C1083" s="818"/>
      <c r="D1083" s="98" t="s">
        <v>842</v>
      </c>
      <c r="E1083" s="98" t="s">
        <v>853</v>
      </c>
      <c r="F1083" s="99" t="s">
        <v>1047</v>
      </c>
      <c r="G1083" s="107" t="s">
        <v>840</v>
      </c>
    </row>
    <row r="1084" spans="1:7">
      <c r="A1084" s="95"/>
      <c r="B1084" s="230"/>
      <c r="C1084" s="102"/>
      <c r="D1084" s="100"/>
      <c r="E1084" s="100" t="s">
        <v>312</v>
      </c>
      <c r="F1084" s="101" t="s">
        <v>313</v>
      </c>
      <c r="G1084" s="108" t="s">
        <v>314</v>
      </c>
    </row>
    <row r="1085" spans="1:7">
      <c r="A1085" s="125"/>
      <c r="B1085" s="875"/>
      <c r="C1085" s="876"/>
      <c r="D1085" s="87"/>
      <c r="E1085" s="10"/>
      <c r="F1085" s="80"/>
      <c r="G1085" s="110"/>
    </row>
    <row r="1086" spans="1:7">
      <c r="A1086" s="123"/>
      <c r="B1086" s="877"/>
      <c r="C1086" s="878"/>
      <c r="D1086" s="88"/>
      <c r="E1086" s="53"/>
      <c r="F1086" s="82"/>
      <c r="G1086" s="111"/>
    </row>
    <row r="1087" spans="1:7">
      <c r="A1087" s="95"/>
      <c r="B1087" s="835"/>
      <c r="C1087" s="836"/>
      <c r="D1087" s="37"/>
      <c r="E1087" s="55"/>
      <c r="F1087" s="82"/>
      <c r="G1087" s="111"/>
    </row>
    <row r="1088" spans="1:7">
      <c r="A1088" s="95"/>
      <c r="B1088" s="835"/>
      <c r="C1088" s="836"/>
      <c r="D1088" s="37"/>
      <c r="E1088" s="55"/>
      <c r="F1088" s="82"/>
      <c r="G1088" s="111"/>
    </row>
    <row r="1089" spans="1:8">
      <c r="A1089" s="95"/>
      <c r="B1089" s="837"/>
      <c r="C1089" s="838"/>
      <c r="D1089" s="37"/>
      <c r="E1089" s="55"/>
      <c r="F1089" s="82"/>
      <c r="G1089" s="111"/>
    </row>
    <row r="1090" spans="1:8">
      <c r="A1090" s="95"/>
      <c r="B1090" s="837"/>
      <c r="C1090" s="838"/>
      <c r="D1090" s="53" t="s">
        <v>841</v>
      </c>
      <c r="E1090" s="53"/>
      <c r="F1090" s="82"/>
      <c r="G1090" s="111"/>
    </row>
    <row r="1091" spans="1:8">
      <c r="A1091" s="95"/>
      <c r="B1091" s="837" t="s">
        <v>841</v>
      </c>
      <c r="C1091" s="838"/>
      <c r="D1091" s="53" t="s">
        <v>841</v>
      </c>
      <c r="E1091" s="53"/>
      <c r="F1091" s="82"/>
      <c r="G1091" s="111"/>
    </row>
    <row r="1092" spans="1:8">
      <c r="A1092" s="95"/>
      <c r="B1092" s="837" t="s">
        <v>841</v>
      </c>
      <c r="C1092" s="838"/>
      <c r="D1092" s="53" t="s">
        <v>841</v>
      </c>
      <c r="E1092" s="53"/>
      <c r="F1092" s="82"/>
      <c r="G1092" s="111"/>
      <c r="H1092" s="505" t="s">
        <v>1670</v>
      </c>
    </row>
    <row r="1093" spans="1:8" ht="13.5" thickBot="1">
      <c r="A1093" s="95"/>
      <c r="B1093" s="839" t="s">
        <v>841</v>
      </c>
      <c r="C1093" s="840"/>
      <c r="D1093" s="84" t="s">
        <v>841</v>
      </c>
      <c r="E1093" s="84"/>
      <c r="F1093" s="85"/>
      <c r="G1093" s="112"/>
    </row>
    <row r="1094" spans="1:8" ht="13.5" thickTop="1">
      <c r="A1094" s="95"/>
      <c r="B1094" s="808"/>
      <c r="C1094" s="809"/>
      <c r="D1094" s="801" t="s">
        <v>856</v>
      </c>
      <c r="E1094" s="802"/>
      <c r="F1094" s="9"/>
      <c r="G1094" s="113">
        <f>SUM(G1085:G1093)</f>
        <v>0</v>
      </c>
    </row>
    <row r="1095" spans="1:8">
      <c r="A1095" s="95"/>
      <c r="B1095" s="819"/>
      <c r="C1095" s="820"/>
      <c r="D1095" s="801" t="s">
        <v>857</v>
      </c>
      <c r="E1095" s="802"/>
      <c r="F1095" s="79">
        <f>'MANO DE OBRA'!$D$60</f>
        <v>0.05</v>
      </c>
      <c r="G1095" s="113">
        <f>ROUND(G1094*F1095,0)</f>
        <v>0</v>
      </c>
    </row>
    <row r="1096" spans="1:8" ht="13.5" thickBot="1">
      <c r="A1096" s="95"/>
      <c r="B1096" s="819"/>
      <c r="C1096" s="820"/>
      <c r="D1096" s="803" t="s">
        <v>320</v>
      </c>
      <c r="E1096" s="804"/>
      <c r="F1096" s="114"/>
      <c r="G1096" s="118">
        <f>+G1094+G1095</f>
        <v>0</v>
      </c>
    </row>
    <row r="1097" spans="1:8" ht="14.25" thickTop="1" thickBot="1">
      <c r="A1097" s="95"/>
      <c r="B1097" s="830"/>
      <c r="C1097" s="830"/>
      <c r="D1097" s="830"/>
      <c r="E1097" s="830"/>
      <c r="F1097" s="830"/>
      <c r="G1097" s="830"/>
    </row>
    <row r="1098" spans="1:8" ht="13.5" thickTop="1">
      <c r="A1098" s="95"/>
      <c r="B1098" s="811" t="s">
        <v>858</v>
      </c>
      <c r="C1098" s="812"/>
      <c r="D1098" s="812"/>
      <c r="E1098" s="812"/>
      <c r="F1098" s="812"/>
      <c r="G1098" s="825"/>
    </row>
    <row r="1099" spans="1:8">
      <c r="A1099" s="95"/>
      <c r="B1099" s="817"/>
      <c r="C1099" s="818"/>
      <c r="D1099" s="98" t="s">
        <v>301</v>
      </c>
      <c r="E1099" s="98" t="s">
        <v>859</v>
      </c>
      <c r="F1099" s="99" t="s">
        <v>839</v>
      </c>
      <c r="G1099" s="107" t="s">
        <v>840</v>
      </c>
    </row>
    <row r="1100" spans="1:8">
      <c r="A1100" s="95"/>
      <c r="B1100" s="821" t="s">
        <v>838</v>
      </c>
      <c r="C1100" s="822"/>
      <c r="D1100" s="100" t="s">
        <v>316</v>
      </c>
      <c r="E1100" s="100" t="s">
        <v>315</v>
      </c>
      <c r="F1100" s="101" t="s">
        <v>306</v>
      </c>
      <c r="G1100" s="108" t="s">
        <v>319</v>
      </c>
    </row>
    <row r="1101" spans="1:8">
      <c r="A1101" s="95"/>
      <c r="B1101" s="230"/>
      <c r="C1101" s="102"/>
      <c r="D1101" s="103"/>
      <c r="E1101" s="103" t="s">
        <v>317</v>
      </c>
      <c r="F1101" s="104" t="s">
        <v>318</v>
      </c>
      <c r="G1101" s="109"/>
    </row>
    <row r="1102" spans="1:8">
      <c r="A1102" s="95"/>
      <c r="B1102" s="823" t="str">
        <f>'MANO DE OBRA'!$B$10</f>
        <v>AYUDANTE CUAD. TIPO AA</v>
      </c>
      <c r="C1102" s="824"/>
      <c r="D1102" s="87">
        <v>1</v>
      </c>
      <c r="E1102" s="80">
        <f>'MANO DE OBRA'!$E$10</f>
        <v>34680</v>
      </c>
      <c r="F1102" s="81">
        <v>0.71</v>
      </c>
      <c r="G1102" s="110">
        <f>ROUND(D1102*E1102/F1102,0)</f>
        <v>48845</v>
      </c>
    </row>
    <row r="1103" spans="1:8">
      <c r="A1103" s="95"/>
      <c r="B1103" s="835"/>
      <c r="C1103" s="836"/>
      <c r="D1103" s="37"/>
      <c r="E1103" s="82"/>
      <c r="F1103" s="83"/>
      <c r="G1103" s="111"/>
    </row>
    <row r="1104" spans="1:8">
      <c r="A1104" s="95"/>
      <c r="B1104" s="835"/>
      <c r="C1104" s="836"/>
      <c r="D1104" s="89"/>
      <c r="E1104" s="82"/>
      <c r="F1104" s="83"/>
      <c r="G1104" s="111"/>
    </row>
    <row r="1105" spans="1:8">
      <c r="A1105" s="95"/>
      <c r="B1105" s="835" t="s">
        <v>841</v>
      </c>
      <c r="C1105" s="836"/>
      <c r="D1105" s="37"/>
      <c r="E1105" s="82"/>
      <c r="F1105" s="83"/>
      <c r="G1105" s="111"/>
    </row>
    <row r="1106" spans="1:8" ht="13.5" thickBot="1">
      <c r="A1106" s="95"/>
      <c r="B1106" s="828" t="s">
        <v>841</v>
      </c>
      <c r="C1106" s="829"/>
      <c r="D1106" s="77"/>
      <c r="E1106" s="82"/>
      <c r="F1106" s="86"/>
      <c r="G1106" s="112"/>
    </row>
    <row r="1107" spans="1:8" ht="14.25" thickTop="1" thickBot="1">
      <c r="A1107" s="95"/>
      <c r="B1107" s="808"/>
      <c r="C1107" s="808"/>
      <c r="D1107" s="808"/>
      <c r="E1107" s="809"/>
      <c r="F1107" s="120" t="s">
        <v>856</v>
      </c>
      <c r="G1107" s="118">
        <f>SUM(G1102:G1106)</f>
        <v>48845</v>
      </c>
    </row>
    <row r="1108" spans="1:8" ht="14.25" thickTop="1" thickBot="1">
      <c r="A1108" s="95"/>
      <c r="B1108" s="810"/>
      <c r="C1108" s="810"/>
      <c r="D1108" s="810"/>
      <c r="E1108" s="810"/>
      <c r="F1108" s="810"/>
      <c r="G1108" s="810"/>
    </row>
    <row r="1109" spans="1:8" ht="13.5" thickTop="1">
      <c r="A1109" s="95"/>
      <c r="B1109" s="811" t="s">
        <v>321</v>
      </c>
      <c r="C1109" s="812"/>
      <c r="D1109" s="812"/>
      <c r="E1109" s="812"/>
      <c r="F1109" s="812"/>
      <c r="G1109" s="825"/>
    </row>
    <row r="1110" spans="1:8">
      <c r="A1110" s="95"/>
      <c r="B1110" s="817" t="s">
        <v>838</v>
      </c>
      <c r="C1110" s="818"/>
      <c r="D1110" s="98" t="s">
        <v>301</v>
      </c>
      <c r="E1110" s="98" t="s">
        <v>297</v>
      </c>
      <c r="F1110" s="99" t="s">
        <v>839</v>
      </c>
      <c r="G1110" s="107" t="s">
        <v>840</v>
      </c>
    </row>
    <row r="1111" spans="1:8">
      <c r="A1111" s="95"/>
      <c r="B1111" s="230"/>
      <c r="C1111" s="102"/>
      <c r="D1111" s="103" t="s">
        <v>322</v>
      </c>
      <c r="E1111" s="103" t="s">
        <v>323</v>
      </c>
      <c r="F1111" s="104" t="s">
        <v>324</v>
      </c>
      <c r="G1111" s="109" t="s">
        <v>325</v>
      </c>
    </row>
    <row r="1112" spans="1:8">
      <c r="A1112" s="95"/>
      <c r="B1112" s="826"/>
      <c r="C1112" s="827"/>
      <c r="D1112" s="96"/>
      <c r="E1112" s="96"/>
      <c r="F1112" s="96"/>
      <c r="G1112" s="116"/>
    </row>
    <row r="1113" spans="1:8" ht="13.5" thickBot="1">
      <c r="A1113" s="95"/>
      <c r="B1113" s="828" t="s">
        <v>841</v>
      </c>
      <c r="C1113" s="829"/>
      <c r="D1113" s="77"/>
      <c r="E1113" s="82"/>
      <c r="F1113" s="86"/>
      <c r="G1113" s="112"/>
    </row>
    <row r="1114" spans="1:8" ht="14.25" thickTop="1" thickBot="1">
      <c r="A1114" s="95"/>
      <c r="B1114" s="808"/>
      <c r="C1114" s="808"/>
      <c r="D1114" s="808"/>
      <c r="E1114" s="809"/>
      <c r="F1114" s="120" t="s">
        <v>856</v>
      </c>
      <c r="G1114" s="118">
        <f>SUM(G1109:G1113)</f>
        <v>0</v>
      </c>
    </row>
    <row r="1115" spans="1:8" ht="14.25" thickTop="1" thickBot="1">
      <c r="A1115" s="95"/>
      <c r="B1115" s="810"/>
      <c r="C1115" s="810"/>
      <c r="D1115" s="810"/>
      <c r="E1115" s="810"/>
      <c r="F1115" s="810"/>
      <c r="G1115" s="834"/>
    </row>
    <row r="1116" spans="1:8" ht="13.5" thickTop="1">
      <c r="A1116" s="95"/>
      <c r="B1116" s="811" t="s">
        <v>326</v>
      </c>
      <c r="C1116" s="812"/>
      <c r="D1116" s="812"/>
      <c r="E1116" s="812"/>
      <c r="F1116" s="813"/>
      <c r="G1116" s="121">
        <f>+G1080+G1096+G1107</f>
        <v>51287</v>
      </c>
    </row>
    <row r="1117" spans="1:8">
      <c r="A1117" s="95"/>
      <c r="B1117" s="814" t="s">
        <v>861</v>
      </c>
      <c r="C1117" s="815"/>
      <c r="D1117" s="815"/>
      <c r="E1117" s="816"/>
      <c r="F1117" s="128">
        <f>'MANO DE OBRA'!D907</f>
        <v>0</v>
      </c>
      <c r="G1117" s="122">
        <f>ROUND(G1116*F1117,0)</f>
        <v>0</v>
      </c>
    </row>
    <row r="1118" spans="1:8" ht="13.5" thickBot="1">
      <c r="A1118" s="95"/>
      <c r="B1118" s="805" t="s">
        <v>1049</v>
      </c>
      <c r="C1118" s="806"/>
      <c r="D1118" s="806"/>
      <c r="E1118" s="806"/>
      <c r="F1118" s="807"/>
      <c r="G1118" s="118">
        <f>ROUND(G1116+G1117,-2)</f>
        <v>51300</v>
      </c>
      <c r="H1118" s="505" t="s">
        <v>1670</v>
      </c>
    </row>
    <row r="1119" spans="1:8" ht="15" thickTop="1">
      <c r="A1119" s="95"/>
      <c r="B1119" s="225" t="s">
        <v>303</v>
      </c>
      <c r="C1119" s="843"/>
      <c r="D1119" s="843"/>
      <c r="E1119" s="843"/>
      <c r="F1119" s="92" t="s">
        <v>781</v>
      </c>
      <c r="G1119" s="93" t="s">
        <v>1066</v>
      </c>
    </row>
    <row r="1120" spans="1:8">
      <c r="A1120" s="95"/>
      <c r="B1120" s="226" t="s">
        <v>834</v>
      </c>
      <c r="C1120" s="844" t="s">
        <v>342</v>
      </c>
      <c r="D1120" s="844"/>
      <c r="E1120" s="844"/>
      <c r="F1120" s="15" t="s">
        <v>833</v>
      </c>
      <c r="G1120" s="165" t="str">
        <f>'MANO DE OBRA'!$D$61</f>
        <v>Agosto de 2010</v>
      </c>
    </row>
    <row r="1121" spans="1:7" ht="13.5" thickBot="1">
      <c r="A1121" s="127"/>
      <c r="B1121" s="228" t="s">
        <v>835</v>
      </c>
      <c r="C1121" s="845" t="s">
        <v>803</v>
      </c>
      <c r="D1121" s="845"/>
      <c r="E1121" s="845"/>
      <c r="F1121" s="845"/>
      <c r="G1121" s="846"/>
    </row>
    <row r="1122" spans="1:7" ht="14.25" thickTop="1" thickBot="1">
      <c r="A1122" s="95"/>
      <c r="B1122" s="847"/>
      <c r="C1122" s="847"/>
      <c r="D1122" s="847"/>
      <c r="E1122" s="847"/>
      <c r="F1122" s="847"/>
      <c r="G1122" s="847"/>
    </row>
    <row r="1123" spans="1:7" ht="13.5" thickTop="1">
      <c r="A1123" s="95"/>
      <c r="B1123" s="811" t="s">
        <v>304</v>
      </c>
      <c r="C1123" s="812"/>
      <c r="D1123" s="812"/>
      <c r="E1123" s="812"/>
      <c r="F1123" s="812"/>
      <c r="G1123" s="825"/>
    </row>
    <row r="1124" spans="1:7">
      <c r="A1124" s="95"/>
      <c r="B1124" s="229"/>
      <c r="C1124" s="97"/>
      <c r="D1124" s="98" t="s">
        <v>301</v>
      </c>
      <c r="E1124" s="98" t="s">
        <v>1072</v>
      </c>
      <c r="F1124" s="99" t="s">
        <v>839</v>
      </c>
      <c r="G1124" s="107" t="s">
        <v>840</v>
      </c>
    </row>
    <row r="1125" spans="1:7">
      <c r="A1125" s="95"/>
      <c r="B1125" s="821" t="s">
        <v>838</v>
      </c>
      <c r="C1125" s="822"/>
      <c r="D1125" s="100" t="s">
        <v>308</v>
      </c>
      <c r="E1125" s="100" t="s">
        <v>305</v>
      </c>
      <c r="F1125" s="101" t="s">
        <v>306</v>
      </c>
      <c r="G1125" s="108" t="s">
        <v>310</v>
      </c>
    </row>
    <row r="1126" spans="1:7">
      <c r="A1126" s="95"/>
      <c r="B1126" s="230"/>
      <c r="C1126" s="102"/>
      <c r="D1126" s="103"/>
      <c r="E1126" s="103" t="s">
        <v>309</v>
      </c>
      <c r="F1126" s="104" t="s">
        <v>307</v>
      </c>
      <c r="G1126" s="109"/>
    </row>
    <row r="1127" spans="1:7">
      <c r="A1127" s="127"/>
      <c r="B1127" s="823" t="str">
        <f>'MAQUINARIA Y EQUIPOS'!$C$28</f>
        <v>HERRAMIENTAS MENORES</v>
      </c>
      <c r="C1127" s="824"/>
      <c r="D1127" s="87">
        <v>1</v>
      </c>
      <c r="E1127" s="82">
        <f>ROUND(G1160*0.05,0)</f>
        <v>4954</v>
      </c>
      <c r="F1127" s="81">
        <v>1</v>
      </c>
      <c r="G1127" s="110">
        <f>ROUND(D1127*E1127/F1127,0)</f>
        <v>4954</v>
      </c>
    </row>
    <row r="1128" spans="1:7">
      <c r="A1128" s="95"/>
      <c r="B1128" s="835"/>
      <c r="C1128" s="836"/>
      <c r="D1128" s="37"/>
      <c r="E1128" s="82"/>
      <c r="F1128" s="83"/>
      <c r="G1128" s="111"/>
    </row>
    <row r="1129" spans="1:7">
      <c r="A1129" s="95"/>
      <c r="B1129" s="835"/>
      <c r="C1129" s="836"/>
      <c r="D1129" s="89"/>
      <c r="E1129" s="82"/>
      <c r="F1129" s="83"/>
      <c r="G1129" s="111"/>
    </row>
    <row r="1130" spans="1:7">
      <c r="A1130" s="95"/>
      <c r="B1130" s="835"/>
      <c r="C1130" s="836"/>
      <c r="D1130" s="89"/>
      <c r="E1130" s="82"/>
      <c r="F1130" s="83"/>
      <c r="G1130" s="111"/>
    </row>
    <row r="1131" spans="1:7">
      <c r="A1131" s="95"/>
      <c r="B1131" s="835" t="s">
        <v>841</v>
      </c>
      <c r="C1131" s="836"/>
      <c r="D1131" s="37"/>
      <c r="E1131" s="82"/>
      <c r="F1131" s="83"/>
      <c r="G1131" s="111"/>
    </row>
    <row r="1132" spans="1:7" ht="13.5" thickBot="1">
      <c r="A1132" s="95"/>
      <c r="B1132" s="839" t="s">
        <v>841</v>
      </c>
      <c r="C1132" s="840"/>
      <c r="D1132" s="77"/>
      <c r="E1132" s="106"/>
      <c r="F1132" s="86"/>
      <c r="G1132" s="112"/>
    </row>
    <row r="1133" spans="1:7" ht="14.25" thickTop="1" thickBot="1">
      <c r="A1133" s="95"/>
      <c r="B1133" s="808"/>
      <c r="C1133" s="808"/>
      <c r="D1133" s="808"/>
      <c r="E1133" s="809"/>
      <c r="F1133" s="119" t="s">
        <v>856</v>
      </c>
      <c r="G1133" s="118">
        <f>SUM(G1127:G1132)</f>
        <v>4954</v>
      </c>
    </row>
    <row r="1134" spans="1:7" ht="14.25" thickTop="1" thickBot="1">
      <c r="A1134" s="95"/>
      <c r="B1134" s="830"/>
      <c r="C1134" s="830"/>
      <c r="D1134" s="830"/>
      <c r="E1134" s="830"/>
      <c r="F1134" s="830"/>
      <c r="G1134" s="830"/>
    </row>
    <row r="1135" spans="1:7" ht="13.5" thickTop="1">
      <c r="A1135" s="95"/>
      <c r="B1135" s="811" t="s">
        <v>311</v>
      </c>
      <c r="C1135" s="812"/>
      <c r="D1135" s="812"/>
      <c r="E1135" s="812"/>
      <c r="F1135" s="812"/>
      <c r="G1135" s="825"/>
    </row>
    <row r="1136" spans="1:7">
      <c r="A1136" s="95"/>
      <c r="B1136" s="817" t="s">
        <v>838</v>
      </c>
      <c r="C1136" s="818"/>
      <c r="D1136" s="98" t="s">
        <v>842</v>
      </c>
      <c r="E1136" s="98" t="s">
        <v>853</v>
      </c>
      <c r="F1136" s="99" t="s">
        <v>1047</v>
      </c>
      <c r="G1136" s="107" t="s">
        <v>840</v>
      </c>
    </row>
    <row r="1137" spans="1:8">
      <c r="A1137" s="95"/>
      <c r="B1137" s="230"/>
      <c r="C1137" s="102"/>
      <c r="D1137" s="100"/>
      <c r="E1137" s="100" t="s">
        <v>312</v>
      </c>
      <c r="F1137" s="101" t="s">
        <v>313</v>
      </c>
      <c r="G1137" s="108" t="s">
        <v>314</v>
      </c>
    </row>
    <row r="1138" spans="1:8">
      <c r="A1138" s="125"/>
      <c r="B1138" s="875"/>
      <c r="C1138" s="876"/>
      <c r="D1138" s="87"/>
      <c r="E1138" s="10"/>
      <c r="F1138" s="80"/>
      <c r="G1138" s="110"/>
    </row>
    <row r="1139" spans="1:8">
      <c r="A1139" s="123"/>
      <c r="B1139" s="877"/>
      <c r="C1139" s="878"/>
      <c r="D1139" s="88"/>
      <c r="E1139" s="53"/>
      <c r="F1139" s="82"/>
      <c r="G1139" s="111"/>
    </row>
    <row r="1140" spans="1:8">
      <c r="A1140" s="95"/>
      <c r="B1140" s="835"/>
      <c r="C1140" s="836"/>
      <c r="D1140" s="37"/>
      <c r="E1140" s="55"/>
      <c r="F1140" s="82"/>
      <c r="G1140" s="111"/>
    </row>
    <row r="1141" spans="1:8">
      <c r="A1141" s="95"/>
      <c r="B1141" s="835"/>
      <c r="C1141" s="836"/>
      <c r="D1141" s="37"/>
      <c r="E1141" s="55"/>
      <c r="F1141" s="82"/>
      <c r="G1141" s="111"/>
    </row>
    <row r="1142" spans="1:8">
      <c r="A1142" s="95"/>
      <c r="B1142" s="837"/>
      <c r="C1142" s="838"/>
      <c r="D1142" s="37"/>
      <c r="E1142" s="55"/>
      <c r="F1142" s="82"/>
      <c r="G1142" s="111"/>
    </row>
    <row r="1143" spans="1:8">
      <c r="A1143" s="95"/>
      <c r="B1143" s="837"/>
      <c r="C1143" s="838"/>
      <c r="D1143" s="53" t="s">
        <v>841</v>
      </c>
      <c r="E1143" s="53"/>
      <c r="F1143" s="82"/>
      <c r="G1143" s="111"/>
    </row>
    <row r="1144" spans="1:8">
      <c r="A1144" s="95"/>
      <c r="B1144" s="837" t="s">
        <v>841</v>
      </c>
      <c r="C1144" s="838"/>
      <c r="D1144" s="53" t="s">
        <v>841</v>
      </c>
      <c r="E1144" s="53"/>
      <c r="F1144" s="82"/>
      <c r="G1144" s="111"/>
    </row>
    <row r="1145" spans="1:8">
      <c r="A1145" s="95"/>
      <c r="B1145" s="837" t="s">
        <v>841</v>
      </c>
      <c r="C1145" s="838"/>
      <c r="D1145" s="53" t="s">
        <v>841</v>
      </c>
      <c r="E1145" s="53"/>
      <c r="F1145" s="82"/>
      <c r="G1145" s="111"/>
      <c r="H1145" s="505" t="s">
        <v>1670</v>
      </c>
    </row>
    <row r="1146" spans="1:8" ht="13.5" thickBot="1">
      <c r="A1146" s="95"/>
      <c r="B1146" s="839" t="s">
        <v>841</v>
      </c>
      <c r="C1146" s="840"/>
      <c r="D1146" s="84" t="s">
        <v>841</v>
      </c>
      <c r="E1146" s="84"/>
      <c r="F1146" s="85"/>
      <c r="G1146" s="112"/>
    </row>
    <row r="1147" spans="1:8" ht="13.5" thickTop="1">
      <c r="A1147" s="95"/>
      <c r="B1147" s="808"/>
      <c r="C1147" s="809"/>
      <c r="D1147" s="801" t="s">
        <v>856</v>
      </c>
      <c r="E1147" s="802"/>
      <c r="F1147" s="9"/>
      <c r="G1147" s="113">
        <f>SUM(G1138:G1146)</f>
        <v>0</v>
      </c>
    </row>
    <row r="1148" spans="1:8">
      <c r="A1148" s="95"/>
      <c r="B1148" s="819"/>
      <c r="C1148" s="820"/>
      <c r="D1148" s="801" t="s">
        <v>857</v>
      </c>
      <c r="E1148" s="802"/>
      <c r="F1148" s="79">
        <f>'MANO DE OBRA'!$D$60</f>
        <v>0.05</v>
      </c>
      <c r="G1148" s="113">
        <f>ROUND(G1147*F1148,0)</f>
        <v>0</v>
      </c>
    </row>
    <row r="1149" spans="1:8" ht="13.5" thickBot="1">
      <c r="A1149" s="95"/>
      <c r="B1149" s="819"/>
      <c r="C1149" s="820"/>
      <c r="D1149" s="803" t="s">
        <v>320</v>
      </c>
      <c r="E1149" s="804"/>
      <c r="F1149" s="114"/>
      <c r="G1149" s="118">
        <f>+G1147+G1148</f>
        <v>0</v>
      </c>
    </row>
    <row r="1150" spans="1:8" ht="14.25" thickTop="1" thickBot="1">
      <c r="A1150" s="95"/>
      <c r="B1150" s="830"/>
      <c r="C1150" s="830"/>
      <c r="D1150" s="830"/>
      <c r="E1150" s="830"/>
      <c r="F1150" s="830"/>
      <c r="G1150" s="830"/>
    </row>
    <row r="1151" spans="1:8" ht="13.5" thickTop="1">
      <c r="A1151" s="95"/>
      <c r="B1151" s="811" t="s">
        <v>858</v>
      </c>
      <c r="C1151" s="812"/>
      <c r="D1151" s="812"/>
      <c r="E1151" s="812"/>
      <c r="F1151" s="812"/>
      <c r="G1151" s="825"/>
    </row>
    <row r="1152" spans="1:8">
      <c r="A1152" s="95"/>
      <c r="B1152" s="817"/>
      <c r="C1152" s="818"/>
      <c r="D1152" s="98" t="s">
        <v>301</v>
      </c>
      <c r="E1152" s="98" t="s">
        <v>859</v>
      </c>
      <c r="F1152" s="99" t="s">
        <v>839</v>
      </c>
      <c r="G1152" s="107" t="s">
        <v>840</v>
      </c>
    </row>
    <row r="1153" spans="1:7">
      <c r="A1153" s="95"/>
      <c r="B1153" s="821" t="s">
        <v>838</v>
      </c>
      <c r="C1153" s="822"/>
      <c r="D1153" s="100" t="s">
        <v>316</v>
      </c>
      <c r="E1153" s="100" t="s">
        <v>315</v>
      </c>
      <c r="F1153" s="101" t="s">
        <v>306</v>
      </c>
      <c r="G1153" s="108" t="s">
        <v>319</v>
      </c>
    </row>
    <row r="1154" spans="1:7">
      <c r="A1154" s="95"/>
      <c r="B1154" s="230"/>
      <c r="C1154" s="102"/>
      <c r="D1154" s="103"/>
      <c r="E1154" s="103" t="s">
        <v>317</v>
      </c>
      <c r="F1154" s="104" t="s">
        <v>318</v>
      </c>
      <c r="G1154" s="109"/>
    </row>
    <row r="1155" spans="1:7">
      <c r="A1155" s="95"/>
      <c r="B1155" s="823" t="str">
        <f>'MANO DE OBRA'!$B$10</f>
        <v>AYUDANTE CUAD. TIPO AA</v>
      </c>
      <c r="C1155" s="824"/>
      <c r="D1155" s="87">
        <v>1</v>
      </c>
      <c r="E1155" s="80">
        <f>'MANO DE OBRA'!$E$10</f>
        <v>34680</v>
      </c>
      <c r="F1155" s="81">
        <v>0.35</v>
      </c>
      <c r="G1155" s="110">
        <f>ROUND(D1155*E1155/F1155,0)</f>
        <v>99086</v>
      </c>
    </row>
    <row r="1156" spans="1:7">
      <c r="A1156" s="95"/>
      <c r="B1156" s="835"/>
      <c r="C1156" s="836"/>
      <c r="D1156" s="37"/>
      <c r="E1156" s="82"/>
      <c r="F1156" s="83"/>
      <c r="G1156" s="111"/>
    </row>
    <row r="1157" spans="1:7">
      <c r="A1157" s="95"/>
      <c r="B1157" s="835"/>
      <c r="C1157" s="836"/>
      <c r="D1157" s="89"/>
      <c r="E1157" s="82"/>
      <c r="F1157" s="83"/>
      <c r="G1157" s="111"/>
    </row>
    <row r="1158" spans="1:7">
      <c r="A1158" s="95"/>
      <c r="B1158" s="835" t="s">
        <v>841</v>
      </c>
      <c r="C1158" s="836"/>
      <c r="D1158" s="37"/>
      <c r="E1158" s="82"/>
      <c r="F1158" s="83"/>
      <c r="G1158" s="111"/>
    </row>
    <row r="1159" spans="1:7" ht="13.5" thickBot="1">
      <c r="A1159" s="95"/>
      <c r="B1159" s="828" t="s">
        <v>841</v>
      </c>
      <c r="C1159" s="829"/>
      <c r="D1159" s="77"/>
      <c r="E1159" s="82"/>
      <c r="F1159" s="86"/>
      <c r="G1159" s="112"/>
    </row>
    <row r="1160" spans="1:7" ht="14.25" thickTop="1" thickBot="1">
      <c r="A1160" s="95"/>
      <c r="B1160" s="808"/>
      <c r="C1160" s="808"/>
      <c r="D1160" s="808"/>
      <c r="E1160" s="809"/>
      <c r="F1160" s="120" t="s">
        <v>856</v>
      </c>
      <c r="G1160" s="118">
        <f>SUM(G1155:G1159)</f>
        <v>99086</v>
      </c>
    </row>
    <row r="1161" spans="1:7" ht="14.25" thickTop="1" thickBot="1">
      <c r="A1161" s="95"/>
      <c r="B1161" s="810"/>
      <c r="C1161" s="810"/>
      <c r="D1161" s="810"/>
      <c r="E1161" s="810"/>
      <c r="F1161" s="810"/>
      <c r="G1161" s="810"/>
    </row>
    <row r="1162" spans="1:7" ht="13.5" thickTop="1">
      <c r="A1162" s="95"/>
      <c r="B1162" s="811" t="s">
        <v>321</v>
      </c>
      <c r="C1162" s="812"/>
      <c r="D1162" s="812"/>
      <c r="E1162" s="812"/>
      <c r="F1162" s="812"/>
      <c r="G1162" s="825"/>
    </row>
    <row r="1163" spans="1:7">
      <c r="A1163" s="95"/>
      <c r="B1163" s="817" t="s">
        <v>838</v>
      </c>
      <c r="C1163" s="818"/>
      <c r="D1163" s="98" t="s">
        <v>301</v>
      </c>
      <c r="E1163" s="98" t="s">
        <v>297</v>
      </c>
      <c r="F1163" s="99" t="s">
        <v>839</v>
      </c>
      <c r="G1163" s="107" t="s">
        <v>840</v>
      </c>
    </row>
    <row r="1164" spans="1:7">
      <c r="A1164" s="95"/>
      <c r="B1164" s="230"/>
      <c r="C1164" s="102"/>
      <c r="D1164" s="103" t="s">
        <v>322</v>
      </c>
      <c r="E1164" s="103" t="s">
        <v>323</v>
      </c>
      <c r="F1164" s="104" t="s">
        <v>324</v>
      </c>
      <c r="G1164" s="109" t="s">
        <v>325</v>
      </c>
    </row>
    <row r="1165" spans="1:7">
      <c r="A1165" s="95"/>
      <c r="B1165" s="826"/>
      <c r="C1165" s="827"/>
      <c r="D1165" s="96"/>
      <c r="E1165" s="96"/>
      <c r="F1165" s="96"/>
      <c r="G1165" s="116"/>
    </row>
    <row r="1166" spans="1:7" ht="13.5" thickBot="1">
      <c r="A1166" s="95"/>
      <c r="B1166" s="828" t="s">
        <v>841</v>
      </c>
      <c r="C1166" s="829"/>
      <c r="D1166" s="77"/>
      <c r="E1166" s="82"/>
      <c r="F1166" s="86"/>
      <c r="G1166" s="112"/>
    </row>
    <row r="1167" spans="1:7" ht="14.25" thickTop="1" thickBot="1">
      <c r="A1167" s="95"/>
      <c r="B1167" s="808"/>
      <c r="C1167" s="808"/>
      <c r="D1167" s="808"/>
      <c r="E1167" s="809"/>
      <c r="F1167" s="120" t="s">
        <v>856</v>
      </c>
      <c r="G1167" s="118">
        <f>SUM(G1162:G1166)</f>
        <v>0</v>
      </c>
    </row>
    <row r="1168" spans="1:7" ht="14.25" thickTop="1" thickBot="1">
      <c r="A1168" s="95"/>
      <c r="B1168" s="810"/>
      <c r="C1168" s="810"/>
      <c r="D1168" s="810"/>
      <c r="E1168" s="810"/>
      <c r="F1168" s="810"/>
      <c r="G1168" s="834"/>
    </row>
    <row r="1169" spans="1:8" ht="13.5" thickTop="1">
      <c r="A1169" s="95"/>
      <c r="B1169" s="811" t="s">
        <v>326</v>
      </c>
      <c r="C1169" s="812"/>
      <c r="D1169" s="812"/>
      <c r="E1169" s="812"/>
      <c r="F1169" s="813"/>
      <c r="G1169" s="121">
        <f>+G1133+G1149+G1160</f>
        <v>104040</v>
      </c>
    </row>
    <row r="1170" spans="1:8">
      <c r="A1170" s="95"/>
      <c r="B1170" s="814" t="s">
        <v>861</v>
      </c>
      <c r="C1170" s="815"/>
      <c r="D1170" s="815"/>
      <c r="E1170" s="816"/>
      <c r="F1170" s="128">
        <f>'MANO DE OBRA'!D960</f>
        <v>0</v>
      </c>
      <c r="G1170" s="122">
        <f>ROUND(G1169*F1170,0)</f>
        <v>0</v>
      </c>
    </row>
    <row r="1171" spans="1:8" ht="13.5" thickBot="1">
      <c r="A1171" s="95"/>
      <c r="B1171" s="805" t="s">
        <v>1049</v>
      </c>
      <c r="C1171" s="806"/>
      <c r="D1171" s="806"/>
      <c r="E1171" s="806"/>
      <c r="F1171" s="807"/>
      <c r="G1171" s="118">
        <f>ROUND(G1169+G1170,-2)</f>
        <v>104000</v>
      </c>
      <c r="H1171" s="505" t="s">
        <v>1670</v>
      </c>
    </row>
    <row r="1172" spans="1:8" ht="15" thickTop="1">
      <c r="A1172" s="95"/>
      <c r="B1172" s="225" t="s">
        <v>303</v>
      </c>
      <c r="C1172" s="843"/>
      <c r="D1172" s="843"/>
      <c r="E1172" s="843"/>
      <c r="F1172" s="92" t="s">
        <v>781</v>
      </c>
      <c r="G1172" s="93" t="s">
        <v>1066</v>
      </c>
    </row>
    <row r="1173" spans="1:8">
      <c r="A1173" s="95"/>
      <c r="B1173" s="226" t="s">
        <v>834</v>
      </c>
      <c r="C1173" s="844" t="s">
        <v>342</v>
      </c>
      <c r="D1173" s="844"/>
      <c r="E1173" s="844"/>
      <c r="F1173" s="15" t="s">
        <v>833</v>
      </c>
      <c r="G1173" s="165" t="str">
        <f>'MANO DE OBRA'!$D$61</f>
        <v>Agosto de 2010</v>
      </c>
    </row>
    <row r="1174" spans="1:8" ht="13.5" thickBot="1">
      <c r="A1174" s="127"/>
      <c r="B1174" s="228" t="s">
        <v>835</v>
      </c>
      <c r="C1174" s="845" t="s">
        <v>804</v>
      </c>
      <c r="D1174" s="845"/>
      <c r="E1174" s="845"/>
      <c r="F1174" s="845"/>
      <c r="G1174" s="846"/>
    </row>
    <row r="1175" spans="1:8" ht="14.25" thickTop="1" thickBot="1">
      <c r="A1175" s="95"/>
      <c r="B1175" s="847"/>
      <c r="C1175" s="847"/>
      <c r="D1175" s="847"/>
      <c r="E1175" s="847"/>
      <c r="F1175" s="847"/>
      <c r="G1175" s="847"/>
    </row>
    <row r="1176" spans="1:8" ht="13.5" thickTop="1">
      <c r="A1176" s="95"/>
      <c r="B1176" s="811" t="s">
        <v>304</v>
      </c>
      <c r="C1176" s="812"/>
      <c r="D1176" s="812"/>
      <c r="E1176" s="812"/>
      <c r="F1176" s="812"/>
      <c r="G1176" s="825"/>
    </row>
    <row r="1177" spans="1:8">
      <c r="A1177" s="95"/>
      <c r="B1177" s="229"/>
      <c r="C1177" s="97"/>
      <c r="D1177" s="98" t="s">
        <v>301</v>
      </c>
      <c r="E1177" s="98" t="s">
        <v>1072</v>
      </c>
      <c r="F1177" s="99" t="s">
        <v>839</v>
      </c>
      <c r="G1177" s="107" t="s">
        <v>840</v>
      </c>
    </row>
    <row r="1178" spans="1:8">
      <c r="A1178" s="95"/>
      <c r="B1178" s="821" t="s">
        <v>838</v>
      </c>
      <c r="C1178" s="822"/>
      <c r="D1178" s="100" t="s">
        <v>308</v>
      </c>
      <c r="E1178" s="100" t="s">
        <v>305</v>
      </c>
      <c r="F1178" s="101" t="s">
        <v>306</v>
      </c>
      <c r="G1178" s="108" t="s">
        <v>310</v>
      </c>
    </row>
    <row r="1179" spans="1:8">
      <c r="A1179" s="95"/>
      <c r="B1179" s="230"/>
      <c r="C1179" s="102"/>
      <c r="D1179" s="103"/>
      <c r="E1179" s="103" t="s">
        <v>309</v>
      </c>
      <c r="F1179" s="104" t="s">
        <v>307</v>
      </c>
      <c r="G1179" s="109"/>
    </row>
    <row r="1180" spans="1:8">
      <c r="A1180" s="127"/>
      <c r="B1180" s="823" t="str">
        <f>'MAQUINARIA Y EQUIPOS'!$C$28</f>
        <v>HERRAMIENTAS MENORES</v>
      </c>
      <c r="C1180" s="824"/>
      <c r="D1180" s="87">
        <v>1</v>
      </c>
      <c r="E1180" s="82">
        <f>ROUND(G1213*0.05,0)</f>
        <v>5419</v>
      </c>
      <c r="F1180" s="81">
        <v>1</v>
      </c>
      <c r="G1180" s="110">
        <f>ROUND(D1180*E1180/F1180,0)</f>
        <v>5419</v>
      </c>
    </row>
    <row r="1181" spans="1:8">
      <c r="A1181" s="95"/>
      <c r="B1181" s="835"/>
      <c r="C1181" s="836"/>
      <c r="D1181" s="37"/>
      <c r="E1181" s="82"/>
      <c r="F1181" s="83"/>
      <c r="G1181" s="111"/>
    </row>
    <row r="1182" spans="1:8">
      <c r="A1182" s="95"/>
      <c r="B1182" s="835"/>
      <c r="C1182" s="836"/>
      <c r="D1182" s="89"/>
      <c r="E1182" s="82"/>
      <c r="F1182" s="83"/>
      <c r="G1182" s="111"/>
    </row>
    <row r="1183" spans="1:8">
      <c r="A1183" s="95"/>
      <c r="B1183" s="835"/>
      <c r="C1183" s="836"/>
      <c r="D1183" s="89"/>
      <c r="E1183" s="82"/>
      <c r="F1183" s="83"/>
      <c r="G1183" s="111"/>
    </row>
    <row r="1184" spans="1:8">
      <c r="A1184" s="95"/>
      <c r="B1184" s="835" t="s">
        <v>841</v>
      </c>
      <c r="C1184" s="836"/>
      <c r="D1184" s="37"/>
      <c r="E1184" s="82"/>
      <c r="F1184" s="83"/>
      <c r="G1184" s="111"/>
    </row>
    <row r="1185" spans="1:8" ht="13.5" thickBot="1">
      <c r="A1185" s="95"/>
      <c r="B1185" s="839" t="s">
        <v>841</v>
      </c>
      <c r="C1185" s="840"/>
      <c r="D1185" s="77"/>
      <c r="E1185" s="106"/>
      <c r="F1185" s="86"/>
      <c r="G1185" s="112"/>
    </row>
    <row r="1186" spans="1:8" ht="14.25" thickTop="1" thickBot="1">
      <c r="A1186" s="95"/>
      <c r="B1186" s="808"/>
      <c r="C1186" s="808"/>
      <c r="D1186" s="808"/>
      <c r="E1186" s="809"/>
      <c r="F1186" s="119" t="s">
        <v>856</v>
      </c>
      <c r="G1186" s="118">
        <f>SUM(G1180:G1185)</f>
        <v>5419</v>
      </c>
    </row>
    <row r="1187" spans="1:8" ht="14.25" thickTop="1" thickBot="1">
      <c r="A1187" s="95"/>
      <c r="B1187" s="830"/>
      <c r="C1187" s="830"/>
      <c r="D1187" s="830"/>
      <c r="E1187" s="830"/>
      <c r="F1187" s="830"/>
      <c r="G1187" s="830"/>
    </row>
    <row r="1188" spans="1:8" ht="13.5" thickTop="1">
      <c r="A1188" s="95"/>
      <c r="B1188" s="811" t="s">
        <v>311</v>
      </c>
      <c r="C1188" s="812"/>
      <c r="D1188" s="812"/>
      <c r="E1188" s="812"/>
      <c r="F1188" s="812"/>
      <c r="G1188" s="825"/>
    </row>
    <row r="1189" spans="1:8">
      <c r="A1189" s="95"/>
      <c r="B1189" s="817" t="s">
        <v>838</v>
      </c>
      <c r="C1189" s="818"/>
      <c r="D1189" s="98" t="s">
        <v>842</v>
      </c>
      <c r="E1189" s="98" t="s">
        <v>853</v>
      </c>
      <c r="F1189" s="99" t="s">
        <v>1047</v>
      </c>
      <c r="G1189" s="107" t="s">
        <v>840</v>
      </c>
    </row>
    <row r="1190" spans="1:8">
      <c r="A1190" s="95"/>
      <c r="B1190" s="230"/>
      <c r="C1190" s="102"/>
      <c r="D1190" s="100"/>
      <c r="E1190" s="100" t="s">
        <v>312</v>
      </c>
      <c r="F1190" s="101" t="s">
        <v>313</v>
      </c>
      <c r="G1190" s="108" t="s">
        <v>314</v>
      </c>
    </row>
    <row r="1191" spans="1:8">
      <c r="A1191" s="125"/>
      <c r="B1191" s="875"/>
      <c r="C1191" s="876"/>
      <c r="D1191" s="87"/>
      <c r="E1191" s="10"/>
      <c r="F1191" s="80"/>
      <c r="G1191" s="110"/>
    </row>
    <row r="1192" spans="1:8">
      <c r="A1192" s="123"/>
      <c r="B1192" s="877"/>
      <c r="C1192" s="878"/>
      <c r="D1192" s="88"/>
      <c r="E1192" s="53"/>
      <c r="F1192" s="82"/>
      <c r="G1192" s="111"/>
    </row>
    <row r="1193" spans="1:8">
      <c r="A1193" s="95"/>
      <c r="B1193" s="835"/>
      <c r="C1193" s="836"/>
      <c r="D1193" s="37"/>
      <c r="E1193" s="55"/>
      <c r="F1193" s="82"/>
      <c r="G1193" s="111"/>
    </row>
    <row r="1194" spans="1:8">
      <c r="A1194" s="95"/>
      <c r="B1194" s="835"/>
      <c r="C1194" s="836"/>
      <c r="D1194" s="37"/>
      <c r="E1194" s="55"/>
      <c r="F1194" s="82"/>
      <c r="G1194" s="111"/>
    </row>
    <row r="1195" spans="1:8">
      <c r="A1195" s="95"/>
      <c r="B1195" s="837"/>
      <c r="C1195" s="838"/>
      <c r="D1195" s="37"/>
      <c r="E1195" s="55"/>
      <c r="F1195" s="82"/>
      <c r="G1195" s="111"/>
    </row>
    <row r="1196" spans="1:8">
      <c r="A1196" s="95"/>
      <c r="B1196" s="837"/>
      <c r="C1196" s="838"/>
      <c r="D1196" s="53" t="s">
        <v>841</v>
      </c>
      <c r="E1196" s="53"/>
      <c r="F1196" s="82"/>
      <c r="G1196" s="111"/>
    </row>
    <row r="1197" spans="1:8">
      <c r="A1197" s="95"/>
      <c r="B1197" s="837" t="s">
        <v>841</v>
      </c>
      <c r="C1197" s="838"/>
      <c r="D1197" s="53" t="s">
        <v>841</v>
      </c>
      <c r="E1197" s="53"/>
      <c r="F1197" s="82"/>
      <c r="G1197" s="111"/>
      <c r="H1197" s="505" t="s">
        <v>1670</v>
      </c>
    </row>
    <row r="1198" spans="1:8">
      <c r="A1198" s="95"/>
      <c r="B1198" s="837" t="s">
        <v>841</v>
      </c>
      <c r="C1198" s="838"/>
      <c r="D1198" s="53" t="s">
        <v>841</v>
      </c>
      <c r="E1198" s="53"/>
      <c r="F1198" s="82"/>
      <c r="G1198" s="111"/>
    </row>
    <row r="1199" spans="1:8" ht="13.5" thickBot="1">
      <c r="A1199" s="95"/>
      <c r="B1199" s="839" t="s">
        <v>841</v>
      </c>
      <c r="C1199" s="840"/>
      <c r="D1199" s="84" t="s">
        <v>841</v>
      </c>
      <c r="E1199" s="84"/>
      <c r="F1199" s="85"/>
      <c r="G1199" s="112"/>
    </row>
    <row r="1200" spans="1:8" ht="13.5" thickTop="1">
      <c r="A1200" s="95"/>
      <c r="B1200" s="808"/>
      <c r="C1200" s="809"/>
      <c r="D1200" s="801" t="s">
        <v>856</v>
      </c>
      <c r="E1200" s="802"/>
      <c r="F1200" s="9"/>
      <c r="G1200" s="113">
        <f>SUM(G1191:G1199)</f>
        <v>0</v>
      </c>
    </row>
    <row r="1201" spans="1:7">
      <c r="A1201" s="95"/>
      <c r="B1201" s="819"/>
      <c r="C1201" s="820"/>
      <c r="D1201" s="801" t="s">
        <v>857</v>
      </c>
      <c r="E1201" s="802"/>
      <c r="F1201" s="79">
        <f>'MANO DE OBRA'!$D$60</f>
        <v>0.05</v>
      </c>
      <c r="G1201" s="113">
        <f>ROUND(G1200*F1201,0)</f>
        <v>0</v>
      </c>
    </row>
    <row r="1202" spans="1:7" ht="13.5" thickBot="1">
      <c r="A1202" s="95"/>
      <c r="B1202" s="819"/>
      <c r="C1202" s="820"/>
      <c r="D1202" s="803" t="s">
        <v>320</v>
      </c>
      <c r="E1202" s="804"/>
      <c r="F1202" s="114"/>
      <c r="G1202" s="118">
        <f>+G1200+G1201</f>
        <v>0</v>
      </c>
    </row>
    <row r="1203" spans="1:7" ht="14.25" thickTop="1" thickBot="1">
      <c r="A1203" s="95"/>
      <c r="B1203" s="830"/>
      <c r="C1203" s="830"/>
      <c r="D1203" s="830"/>
      <c r="E1203" s="830"/>
      <c r="F1203" s="830"/>
      <c r="G1203" s="830"/>
    </row>
    <row r="1204" spans="1:7" ht="13.5" thickTop="1">
      <c r="A1204" s="95"/>
      <c r="B1204" s="811" t="s">
        <v>858</v>
      </c>
      <c r="C1204" s="812"/>
      <c r="D1204" s="812"/>
      <c r="E1204" s="812"/>
      <c r="F1204" s="812"/>
      <c r="G1204" s="825"/>
    </row>
    <row r="1205" spans="1:7">
      <c r="A1205" s="95"/>
      <c r="B1205" s="817"/>
      <c r="C1205" s="818"/>
      <c r="D1205" s="98" t="s">
        <v>301</v>
      </c>
      <c r="E1205" s="98" t="s">
        <v>859</v>
      </c>
      <c r="F1205" s="99" t="s">
        <v>839</v>
      </c>
      <c r="G1205" s="107" t="s">
        <v>840</v>
      </c>
    </row>
    <row r="1206" spans="1:7">
      <c r="A1206" s="95"/>
      <c r="B1206" s="821" t="s">
        <v>838</v>
      </c>
      <c r="C1206" s="822"/>
      <c r="D1206" s="100" t="s">
        <v>316</v>
      </c>
      <c r="E1206" s="100" t="s">
        <v>315</v>
      </c>
      <c r="F1206" s="101" t="s">
        <v>306</v>
      </c>
      <c r="G1206" s="108" t="s">
        <v>319</v>
      </c>
    </row>
    <row r="1207" spans="1:7">
      <c r="A1207" s="95"/>
      <c r="B1207" s="230"/>
      <c r="C1207" s="102"/>
      <c r="D1207" s="103"/>
      <c r="E1207" s="103" t="s">
        <v>317</v>
      </c>
      <c r="F1207" s="104" t="s">
        <v>318</v>
      </c>
      <c r="G1207" s="109"/>
    </row>
    <row r="1208" spans="1:7">
      <c r="A1208" s="95"/>
      <c r="B1208" s="823" t="str">
        <f>'MANO DE OBRA'!$B$10</f>
        <v>AYUDANTE CUAD. TIPO AA</v>
      </c>
      <c r="C1208" s="824"/>
      <c r="D1208" s="87">
        <v>1</v>
      </c>
      <c r="E1208" s="80">
        <f>'MANO DE OBRA'!$E$10</f>
        <v>34680</v>
      </c>
      <c r="F1208" s="81">
        <v>0.32</v>
      </c>
      <c r="G1208" s="110">
        <f>ROUND(D1208*E1208/F1208,0)</f>
        <v>108375</v>
      </c>
    </row>
    <row r="1209" spans="1:7">
      <c r="A1209" s="95"/>
      <c r="B1209" s="835"/>
      <c r="C1209" s="836"/>
      <c r="D1209" s="37"/>
      <c r="E1209" s="82"/>
      <c r="F1209" s="83"/>
      <c r="G1209" s="111"/>
    </row>
    <row r="1210" spans="1:7">
      <c r="A1210" s="95"/>
      <c r="B1210" s="835"/>
      <c r="C1210" s="836"/>
      <c r="D1210" s="89"/>
      <c r="E1210" s="82"/>
      <c r="F1210" s="83"/>
      <c r="G1210" s="111"/>
    </row>
    <row r="1211" spans="1:7">
      <c r="A1211" s="95"/>
      <c r="B1211" s="835" t="s">
        <v>841</v>
      </c>
      <c r="C1211" s="836"/>
      <c r="D1211" s="37"/>
      <c r="E1211" s="82"/>
      <c r="F1211" s="83"/>
      <c r="G1211" s="111"/>
    </row>
    <row r="1212" spans="1:7" ht="13.5" thickBot="1">
      <c r="A1212" s="95"/>
      <c r="B1212" s="828" t="s">
        <v>841</v>
      </c>
      <c r="C1212" s="829"/>
      <c r="D1212" s="77"/>
      <c r="E1212" s="82"/>
      <c r="F1212" s="86"/>
      <c r="G1212" s="112"/>
    </row>
    <row r="1213" spans="1:7" ht="14.25" thickTop="1" thickBot="1">
      <c r="A1213" s="95"/>
      <c r="B1213" s="808"/>
      <c r="C1213" s="808"/>
      <c r="D1213" s="808"/>
      <c r="E1213" s="809"/>
      <c r="F1213" s="120" t="s">
        <v>856</v>
      </c>
      <c r="G1213" s="118">
        <f>SUM(G1208:G1212)</f>
        <v>108375</v>
      </c>
    </row>
    <row r="1214" spans="1:7" ht="14.25" thickTop="1" thickBot="1">
      <c r="A1214" s="95"/>
      <c r="B1214" s="810"/>
      <c r="C1214" s="810"/>
      <c r="D1214" s="810"/>
      <c r="E1214" s="810"/>
      <c r="F1214" s="810"/>
      <c r="G1214" s="810"/>
    </row>
    <row r="1215" spans="1:7" ht="13.5" thickTop="1">
      <c r="A1215" s="95"/>
      <c r="B1215" s="811" t="s">
        <v>321</v>
      </c>
      <c r="C1215" s="812"/>
      <c r="D1215" s="812"/>
      <c r="E1215" s="812"/>
      <c r="F1215" s="812"/>
      <c r="G1215" s="825"/>
    </row>
    <row r="1216" spans="1:7">
      <c r="A1216" s="95"/>
      <c r="B1216" s="817" t="s">
        <v>838</v>
      </c>
      <c r="C1216" s="818"/>
      <c r="D1216" s="98" t="s">
        <v>301</v>
      </c>
      <c r="E1216" s="98" t="s">
        <v>297</v>
      </c>
      <c r="F1216" s="99" t="s">
        <v>839</v>
      </c>
      <c r="G1216" s="107" t="s">
        <v>840</v>
      </c>
    </row>
    <row r="1217" spans="1:8">
      <c r="A1217" s="95"/>
      <c r="B1217" s="230"/>
      <c r="C1217" s="102"/>
      <c r="D1217" s="103" t="s">
        <v>322</v>
      </c>
      <c r="E1217" s="103" t="s">
        <v>323</v>
      </c>
      <c r="F1217" s="104" t="s">
        <v>324</v>
      </c>
      <c r="G1217" s="109" t="s">
        <v>325</v>
      </c>
    </row>
    <row r="1218" spans="1:8">
      <c r="A1218" s="95"/>
      <c r="B1218" s="826"/>
      <c r="C1218" s="827"/>
      <c r="D1218" s="96"/>
      <c r="E1218" s="96"/>
      <c r="F1218" s="96"/>
      <c r="G1218" s="116"/>
    </row>
    <row r="1219" spans="1:8" ht="13.5" thickBot="1">
      <c r="A1219" s="95"/>
      <c r="B1219" s="828" t="s">
        <v>841</v>
      </c>
      <c r="C1219" s="829"/>
      <c r="D1219" s="77"/>
      <c r="E1219" s="82"/>
      <c r="F1219" s="86"/>
      <c r="G1219" s="112"/>
    </row>
    <row r="1220" spans="1:8" ht="14.25" thickTop="1" thickBot="1">
      <c r="A1220" s="95"/>
      <c r="B1220" s="808"/>
      <c r="C1220" s="808"/>
      <c r="D1220" s="808"/>
      <c r="E1220" s="809"/>
      <c r="F1220" s="120" t="s">
        <v>856</v>
      </c>
      <c r="G1220" s="118">
        <f>SUM(G1215:G1219)</f>
        <v>0</v>
      </c>
    </row>
    <row r="1221" spans="1:8" ht="14.25" thickTop="1" thickBot="1">
      <c r="A1221" s="95"/>
      <c r="B1221" s="810"/>
      <c r="C1221" s="810"/>
      <c r="D1221" s="810"/>
      <c r="E1221" s="810"/>
      <c r="F1221" s="810"/>
      <c r="G1221" s="834"/>
    </row>
    <row r="1222" spans="1:8" ht="13.5" thickTop="1">
      <c r="A1222" s="95"/>
      <c r="B1222" s="811" t="s">
        <v>326</v>
      </c>
      <c r="C1222" s="812"/>
      <c r="D1222" s="812"/>
      <c r="E1222" s="812"/>
      <c r="F1222" s="813"/>
      <c r="G1222" s="121">
        <f>+G1186+G1202+G1213</f>
        <v>113794</v>
      </c>
    </row>
    <row r="1223" spans="1:8">
      <c r="A1223" s="95"/>
      <c r="B1223" s="814" t="s">
        <v>861</v>
      </c>
      <c r="C1223" s="815"/>
      <c r="D1223" s="815"/>
      <c r="E1223" s="816"/>
      <c r="F1223" s="128">
        <f>'MANO DE OBRA'!D1013</f>
        <v>0</v>
      </c>
      <c r="G1223" s="122">
        <f>ROUND(G1222*F1223,0)</f>
        <v>0</v>
      </c>
    </row>
    <row r="1224" spans="1:8" ht="13.5" thickBot="1">
      <c r="A1224" s="95"/>
      <c r="B1224" s="805" t="s">
        <v>1049</v>
      </c>
      <c r="C1224" s="806"/>
      <c r="D1224" s="806"/>
      <c r="E1224" s="806"/>
      <c r="F1224" s="807"/>
      <c r="G1224" s="118">
        <f>ROUND(G1222+G1223,-2)</f>
        <v>113800</v>
      </c>
      <c r="H1224" s="505" t="s">
        <v>1670</v>
      </c>
    </row>
    <row r="1225" spans="1:8" ht="15" thickTop="1">
      <c r="A1225" s="95"/>
      <c r="B1225" s="225" t="s">
        <v>303</v>
      </c>
      <c r="C1225" s="843"/>
      <c r="D1225" s="843"/>
      <c r="E1225" s="843"/>
      <c r="F1225" s="92" t="s">
        <v>781</v>
      </c>
      <c r="G1225" s="93" t="s">
        <v>1066</v>
      </c>
    </row>
    <row r="1226" spans="1:8">
      <c r="A1226" s="95"/>
      <c r="B1226" s="226" t="s">
        <v>834</v>
      </c>
      <c r="C1226" s="844" t="s">
        <v>342</v>
      </c>
      <c r="D1226" s="844"/>
      <c r="E1226" s="844"/>
      <c r="F1226" s="15" t="s">
        <v>833</v>
      </c>
      <c r="G1226" s="165" t="str">
        <f>'MANO DE OBRA'!$D$61</f>
        <v>Agosto de 2010</v>
      </c>
    </row>
    <row r="1227" spans="1:8" ht="13.5" thickBot="1">
      <c r="A1227" s="127"/>
      <c r="B1227" s="228" t="s">
        <v>835</v>
      </c>
      <c r="C1227" s="845" t="s">
        <v>805</v>
      </c>
      <c r="D1227" s="845"/>
      <c r="E1227" s="845"/>
      <c r="F1227" s="845"/>
      <c r="G1227" s="846"/>
    </row>
    <row r="1228" spans="1:8" ht="14.25" thickTop="1" thickBot="1">
      <c r="A1228" s="95"/>
      <c r="B1228" s="847"/>
      <c r="C1228" s="847"/>
      <c r="D1228" s="847"/>
      <c r="E1228" s="847"/>
      <c r="F1228" s="847"/>
      <c r="G1228" s="847"/>
    </row>
    <row r="1229" spans="1:8" ht="13.5" thickTop="1">
      <c r="A1229" s="95"/>
      <c r="B1229" s="811" t="s">
        <v>304</v>
      </c>
      <c r="C1229" s="812"/>
      <c r="D1229" s="812"/>
      <c r="E1229" s="812"/>
      <c r="F1229" s="812"/>
      <c r="G1229" s="825"/>
    </row>
    <row r="1230" spans="1:8">
      <c r="A1230" s="95"/>
      <c r="B1230" s="229"/>
      <c r="C1230" s="97"/>
      <c r="D1230" s="98" t="s">
        <v>301</v>
      </c>
      <c r="E1230" s="98" t="s">
        <v>1072</v>
      </c>
      <c r="F1230" s="99" t="s">
        <v>839</v>
      </c>
      <c r="G1230" s="107" t="s">
        <v>840</v>
      </c>
    </row>
    <row r="1231" spans="1:8">
      <c r="A1231" s="95"/>
      <c r="B1231" s="821" t="s">
        <v>838</v>
      </c>
      <c r="C1231" s="822"/>
      <c r="D1231" s="100" t="s">
        <v>308</v>
      </c>
      <c r="E1231" s="100" t="s">
        <v>305</v>
      </c>
      <c r="F1231" s="101" t="s">
        <v>306</v>
      </c>
      <c r="G1231" s="108" t="s">
        <v>310</v>
      </c>
    </row>
    <row r="1232" spans="1:8">
      <c r="A1232" s="95"/>
      <c r="B1232" s="230"/>
      <c r="C1232" s="102"/>
      <c r="D1232" s="103"/>
      <c r="E1232" s="103" t="s">
        <v>309</v>
      </c>
      <c r="F1232" s="104" t="s">
        <v>307</v>
      </c>
      <c r="G1232" s="109"/>
    </row>
    <row r="1233" spans="1:7">
      <c r="A1233" s="127"/>
      <c r="B1233" s="823" t="str">
        <f>'MAQUINARIA Y EQUIPOS'!$C$28</f>
        <v>HERRAMIENTAS MENORES</v>
      </c>
      <c r="C1233" s="824"/>
      <c r="D1233" s="87">
        <v>1</v>
      </c>
      <c r="E1233" s="82">
        <f>ROUND(G1266*0.05,0)</f>
        <v>6422</v>
      </c>
      <c r="F1233" s="81">
        <v>1</v>
      </c>
      <c r="G1233" s="110">
        <f>ROUND(D1233*E1233/F1233,0)</f>
        <v>6422</v>
      </c>
    </row>
    <row r="1234" spans="1:7">
      <c r="A1234" s="95"/>
      <c r="B1234" s="835"/>
      <c r="C1234" s="836"/>
      <c r="D1234" s="37"/>
      <c r="E1234" s="82"/>
      <c r="F1234" s="83"/>
      <c r="G1234" s="111"/>
    </row>
    <row r="1235" spans="1:7">
      <c r="A1235" s="95"/>
      <c r="B1235" s="835"/>
      <c r="C1235" s="836"/>
      <c r="D1235" s="89"/>
      <c r="E1235" s="82"/>
      <c r="F1235" s="83"/>
      <c r="G1235" s="111"/>
    </row>
    <row r="1236" spans="1:7">
      <c r="A1236" s="95"/>
      <c r="B1236" s="835"/>
      <c r="C1236" s="836"/>
      <c r="D1236" s="89"/>
      <c r="E1236" s="82"/>
      <c r="F1236" s="83"/>
      <c r="G1236" s="111"/>
    </row>
    <row r="1237" spans="1:7">
      <c r="A1237" s="95"/>
      <c r="B1237" s="835" t="s">
        <v>841</v>
      </c>
      <c r="C1237" s="836"/>
      <c r="D1237" s="37"/>
      <c r="E1237" s="82"/>
      <c r="F1237" s="83"/>
      <c r="G1237" s="111"/>
    </row>
    <row r="1238" spans="1:7" ht="13.5" thickBot="1">
      <c r="A1238" s="95"/>
      <c r="B1238" s="839" t="s">
        <v>841</v>
      </c>
      <c r="C1238" s="840"/>
      <c r="D1238" s="77"/>
      <c r="E1238" s="106"/>
      <c r="F1238" s="86"/>
      <c r="G1238" s="112"/>
    </row>
    <row r="1239" spans="1:7" ht="14.25" thickTop="1" thickBot="1">
      <c r="A1239" s="95"/>
      <c r="B1239" s="808"/>
      <c r="C1239" s="808"/>
      <c r="D1239" s="808"/>
      <c r="E1239" s="809"/>
      <c r="F1239" s="119" t="s">
        <v>856</v>
      </c>
      <c r="G1239" s="118">
        <f>SUM(G1233:G1238)</f>
        <v>6422</v>
      </c>
    </row>
    <row r="1240" spans="1:7" ht="14.25" thickTop="1" thickBot="1">
      <c r="A1240" s="95"/>
      <c r="B1240" s="830"/>
      <c r="C1240" s="830"/>
      <c r="D1240" s="830"/>
      <c r="E1240" s="830"/>
      <c r="F1240" s="830"/>
      <c r="G1240" s="830"/>
    </row>
    <row r="1241" spans="1:7" ht="13.5" thickTop="1">
      <c r="A1241" s="95"/>
      <c r="B1241" s="811" t="s">
        <v>311</v>
      </c>
      <c r="C1241" s="812"/>
      <c r="D1241" s="812"/>
      <c r="E1241" s="812"/>
      <c r="F1241" s="812"/>
      <c r="G1241" s="825"/>
    </row>
    <row r="1242" spans="1:7">
      <c r="A1242" s="95"/>
      <c r="B1242" s="817" t="s">
        <v>838</v>
      </c>
      <c r="C1242" s="818"/>
      <c r="D1242" s="98" t="s">
        <v>842</v>
      </c>
      <c r="E1242" s="98" t="s">
        <v>853</v>
      </c>
      <c r="F1242" s="99" t="s">
        <v>1047</v>
      </c>
      <c r="G1242" s="107" t="s">
        <v>840</v>
      </c>
    </row>
    <row r="1243" spans="1:7">
      <c r="A1243" s="95"/>
      <c r="B1243" s="230"/>
      <c r="C1243" s="102"/>
      <c r="D1243" s="100"/>
      <c r="E1243" s="100" t="s">
        <v>312</v>
      </c>
      <c r="F1243" s="101" t="s">
        <v>313</v>
      </c>
      <c r="G1243" s="108" t="s">
        <v>314</v>
      </c>
    </row>
    <row r="1244" spans="1:7">
      <c r="A1244" s="125"/>
      <c r="B1244" s="875"/>
      <c r="C1244" s="876"/>
      <c r="D1244" s="87"/>
      <c r="E1244" s="10"/>
      <c r="F1244" s="80"/>
      <c r="G1244" s="110"/>
    </row>
    <row r="1245" spans="1:7">
      <c r="A1245" s="123"/>
      <c r="B1245" s="877"/>
      <c r="C1245" s="878"/>
      <c r="D1245" s="88"/>
      <c r="E1245" s="53"/>
      <c r="F1245" s="82"/>
      <c r="G1245" s="111"/>
    </row>
    <row r="1246" spans="1:7">
      <c r="A1246" s="95"/>
      <c r="B1246" s="835"/>
      <c r="C1246" s="836"/>
      <c r="D1246" s="37"/>
      <c r="E1246" s="55"/>
      <c r="F1246" s="82"/>
      <c r="G1246" s="111"/>
    </row>
    <row r="1247" spans="1:7">
      <c r="A1247" s="95"/>
      <c r="B1247" s="835"/>
      <c r="C1247" s="836"/>
      <c r="D1247" s="37"/>
      <c r="E1247" s="55"/>
      <c r="F1247" s="82"/>
      <c r="G1247" s="111"/>
    </row>
    <row r="1248" spans="1:7">
      <c r="A1248" s="95"/>
      <c r="B1248" s="837"/>
      <c r="C1248" s="838"/>
      <c r="D1248" s="37"/>
      <c r="E1248" s="55"/>
      <c r="F1248" s="82"/>
      <c r="G1248" s="111"/>
    </row>
    <row r="1249" spans="1:8">
      <c r="A1249" s="95"/>
      <c r="B1249" s="837"/>
      <c r="C1249" s="838"/>
      <c r="D1249" s="53" t="s">
        <v>841</v>
      </c>
      <c r="E1249" s="53"/>
      <c r="F1249" s="82"/>
      <c r="G1249" s="111"/>
    </row>
    <row r="1250" spans="1:8">
      <c r="A1250" s="95"/>
      <c r="B1250" s="837" t="s">
        <v>841</v>
      </c>
      <c r="C1250" s="838"/>
      <c r="D1250" s="53" t="s">
        <v>841</v>
      </c>
      <c r="E1250" s="53"/>
      <c r="F1250" s="82"/>
      <c r="G1250" s="111"/>
    </row>
    <row r="1251" spans="1:8">
      <c r="A1251" s="95"/>
      <c r="B1251" s="837" t="s">
        <v>841</v>
      </c>
      <c r="C1251" s="838"/>
      <c r="D1251" s="53" t="s">
        <v>841</v>
      </c>
      <c r="E1251" s="53"/>
      <c r="F1251" s="82"/>
      <c r="G1251" s="111"/>
      <c r="H1251" s="505" t="s">
        <v>1670</v>
      </c>
    </row>
    <row r="1252" spans="1:8" ht="13.5" thickBot="1">
      <c r="A1252" s="95"/>
      <c r="B1252" s="839" t="s">
        <v>841</v>
      </c>
      <c r="C1252" s="840"/>
      <c r="D1252" s="84" t="s">
        <v>841</v>
      </c>
      <c r="E1252" s="84"/>
      <c r="F1252" s="85"/>
      <c r="G1252" s="112"/>
    </row>
    <row r="1253" spans="1:8" ht="13.5" thickTop="1">
      <c r="A1253" s="95"/>
      <c r="B1253" s="808"/>
      <c r="C1253" s="809"/>
      <c r="D1253" s="801" t="s">
        <v>856</v>
      </c>
      <c r="E1253" s="802"/>
      <c r="F1253" s="9"/>
      <c r="G1253" s="113">
        <f>SUM(G1244:G1252)</f>
        <v>0</v>
      </c>
    </row>
    <row r="1254" spans="1:8">
      <c r="A1254" s="95"/>
      <c r="B1254" s="819"/>
      <c r="C1254" s="820"/>
      <c r="D1254" s="801" t="s">
        <v>857</v>
      </c>
      <c r="E1254" s="802"/>
      <c r="F1254" s="79">
        <f>'MANO DE OBRA'!$D$60</f>
        <v>0.05</v>
      </c>
      <c r="G1254" s="113">
        <f>ROUND(G1253*F1254,0)</f>
        <v>0</v>
      </c>
    </row>
    <row r="1255" spans="1:8" ht="13.5" thickBot="1">
      <c r="A1255" s="95"/>
      <c r="B1255" s="819"/>
      <c r="C1255" s="820"/>
      <c r="D1255" s="803" t="s">
        <v>320</v>
      </c>
      <c r="E1255" s="804"/>
      <c r="F1255" s="114"/>
      <c r="G1255" s="118">
        <f>+G1253+G1254</f>
        <v>0</v>
      </c>
    </row>
    <row r="1256" spans="1:8" ht="14.25" thickTop="1" thickBot="1">
      <c r="A1256" s="95"/>
      <c r="B1256" s="830"/>
      <c r="C1256" s="830"/>
      <c r="D1256" s="830"/>
      <c r="E1256" s="830"/>
      <c r="F1256" s="830"/>
      <c r="G1256" s="830"/>
    </row>
    <row r="1257" spans="1:8" ht="13.5" thickTop="1">
      <c r="A1257" s="95"/>
      <c r="B1257" s="811" t="s">
        <v>858</v>
      </c>
      <c r="C1257" s="812"/>
      <c r="D1257" s="812"/>
      <c r="E1257" s="812"/>
      <c r="F1257" s="812"/>
      <c r="G1257" s="825"/>
    </row>
    <row r="1258" spans="1:8">
      <c r="A1258" s="95"/>
      <c r="B1258" s="817"/>
      <c r="C1258" s="818"/>
      <c r="D1258" s="98" t="s">
        <v>301</v>
      </c>
      <c r="E1258" s="98" t="s">
        <v>859</v>
      </c>
      <c r="F1258" s="99" t="s">
        <v>839</v>
      </c>
      <c r="G1258" s="107" t="s">
        <v>840</v>
      </c>
    </row>
    <row r="1259" spans="1:8">
      <c r="A1259" s="95"/>
      <c r="B1259" s="821" t="s">
        <v>838</v>
      </c>
      <c r="C1259" s="822"/>
      <c r="D1259" s="100" t="s">
        <v>316</v>
      </c>
      <c r="E1259" s="100" t="s">
        <v>315</v>
      </c>
      <c r="F1259" s="101" t="s">
        <v>306</v>
      </c>
      <c r="G1259" s="108" t="s">
        <v>319</v>
      </c>
    </row>
    <row r="1260" spans="1:8">
      <c r="A1260" s="95"/>
      <c r="B1260" s="230"/>
      <c r="C1260" s="102"/>
      <c r="D1260" s="103"/>
      <c r="E1260" s="103" t="s">
        <v>317</v>
      </c>
      <c r="F1260" s="104" t="s">
        <v>318</v>
      </c>
      <c r="G1260" s="109"/>
    </row>
    <row r="1261" spans="1:8">
      <c r="A1261" s="95"/>
      <c r="B1261" s="823" t="str">
        <f>'MANO DE OBRA'!$B$10</f>
        <v>AYUDANTE CUAD. TIPO AA</v>
      </c>
      <c r="C1261" s="824"/>
      <c r="D1261" s="87">
        <v>1</v>
      </c>
      <c r="E1261" s="80">
        <f>'MANO DE OBRA'!$E$10</f>
        <v>34680</v>
      </c>
      <c r="F1261" s="81">
        <v>0.27</v>
      </c>
      <c r="G1261" s="110">
        <f>ROUND(D1261*E1261/F1261,0)</f>
        <v>128444</v>
      </c>
    </row>
    <row r="1262" spans="1:8">
      <c r="A1262" s="95"/>
      <c r="B1262" s="835"/>
      <c r="C1262" s="836"/>
      <c r="D1262" s="37"/>
      <c r="E1262" s="82"/>
      <c r="F1262" s="83"/>
      <c r="G1262" s="111"/>
    </row>
    <row r="1263" spans="1:8">
      <c r="A1263" s="95"/>
      <c r="B1263" s="835"/>
      <c r="C1263" s="836"/>
      <c r="D1263" s="89"/>
      <c r="E1263" s="82"/>
      <c r="F1263" s="83"/>
      <c r="G1263" s="111"/>
    </row>
    <row r="1264" spans="1:8">
      <c r="A1264" s="95"/>
      <c r="B1264" s="835" t="s">
        <v>841</v>
      </c>
      <c r="C1264" s="836"/>
      <c r="D1264" s="37"/>
      <c r="E1264" s="82"/>
      <c r="F1264" s="83"/>
      <c r="G1264" s="111"/>
    </row>
    <row r="1265" spans="1:8" ht="13.5" thickBot="1">
      <c r="A1265" s="95"/>
      <c r="B1265" s="828" t="s">
        <v>841</v>
      </c>
      <c r="C1265" s="829"/>
      <c r="D1265" s="77"/>
      <c r="E1265" s="82"/>
      <c r="F1265" s="86"/>
      <c r="G1265" s="112"/>
    </row>
    <row r="1266" spans="1:8" ht="14.25" thickTop="1" thickBot="1">
      <c r="A1266" s="95"/>
      <c r="B1266" s="808"/>
      <c r="C1266" s="808"/>
      <c r="D1266" s="808"/>
      <c r="E1266" s="809"/>
      <c r="F1266" s="120" t="s">
        <v>856</v>
      </c>
      <c r="G1266" s="118">
        <f>SUM(G1261:G1265)</f>
        <v>128444</v>
      </c>
    </row>
    <row r="1267" spans="1:8" ht="14.25" thickTop="1" thickBot="1">
      <c r="A1267" s="95"/>
      <c r="B1267" s="810"/>
      <c r="C1267" s="810"/>
      <c r="D1267" s="810"/>
      <c r="E1267" s="810"/>
      <c r="F1267" s="810"/>
      <c r="G1267" s="810"/>
    </row>
    <row r="1268" spans="1:8" ht="13.5" thickTop="1">
      <c r="A1268" s="95"/>
      <c r="B1268" s="811" t="s">
        <v>321</v>
      </c>
      <c r="C1268" s="812"/>
      <c r="D1268" s="812"/>
      <c r="E1268" s="812"/>
      <c r="F1268" s="812"/>
      <c r="G1268" s="825"/>
    </row>
    <row r="1269" spans="1:8">
      <c r="A1269" s="95"/>
      <c r="B1269" s="817" t="s">
        <v>838</v>
      </c>
      <c r="C1269" s="818"/>
      <c r="D1269" s="98" t="s">
        <v>301</v>
      </c>
      <c r="E1269" s="98" t="s">
        <v>297</v>
      </c>
      <c r="F1269" s="99" t="s">
        <v>839</v>
      </c>
      <c r="G1269" s="107" t="s">
        <v>840</v>
      </c>
    </row>
    <row r="1270" spans="1:8">
      <c r="A1270" s="95"/>
      <c r="B1270" s="230"/>
      <c r="C1270" s="102"/>
      <c r="D1270" s="103" t="s">
        <v>322</v>
      </c>
      <c r="E1270" s="103" t="s">
        <v>323</v>
      </c>
      <c r="F1270" s="104" t="s">
        <v>324</v>
      </c>
      <c r="G1270" s="109" t="s">
        <v>325</v>
      </c>
    </row>
    <row r="1271" spans="1:8">
      <c r="A1271" s="95"/>
      <c r="B1271" s="826"/>
      <c r="C1271" s="827"/>
      <c r="D1271" s="96"/>
      <c r="E1271" s="96"/>
      <c r="F1271" s="96"/>
      <c r="G1271" s="116"/>
    </row>
    <row r="1272" spans="1:8" ht="13.5" thickBot="1">
      <c r="A1272" s="95"/>
      <c r="B1272" s="828" t="s">
        <v>841</v>
      </c>
      <c r="C1272" s="829"/>
      <c r="D1272" s="77"/>
      <c r="E1272" s="82"/>
      <c r="F1272" s="86"/>
      <c r="G1272" s="112"/>
    </row>
    <row r="1273" spans="1:8" ht="14.25" thickTop="1" thickBot="1">
      <c r="A1273" s="95"/>
      <c r="B1273" s="808"/>
      <c r="C1273" s="808"/>
      <c r="D1273" s="808"/>
      <c r="E1273" s="809"/>
      <c r="F1273" s="120" t="s">
        <v>856</v>
      </c>
      <c r="G1273" s="118">
        <f>SUM(G1268:G1272)</f>
        <v>0</v>
      </c>
    </row>
    <row r="1274" spans="1:8" ht="14.25" thickTop="1" thickBot="1">
      <c r="A1274" s="95"/>
      <c r="B1274" s="810"/>
      <c r="C1274" s="810"/>
      <c r="D1274" s="810"/>
      <c r="E1274" s="810"/>
      <c r="F1274" s="810"/>
      <c r="G1274" s="834"/>
    </row>
    <row r="1275" spans="1:8" ht="13.5" thickTop="1">
      <c r="A1275" s="95"/>
      <c r="B1275" s="811" t="s">
        <v>326</v>
      </c>
      <c r="C1275" s="812"/>
      <c r="D1275" s="812"/>
      <c r="E1275" s="812"/>
      <c r="F1275" s="813"/>
      <c r="G1275" s="121">
        <f>+G1239+G1255+G1266</f>
        <v>134866</v>
      </c>
    </row>
    <row r="1276" spans="1:8">
      <c r="A1276" s="95"/>
      <c r="B1276" s="814" t="s">
        <v>861</v>
      </c>
      <c r="C1276" s="815"/>
      <c r="D1276" s="815"/>
      <c r="E1276" s="816"/>
      <c r="F1276" s="128">
        <f>'MANO DE OBRA'!D1066</f>
        <v>0</v>
      </c>
      <c r="G1276" s="122">
        <f>ROUND(G1275*F1276,0)</f>
        <v>0</v>
      </c>
    </row>
    <row r="1277" spans="1:8" ht="13.5" thickBot="1">
      <c r="A1277" s="95"/>
      <c r="B1277" s="805" t="s">
        <v>1049</v>
      </c>
      <c r="C1277" s="806"/>
      <c r="D1277" s="806"/>
      <c r="E1277" s="806"/>
      <c r="F1277" s="807"/>
      <c r="G1277" s="118">
        <f>ROUND(G1275+G1276,-2)</f>
        <v>134900</v>
      </c>
      <c r="H1277" s="505" t="s">
        <v>1670</v>
      </c>
    </row>
    <row r="1278" spans="1:8" ht="15" thickTop="1">
      <c r="A1278" s="95"/>
      <c r="B1278" s="225" t="s">
        <v>303</v>
      </c>
      <c r="C1278" s="843"/>
      <c r="D1278" s="843"/>
      <c r="E1278" s="843"/>
      <c r="F1278" s="92" t="s">
        <v>781</v>
      </c>
      <c r="G1278" s="93" t="s">
        <v>1066</v>
      </c>
    </row>
    <row r="1279" spans="1:8">
      <c r="A1279" s="95"/>
      <c r="B1279" s="226" t="s">
        <v>834</v>
      </c>
      <c r="C1279" s="844" t="s">
        <v>342</v>
      </c>
      <c r="D1279" s="844"/>
      <c r="E1279" s="844"/>
      <c r="F1279" s="15" t="s">
        <v>833</v>
      </c>
      <c r="G1279" s="165" t="str">
        <f>'MANO DE OBRA'!$D$61</f>
        <v>Agosto de 2010</v>
      </c>
    </row>
    <row r="1280" spans="1:8" ht="13.5" thickBot="1">
      <c r="A1280" s="127"/>
      <c r="B1280" s="228" t="s">
        <v>835</v>
      </c>
      <c r="C1280" s="845" t="s">
        <v>806</v>
      </c>
      <c r="D1280" s="845"/>
      <c r="E1280" s="845"/>
      <c r="F1280" s="845"/>
      <c r="G1280" s="846"/>
    </row>
    <row r="1281" spans="1:7" ht="14.25" thickTop="1" thickBot="1">
      <c r="A1281" s="95"/>
      <c r="B1281" s="847"/>
      <c r="C1281" s="847"/>
      <c r="D1281" s="847"/>
      <c r="E1281" s="847"/>
      <c r="F1281" s="847"/>
      <c r="G1281" s="847"/>
    </row>
    <row r="1282" spans="1:7" ht="13.5" thickTop="1">
      <c r="A1282" s="95"/>
      <c r="B1282" s="811" t="s">
        <v>304</v>
      </c>
      <c r="C1282" s="812"/>
      <c r="D1282" s="812"/>
      <c r="E1282" s="812"/>
      <c r="F1282" s="812"/>
      <c r="G1282" s="825"/>
    </row>
    <row r="1283" spans="1:7">
      <c r="A1283" s="95"/>
      <c r="B1283" s="229"/>
      <c r="C1283" s="97"/>
      <c r="D1283" s="98" t="s">
        <v>301</v>
      </c>
      <c r="E1283" s="98" t="s">
        <v>1072</v>
      </c>
      <c r="F1283" s="99" t="s">
        <v>839</v>
      </c>
      <c r="G1283" s="107" t="s">
        <v>840</v>
      </c>
    </row>
    <row r="1284" spans="1:7">
      <c r="A1284" s="95"/>
      <c r="B1284" s="821" t="s">
        <v>838</v>
      </c>
      <c r="C1284" s="822"/>
      <c r="D1284" s="100" t="s">
        <v>308</v>
      </c>
      <c r="E1284" s="100" t="s">
        <v>305</v>
      </c>
      <c r="F1284" s="101" t="s">
        <v>306</v>
      </c>
      <c r="G1284" s="108" t="s">
        <v>310</v>
      </c>
    </row>
    <row r="1285" spans="1:7">
      <c r="A1285" s="95"/>
      <c r="B1285" s="230"/>
      <c r="C1285" s="102"/>
      <c r="D1285" s="103"/>
      <c r="E1285" s="103" t="s">
        <v>309</v>
      </c>
      <c r="F1285" s="104" t="s">
        <v>307</v>
      </c>
      <c r="G1285" s="109"/>
    </row>
    <row r="1286" spans="1:7">
      <c r="A1286" s="127"/>
      <c r="B1286" s="823" t="str">
        <f>'MAQUINARIA Y EQUIPOS'!$C$28</f>
        <v>HERRAMIENTAS MENORES</v>
      </c>
      <c r="C1286" s="824"/>
      <c r="D1286" s="87">
        <v>1</v>
      </c>
      <c r="E1286" s="82">
        <f>ROUND(G1319*0.05,0)</f>
        <v>8670</v>
      </c>
      <c r="F1286" s="81">
        <v>1</v>
      </c>
      <c r="G1286" s="110">
        <f>ROUND(D1286*E1286/F1286,0)</f>
        <v>8670</v>
      </c>
    </row>
    <row r="1287" spans="1:7">
      <c r="A1287" s="95"/>
      <c r="B1287" s="835"/>
      <c r="C1287" s="836"/>
      <c r="D1287" s="37"/>
      <c r="E1287" s="82"/>
      <c r="F1287" s="83"/>
      <c r="G1287" s="111"/>
    </row>
    <row r="1288" spans="1:7">
      <c r="A1288" s="95"/>
      <c r="B1288" s="835"/>
      <c r="C1288" s="836"/>
      <c r="D1288" s="89"/>
      <c r="E1288" s="82"/>
      <c r="F1288" s="83"/>
      <c r="G1288" s="111"/>
    </row>
    <row r="1289" spans="1:7">
      <c r="A1289" s="95"/>
      <c r="B1289" s="835"/>
      <c r="C1289" s="836"/>
      <c r="D1289" s="89"/>
      <c r="E1289" s="82"/>
      <c r="F1289" s="83"/>
      <c r="G1289" s="111"/>
    </row>
    <row r="1290" spans="1:7">
      <c r="A1290" s="95"/>
      <c r="B1290" s="835" t="s">
        <v>841</v>
      </c>
      <c r="C1290" s="836"/>
      <c r="D1290" s="37"/>
      <c r="E1290" s="82"/>
      <c r="F1290" s="83"/>
      <c r="G1290" s="111"/>
    </row>
    <row r="1291" spans="1:7" ht="13.5" thickBot="1">
      <c r="A1291" s="95"/>
      <c r="B1291" s="839" t="s">
        <v>841</v>
      </c>
      <c r="C1291" s="840"/>
      <c r="D1291" s="77"/>
      <c r="E1291" s="106"/>
      <c r="F1291" s="86"/>
      <c r="G1291" s="112"/>
    </row>
    <row r="1292" spans="1:7" ht="14.25" thickTop="1" thickBot="1">
      <c r="A1292" s="95"/>
      <c r="B1292" s="808"/>
      <c r="C1292" s="808"/>
      <c r="D1292" s="808"/>
      <c r="E1292" s="809"/>
      <c r="F1292" s="119" t="s">
        <v>856</v>
      </c>
      <c r="G1292" s="118">
        <f>SUM(G1286:G1291)</f>
        <v>8670</v>
      </c>
    </row>
    <row r="1293" spans="1:7" ht="14.25" thickTop="1" thickBot="1">
      <c r="A1293" s="95"/>
      <c r="B1293" s="830"/>
      <c r="C1293" s="830"/>
      <c r="D1293" s="830"/>
      <c r="E1293" s="830"/>
      <c r="F1293" s="830"/>
      <c r="G1293" s="830"/>
    </row>
    <row r="1294" spans="1:7" ht="13.5" thickTop="1">
      <c r="A1294" s="95"/>
      <c r="B1294" s="811" t="s">
        <v>311</v>
      </c>
      <c r="C1294" s="812"/>
      <c r="D1294" s="812"/>
      <c r="E1294" s="812"/>
      <c r="F1294" s="812"/>
      <c r="G1294" s="825"/>
    </row>
    <row r="1295" spans="1:7">
      <c r="A1295" s="95"/>
      <c r="B1295" s="817" t="s">
        <v>838</v>
      </c>
      <c r="C1295" s="818"/>
      <c r="D1295" s="98" t="s">
        <v>842</v>
      </c>
      <c r="E1295" s="98" t="s">
        <v>853</v>
      </c>
      <c r="F1295" s="99" t="s">
        <v>1047</v>
      </c>
      <c r="G1295" s="107" t="s">
        <v>840</v>
      </c>
    </row>
    <row r="1296" spans="1:7">
      <c r="A1296" s="95"/>
      <c r="B1296" s="230"/>
      <c r="C1296" s="102"/>
      <c r="D1296" s="100"/>
      <c r="E1296" s="100" t="s">
        <v>312</v>
      </c>
      <c r="F1296" s="101" t="s">
        <v>313</v>
      </c>
      <c r="G1296" s="108" t="s">
        <v>314</v>
      </c>
    </row>
    <row r="1297" spans="1:8">
      <c r="A1297" s="125"/>
      <c r="B1297" s="875"/>
      <c r="C1297" s="876"/>
      <c r="D1297" s="87"/>
      <c r="E1297" s="10"/>
      <c r="F1297" s="80"/>
      <c r="G1297" s="110"/>
    </row>
    <row r="1298" spans="1:8">
      <c r="A1298" s="123"/>
      <c r="B1298" s="877"/>
      <c r="C1298" s="878"/>
      <c r="D1298" s="88"/>
      <c r="E1298" s="53"/>
      <c r="F1298" s="82"/>
      <c r="G1298" s="111"/>
    </row>
    <row r="1299" spans="1:8">
      <c r="A1299" s="95"/>
      <c r="B1299" s="835"/>
      <c r="C1299" s="836"/>
      <c r="D1299" s="37"/>
      <c r="E1299" s="55"/>
      <c r="F1299" s="82"/>
      <c r="G1299" s="111"/>
    </row>
    <row r="1300" spans="1:8">
      <c r="A1300" s="95"/>
      <c r="B1300" s="835"/>
      <c r="C1300" s="836"/>
      <c r="D1300" s="37"/>
      <c r="E1300" s="55"/>
      <c r="F1300" s="82"/>
      <c r="G1300" s="111"/>
    </row>
    <row r="1301" spans="1:8">
      <c r="A1301" s="95"/>
      <c r="B1301" s="837"/>
      <c r="C1301" s="838"/>
      <c r="D1301" s="37"/>
      <c r="E1301" s="55"/>
      <c r="F1301" s="82"/>
      <c r="G1301" s="111"/>
    </row>
    <row r="1302" spans="1:8">
      <c r="A1302" s="95"/>
      <c r="B1302" s="837"/>
      <c r="C1302" s="838"/>
      <c r="D1302" s="53" t="s">
        <v>841</v>
      </c>
      <c r="E1302" s="53"/>
      <c r="F1302" s="82"/>
      <c r="G1302" s="111"/>
    </row>
    <row r="1303" spans="1:8">
      <c r="A1303" s="95"/>
      <c r="B1303" s="837" t="s">
        <v>841</v>
      </c>
      <c r="C1303" s="838"/>
      <c r="D1303" s="53" t="s">
        <v>841</v>
      </c>
      <c r="E1303" s="53"/>
      <c r="F1303" s="82"/>
      <c r="G1303" s="111"/>
    </row>
    <row r="1304" spans="1:8">
      <c r="A1304" s="95"/>
      <c r="B1304" s="837" t="s">
        <v>841</v>
      </c>
      <c r="C1304" s="838"/>
      <c r="D1304" s="53" t="s">
        <v>841</v>
      </c>
      <c r="E1304" s="53"/>
      <c r="F1304" s="82"/>
      <c r="G1304" s="111"/>
      <c r="H1304" s="505" t="s">
        <v>1670</v>
      </c>
    </row>
    <row r="1305" spans="1:8" ht="13.5" thickBot="1">
      <c r="A1305" s="95"/>
      <c r="B1305" s="839" t="s">
        <v>841</v>
      </c>
      <c r="C1305" s="840"/>
      <c r="D1305" s="84" t="s">
        <v>841</v>
      </c>
      <c r="E1305" s="84"/>
      <c r="F1305" s="85"/>
      <c r="G1305" s="112"/>
    </row>
    <row r="1306" spans="1:8" ht="13.5" thickTop="1">
      <c r="A1306" s="95"/>
      <c r="B1306" s="808"/>
      <c r="C1306" s="809"/>
      <c r="D1306" s="801" t="s">
        <v>856</v>
      </c>
      <c r="E1306" s="802"/>
      <c r="F1306" s="9"/>
      <c r="G1306" s="113">
        <f>SUM(G1297:G1305)</f>
        <v>0</v>
      </c>
    </row>
    <row r="1307" spans="1:8">
      <c r="A1307" s="95"/>
      <c r="B1307" s="819"/>
      <c r="C1307" s="820"/>
      <c r="D1307" s="801" t="s">
        <v>857</v>
      </c>
      <c r="E1307" s="802"/>
      <c r="F1307" s="79">
        <f>'MANO DE OBRA'!$D$60</f>
        <v>0.05</v>
      </c>
      <c r="G1307" s="113">
        <f>ROUND(G1306*F1307,0)</f>
        <v>0</v>
      </c>
    </row>
    <row r="1308" spans="1:8" ht="13.5" thickBot="1">
      <c r="A1308" s="95"/>
      <c r="B1308" s="819"/>
      <c r="C1308" s="820"/>
      <c r="D1308" s="803" t="s">
        <v>320</v>
      </c>
      <c r="E1308" s="804"/>
      <c r="F1308" s="114"/>
      <c r="G1308" s="118">
        <f>+G1306+G1307</f>
        <v>0</v>
      </c>
    </row>
    <row r="1309" spans="1:8" ht="14.25" thickTop="1" thickBot="1">
      <c r="A1309" s="95"/>
      <c r="B1309" s="830"/>
      <c r="C1309" s="830"/>
      <c r="D1309" s="830"/>
      <c r="E1309" s="830"/>
      <c r="F1309" s="830"/>
      <c r="G1309" s="830"/>
    </row>
    <row r="1310" spans="1:8" ht="13.5" thickTop="1">
      <c r="A1310" s="95"/>
      <c r="B1310" s="811" t="s">
        <v>858</v>
      </c>
      <c r="C1310" s="812"/>
      <c r="D1310" s="812"/>
      <c r="E1310" s="812"/>
      <c r="F1310" s="812"/>
      <c r="G1310" s="825"/>
    </row>
    <row r="1311" spans="1:8">
      <c r="A1311" s="95"/>
      <c r="B1311" s="817"/>
      <c r="C1311" s="818"/>
      <c r="D1311" s="98" t="s">
        <v>301</v>
      </c>
      <c r="E1311" s="98" t="s">
        <v>859</v>
      </c>
      <c r="F1311" s="99" t="s">
        <v>839</v>
      </c>
      <c r="G1311" s="107" t="s">
        <v>840</v>
      </c>
    </row>
    <row r="1312" spans="1:8">
      <c r="A1312" s="95"/>
      <c r="B1312" s="821" t="s">
        <v>838</v>
      </c>
      <c r="C1312" s="822"/>
      <c r="D1312" s="100" t="s">
        <v>316</v>
      </c>
      <c r="E1312" s="100" t="s">
        <v>315</v>
      </c>
      <c r="F1312" s="101" t="s">
        <v>306</v>
      </c>
      <c r="G1312" s="108" t="s">
        <v>319</v>
      </c>
    </row>
    <row r="1313" spans="1:7">
      <c r="A1313" s="95"/>
      <c r="B1313" s="230"/>
      <c r="C1313" s="102"/>
      <c r="D1313" s="103"/>
      <c r="E1313" s="103" t="s">
        <v>317</v>
      </c>
      <c r="F1313" s="104" t="s">
        <v>318</v>
      </c>
      <c r="G1313" s="109"/>
    </row>
    <row r="1314" spans="1:7">
      <c r="A1314" s="95"/>
      <c r="B1314" s="823" t="str">
        <f>'MANO DE OBRA'!$B$10</f>
        <v>AYUDANTE CUAD. TIPO AA</v>
      </c>
      <c r="C1314" s="824"/>
      <c r="D1314" s="87">
        <v>1</v>
      </c>
      <c r="E1314" s="80">
        <f>'MANO DE OBRA'!$E$10</f>
        <v>34680</v>
      </c>
      <c r="F1314" s="81">
        <v>0.2</v>
      </c>
      <c r="G1314" s="110">
        <f>ROUND(D1314*E1314/F1314,0)</f>
        <v>173400</v>
      </c>
    </row>
    <row r="1315" spans="1:7">
      <c r="A1315" s="95"/>
      <c r="B1315" s="835"/>
      <c r="C1315" s="836"/>
      <c r="D1315" s="37"/>
      <c r="E1315" s="82"/>
      <c r="F1315" s="83"/>
      <c r="G1315" s="111"/>
    </row>
    <row r="1316" spans="1:7">
      <c r="A1316" s="95"/>
      <c r="B1316" s="835"/>
      <c r="C1316" s="836"/>
      <c r="D1316" s="89"/>
      <c r="E1316" s="82"/>
      <c r="F1316" s="83"/>
      <c r="G1316" s="111"/>
    </row>
    <row r="1317" spans="1:7">
      <c r="A1317" s="95"/>
      <c r="B1317" s="835" t="s">
        <v>841</v>
      </c>
      <c r="C1317" s="836"/>
      <c r="D1317" s="37"/>
      <c r="E1317" s="82"/>
      <c r="F1317" s="83"/>
      <c r="G1317" s="111"/>
    </row>
    <row r="1318" spans="1:7" ht="13.5" thickBot="1">
      <c r="A1318" s="95"/>
      <c r="B1318" s="828" t="s">
        <v>841</v>
      </c>
      <c r="C1318" s="829"/>
      <c r="D1318" s="77"/>
      <c r="E1318" s="82"/>
      <c r="F1318" s="86"/>
      <c r="G1318" s="112"/>
    </row>
    <row r="1319" spans="1:7" ht="14.25" thickTop="1" thickBot="1">
      <c r="A1319" s="95"/>
      <c r="B1319" s="808"/>
      <c r="C1319" s="808"/>
      <c r="D1319" s="808"/>
      <c r="E1319" s="809"/>
      <c r="F1319" s="120" t="s">
        <v>856</v>
      </c>
      <c r="G1319" s="118">
        <f>SUM(G1314:G1318)</f>
        <v>173400</v>
      </c>
    </row>
    <row r="1320" spans="1:7" ht="14.25" thickTop="1" thickBot="1">
      <c r="A1320" s="95"/>
      <c r="B1320" s="810"/>
      <c r="C1320" s="810"/>
      <c r="D1320" s="810"/>
      <c r="E1320" s="810"/>
      <c r="F1320" s="810"/>
      <c r="G1320" s="810"/>
    </row>
    <row r="1321" spans="1:7" ht="13.5" thickTop="1">
      <c r="A1321" s="95"/>
      <c r="B1321" s="811" t="s">
        <v>321</v>
      </c>
      <c r="C1321" s="812"/>
      <c r="D1321" s="812"/>
      <c r="E1321" s="812"/>
      <c r="F1321" s="812"/>
      <c r="G1321" s="825"/>
    </row>
    <row r="1322" spans="1:7">
      <c r="A1322" s="95"/>
      <c r="B1322" s="817" t="s">
        <v>838</v>
      </c>
      <c r="C1322" s="818"/>
      <c r="D1322" s="98" t="s">
        <v>301</v>
      </c>
      <c r="E1322" s="98" t="s">
        <v>297</v>
      </c>
      <c r="F1322" s="99" t="s">
        <v>839</v>
      </c>
      <c r="G1322" s="107" t="s">
        <v>840</v>
      </c>
    </row>
    <row r="1323" spans="1:7">
      <c r="A1323" s="95"/>
      <c r="B1323" s="230"/>
      <c r="C1323" s="102"/>
      <c r="D1323" s="103" t="s">
        <v>322</v>
      </c>
      <c r="E1323" s="103" t="s">
        <v>323</v>
      </c>
      <c r="F1323" s="104" t="s">
        <v>324</v>
      </c>
      <c r="G1323" s="109" t="s">
        <v>325</v>
      </c>
    </row>
    <row r="1324" spans="1:7">
      <c r="A1324" s="95"/>
      <c r="B1324" s="826"/>
      <c r="C1324" s="827"/>
      <c r="D1324" s="96"/>
      <c r="E1324" s="96"/>
      <c r="F1324" s="96"/>
      <c r="G1324" s="116"/>
    </row>
    <row r="1325" spans="1:7" ht="13.5" thickBot="1">
      <c r="A1325" s="95"/>
      <c r="B1325" s="828" t="s">
        <v>841</v>
      </c>
      <c r="C1325" s="829"/>
      <c r="D1325" s="77"/>
      <c r="E1325" s="82"/>
      <c r="F1325" s="86"/>
      <c r="G1325" s="112"/>
    </row>
    <row r="1326" spans="1:7" ht="14.25" thickTop="1" thickBot="1">
      <c r="A1326" s="95"/>
      <c r="B1326" s="808"/>
      <c r="C1326" s="808"/>
      <c r="D1326" s="808"/>
      <c r="E1326" s="809"/>
      <c r="F1326" s="120" t="s">
        <v>856</v>
      </c>
      <c r="G1326" s="118">
        <f>SUM(G1321:G1325)</f>
        <v>0</v>
      </c>
    </row>
    <row r="1327" spans="1:7" ht="14.25" thickTop="1" thickBot="1">
      <c r="A1327" s="95"/>
      <c r="B1327" s="810"/>
      <c r="C1327" s="810"/>
      <c r="D1327" s="810"/>
      <c r="E1327" s="810"/>
      <c r="F1327" s="810"/>
      <c r="G1327" s="834"/>
    </row>
    <row r="1328" spans="1:7" ht="13.5" thickTop="1">
      <c r="A1328" s="95"/>
      <c r="B1328" s="811" t="s">
        <v>326</v>
      </c>
      <c r="C1328" s="812"/>
      <c r="D1328" s="812"/>
      <c r="E1328" s="812"/>
      <c r="F1328" s="813"/>
      <c r="G1328" s="121">
        <f>+G1292+G1308+G1319</f>
        <v>182070</v>
      </c>
    </row>
    <row r="1329" spans="1:8">
      <c r="A1329" s="95"/>
      <c r="B1329" s="814" t="s">
        <v>861</v>
      </c>
      <c r="C1329" s="815"/>
      <c r="D1329" s="815"/>
      <c r="E1329" s="816"/>
      <c r="F1329" s="128">
        <f>'MANO DE OBRA'!D1119</f>
        <v>0</v>
      </c>
      <c r="G1329" s="122">
        <f>ROUND(G1328*F1329,0)</f>
        <v>0</v>
      </c>
    </row>
    <row r="1330" spans="1:8" ht="13.5" thickBot="1">
      <c r="A1330" s="95"/>
      <c r="B1330" s="805" t="s">
        <v>1049</v>
      </c>
      <c r="C1330" s="806"/>
      <c r="D1330" s="806"/>
      <c r="E1330" s="806"/>
      <c r="F1330" s="807"/>
      <c r="G1330" s="118">
        <f>ROUND(G1328+G1329,-2)</f>
        <v>182100</v>
      </c>
      <c r="H1330" s="505" t="s">
        <v>1670</v>
      </c>
    </row>
    <row r="1331" spans="1:8" ht="15" thickTop="1">
      <c r="A1331" s="95"/>
      <c r="B1331" s="225" t="s">
        <v>303</v>
      </c>
      <c r="C1331" s="843"/>
      <c r="D1331" s="843"/>
      <c r="E1331" s="843"/>
      <c r="F1331" s="92" t="s">
        <v>781</v>
      </c>
      <c r="G1331" s="93" t="s">
        <v>1066</v>
      </c>
    </row>
    <row r="1332" spans="1:8">
      <c r="A1332" s="95"/>
      <c r="B1332" s="226" t="s">
        <v>834</v>
      </c>
      <c r="C1332" s="844" t="s">
        <v>342</v>
      </c>
      <c r="D1332" s="844"/>
      <c r="E1332" s="844"/>
      <c r="F1332" s="15" t="s">
        <v>833</v>
      </c>
      <c r="G1332" s="165" t="str">
        <f>'MANO DE OBRA'!$D$61</f>
        <v>Agosto de 2010</v>
      </c>
    </row>
    <row r="1333" spans="1:8" ht="27.75" customHeight="1" thickBot="1">
      <c r="A1333" s="236"/>
      <c r="B1333" s="240" t="s">
        <v>835</v>
      </c>
      <c r="C1333" s="934" t="s">
        <v>808</v>
      </c>
      <c r="D1333" s="934"/>
      <c r="E1333" s="934"/>
      <c r="F1333" s="934"/>
      <c r="G1333" s="935"/>
    </row>
    <row r="1334" spans="1:8" ht="14.25" thickTop="1" thickBot="1">
      <c r="A1334" s="95"/>
      <c r="B1334" s="847"/>
      <c r="C1334" s="847"/>
      <c r="D1334" s="847"/>
      <c r="E1334" s="847"/>
      <c r="F1334" s="847"/>
      <c r="G1334" s="847"/>
    </row>
    <row r="1335" spans="1:8" ht="13.5" thickTop="1">
      <c r="A1335" s="95"/>
      <c r="B1335" s="811" t="s">
        <v>304</v>
      </c>
      <c r="C1335" s="812"/>
      <c r="D1335" s="812"/>
      <c r="E1335" s="812"/>
      <c r="F1335" s="812"/>
      <c r="G1335" s="825"/>
    </row>
    <row r="1336" spans="1:8">
      <c r="A1336" s="95"/>
      <c r="B1336" s="229"/>
      <c r="C1336" s="97"/>
      <c r="D1336" s="98" t="s">
        <v>301</v>
      </c>
      <c r="E1336" s="98" t="s">
        <v>1072</v>
      </c>
      <c r="F1336" s="99" t="s">
        <v>839</v>
      </c>
      <c r="G1336" s="107" t="s">
        <v>840</v>
      </c>
    </row>
    <row r="1337" spans="1:8">
      <c r="A1337" s="95"/>
      <c r="B1337" s="821" t="s">
        <v>838</v>
      </c>
      <c r="C1337" s="822"/>
      <c r="D1337" s="100" t="s">
        <v>308</v>
      </c>
      <c r="E1337" s="100" t="s">
        <v>305</v>
      </c>
      <c r="F1337" s="101" t="s">
        <v>306</v>
      </c>
      <c r="G1337" s="108" t="s">
        <v>310</v>
      </c>
    </row>
    <row r="1338" spans="1:8">
      <c r="A1338" s="95"/>
      <c r="B1338" s="230"/>
      <c r="C1338" s="102"/>
      <c r="D1338" s="103"/>
      <c r="E1338" s="103" t="s">
        <v>309</v>
      </c>
      <c r="F1338" s="104" t="s">
        <v>307</v>
      </c>
      <c r="G1338" s="109"/>
    </row>
    <row r="1339" spans="1:8">
      <c r="A1339" s="127"/>
      <c r="B1339" s="823" t="str">
        <f>'MAQUINARIA Y EQUIPOS'!$C$28</f>
        <v>HERRAMIENTAS MENORES</v>
      </c>
      <c r="C1339" s="824"/>
      <c r="D1339" s="87">
        <v>1</v>
      </c>
      <c r="E1339" s="82">
        <f>ROUND(G1371*0.05,0)</f>
        <v>1084</v>
      </c>
      <c r="F1339" s="81">
        <v>1</v>
      </c>
      <c r="G1339" s="110">
        <f>ROUND(D1339*E1339/F1339,0)</f>
        <v>1084</v>
      </c>
    </row>
    <row r="1340" spans="1:8">
      <c r="A1340" s="127"/>
      <c r="B1340" s="835" t="str">
        <f>'MAQUINARIA Y EQUIPOS'!$C$35</f>
        <v>MOTOBOMBA 3"</v>
      </c>
      <c r="C1340" s="836"/>
      <c r="D1340" s="37">
        <v>1</v>
      </c>
      <c r="E1340" s="82">
        <f>'MAQUINARIA Y EQUIPOS'!$D$35</f>
        <v>46400</v>
      </c>
      <c r="F1340" s="83">
        <v>40</v>
      </c>
      <c r="G1340" s="111">
        <f>ROUND(D1340*E1340/F1340,0)</f>
        <v>1160</v>
      </c>
    </row>
    <row r="1341" spans="1:8">
      <c r="A1341" s="95"/>
      <c r="B1341" s="835"/>
      <c r="C1341" s="836"/>
      <c r="D1341" s="89"/>
      <c r="E1341" s="82"/>
      <c r="F1341" s="83"/>
      <c r="G1341" s="111"/>
    </row>
    <row r="1342" spans="1:8">
      <c r="A1342" s="95"/>
      <c r="B1342" s="835" t="s">
        <v>841</v>
      </c>
      <c r="C1342" s="836"/>
      <c r="D1342" s="37"/>
      <c r="E1342" s="82"/>
      <c r="F1342" s="83"/>
      <c r="G1342" s="111"/>
    </row>
    <row r="1343" spans="1:8" ht="13.5" thickBot="1">
      <c r="A1343" s="95"/>
      <c r="B1343" s="839" t="s">
        <v>841</v>
      </c>
      <c r="C1343" s="840"/>
      <c r="D1343" s="77"/>
      <c r="E1343" s="106"/>
      <c r="F1343" s="86"/>
      <c r="G1343" s="112"/>
    </row>
    <row r="1344" spans="1:8" ht="14.25" thickTop="1" thickBot="1">
      <c r="A1344" s="95"/>
      <c r="B1344" s="808"/>
      <c r="C1344" s="808"/>
      <c r="D1344" s="808"/>
      <c r="E1344" s="809"/>
      <c r="F1344" s="119" t="s">
        <v>856</v>
      </c>
      <c r="G1344" s="118">
        <f>SUM(G1339:G1343)</f>
        <v>2244</v>
      </c>
    </row>
    <row r="1345" spans="1:8" ht="14.25" thickTop="1" thickBot="1">
      <c r="A1345" s="95"/>
      <c r="B1345" s="830"/>
      <c r="C1345" s="830"/>
      <c r="D1345" s="830"/>
      <c r="E1345" s="830"/>
      <c r="F1345" s="830"/>
      <c r="G1345" s="830"/>
    </row>
    <row r="1346" spans="1:8" ht="13.5" thickTop="1">
      <c r="A1346" s="95"/>
      <c r="B1346" s="811" t="s">
        <v>311</v>
      </c>
      <c r="C1346" s="812"/>
      <c r="D1346" s="812"/>
      <c r="E1346" s="812"/>
      <c r="F1346" s="812"/>
      <c r="G1346" s="825"/>
    </row>
    <row r="1347" spans="1:8">
      <c r="A1347" s="95"/>
      <c r="B1347" s="817" t="s">
        <v>838</v>
      </c>
      <c r="C1347" s="818"/>
      <c r="D1347" s="98" t="s">
        <v>842</v>
      </c>
      <c r="E1347" s="98" t="s">
        <v>853</v>
      </c>
      <c r="F1347" s="99" t="s">
        <v>1047</v>
      </c>
      <c r="G1347" s="107" t="s">
        <v>840</v>
      </c>
    </row>
    <row r="1348" spans="1:8">
      <c r="A1348" s="95"/>
      <c r="B1348" s="230"/>
      <c r="C1348" s="102"/>
      <c r="D1348" s="100"/>
      <c r="E1348" s="100" t="s">
        <v>312</v>
      </c>
      <c r="F1348" s="101" t="s">
        <v>313</v>
      </c>
      <c r="G1348" s="108" t="s">
        <v>314</v>
      </c>
    </row>
    <row r="1349" spans="1:8">
      <c r="A1349" s="125"/>
      <c r="B1349" s="875"/>
      <c r="C1349" s="876"/>
      <c r="D1349" s="87"/>
      <c r="E1349" s="10"/>
      <c r="F1349" s="80"/>
      <c r="G1349" s="110"/>
    </row>
    <row r="1350" spans="1:8">
      <c r="A1350" s="123"/>
      <c r="B1350" s="877"/>
      <c r="C1350" s="878"/>
      <c r="D1350" s="88"/>
      <c r="E1350" s="53"/>
      <c r="F1350" s="82"/>
      <c r="G1350" s="111"/>
    </row>
    <row r="1351" spans="1:8">
      <c r="A1351" s="95"/>
      <c r="B1351" s="835"/>
      <c r="C1351" s="836"/>
      <c r="D1351" s="37"/>
      <c r="E1351" s="55"/>
      <c r="F1351" s="82"/>
      <c r="G1351" s="111"/>
    </row>
    <row r="1352" spans="1:8">
      <c r="A1352" s="95"/>
      <c r="B1352" s="835"/>
      <c r="C1352" s="836"/>
      <c r="D1352" s="37"/>
      <c r="E1352" s="55"/>
      <c r="F1352" s="82"/>
      <c r="G1352" s="111"/>
    </row>
    <row r="1353" spans="1:8">
      <c r="A1353" s="95"/>
      <c r="B1353" s="837"/>
      <c r="C1353" s="838"/>
      <c r="D1353" s="37"/>
      <c r="E1353" s="55"/>
      <c r="F1353" s="82"/>
      <c r="G1353" s="111"/>
    </row>
    <row r="1354" spans="1:8">
      <c r="A1354" s="95"/>
      <c r="B1354" s="837"/>
      <c r="C1354" s="838"/>
      <c r="D1354" s="53" t="s">
        <v>841</v>
      </c>
      <c r="E1354" s="53"/>
      <c r="F1354" s="82"/>
      <c r="G1354" s="111"/>
    </row>
    <row r="1355" spans="1:8">
      <c r="A1355" s="95"/>
      <c r="B1355" s="837" t="s">
        <v>841</v>
      </c>
      <c r="C1355" s="838"/>
      <c r="D1355" s="53" t="s">
        <v>841</v>
      </c>
      <c r="E1355" s="53"/>
      <c r="F1355" s="82"/>
      <c r="G1355" s="111"/>
      <c r="H1355" s="505" t="s">
        <v>1670</v>
      </c>
    </row>
    <row r="1356" spans="1:8">
      <c r="A1356" s="95"/>
      <c r="B1356" s="837" t="s">
        <v>841</v>
      </c>
      <c r="C1356" s="838"/>
      <c r="D1356" s="53" t="s">
        <v>841</v>
      </c>
      <c r="E1356" s="53"/>
      <c r="F1356" s="82"/>
      <c r="G1356" s="111"/>
    </row>
    <row r="1357" spans="1:8" ht="13.5" thickBot="1">
      <c r="A1357" s="95"/>
      <c r="B1357" s="839" t="s">
        <v>841</v>
      </c>
      <c r="C1357" s="840"/>
      <c r="D1357" s="84" t="s">
        <v>841</v>
      </c>
      <c r="E1357" s="84"/>
      <c r="F1357" s="85"/>
      <c r="G1357" s="112"/>
    </row>
    <row r="1358" spans="1:8" ht="13.5" thickTop="1">
      <c r="A1358" s="95"/>
      <c r="B1358" s="808"/>
      <c r="C1358" s="809"/>
      <c r="D1358" s="801" t="s">
        <v>856</v>
      </c>
      <c r="E1358" s="802"/>
      <c r="F1358" s="9"/>
      <c r="G1358" s="113">
        <f>SUM(G1349:G1357)</f>
        <v>0</v>
      </c>
    </row>
    <row r="1359" spans="1:8">
      <c r="A1359" s="95"/>
      <c r="B1359" s="819"/>
      <c r="C1359" s="820"/>
      <c r="D1359" s="801" t="s">
        <v>857</v>
      </c>
      <c r="E1359" s="802"/>
      <c r="F1359" s="79">
        <f>'MANO DE OBRA'!$D$60</f>
        <v>0.05</v>
      </c>
      <c r="G1359" s="113">
        <f>ROUND(G1358*F1359,0)</f>
        <v>0</v>
      </c>
    </row>
    <row r="1360" spans="1:8" ht="13.5" thickBot="1">
      <c r="A1360" s="95"/>
      <c r="B1360" s="819"/>
      <c r="C1360" s="820"/>
      <c r="D1360" s="803" t="s">
        <v>320</v>
      </c>
      <c r="E1360" s="804"/>
      <c r="F1360" s="114"/>
      <c r="G1360" s="118">
        <f>+G1358+G1359</f>
        <v>0</v>
      </c>
    </row>
    <row r="1361" spans="1:7" ht="14.25" thickTop="1" thickBot="1">
      <c r="A1361" s="95"/>
      <c r="B1361" s="830"/>
      <c r="C1361" s="830"/>
      <c r="D1361" s="830"/>
      <c r="E1361" s="830"/>
      <c r="F1361" s="830"/>
      <c r="G1361" s="830"/>
    </row>
    <row r="1362" spans="1:7" ht="13.5" thickTop="1">
      <c r="A1362" s="95"/>
      <c r="B1362" s="811" t="s">
        <v>858</v>
      </c>
      <c r="C1362" s="812"/>
      <c r="D1362" s="812"/>
      <c r="E1362" s="812"/>
      <c r="F1362" s="812"/>
      <c r="G1362" s="825"/>
    </row>
    <row r="1363" spans="1:7">
      <c r="A1363" s="95"/>
      <c r="B1363" s="817"/>
      <c r="C1363" s="818"/>
      <c r="D1363" s="98" t="s">
        <v>301</v>
      </c>
      <c r="E1363" s="98" t="s">
        <v>859</v>
      </c>
      <c r="F1363" s="99" t="s">
        <v>839</v>
      </c>
      <c r="G1363" s="107" t="s">
        <v>840</v>
      </c>
    </row>
    <row r="1364" spans="1:7">
      <c r="A1364" s="95"/>
      <c r="B1364" s="821" t="s">
        <v>838</v>
      </c>
      <c r="C1364" s="822"/>
      <c r="D1364" s="100" t="s">
        <v>316</v>
      </c>
      <c r="E1364" s="100" t="s">
        <v>315</v>
      </c>
      <c r="F1364" s="101" t="s">
        <v>306</v>
      </c>
      <c r="G1364" s="108" t="s">
        <v>319</v>
      </c>
    </row>
    <row r="1365" spans="1:7">
      <c r="A1365" s="95"/>
      <c r="B1365" s="230"/>
      <c r="C1365" s="102"/>
      <c r="D1365" s="103"/>
      <c r="E1365" s="103" t="s">
        <v>317</v>
      </c>
      <c r="F1365" s="104" t="s">
        <v>318</v>
      </c>
      <c r="G1365" s="109"/>
    </row>
    <row r="1366" spans="1:7">
      <c r="A1366" s="95"/>
      <c r="B1366" s="823" t="str">
        <f>'MANO DE OBRA'!$B$10</f>
        <v>AYUDANTE CUAD. TIPO AA</v>
      </c>
      <c r="C1366" s="824"/>
      <c r="D1366" s="87">
        <v>1</v>
      </c>
      <c r="E1366" s="80">
        <f>'MANO DE OBRA'!$E$10</f>
        <v>34680</v>
      </c>
      <c r="F1366" s="81">
        <v>1.6</v>
      </c>
      <c r="G1366" s="110">
        <f>ROUND(D1366*E1366/F1366,0)</f>
        <v>21675</v>
      </c>
    </row>
    <row r="1367" spans="1:7">
      <c r="A1367" s="95"/>
      <c r="B1367" s="835"/>
      <c r="C1367" s="836"/>
      <c r="D1367" s="37"/>
      <c r="E1367" s="82"/>
      <c r="F1367" s="83"/>
      <c r="G1367" s="111"/>
    </row>
    <row r="1368" spans="1:7">
      <c r="A1368" s="95"/>
      <c r="B1368" s="835"/>
      <c r="C1368" s="836"/>
      <c r="D1368" s="89"/>
      <c r="E1368" s="82"/>
      <c r="F1368" s="83"/>
      <c r="G1368" s="111"/>
    </row>
    <row r="1369" spans="1:7">
      <c r="A1369" s="95"/>
      <c r="B1369" s="835" t="s">
        <v>841</v>
      </c>
      <c r="C1369" s="836"/>
      <c r="D1369" s="37"/>
      <c r="E1369" s="82"/>
      <c r="F1369" s="83"/>
      <c r="G1369" s="111"/>
    </row>
    <row r="1370" spans="1:7" ht="13.5" thickBot="1">
      <c r="A1370" s="95"/>
      <c r="B1370" s="828" t="s">
        <v>841</v>
      </c>
      <c r="C1370" s="829"/>
      <c r="D1370" s="77"/>
      <c r="E1370" s="82"/>
      <c r="F1370" s="86"/>
      <c r="G1370" s="112"/>
    </row>
    <row r="1371" spans="1:7" ht="14.25" thickTop="1" thickBot="1">
      <c r="A1371" s="95"/>
      <c r="B1371" s="808"/>
      <c r="C1371" s="808"/>
      <c r="D1371" s="808"/>
      <c r="E1371" s="809"/>
      <c r="F1371" s="120" t="s">
        <v>856</v>
      </c>
      <c r="G1371" s="118">
        <f>SUM(G1366:G1370)</f>
        <v>21675</v>
      </c>
    </row>
    <row r="1372" spans="1:7" ht="14.25" thickTop="1" thickBot="1">
      <c r="A1372" s="95"/>
      <c r="B1372" s="810"/>
      <c r="C1372" s="810"/>
      <c r="D1372" s="810"/>
      <c r="E1372" s="810"/>
      <c r="F1372" s="810"/>
      <c r="G1372" s="810"/>
    </row>
    <row r="1373" spans="1:7" ht="13.5" thickTop="1">
      <c r="A1373" s="95"/>
      <c r="B1373" s="811" t="s">
        <v>321</v>
      </c>
      <c r="C1373" s="812"/>
      <c r="D1373" s="812"/>
      <c r="E1373" s="812"/>
      <c r="F1373" s="812"/>
      <c r="G1373" s="825"/>
    </row>
    <row r="1374" spans="1:7">
      <c r="A1374" s="95"/>
      <c r="B1374" s="817" t="s">
        <v>838</v>
      </c>
      <c r="C1374" s="818"/>
      <c r="D1374" s="98" t="s">
        <v>301</v>
      </c>
      <c r="E1374" s="98" t="s">
        <v>297</v>
      </c>
      <c r="F1374" s="99" t="s">
        <v>839</v>
      </c>
      <c r="G1374" s="107" t="s">
        <v>840</v>
      </c>
    </row>
    <row r="1375" spans="1:7">
      <c r="A1375" s="95"/>
      <c r="B1375" s="230"/>
      <c r="C1375" s="102"/>
      <c r="D1375" s="103" t="s">
        <v>322</v>
      </c>
      <c r="E1375" s="103" t="s">
        <v>323</v>
      </c>
      <c r="F1375" s="104" t="s">
        <v>324</v>
      </c>
      <c r="G1375" s="109" t="s">
        <v>325</v>
      </c>
    </row>
    <row r="1376" spans="1:7">
      <c r="A1376" s="95"/>
      <c r="B1376" s="826"/>
      <c r="C1376" s="827"/>
      <c r="D1376" s="96"/>
      <c r="E1376" s="96"/>
      <c r="F1376" s="96"/>
      <c r="G1376" s="116"/>
    </row>
    <row r="1377" spans="1:8" ht="13.5" thickBot="1">
      <c r="A1377" s="95"/>
      <c r="B1377" s="828" t="s">
        <v>841</v>
      </c>
      <c r="C1377" s="829"/>
      <c r="D1377" s="77"/>
      <c r="E1377" s="82"/>
      <c r="F1377" s="86"/>
      <c r="G1377" s="112"/>
    </row>
    <row r="1378" spans="1:8" ht="14.25" thickTop="1" thickBot="1">
      <c r="A1378" s="95"/>
      <c r="B1378" s="808"/>
      <c r="C1378" s="808"/>
      <c r="D1378" s="808"/>
      <c r="E1378" s="809"/>
      <c r="F1378" s="120" t="s">
        <v>856</v>
      </c>
      <c r="G1378" s="118">
        <f>SUM(G1373:G1377)</f>
        <v>0</v>
      </c>
    </row>
    <row r="1379" spans="1:8" ht="14.25" thickTop="1" thickBot="1">
      <c r="A1379" s="95"/>
      <c r="B1379" s="810"/>
      <c r="C1379" s="810"/>
      <c r="D1379" s="810"/>
      <c r="E1379" s="810"/>
      <c r="F1379" s="810"/>
      <c r="G1379" s="834"/>
    </row>
    <row r="1380" spans="1:8" ht="13.5" thickTop="1">
      <c r="A1380" s="95"/>
      <c r="B1380" s="811" t="s">
        <v>326</v>
      </c>
      <c r="C1380" s="812"/>
      <c r="D1380" s="812"/>
      <c r="E1380" s="812"/>
      <c r="F1380" s="813"/>
      <c r="G1380" s="121">
        <f>+G1344+G1360+G1371</f>
        <v>23919</v>
      </c>
    </row>
    <row r="1381" spans="1:8">
      <c r="A1381" s="95"/>
      <c r="B1381" s="814" t="s">
        <v>861</v>
      </c>
      <c r="C1381" s="815"/>
      <c r="D1381" s="815"/>
      <c r="E1381" s="816"/>
      <c r="F1381" s="128">
        <f>'MANO DE OBRA'!D1278</f>
        <v>0</v>
      </c>
      <c r="G1381" s="122">
        <f>ROUND(G1380*F1381,0)</f>
        <v>0</v>
      </c>
    </row>
    <row r="1382" spans="1:8" ht="13.5" thickBot="1">
      <c r="A1382" s="95"/>
      <c r="B1382" s="805" t="s">
        <v>1049</v>
      </c>
      <c r="C1382" s="806"/>
      <c r="D1382" s="806"/>
      <c r="E1382" s="806"/>
      <c r="F1382" s="807"/>
      <c r="G1382" s="118">
        <f>ROUND(G1380+G1381,-2)</f>
        <v>23900</v>
      </c>
      <c r="H1382" s="505" t="s">
        <v>1670</v>
      </c>
    </row>
    <row r="1383" spans="1:8" ht="15" thickTop="1">
      <c r="A1383" s="95"/>
      <c r="B1383" s="225" t="s">
        <v>303</v>
      </c>
      <c r="C1383" s="843"/>
      <c r="D1383" s="843"/>
      <c r="E1383" s="843"/>
      <c r="F1383" s="92" t="s">
        <v>781</v>
      </c>
      <c r="G1383" s="93" t="s">
        <v>1066</v>
      </c>
    </row>
    <row r="1384" spans="1:8">
      <c r="A1384" s="95"/>
      <c r="B1384" s="226" t="s">
        <v>834</v>
      </c>
      <c r="C1384" s="844" t="s">
        <v>342</v>
      </c>
      <c r="D1384" s="844"/>
      <c r="E1384" s="844"/>
      <c r="F1384" s="15" t="s">
        <v>833</v>
      </c>
      <c r="G1384" s="165" t="str">
        <f>'MANO DE OBRA'!$D$61</f>
        <v>Agosto de 2010</v>
      </c>
    </row>
    <row r="1385" spans="1:8" ht="27.75" customHeight="1" thickBot="1">
      <c r="A1385" s="236"/>
      <c r="B1385" s="240" t="s">
        <v>835</v>
      </c>
      <c r="C1385" s="934" t="s">
        <v>809</v>
      </c>
      <c r="D1385" s="934"/>
      <c r="E1385" s="934"/>
      <c r="F1385" s="934"/>
      <c r="G1385" s="935"/>
    </row>
    <row r="1386" spans="1:8" ht="14.25" thickTop="1" thickBot="1">
      <c r="A1386" s="95"/>
      <c r="B1386" s="847"/>
      <c r="C1386" s="847"/>
      <c r="D1386" s="847"/>
      <c r="E1386" s="847"/>
      <c r="F1386" s="847"/>
      <c r="G1386" s="847"/>
    </row>
    <row r="1387" spans="1:8" ht="13.5" thickTop="1">
      <c r="A1387" s="95"/>
      <c r="B1387" s="811" t="s">
        <v>304</v>
      </c>
      <c r="C1387" s="812"/>
      <c r="D1387" s="812"/>
      <c r="E1387" s="812"/>
      <c r="F1387" s="812"/>
      <c r="G1387" s="825"/>
    </row>
    <row r="1388" spans="1:8">
      <c r="A1388" s="95"/>
      <c r="B1388" s="229"/>
      <c r="C1388" s="97"/>
      <c r="D1388" s="98" t="s">
        <v>301</v>
      </c>
      <c r="E1388" s="98" t="s">
        <v>1072</v>
      </c>
      <c r="F1388" s="99" t="s">
        <v>839</v>
      </c>
      <c r="G1388" s="107" t="s">
        <v>840</v>
      </c>
    </row>
    <row r="1389" spans="1:8">
      <c r="A1389" s="95"/>
      <c r="B1389" s="821" t="s">
        <v>838</v>
      </c>
      <c r="C1389" s="822"/>
      <c r="D1389" s="100" t="s">
        <v>308</v>
      </c>
      <c r="E1389" s="100" t="s">
        <v>305</v>
      </c>
      <c r="F1389" s="101" t="s">
        <v>306</v>
      </c>
      <c r="G1389" s="108" t="s">
        <v>310</v>
      </c>
    </row>
    <row r="1390" spans="1:8">
      <c r="A1390" s="95"/>
      <c r="B1390" s="230"/>
      <c r="C1390" s="102"/>
      <c r="D1390" s="103"/>
      <c r="E1390" s="103" t="s">
        <v>309</v>
      </c>
      <c r="F1390" s="104" t="s">
        <v>307</v>
      </c>
      <c r="G1390" s="109"/>
    </row>
    <row r="1391" spans="1:8">
      <c r="A1391" s="127"/>
      <c r="B1391" s="823" t="str">
        <f>'MAQUINARIA Y EQUIPOS'!$C$28</f>
        <v>HERRAMIENTAS MENORES</v>
      </c>
      <c r="C1391" s="824"/>
      <c r="D1391" s="87">
        <v>1</v>
      </c>
      <c r="E1391" s="82">
        <f>ROUND(G1423*0.05,0)</f>
        <v>1521</v>
      </c>
      <c r="F1391" s="81">
        <v>1</v>
      </c>
      <c r="G1391" s="110">
        <f>ROUND(D1391*E1391/F1391,0)</f>
        <v>1521</v>
      </c>
    </row>
    <row r="1392" spans="1:8">
      <c r="A1392" s="127"/>
      <c r="B1392" s="835" t="str">
        <f>'MAQUINARIA Y EQUIPOS'!$C$35</f>
        <v>MOTOBOMBA 3"</v>
      </c>
      <c r="C1392" s="836"/>
      <c r="D1392" s="37">
        <v>1</v>
      </c>
      <c r="E1392" s="82">
        <f>'MAQUINARIA Y EQUIPOS'!$D$35</f>
        <v>46400</v>
      </c>
      <c r="F1392" s="83">
        <v>35</v>
      </c>
      <c r="G1392" s="111">
        <f>ROUND(D1392*E1392/F1392,0)</f>
        <v>1326</v>
      </c>
    </row>
    <row r="1393" spans="1:8">
      <c r="A1393" s="95"/>
      <c r="B1393" s="835"/>
      <c r="C1393" s="836"/>
      <c r="D1393" s="89"/>
      <c r="E1393" s="82"/>
      <c r="F1393" s="83"/>
      <c r="G1393" s="111"/>
    </row>
    <row r="1394" spans="1:8">
      <c r="A1394" s="95"/>
      <c r="B1394" s="835" t="s">
        <v>841</v>
      </c>
      <c r="C1394" s="836"/>
      <c r="D1394" s="37"/>
      <c r="E1394" s="82"/>
      <c r="F1394" s="83"/>
      <c r="G1394" s="111"/>
    </row>
    <row r="1395" spans="1:8" ht="13.5" thickBot="1">
      <c r="A1395" s="95"/>
      <c r="B1395" s="839" t="s">
        <v>841</v>
      </c>
      <c r="C1395" s="840"/>
      <c r="D1395" s="77"/>
      <c r="E1395" s="106"/>
      <c r="F1395" s="86"/>
      <c r="G1395" s="112"/>
    </row>
    <row r="1396" spans="1:8" ht="14.25" thickTop="1" thickBot="1">
      <c r="A1396" s="95"/>
      <c r="B1396" s="808"/>
      <c r="C1396" s="808"/>
      <c r="D1396" s="808"/>
      <c r="E1396" s="809"/>
      <c r="F1396" s="119" t="s">
        <v>856</v>
      </c>
      <c r="G1396" s="118">
        <f>SUM(G1391:G1395)</f>
        <v>2847</v>
      </c>
    </row>
    <row r="1397" spans="1:8" ht="14.25" thickTop="1" thickBot="1">
      <c r="A1397" s="95"/>
      <c r="B1397" s="830"/>
      <c r="C1397" s="830"/>
      <c r="D1397" s="830"/>
      <c r="E1397" s="830"/>
      <c r="F1397" s="830"/>
      <c r="G1397" s="830"/>
    </row>
    <row r="1398" spans="1:8" ht="13.5" thickTop="1">
      <c r="A1398" s="95"/>
      <c r="B1398" s="811" t="s">
        <v>311</v>
      </c>
      <c r="C1398" s="812"/>
      <c r="D1398" s="812"/>
      <c r="E1398" s="812"/>
      <c r="F1398" s="812"/>
      <c r="G1398" s="825"/>
    </row>
    <row r="1399" spans="1:8">
      <c r="A1399" s="95"/>
      <c r="B1399" s="817" t="s">
        <v>838</v>
      </c>
      <c r="C1399" s="818"/>
      <c r="D1399" s="98" t="s">
        <v>842</v>
      </c>
      <c r="E1399" s="98" t="s">
        <v>853</v>
      </c>
      <c r="F1399" s="99" t="s">
        <v>1047</v>
      </c>
      <c r="G1399" s="107" t="s">
        <v>840</v>
      </c>
    </row>
    <row r="1400" spans="1:8">
      <c r="A1400" s="95"/>
      <c r="B1400" s="230"/>
      <c r="C1400" s="102"/>
      <c r="D1400" s="100"/>
      <c r="E1400" s="100" t="s">
        <v>312</v>
      </c>
      <c r="F1400" s="101" t="s">
        <v>313</v>
      </c>
      <c r="G1400" s="108" t="s">
        <v>314</v>
      </c>
    </row>
    <row r="1401" spans="1:8">
      <c r="A1401" s="125"/>
      <c r="B1401" s="875"/>
      <c r="C1401" s="876"/>
      <c r="D1401" s="87"/>
      <c r="E1401" s="10"/>
      <c r="F1401" s="80"/>
      <c r="G1401" s="110"/>
    </row>
    <row r="1402" spans="1:8">
      <c r="A1402" s="123"/>
      <c r="B1402" s="877"/>
      <c r="C1402" s="878"/>
      <c r="D1402" s="88"/>
      <c r="E1402" s="53"/>
      <c r="F1402" s="82"/>
      <c r="G1402" s="111"/>
    </row>
    <row r="1403" spans="1:8">
      <c r="A1403" s="95"/>
      <c r="B1403" s="835"/>
      <c r="C1403" s="836"/>
      <c r="D1403" s="37"/>
      <c r="E1403" s="55"/>
      <c r="F1403" s="82"/>
      <c r="G1403" s="111"/>
    </row>
    <row r="1404" spans="1:8">
      <c r="A1404" s="95"/>
      <c r="B1404" s="835"/>
      <c r="C1404" s="836"/>
      <c r="D1404" s="37"/>
      <c r="E1404" s="55"/>
      <c r="F1404" s="82"/>
      <c r="G1404" s="111"/>
    </row>
    <row r="1405" spans="1:8">
      <c r="A1405" s="95"/>
      <c r="B1405" s="837"/>
      <c r="C1405" s="838"/>
      <c r="D1405" s="37"/>
      <c r="E1405" s="55"/>
      <c r="F1405" s="82"/>
      <c r="G1405" s="111"/>
    </row>
    <row r="1406" spans="1:8">
      <c r="A1406" s="95"/>
      <c r="B1406" s="837"/>
      <c r="C1406" s="838"/>
      <c r="D1406" s="53" t="s">
        <v>841</v>
      </c>
      <c r="E1406" s="53"/>
      <c r="F1406" s="82"/>
      <c r="G1406" s="111"/>
    </row>
    <row r="1407" spans="1:8">
      <c r="A1407" s="95"/>
      <c r="B1407" s="837" t="s">
        <v>841</v>
      </c>
      <c r="C1407" s="838"/>
      <c r="D1407" s="53" t="s">
        <v>841</v>
      </c>
      <c r="E1407" s="53"/>
      <c r="F1407" s="82"/>
      <c r="G1407" s="111"/>
    </row>
    <row r="1408" spans="1:8">
      <c r="A1408" s="95"/>
      <c r="B1408" s="837" t="s">
        <v>841</v>
      </c>
      <c r="C1408" s="838"/>
      <c r="D1408" s="53" t="s">
        <v>841</v>
      </c>
      <c r="E1408" s="53"/>
      <c r="F1408" s="82"/>
      <c r="G1408" s="111"/>
      <c r="H1408" s="505" t="s">
        <v>1670</v>
      </c>
    </row>
    <row r="1409" spans="1:7" ht="13.5" thickBot="1">
      <c r="A1409" s="95"/>
      <c r="B1409" s="839" t="s">
        <v>841</v>
      </c>
      <c r="C1409" s="840"/>
      <c r="D1409" s="84" t="s">
        <v>841</v>
      </c>
      <c r="E1409" s="84"/>
      <c r="F1409" s="85"/>
      <c r="G1409" s="112"/>
    </row>
    <row r="1410" spans="1:7" ht="13.5" thickTop="1">
      <c r="A1410" s="95"/>
      <c r="B1410" s="808"/>
      <c r="C1410" s="809"/>
      <c r="D1410" s="801" t="s">
        <v>856</v>
      </c>
      <c r="E1410" s="802"/>
      <c r="F1410" s="9"/>
      <c r="G1410" s="113">
        <f>SUM(G1401:G1409)</f>
        <v>0</v>
      </c>
    </row>
    <row r="1411" spans="1:7">
      <c r="A1411" s="95"/>
      <c r="B1411" s="819"/>
      <c r="C1411" s="820"/>
      <c r="D1411" s="801" t="s">
        <v>857</v>
      </c>
      <c r="E1411" s="802"/>
      <c r="F1411" s="79">
        <f>'MANO DE OBRA'!$D$60</f>
        <v>0.05</v>
      </c>
      <c r="G1411" s="113">
        <f>ROUND(G1410*F1411,0)</f>
        <v>0</v>
      </c>
    </row>
    <row r="1412" spans="1:7" ht="13.5" thickBot="1">
      <c r="A1412" s="95"/>
      <c r="B1412" s="819"/>
      <c r="C1412" s="820"/>
      <c r="D1412" s="803" t="s">
        <v>320</v>
      </c>
      <c r="E1412" s="804"/>
      <c r="F1412" s="114"/>
      <c r="G1412" s="118">
        <f>+G1410+G1411</f>
        <v>0</v>
      </c>
    </row>
    <row r="1413" spans="1:7" ht="14.25" thickTop="1" thickBot="1">
      <c r="A1413" s="95"/>
      <c r="B1413" s="830"/>
      <c r="C1413" s="830"/>
      <c r="D1413" s="830"/>
      <c r="E1413" s="830"/>
      <c r="F1413" s="830"/>
      <c r="G1413" s="830"/>
    </row>
    <row r="1414" spans="1:7" ht="13.5" thickTop="1">
      <c r="A1414" s="95"/>
      <c r="B1414" s="811" t="s">
        <v>858</v>
      </c>
      <c r="C1414" s="812"/>
      <c r="D1414" s="812"/>
      <c r="E1414" s="812"/>
      <c r="F1414" s="812"/>
      <c r="G1414" s="825"/>
    </row>
    <row r="1415" spans="1:7">
      <c r="A1415" s="95"/>
      <c r="B1415" s="817"/>
      <c r="C1415" s="818"/>
      <c r="D1415" s="98" t="s">
        <v>301</v>
      </c>
      <c r="E1415" s="98" t="s">
        <v>859</v>
      </c>
      <c r="F1415" s="99" t="s">
        <v>839</v>
      </c>
      <c r="G1415" s="107" t="s">
        <v>840</v>
      </c>
    </row>
    <row r="1416" spans="1:7">
      <c r="A1416" s="95"/>
      <c r="B1416" s="821" t="s">
        <v>838</v>
      </c>
      <c r="C1416" s="822"/>
      <c r="D1416" s="100" t="s">
        <v>316</v>
      </c>
      <c r="E1416" s="100" t="s">
        <v>315</v>
      </c>
      <c r="F1416" s="101" t="s">
        <v>306</v>
      </c>
      <c r="G1416" s="108" t="s">
        <v>319</v>
      </c>
    </row>
    <row r="1417" spans="1:7">
      <c r="A1417" s="95"/>
      <c r="B1417" s="230"/>
      <c r="C1417" s="102"/>
      <c r="D1417" s="103"/>
      <c r="E1417" s="103" t="s">
        <v>317</v>
      </c>
      <c r="F1417" s="104" t="s">
        <v>318</v>
      </c>
      <c r="G1417" s="109"/>
    </row>
    <row r="1418" spans="1:7">
      <c r="A1418" s="95"/>
      <c r="B1418" s="823" t="str">
        <f>'MANO DE OBRA'!$B$10</f>
        <v>AYUDANTE CUAD. TIPO AA</v>
      </c>
      <c r="C1418" s="824"/>
      <c r="D1418" s="87">
        <v>1</v>
      </c>
      <c r="E1418" s="80">
        <f>'MANO DE OBRA'!$E$10</f>
        <v>34680</v>
      </c>
      <c r="F1418" s="81">
        <v>1.1399999999999999</v>
      </c>
      <c r="G1418" s="110">
        <f>ROUND(D1418*E1418/F1418,0)</f>
        <v>30421</v>
      </c>
    </row>
    <row r="1419" spans="1:7">
      <c r="A1419" s="95"/>
      <c r="B1419" s="835"/>
      <c r="C1419" s="836"/>
      <c r="D1419" s="37"/>
      <c r="E1419" s="82"/>
      <c r="F1419" s="83"/>
      <c r="G1419" s="111"/>
    </row>
    <row r="1420" spans="1:7">
      <c r="A1420" s="95"/>
      <c r="B1420" s="835"/>
      <c r="C1420" s="836"/>
      <c r="D1420" s="89"/>
      <c r="E1420" s="82"/>
      <c r="F1420" s="83"/>
      <c r="G1420" s="111"/>
    </row>
    <row r="1421" spans="1:7">
      <c r="A1421" s="95"/>
      <c r="B1421" s="835" t="s">
        <v>841</v>
      </c>
      <c r="C1421" s="836"/>
      <c r="D1421" s="37"/>
      <c r="E1421" s="82"/>
      <c r="F1421" s="83"/>
      <c r="G1421" s="111"/>
    </row>
    <row r="1422" spans="1:7" ht="13.5" thickBot="1">
      <c r="A1422" s="95"/>
      <c r="B1422" s="828" t="s">
        <v>841</v>
      </c>
      <c r="C1422" s="829"/>
      <c r="D1422" s="77"/>
      <c r="E1422" s="82"/>
      <c r="F1422" s="86"/>
      <c r="G1422" s="112"/>
    </row>
    <row r="1423" spans="1:7" ht="14.25" thickTop="1" thickBot="1">
      <c r="A1423" s="95"/>
      <c r="B1423" s="808"/>
      <c r="C1423" s="808"/>
      <c r="D1423" s="808"/>
      <c r="E1423" s="809"/>
      <c r="F1423" s="120" t="s">
        <v>856</v>
      </c>
      <c r="G1423" s="118">
        <f>SUM(G1418:G1422)</f>
        <v>30421</v>
      </c>
    </row>
    <row r="1424" spans="1:7" ht="14.25" thickTop="1" thickBot="1">
      <c r="A1424" s="95"/>
      <c r="B1424" s="810"/>
      <c r="C1424" s="810"/>
      <c r="D1424" s="810"/>
      <c r="E1424" s="810"/>
      <c r="F1424" s="810"/>
      <c r="G1424" s="810"/>
    </row>
    <row r="1425" spans="1:8" ht="13.5" thickTop="1">
      <c r="A1425" s="95"/>
      <c r="B1425" s="811" t="s">
        <v>321</v>
      </c>
      <c r="C1425" s="812"/>
      <c r="D1425" s="812"/>
      <c r="E1425" s="812"/>
      <c r="F1425" s="812"/>
      <c r="G1425" s="825"/>
    </row>
    <row r="1426" spans="1:8">
      <c r="A1426" s="95"/>
      <c r="B1426" s="817" t="s">
        <v>838</v>
      </c>
      <c r="C1426" s="818"/>
      <c r="D1426" s="98" t="s">
        <v>301</v>
      </c>
      <c r="E1426" s="98" t="s">
        <v>297</v>
      </c>
      <c r="F1426" s="99" t="s">
        <v>839</v>
      </c>
      <c r="G1426" s="107" t="s">
        <v>840</v>
      </c>
    </row>
    <row r="1427" spans="1:8">
      <c r="A1427" s="95"/>
      <c r="B1427" s="230"/>
      <c r="C1427" s="102"/>
      <c r="D1427" s="103" t="s">
        <v>322</v>
      </c>
      <c r="E1427" s="103" t="s">
        <v>323</v>
      </c>
      <c r="F1427" s="104" t="s">
        <v>324</v>
      </c>
      <c r="G1427" s="109" t="s">
        <v>325</v>
      </c>
    </row>
    <row r="1428" spans="1:8">
      <c r="A1428" s="95"/>
      <c r="B1428" s="826"/>
      <c r="C1428" s="827"/>
      <c r="D1428" s="96"/>
      <c r="E1428" s="96"/>
      <c r="F1428" s="96"/>
      <c r="G1428" s="116"/>
    </row>
    <row r="1429" spans="1:8" ht="13.5" thickBot="1">
      <c r="A1429" s="95"/>
      <c r="B1429" s="828" t="s">
        <v>841</v>
      </c>
      <c r="C1429" s="829"/>
      <c r="D1429" s="77"/>
      <c r="E1429" s="82"/>
      <c r="F1429" s="86"/>
      <c r="G1429" s="112"/>
    </row>
    <row r="1430" spans="1:8" ht="14.25" thickTop="1" thickBot="1">
      <c r="A1430" s="95"/>
      <c r="B1430" s="808"/>
      <c r="C1430" s="808"/>
      <c r="D1430" s="808"/>
      <c r="E1430" s="809"/>
      <c r="F1430" s="120" t="s">
        <v>856</v>
      </c>
      <c r="G1430" s="118">
        <f>SUM(G1425:G1429)</f>
        <v>0</v>
      </c>
    </row>
    <row r="1431" spans="1:8" ht="14.25" thickTop="1" thickBot="1">
      <c r="A1431" s="95"/>
      <c r="B1431" s="810"/>
      <c r="C1431" s="810"/>
      <c r="D1431" s="810"/>
      <c r="E1431" s="810"/>
      <c r="F1431" s="810"/>
      <c r="G1431" s="834"/>
    </row>
    <row r="1432" spans="1:8" ht="13.5" thickTop="1">
      <c r="A1432" s="95"/>
      <c r="B1432" s="811" t="s">
        <v>326</v>
      </c>
      <c r="C1432" s="812"/>
      <c r="D1432" s="812"/>
      <c r="E1432" s="812"/>
      <c r="F1432" s="813"/>
      <c r="G1432" s="121">
        <f>+G1396+G1412+G1423</f>
        <v>33268</v>
      </c>
    </row>
    <row r="1433" spans="1:8">
      <c r="A1433" s="95"/>
      <c r="B1433" s="814" t="s">
        <v>861</v>
      </c>
      <c r="C1433" s="815"/>
      <c r="D1433" s="815"/>
      <c r="E1433" s="816"/>
      <c r="F1433" s="128">
        <f>'MANO DE OBRA'!D1330</f>
        <v>0</v>
      </c>
      <c r="G1433" s="122">
        <f>ROUND(G1432*F1433,0)</f>
        <v>0</v>
      </c>
    </row>
    <row r="1434" spans="1:8" ht="13.5" thickBot="1">
      <c r="A1434" s="95"/>
      <c r="B1434" s="805" t="s">
        <v>1049</v>
      </c>
      <c r="C1434" s="806"/>
      <c r="D1434" s="806"/>
      <c r="E1434" s="806"/>
      <c r="F1434" s="807"/>
      <c r="G1434" s="118">
        <f>ROUND(G1432+G1433,-2)</f>
        <v>33300</v>
      </c>
      <c r="H1434" s="505" t="s">
        <v>1670</v>
      </c>
    </row>
    <row r="1435" spans="1:8" ht="15" thickTop="1">
      <c r="A1435" s="95"/>
      <c r="B1435" s="225" t="s">
        <v>303</v>
      </c>
      <c r="C1435" s="843"/>
      <c r="D1435" s="843"/>
      <c r="E1435" s="843"/>
      <c r="F1435" s="92" t="s">
        <v>781</v>
      </c>
      <c r="G1435" s="93" t="s">
        <v>1066</v>
      </c>
    </row>
    <row r="1436" spans="1:8">
      <c r="A1436" s="95"/>
      <c r="B1436" s="226" t="s">
        <v>834</v>
      </c>
      <c r="C1436" s="844" t="s">
        <v>342</v>
      </c>
      <c r="D1436" s="844"/>
      <c r="E1436" s="844"/>
      <c r="F1436" s="15" t="s">
        <v>833</v>
      </c>
      <c r="G1436" s="165" t="str">
        <f>'MANO DE OBRA'!$D$61</f>
        <v>Agosto de 2010</v>
      </c>
    </row>
    <row r="1437" spans="1:8" ht="27.75" customHeight="1" thickBot="1">
      <c r="A1437" s="236"/>
      <c r="B1437" s="240" t="s">
        <v>835</v>
      </c>
      <c r="C1437" s="934" t="s">
        <v>810</v>
      </c>
      <c r="D1437" s="934"/>
      <c r="E1437" s="934"/>
      <c r="F1437" s="934"/>
      <c r="G1437" s="935"/>
    </row>
    <row r="1438" spans="1:8" ht="14.25" thickTop="1" thickBot="1">
      <c r="A1438" s="95"/>
      <c r="B1438" s="847"/>
      <c r="C1438" s="847"/>
      <c r="D1438" s="847"/>
      <c r="E1438" s="847"/>
      <c r="F1438" s="847"/>
      <c r="G1438" s="847"/>
    </row>
    <row r="1439" spans="1:8" ht="13.5" thickTop="1">
      <c r="A1439" s="95"/>
      <c r="B1439" s="811" t="s">
        <v>304</v>
      </c>
      <c r="C1439" s="812"/>
      <c r="D1439" s="812"/>
      <c r="E1439" s="812"/>
      <c r="F1439" s="812"/>
      <c r="G1439" s="825"/>
    </row>
    <row r="1440" spans="1:8">
      <c r="A1440" s="95"/>
      <c r="B1440" s="229"/>
      <c r="C1440" s="97"/>
      <c r="D1440" s="98" t="s">
        <v>301</v>
      </c>
      <c r="E1440" s="98" t="s">
        <v>1072</v>
      </c>
      <c r="F1440" s="99" t="s">
        <v>839</v>
      </c>
      <c r="G1440" s="107" t="s">
        <v>840</v>
      </c>
    </row>
    <row r="1441" spans="1:7">
      <c r="A1441" s="95"/>
      <c r="B1441" s="821" t="s">
        <v>838</v>
      </c>
      <c r="C1441" s="822"/>
      <c r="D1441" s="100" t="s">
        <v>308</v>
      </c>
      <c r="E1441" s="100" t="s">
        <v>305</v>
      </c>
      <c r="F1441" s="101" t="s">
        <v>306</v>
      </c>
      <c r="G1441" s="108" t="s">
        <v>310</v>
      </c>
    </row>
    <row r="1442" spans="1:7">
      <c r="A1442" s="95"/>
      <c r="B1442" s="230"/>
      <c r="C1442" s="102"/>
      <c r="D1442" s="103"/>
      <c r="E1442" s="103" t="s">
        <v>309</v>
      </c>
      <c r="F1442" s="104" t="s">
        <v>307</v>
      </c>
      <c r="G1442" s="109"/>
    </row>
    <row r="1443" spans="1:7">
      <c r="A1443" s="127"/>
      <c r="B1443" s="823" t="str">
        <f>'MAQUINARIA Y EQUIPOS'!$C$28</f>
        <v>HERRAMIENTAS MENORES</v>
      </c>
      <c r="C1443" s="824"/>
      <c r="D1443" s="87">
        <v>1</v>
      </c>
      <c r="E1443" s="82">
        <f>ROUND(G1475*0.05,0)</f>
        <v>1948</v>
      </c>
      <c r="F1443" s="81">
        <v>1</v>
      </c>
      <c r="G1443" s="110">
        <f>ROUND(D1443*E1443/F1443,0)</f>
        <v>1948</v>
      </c>
    </row>
    <row r="1444" spans="1:7">
      <c r="A1444" s="127"/>
      <c r="B1444" s="835" t="str">
        <f>'MAQUINARIA Y EQUIPOS'!$C$35</f>
        <v>MOTOBOMBA 3"</v>
      </c>
      <c r="C1444" s="836"/>
      <c r="D1444" s="37">
        <v>1</v>
      </c>
      <c r="E1444" s="82">
        <f>'MAQUINARIA Y EQUIPOS'!$D$35</f>
        <v>46400</v>
      </c>
      <c r="F1444" s="83">
        <v>30</v>
      </c>
      <c r="G1444" s="111">
        <f>ROUND(D1444*E1444/F1444,0)</f>
        <v>1547</v>
      </c>
    </row>
    <row r="1445" spans="1:7">
      <c r="A1445" s="95"/>
      <c r="B1445" s="835"/>
      <c r="C1445" s="836"/>
      <c r="D1445" s="89"/>
      <c r="E1445" s="82"/>
      <c r="F1445" s="83"/>
      <c r="G1445" s="111"/>
    </row>
    <row r="1446" spans="1:7">
      <c r="A1446" s="95"/>
      <c r="B1446" s="835" t="s">
        <v>841</v>
      </c>
      <c r="C1446" s="836"/>
      <c r="D1446" s="37"/>
      <c r="E1446" s="82"/>
      <c r="F1446" s="83"/>
      <c r="G1446" s="111"/>
    </row>
    <row r="1447" spans="1:7" ht="13.5" thickBot="1">
      <c r="A1447" s="95"/>
      <c r="B1447" s="839" t="s">
        <v>841</v>
      </c>
      <c r="C1447" s="840"/>
      <c r="D1447" s="77"/>
      <c r="E1447" s="106"/>
      <c r="F1447" s="86"/>
      <c r="G1447" s="112"/>
    </row>
    <row r="1448" spans="1:7" ht="14.25" thickTop="1" thickBot="1">
      <c r="A1448" s="95"/>
      <c r="B1448" s="808"/>
      <c r="C1448" s="808"/>
      <c r="D1448" s="808"/>
      <c r="E1448" s="809"/>
      <c r="F1448" s="119" t="s">
        <v>856</v>
      </c>
      <c r="G1448" s="118">
        <f>SUM(G1443:G1447)</f>
        <v>3495</v>
      </c>
    </row>
    <row r="1449" spans="1:7" ht="14.25" thickTop="1" thickBot="1">
      <c r="A1449" s="95"/>
      <c r="B1449" s="830"/>
      <c r="C1449" s="830"/>
      <c r="D1449" s="830"/>
      <c r="E1449" s="830"/>
      <c r="F1449" s="830"/>
      <c r="G1449" s="830"/>
    </row>
    <row r="1450" spans="1:7" ht="13.5" thickTop="1">
      <c r="A1450" s="95"/>
      <c r="B1450" s="811" t="s">
        <v>311</v>
      </c>
      <c r="C1450" s="812"/>
      <c r="D1450" s="812"/>
      <c r="E1450" s="812"/>
      <c r="F1450" s="812"/>
      <c r="G1450" s="825"/>
    </row>
    <row r="1451" spans="1:7">
      <c r="A1451" s="95"/>
      <c r="B1451" s="817" t="s">
        <v>838</v>
      </c>
      <c r="C1451" s="818"/>
      <c r="D1451" s="98" t="s">
        <v>842</v>
      </c>
      <c r="E1451" s="98" t="s">
        <v>853</v>
      </c>
      <c r="F1451" s="99" t="s">
        <v>1047</v>
      </c>
      <c r="G1451" s="107" t="s">
        <v>840</v>
      </c>
    </row>
    <row r="1452" spans="1:7">
      <c r="A1452" s="95"/>
      <c r="B1452" s="230"/>
      <c r="C1452" s="102"/>
      <c r="D1452" s="100"/>
      <c r="E1452" s="100" t="s">
        <v>312</v>
      </c>
      <c r="F1452" s="101" t="s">
        <v>313</v>
      </c>
      <c r="G1452" s="108" t="s">
        <v>314</v>
      </c>
    </row>
    <row r="1453" spans="1:7">
      <c r="A1453" s="125"/>
      <c r="B1453" s="875"/>
      <c r="C1453" s="876"/>
      <c r="D1453" s="87"/>
      <c r="E1453" s="10"/>
      <c r="F1453" s="80"/>
      <c r="G1453" s="110"/>
    </row>
    <row r="1454" spans="1:7">
      <c r="A1454" s="123"/>
      <c r="B1454" s="877"/>
      <c r="C1454" s="878"/>
      <c r="D1454" s="88"/>
      <c r="E1454" s="53"/>
      <c r="F1454" s="82"/>
      <c r="G1454" s="111"/>
    </row>
    <row r="1455" spans="1:7">
      <c r="A1455" s="95"/>
      <c r="B1455" s="835"/>
      <c r="C1455" s="836"/>
      <c r="D1455" s="37"/>
      <c r="E1455" s="55"/>
      <c r="F1455" s="82"/>
      <c r="G1455" s="111"/>
    </row>
    <row r="1456" spans="1:7">
      <c r="A1456" s="95"/>
      <c r="B1456" s="835"/>
      <c r="C1456" s="836"/>
      <c r="D1456" s="37"/>
      <c r="E1456" s="55"/>
      <c r="F1456" s="82"/>
      <c r="G1456" s="111"/>
    </row>
    <row r="1457" spans="1:8">
      <c r="A1457" s="95"/>
      <c r="B1457" s="837"/>
      <c r="C1457" s="838"/>
      <c r="D1457" s="37"/>
      <c r="E1457" s="55"/>
      <c r="F1457" s="82"/>
      <c r="G1457" s="111"/>
    </row>
    <row r="1458" spans="1:8">
      <c r="A1458" s="95"/>
      <c r="B1458" s="837"/>
      <c r="C1458" s="838"/>
      <c r="D1458" s="53" t="s">
        <v>841</v>
      </c>
      <c r="E1458" s="53"/>
      <c r="F1458" s="82"/>
      <c r="G1458" s="111"/>
    </row>
    <row r="1459" spans="1:8">
      <c r="A1459" s="95"/>
      <c r="B1459" s="837" t="s">
        <v>841</v>
      </c>
      <c r="C1459" s="838"/>
      <c r="D1459" s="53" t="s">
        <v>841</v>
      </c>
      <c r="E1459" s="53"/>
      <c r="F1459" s="82"/>
      <c r="G1459" s="111"/>
    </row>
    <row r="1460" spans="1:8">
      <c r="A1460" s="95"/>
      <c r="B1460" s="837" t="s">
        <v>841</v>
      </c>
      <c r="C1460" s="838"/>
      <c r="D1460" s="53" t="s">
        <v>841</v>
      </c>
      <c r="E1460" s="53"/>
      <c r="F1460" s="82"/>
      <c r="G1460" s="111"/>
      <c r="H1460" s="505" t="s">
        <v>1670</v>
      </c>
    </row>
    <row r="1461" spans="1:8" ht="13.5" thickBot="1">
      <c r="A1461" s="95"/>
      <c r="B1461" s="839" t="s">
        <v>841</v>
      </c>
      <c r="C1461" s="840"/>
      <c r="D1461" s="84" t="s">
        <v>841</v>
      </c>
      <c r="E1461" s="84"/>
      <c r="F1461" s="85"/>
      <c r="G1461" s="112"/>
    </row>
    <row r="1462" spans="1:8" ht="13.5" thickTop="1">
      <c r="A1462" s="95"/>
      <c r="B1462" s="808"/>
      <c r="C1462" s="809"/>
      <c r="D1462" s="801" t="s">
        <v>856</v>
      </c>
      <c r="E1462" s="802"/>
      <c r="F1462" s="9"/>
      <c r="G1462" s="113">
        <f>SUM(G1453:G1461)</f>
        <v>0</v>
      </c>
    </row>
    <row r="1463" spans="1:8">
      <c r="A1463" s="95"/>
      <c r="B1463" s="819"/>
      <c r="C1463" s="820"/>
      <c r="D1463" s="801" t="s">
        <v>857</v>
      </c>
      <c r="E1463" s="802"/>
      <c r="F1463" s="79">
        <f>'MANO DE OBRA'!$D$60</f>
        <v>0.05</v>
      </c>
      <c r="G1463" s="113">
        <f>ROUND(G1462*F1463,0)</f>
        <v>0</v>
      </c>
    </row>
    <row r="1464" spans="1:8" ht="13.5" thickBot="1">
      <c r="A1464" s="95"/>
      <c r="B1464" s="819"/>
      <c r="C1464" s="820"/>
      <c r="D1464" s="803" t="s">
        <v>320</v>
      </c>
      <c r="E1464" s="804"/>
      <c r="F1464" s="114"/>
      <c r="G1464" s="118">
        <f>+G1462+G1463</f>
        <v>0</v>
      </c>
    </row>
    <row r="1465" spans="1:8" ht="14.25" thickTop="1" thickBot="1">
      <c r="A1465" s="95"/>
      <c r="B1465" s="830"/>
      <c r="C1465" s="830"/>
      <c r="D1465" s="830"/>
      <c r="E1465" s="830"/>
      <c r="F1465" s="830"/>
      <c r="G1465" s="830"/>
    </row>
    <row r="1466" spans="1:8" ht="13.5" thickTop="1">
      <c r="A1466" s="95"/>
      <c r="B1466" s="811" t="s">
        <v>858</v>
      </c>
      <c r="C1466" s="812"/>
      <c r="D1466" s="812"/>
      <c r="E1466" s="812"/>
      <c r="F1466" s="812"/>
      <c r="G1466" s="825"/>
    </row>
    <row r="1467" spans="1:8">
      <c r="A1467" s="95"/>
      <c r="B1467" s="817"/>
      <c r="C1467" s="818"/>
      <c r="D1467" s="98" t="s">
        <v>301</v>
      </c>
      <c r="E1467" s="98" t="s">
        <v>859</v>
      </c>
      <c r="F1467" s="99" t="s">
        <v>839</v>
      </c>
      <c r="G1467" s="107" t="s">
        <v>840</v>
      </c>
    </row>
    <row r="1468" spans="1:8">
      <c r="A1468" s="95"/>
      <c r="B1468" s="821" t="s">
        <v>838</v>
      </c>
      <c r="C1468" s="822"/>
      <c r="D1468" s="100" t="s">
        <v>316</v>
      </c>
      <c r="E1468" s="100" t="s">
        <v>315</v>
      </c>
      <c r="F1468" s="101" t="s">
        <v>306</v>
      </c>
      <c r="G1468" s="108" t="s">
        <v>319</v>
      </c>
    </row>
    <row r="1469" spans="1:8">
      <c r="A1469" s="95"/>
      <c r="B1469" s="230"/>
      <c r="C1469" s="102"/>
      <c r="D1469" s="103"/>
      <c r="E1469" s="103" t="s">
        <v>317</v>
      </c>
      <c r="F1469" s="104" t="s">
        <v>318</v>
      </c>
      <c r="G1469" s="109"/>
    </row>
    <row r="1470" spans="1:8">
      <c r="A1470" s="95"/>
      <c r="B1470" s="823" t="str">
        <f>'MANO DE OBRA'!$B$10</f>
        <v>AYUDANTE CUAD. TIPO AA</v>
      </c>
      <c r="C1470" s="824"/>
      <c r="D1470" s="87">
        <v>1</v>
      </c>
      <c r="E1470" s="80">
        <f>'MANO DE OBRA'!$E$10</f>
        <v>34680</v>
      </c>
      <c r="F1470" s="81">
        <v>0.89</v>
      </c>
      <c r="G1470" s="110">
        <f>ROUND(D1470*E1470/F1470,0)</f>
        <v>38966</v>
      </c>
    </row>
    <row r="1471" spans="1:8">
      <c r="A1471" s="95"/>
      <c r="B1471" s="835"/>
      <c r="C1471" s="836"/>
      <c r="D1471" s="37"/>
      <c r="E1471" s="82"/>
      <c r="F1471" s="83"/>
      <c r="G1471" s="111"/>
    </row>
    <row r="1472" spans="1:8">
      <c r="A1472" s="95"/>
      <c r="B1472" s="835"/>
      <c r="C1472" s="836"/>
      <c r="D1472" s="89"/>
      <c r="E1472" s="82"/>
      <c r="F1472" s="83"/>
      <c r="G1472" s="111"/>
    </row>
    <row r="1473" spans="1:8">
      <c r="A1473" s="95"/>
      <c r="B1473" s="835" t="s">
        <v>841</v>
      </c>
      <c r="C1473" s="836"/>
      <c r="D1473" s="37"/>
      <c r="E1473" s="82"/>
      <c r="F1473" s="83"/>
      <c r="G1473" s="111"/>
    </row>
    <row r="1474" spans="1:8" ht="13.5" thickBot="1">
      <c r="A1474" s="95"/>
      <c r="B1474" s="828" t="s">
        <v>841</v>
      </c>
      <c r="C1474" s="829"/>
      <c r="D1474" s="77"/>
      <c r="E1474" s="82"/>
      <c r="F1474" s="86"/>
      <c r="G1474" s="112"/>
    </row>
    <row r="1475" spans="1:8" ht="14.25" thickTop="1" thickBot="1">
      <c r="A1475" s="95"/>
      <c r="B1475" s="808"/>
      <c r="C1475" s="808"/>
      <c r="D1475" s="808"/>
      <c r="E1475" s="809"/>
      <c r="F1475" s="120" t="s">
        <v>856</v>
      </c>
      <c r="G1475" s="118">
        <f>SUM(G1470:G1474)</f>
        <v>38966</v>
      </c>
    </row>
    <row r="1476" spans="1:8" ht="14.25" thickTop="1" thickBot="1">
      <c r="A1476" s="95"/>
      <c r="B1476" s="810"/>
      <c r="C1476" s="810"/>
      <c r="D1476" s="810"/>
      <c r="E1476" s="810"/>
      <c r="F1476" s="810"/>
      <c r="G1476" s="810"/>
    </row>
    <row r="1477" spans="1:8" ht="13.5" thickTop="1">
      <c r="A1477" s="95"/>
      <c r="B1477" s="811" t="s">
        <v>321</v>
      </c>
      <c r="C1477" s="812"/>
      <c r="D1477" s="812"/>
      <c r="E1477" s="812"/>
      <c r="F1477" s="812"/>
      <c r="G1477" s="825"/>
    </row>
    <row r="1478" spans="1:8">
      <c r="A1478" s="95"/>
      <c r="B1478" s="817" t="s">
        <v>838</v>
      </c>
      <c r="C1478" s="818"/>
      <c r="D1478" s="98" t="s">
        <v>301</v>
      </c>
      <c r="E1478" s="98" t="s">
        <v>297</v>
      </c>
      <c r="F1478" s="99" t="s">
        <v>839</v>
      </c>
      <c r="G1478" s="107" t="s">
        <v>840</v>
      </c>
    </row>
    <row r="1479" spans="1:8">
      <c r="A1479" s="95"/>
      <c r="B1479" s="230"/>
      <c r="C1479" s="102"/>
      <c r="D1479" s="103" t="s">
        <v>322</v>
      </c>
      <c r="E1479" s="103" t="s">
        <v>323</v>
      </c>
      <c r="F1479" s="104" t="s">
        <v>324</v>
      </c>
      <c r="G1479" s="109" t="s">
        <v>325</v>
      </c>
    </row>
    <row r="1480" spans="1:8">
      <c r="A1480" s="95"/>
      <c r="B1480" s="826"/>
      <c r="C1480" s="827"/>
      <c r="D1480" s="96"/>
      <c r="E1480" s="96"/>
      <c r="F1480" s="96"/>
      <c r="G1480" s="116"/>
    </row>
    <row r="1481" spans="1:8" ht="13.5" thickBot="1">
      <c r="A1481" s="95"/>
      <c r="B1481" s="828" t="s">
        <v>841</v>
      </c>
      <c r="C1481" s="829"/>
      <c r="D1481" s="77"/>
      <c r="E1481" s="82"/>
      <c r="F1481" s="86"/>
      <c r="G1481" s="112"/>
    </row>
    <row r="1482" spans="1:8" ht="14.25" thickTop="1" thickBot="1">
      <c r="A1482" s="95"/>
      <c r="B1482" s="808"/>
      <c r="C1482" s="808"/>
      <c r="D1482" s="808"/>
      <c r="E1482" s="809"/>
      <c r="F1482" s="120" t="s">
        <v>856</v>
      </c>
      <c r="G1482" s="118">
        <f>SUM(G1477:G1481)</f>
        <v>0</v>
      </c>
    </row>
    <row r="1483" spans="1:8" ht="14.25" thickTop="1" thickBot="1">
      <c r="A1483" s="95"/>
      <c r="B1483" s="810"/>
      <c r="C1483" s="810"/>
      <c r="D1483" s="810"/>
      <c r="E1483" s="810"/>
      <c r="F1483" s="810"/>
      <c r="G1483" s="834"/>
    </row>
    <row r="1484" spans="1:8" ht="13.5" thickTop="1">
      <c r="A1484" s="95"/>
      <c r="B1484" s="811" t="s">
        <v>326</v>
      </c>
      <c r="C1484" s="812"/>
      <c r="D1484" s="812"/>
      <c r="E1484" s="812"/>
      <c r="F1484" s="813"/>
      <c r="G1484" s="121">
        <f>+G1448+G1464+G1475</f>
        <v>42461</v>
      </c>
    </row>
    <row r="1485" spans="1:8">
      <c r="A1485" s="95"/>
      <c r="B1485" s="814" t="s">
        <v>861</v>
      </c>
      <c r="C1485" s="815"/>
      <c r="D1485" s="815"/>
      <c r="E1485" s="816"/>
      <c r="F1485" s="128">
        <f>'MANO DE OBRA'!D1382</f>
        <v>0</v>
      </c>
      <c r="G1485" s="122">
        <f>ROUND(G1484*F1485,0)</f>
        <v>0</v>
      </c>
    </row>
    <row r="1486" spans="1:8" ht="13.5" thickBot="1">
      <c r="A1486" s="95"/>
      <c r="B1486" s="805" t="s">
        <v>1049</v>
      </c>
      <c r="C1486" s="806"/>
      <c r="D1486" s="806"/>
      <c r="E1486" s="806"/>
      <c r="F1486" s="807"/>
      <c r="G1486" s="118">
        <f>ROUND(G1484+G1485,-2)</f>
        <v>42500</v>
      </c>
      <c r="H1486" s="505" t="s">
        <v>1670</v>
      </c>
    </row>
    <row r="1487" spans="1:8" ht="15" thickTop="1">
      <c r="A1487" s="95"/>
      <c r="B1487" s="225" t="s">
        <v>303</v>
      </c>
      <c r="C1487" s="843"/>
      <c r="D1487" s="843"/>
      <c r="E1487" s="843"/>
      <c r="F1487" s="92" t="s">
        <v>781</v>
      </c>
      <c r="G1487" s="93" t="s">
        <v>1066</v>
      </c>
    </row>
    <row r="1488" spans="1:8">
      <c r="A1488" s="95"/>
      <c r="B1488" s="226" t="s">
        <v>834</v>
      </c>
      <c r="C1488" s="844" t="s">
        <v>342</v>
      </c>
      <c r="D1488" s="844"/>
      <c r="E1488" s="844"/>
      <c r="F1488" s="15" t="s">
        <v>833</v>
      </c>
      <c r="G1488" s="165" t="str">
        <f>'MANO DE OBRA'!$D$61</f>
        <v>Agosto de 2010</v>
      </c>
    </row>
    <row r="1489" spans="1:7" ht="27.75" customHeight="1" thickBot="1">
      <c r="A1489" s="236"/>
      <c r="B1489" s="240" t="s">
        <v>835</v>
      </c>
      <c r="C1489" s="934" t="s">
        <v>811</v>
      </c>
      <c r="D1489" s="934"/>
      <c r="E1489" s="934"/>
      <c r="F1489" s="934"/>
      <c r="G1489" s="935"/>
    </row>
    <row r="1490" spans="1:7" ht="14.25" thickTop="1" thickBot="1">
      <c r="A1490" s="95"/>
      <c r="B1490" s="847"/>
      <c r="C1490" s="847"/>
      <c r="D1490" s="847"/>
      <c r="E1490" s="847"/>
      <c r="F1490" s="847"/>
      <c r="G1490" s="847"/>
    </row>
    <row r="1491" spans="1:7" ht="13.5" thickTop="1">
      <c r="A1491" s="95"/>
      <c r="B1491" s="811" t="s">
        <v>304</v>
      </c>
      <c r="C1491" s="812"/>
      <c r="D1491" s="812"/>
      <c r="E1491" s="812"/>
      <c r="F1491" s="812"/>
      <c r="G1491" s="825"/>
    </row>
    <row r="1492" spans="1:7">
      <c r="A1492" s="95"/>
      <c r="B1492" s="229"/>
      <c r="C1492" s="97"/>
      <c r="D1492" s="98" t="s">
        <v>301</v>
      </c>
      <c r="E1492" s="98" t="s">
        <v>1072</v>
      </c>
      <c r="F1492" s="99" t="s">
        <v>839</v>
      </c>
      <c r="G1492" s="107" t="s">
        <v>840</v>
      </c>
    </row>
    <row r="1493" spans="1:7">
      <c r="A1493" s="95"/>
      <c r="B1493" s="821" t="s">
        <v>838</v>
      </c>
      <c r="C1493" s="822"/>
      <c r="D1493" s="100" t="s">
        <v>308</v>
      </c>
      <c r="E1493" s="100" t="s">
        <v>305</v>
      </c>
      <c r="F1493" s="101" t="s">
        <v>306</v>
      </c>
      <c r="G1493" s="108" t="s">
        <v>310</v>
      </c>
    </row>
    <row r="1494" spans="1:7">
      <c r="A1494" s="95"/>
      <c r="B1494" s="230"/>
      <c r="C1494" s="102"/>
      <c r="D1494" s="103"/>
      <c r="E1494" s="103" t="s">
        <v>309</v>
      </c>
      <c r="F1494" s="104" t="s">
        <v>307</v>
      </c>
      <c r="G1494" s="109"/>
    </row>
    <row r="1495" spans="1:7">
      <c r="A1495" s="127"/>
      <c r="B1495" s="823" t="str">
        <f>'MAQUINARIA Y EQUIPOS'!$C$28</f>
        <v>HERRAMIENTAS MENORES</v>
      </c>
      <c r="C1495" s="824"/>
      <c r="D1495" s="87">
        <v>1</v>
      </c>
      <c r="E1495" s="82">
        <f>ROUND(G1527*0.05,0)</f>
        <v>2588</v>
      </c>
      <c r="F1495" s="81">
        <v>1</v>
      </c>
      <c r="G1495" s="110">
        <f>ROUND(D1495*E1495/F1495,0)</f>
        <v>2588</v>
      </c>
    </row>
    <row r="1496" spans="1:7">
      <c r="A1496" s="127"/>
      <c r="B1496" s="835" t="str">
        <f>'MAQUINARIA Y EQUIPOS'!$C$35</f>
        <v>MOTOBOMBA 3"</v>
      </c>
      <c r="C1496" s="836"/>
      <c r="D1496" s="37">
        <v>1</v>
      </c>
      <c r="E1496" s="82">
        <f>'MAQUINARIA Y EQUIPOS'!$D$35</f>
        <v>46400</v>
      </c>
      <c r="F1496" s="83">
        <v>25</v>
      </c>
      <c r="G1496" s="111">
        <f>ROUND(D1496*E1496/F1496,0)</f>
        <v>1856</v>
      </c>
    </row>
    <row r="1497" spans="1:7">
      <c r="A1497" s="95"/>
      <c r="B1497" s="835"/>
      <c r="C1497" s="836"/>
      <c r="D1497" s="89"/>
      <c r="E1497" s="82"/>
      <c r="F1497" s="83"/>
      <c r="G1497" s="111"/>
    </row>
    <row r="1498" spans="1:7">
      <c r="A1498" s="95"/>
      <c r="B1498" s="835" t="s">
        <v>841</v>
      </c>
      <c r="C1498" s="836"/>
      <c r="D1498" s="37"/>
      <c r="E1498" s="82"/>
      <c r="F1498" s="83"/>
      <c r="G1498" s="111"/>
    </row>
    <row r="1499" spans="1:7" ht="13.5" thickBot="1">
      <c r="A1499" s="95"/>
      <c r="B1499" s="839" t="s">
        <v>841</v>
      </c>
      <c r="C1499" s="840"/>
      <c r="D1499" s="77"/>
      <c r="E1499" s="106"/>
      <c r="F1499" s="86"/>
      <c r="G1499" s="112"/>
    </row>
    <row r="1500" spans="1:7" ht="14.25" thickTop="1" thickBot="1">
      <c r="A1500" s="95"/>
      <c r="B1500" s="808"/>
      <c r="C1500" s="808"/>
      <c r="D1500" s="808"/>
      <c r="E1500" s="809"/>
      <c r="F1500" s="119" t="s">
        <v>856</v>
      </c>
      <c r="G1500" s="118">
        <f>SUM(G1495:G1499)</f>
        <v>4444</v>
      </c>
    </row>
    <row r="1501" spans="1:7" ht="14.25" thickTop="1" thickBot="1">
      <c r="A1501" s="95"/>
      <c r="B1501" s="830"/>
      <c r="C1501" s="830"/>
      <c r="D1501" s="830"/>
      <c r="E1501" s="830"/>
      <c r="F1501" s="830"/>
      <c r="G1501" s="830"/>
    </row>
    <row r="1502" spans="1:7" ht="13.5" thickTop="1">
      <c r="A1502" s="95"/>
      <c r="B1502" s="811" t="s">
        <v>311</v>
      </c>
      <c r="C1502" s="812"/>
      <c r="D1502" s="812"/>
      <c r="E1502" s="812"/>
      <c r="F1502" s="812"/>
      <c r="G1502" s="825"/>
    </row>
    <row r="1503" spans="1:7">
      <c r="A1503" s="95"/>
      <c r="B1503" s="817" t="s">
        <v>838</v>
      </c>
      <c r="C1503" s="818"/>
      <c r="D1503" s="98" t="s">
        <v>842</v>
      </c>
      <c r="E1503" s="98" t="s">
        <v>853</v>
      </c>
      <c r="F1503" s="99" t="s">
        <v>1047</v>
      </c>
      <c r="G1503" s="107" t="s">
        <v>840</v>
      </c>
    </row>
    <row r="1504" spans="1:7">
      <c r="A1504" s="95"/>
      <c r="B1504" s="230"/>
      <c r="C1504" s="102"/>
      <c r="D1504" s="100"/>
      <c r="E1504" s="100" t="s">
        <v>312</v>
      </c>
      <c r="F1504" s="101" t="s">
        <v>313</v>
      </c>
      <c r="G1504" s="108" t="s">
        <v>314</v>
      </c>
    </row>
    <row r="1505" spans="1:8">
      <c r="A1505" s="125"/>
      <c r="B1505" s="875"/>
      <c r="C1505" s="876"/>
      <c r="D1505" s="87"/>
      <c r="E1505" s="10"/>
      <c r="F1505" s="80"/>
      <c r="G1505" s="110"/>
    </row>
    <row r="1506" spans="1:8">
      <c r="A1506" s="123"/>
      <c r="B1506" s="877"/>
      <c r="C1506" s="878"/>
      <c r="D1506" s="88"/>
      <c r="E1506" s="53"/>
      <c r="F1506" s="82"/>
      <c r="G1506" s="111"/>
    </row>
    <row r="1507" spans="1:8">
      <c r="A1507" s="95"/>
      <c r="B1507" s="835"/>
      <c r="C1507" s="836"/>
      <c r="D1507" s="37"/>
      <c r="E1507" s="55"/>
      <c r="F1507" s="82"/>
      <c r="G1507" s="111"/>
    </row>
    <row r="1508" spans="1:8">
      <c r="A1508" s="95"/>
      <c r="B1508" s="835"/>
      <c r="C1508" s="836"/>
      <c r="D1508" s="37"/>
      <c r="E1508" s="55"/>
      <c r="F1508" s="82"/>
      <c r="G1508" s="111"/>
    </row>
    <row r="1509" spans="1:8">
      <c r="A1509" s="95"/>
      <c r="B1509" s="837"/>
      <c r="C1509" s="838"/>
      <c r="D1509" s="37"/>
      <c r="E1509" s="55"/>
      <c r="F1509" s="82"/>
      <c r="G1509" s="111"/>
    </row>
    <row r="1510" spans="1:8">
      <c r="A1510" s="95"/>
      <c r="B1510" s="837"/>
      <c r="C1510" s="838"/>
      <c r="D1510" s="53" t="s">
        <v>841</v>
      </c>
      <c r="E1510" s="53"/>
      <c r="F1510" s="82"/>
      <c r="G1510" s="111"/>
    </row>
    <row r="1511" spans="1:8">
      <c r="A1511" s="95"/>
      <c r="B1511" s="837" t="s">
        <v>841</v>
      </c>
      <c r="C1511" s="838"/>
      <c r="D1511" s="53" t="s">
        <v>841</v>
      </c>
      <c r="E1511" s="53"/>
      <c r="F1511" s="82"/>
      <c r="G1511" s="111"/>
    </row>
    <row r="1512" spans="1:8">
      <c r="A1512" s="95"/>
      <c r="B1512" s="837" t="s">
        <v>841</v>
      </c>
      <c r="C1512" s="838"/>
      <c r="D1512" s="53" t="s">
        <v>841</v>
      </c>
      <c r="E1512" s="53"/>
      <c r="F1512" s="82"/>
      <c r="G1512" s="111"/>
      <c r="H1512" s="505" t="s">
        <v>1670</v>
      </c>
    </row>
    <row r="1513" spans="1:8" ht="13.5" thickBot="1">
      <c r="A1513" s="95"/>
      <c r="B1513" s="839" t="s">
        <v>841</v>
      </c>
      <c r="C1513" s="840"/>
      <c r="D1513" s="84" t="s">
        <v>841</v>
      </c>
      <c r="E1513" s="84"/>
      <c r="F1513" s="85"/>
      <c r="G1513" s="112"/>
    </row>
    <row r="1514" spans="1:8" ht="13.5" thickTop="1">
      <c r="A1514" s="95"/>
      <c r="B1514" s="808"/>
      <c r="C1514" s="809"/>
      <c r="D1514" s="801" t="s">
        <v>856</v>
      </c>
      <c r="E1514" s="802"/>
      <c r="F1514" s="9"/>
      <c r="G1514" s="113">
        <f>SUM(G1505:G1513)</f>
        <v>0</v>
      </c>
    </row>
    <row r="1515" spans="1:8">
      <c r="A1515" s="95"/>
      <c r="B1515" s="819"/>
      <c r="C1515" s="820"/>
      <c r="D1515" s="801" t="s">
        <v>857</v>
      </c>
      <c r="E1515" s="802"/>
      <c r="F1515" s="79">
        <f>'MANO DE OBRA'!$D$60</f>
        <v>0.05</v>
      </c>
      <c r="G1515" s="113">
        <f>ROUND(G1514*F1515,0)</f>
        <v>0</v>
      </c>
    </row>
    <row r="1516" spans="1:8" ht="13.5" thickBot="1">
      <c r="A1516" s="95"/>
      <c r="B1516" s="819"/>
      <c r="C1516" s="820"/>
      <c r="D1516" s="803" t="s">
        <v>320</v>
      </c>
      <c r="E1516" s="804"/>
      <c r="F1516" s="114"/>
      <c r="G1516" s="118">
        <f>+G1514+G1515</f>
        <v>0</v>
      </c>
    </row>
    <row r="1517" spans="1:8" ht="14.25" thickTop="1" thickBot="1">
      <c r="A1517" s="95"/>
      <c r="B1517" s="830"/>
      <c r="C1517" s="830"/>
      <c r="D1517" s="830"/>
      <c r="E1517" s="830"/>
      <c r="F1517" s="830"/>
      <c r="G1517" s="830"/>
    </row>
    <row r="1518" spans="1:8" ht="13.5" thickTop="1">
      <c r="A1518" s="95"/>
      <c r="B1518" s="811" t="s">
        <v>858</v>
      </c>
      <c r="C1518" s="812"/>
      <c r="D1518" s="812"/>
      <c r="E1518" s="812"/>
      <c r="F1518" s="812"/>
      <c r="G1518" s="825"/>
    </row>
    <row r="1519" spans="1:8">
      <c r="A1519" s="95"/>
      <c r="B1519" s="817"/>
      <c r="C1519" s="818"/>
      <c r="D1519" s="98" t="s">
        <v>301</v>
      </c>
      <c r="E1519" s="98" t="s">
        <v>859</v>
      </c>
      <c r="F1519" s="99" t="s">
        <v>839</v>
      </c>
      <c r="G1519" s="107" t="s">
        <v>840</v>
      </c>
    </row>
    <row r="1520" spans="1:8">
      <c r="A1520" s="95"/>
      <c r="B1520" s="821" t="s">
        <v>838</v>
      </c>
      <c r="C1520" s="822"/>
      <c r="D1520" s="100" t="s">
        <v>316</v>
      </c>
      <c r="E1520" s="100" t="s">
        <v>315</v>
      </c>
      <c r="F1520" s="101" t="s">
        <v>306</v>
      </c>
      <c r="G1520" s="108" t="s">
        <v>319</v>
      </c>
    </row>
    <row r="1521" spans="1:7">
      <c r="A1521" s="95"/>
      <c r="B1521" s="230"/>
      <c r="C1521" s="102"/>
      <c r="D1521" s="103"/>
      <c r="E1521" s="103" t="s">
        <v>317</v>
      </c>
      <c r="F1521" s="104" t="s">
        <v>318</v>
      </c>
      <c r="G1521" s="109"/>
    </row>
    <row r="1522" spans="1:7">
      <c r="A1522" s="95"/>
      <c r="B1522" s="823" t="str">
        <f>'MANO DE OBRA'!$B$10</f>
        <v>AYUDANTE CUAD. TIPO AA</v>
      </c>
      <c r="C1522" s="824"/>
      <c r="D1522" s="87">
        <v>1</v>
      </c>
      <c r="E1522" s="80">
        <f>'MANO DE OBRA'!$E$10</f>
        <v>34680</v>
      </c>
      <c r="F1522" s="81">
        <v>0.67</v>
      </c>
      <c r="G1522" s="110">
        <f>ROUND(D1522*E1522/F1522,0)</f>
        <v>51761</v>
      </c>
    </row>
    <row r="1523" spans="1:7">
      <c r="A1523" s="95"/>
      <c r="B1523" s="835"/>
      <c r="C1523" s="836"/>
      <c r="D1523" s="37"/>
      <c r="E1523" s="82"/>
      <c r="F1523" s="83"/>
      <c r="G1523" s="111"/>
    </row>
    <row r="1524" spans="1:7">
      <c r="A1524" s="95"/>
      <c r="B1524" s="835"/>
      <c r="C1524" s="836"/>
      <c r="D1524" s="89"/>
      <c r="E1524" s="82"/>
      <c r="F1524" s="83"/>
      <c r="G1524" s="111"/>
    </row>
    <row r="1525" spans="1:7">
      <c r="A1525" s="95"/>
      <c r="B1525" s="835" t="s">
        <v>841</v>
      </c>
      <c r="C1525" s="836"/>
      <c r="D1525" s="37"/>
      <c r="E1525" s="82"/>
      <c r="F1525" s="83"/>
      <c r="G1525" s="111"/>
    </row>
    <row r="1526" spans="1:7" ht="13.5" thickBot="1">
      <c r="A1526" s="95"/>
      <c r="B1526" s="828" t="s">
        <v>841</v>
      </c>
      <c r="C1526" s="829"/>
      <c r="D1526" s="77"/>
      <c r="E1526" s="82"/>
      <c r="F1526" s="86"/>
      <c r="G1526" s="112"/>
    </row>
    <row r="1527" spans="1:7" ht="14.25" thickTop="1" thickBot="1">
      <c r="A1527" s="95"/>
      <c r="B1527" s="808"/>
      <c r="C1527" s="808"/>
      <c r="D1527" s="808"/>
      <c r="E1527" s="809"/>
      <c r="F1527" s="120" t="s">
        <v>856</v>
      </c>
      <c r="G1527" s="118">
        <f>SUM(G1522:G1526)</f>
        <v>51761</v>
      </c>
    </row>
    <row r="1528" spans="1:7" ht="14.25" thickTop="1" thickBot="1">
      <c r="A1528" s="95"/>
      <c r="B1528" s="810"/>
      <c r="C1528" s="810"/>
      <c r="D1528" s="810"/>
      <c r="E1528" s="810"/>
      <c r="F1528" s="810"/>
      <c r="G1528" s="810"/>
    </row>
    <row r="1529" spans="1:7" ht="13.5" thickTop="1">
      <c r="A1529" s="95"/>
      <c r="B1529" s="811" t="s">
        <v>321</v>
      </c>
      <c r="C1529" s="812"/>
      <c r="D1529" s="812"/>
      <c r="E1529" s="812"/>
      <c r="F1529" s="812"/>
      <c r="G1529" s="825"/>
    </row>
    <row r="1530" spans="1:7">
      <c r="A1530" s="95"/>
      <c r="B1530" s="817" t="s">
        <v>838</v>
      </c>
      <c r="C1530" s="818"/>
      <c r="D1530" s="98" t="s">
        <v>301</v>
      </c>
      <c r="E1530" s="98" t="s">
        <v>297</v>
      </c>
      <c r="F1530" s="99" t="s">
        <v>839</v>
      </c>
      <c r="G1530" s="107" t="s">
        <v>840</v>
      </c>
    </row>
    <row r="1531" spans="1:7">
      <c r="A1531" s="95"/>
      <c r="B1531" s="230"/>
      <c r="C1531" s="102"/>
      <c r="D1531" s="103" t="s">
        <v>322</v>
      </c>
      <c r="E1531" s="103" t="s">
        <v>323</v>
      </c>
      <c r="F1531" s="104" t="s">
        <v>324</v>
      </c>
      <c r="G1531" s="109" t="s">
        <v>325</v>
      </c>
    </row>
    <row r="1532" spans="1:7">
      <c r="A1532" s="95"/>
      <c r="B1532" s="826"/>
      <c r="C1532" s="827"/>
      <c r="D1532" s="96"/>
      <c r="E1532" s="96"/>
      <c r="F1532" s="96"/>
      <c r="G1532" s="116"/>
    </row>
    <row r="1533" spans="1:7" ht="13.5" thickBot="1">
      <c r="A1533" s="95"/>
      <c r="B1533" s="828" t="s">
        <v>841</v>
      </c>
      <c r="C1533" s="829"/>
      <c r="D1533" s="77"/>
      <c r="E1533" s="82"/>
      <c r="F1533" s="86"/>
      <c r="G1533" s="112"/>
    </row>
    <row r="1534" spans="1:7" ht="14.25" thickTop="1" thickBot="1">
      <c r="A1534" s="95"/>
      <c r="B1534" s="808"/>
      <c r="C1534" s="808"/>
      <c r="D1534" s="808"/>
      <c r="E1534" s="809"/>
      <c r="F1534" s="120" t="s">
        <v>856</v>
      </c>
      <c r="G1534" s="118">
        <f>SUM(G1529:G1533)</f>
        <v>0</v>
      </c>
    </row>
    <row r="1535" spans="1:7" ht="14.25" thickTop="1" thickBot="1">
      <c r="A1535" s="95"/>
      <c r="B1535" s="810"/>
      <c r="C1535" s="810"/>
      <c r="D1535" s="810"/>
      <c r="E1535" s="810"/>
      <c r="F1535" s="810"/>
      <c r="G1535" s="834"/>
    </row>
    <row r="1536" spans="1:7" ht="13.5" thickTop="1">
      <c r="A1536" s="95"/>
      <c r="B1536" s="811" t="s">
        <v>326</v>
      </c>
      <c r="C1536" s="812"/>
      <c r="D1536" s="812"/>
      <c r="E1536" s="812"/>
      <c r="F1536" s="813"/>
      <c r="G1536" s="121">
        <f>+G1500+G1516+G1527</f>
        <v>56205</v>
      </c>
    </row>
    <row r="1537" spans="1:8">
      <c r="A1537" s="95"/>
      <c r="B1537" s="814" t="s">
        <v>861</v>
      </c>
      <c r="C1537" s="815"/>
      <c r="D1537" s="815"/>
      <c r="E1537" s="816"/>
      <c r="F1537" s="128">
        <f>'MANO DE OBRA'!D1434</f>
        <v>0</v>
      </c>
      <c r="G1537" s="122">
        <f>ROUND(G1536*F1537,0)</f>
        <v>0</v>
      </c>
    </row>
    <row r="1538" spans="1:8" ht="13.5" thickBot="1">
      <c r="A1538" s="95"/>
      <c r="B1538" s="805" t="s">
        <v>1049</v>
      </c>
      <c r="C1538" s="806"/>
      <c r="D1538" s="806"/>
      <c r="E1538" s="806"/>
      <c r="F1538" s="807"/>
      <c r="G1538" s="118">
        <f>ROUND(G1536+G1537,-2)</f>
        <v>56200</v>
      </c>
      <c r="H1538" s="505" t="s">
        <v>1670</v>
      </c>
    </row>
    <row r="1539" spans="1:8" ht="15" thickTop="1">
      <c r="A1539" s="95"/>
      <c r="B1539" s="225" t="s">
        <v>303</v>
      </c>
      <c r="C1539" s="843"/>
      <c r="D1539" s="843"/>
      <c r="E1539" s="843"/>
      <c r="F1539" s="92" t="s">
        <v>781</v>
      </c>
      <c r="G1539" s="93" t="s">
        <v>1066</v>
      </c>
    </row>
    <row r="1540" spans="1:8">
      <c r="A1540" s="95"/>
      <c r="B1540" s="226" t="s">
        <v>834</v>
      </c>
      <c r="C1540" s="844" t="s">
        <v>342</v>
      </c>
      <c r="D1540" s="844"/>
      <c r="E1540" s="844"/>
      <c r="F1540" s="15" t="s">
        <v>833</v>
      </c>
      <c r="G1540" s="165" t="str">
        <f>'MANO DE OBRA'!$D$61</f>
        <v>Agosto de 2010</v>
      </c>
    </row>
    <row r="1541" spans="1:8" ht="27.75" customHeight="1" thickBot="1">
      <c r="A1541" s="236"/>
      <c r="B1541" s="240" t="s">
        <v>835</v>
      </c>
      <c r="C1541" s="934" t="s">
        <v>812</v>
      </c>
      <c r="D1541" s="934"/>
      <c r="E1541" s="934"/>
      <c r="F1541" s="934"/>
      <c r="G1541" s="935"/>
    </row>
    <row r="1542" spans="1:8" ht="14.25" thickTop="1" thickBot="1">
      <c r="A1542" s="95"/>
      <c r="B1542" s="847"/>
      <c r="C1542" s="847"/>
      <c r="D1542" s="847"/>
      <c r="E1542" s="847"/>
      <c r="F1542" s="847"/>
      <c r="G1542" s="847"/>
    </row>
    <row r="1543" spans="1:8" ht="13.5" thickTop="1">
      <c r="A1543" s="95"/>
      <c r="B1543" s="811" t="s">
        <v>304</v>
      </c>
      <c r="C1543" s="812"/>
      <c r="D1543" s="812"/>
      <c r="E1543" s="812"/>
      <c r="F1543" s="812"/>
      <c r="G1543" s="825"/>
    </row>
    <row r="1544" spans="1:8">
      <c r="A1544" s="95"/>
      <c r="B1544" s="229"/>
      <c r="C1544" s="97"/>
      <c r="D1544" s="98" t="s">
        <v>301</v>
      </c>
      <c r="E1544" s="98" t="s">
        <v>1072</v>
      </c>
      <c r="F1544" s="99" t="s">
        <v>839</v>
      </c>
      <c r="G1544" s="107" t="s">
        <v>840</v>
      </c>
    </row>
    <row r="1545" spans="1:8">
      <c r="A1545" s="95"/>
      <c r="B1545" s="821" t="s">
        <v>838</v>
      </c>
      <c r="C1545" s="822"/>
      <c r="D1545" s="100" t="s">
        <v>308</v>
      </c>
      <c r="E1545" s="100" t="s">
        <v>305</v>
      </c>
      <c r="F1545" s="101" t="s">
        <v>306</v>
      </c>
      <c r="G1545" s="108" t="s">
        <v>310</v>
      </c>
    </row>
    <row r="1546" spans="1:8">
      <c r="A1546" s="95"/>
      <c r="B1546" s="230"/>
      <c r="C1546" s="102"/>
      <c r="D1546" s="103"/>
      <c r="E1546" s="103" t="s">
        <v>309</v>
      </c>
      <c r="F1546" s="104" t="s">
        <v>307</v>
      </c>
      <c r="G1546" s="109"/>
    </row>
    <row r="1547" spans="1:8">
      <c r="A1547" s="127"/>
      <c r="B1547" s="823" t="str">
        <f>'MAQUINARIA Y EQUIPOS'!$C$28</f>
        <v>HERRAMIENTAS MENORES</v>
      </c>
      <c r="C1547" s="824"/>
      <c r="D1547" s="87">
        <v>1</v>
      </c>
      <c r="E1547" s="82">
        <f>ROUND(G1579*0.05,0)</f>
        <v>1521</v>
      </c>
      <c r="F1547" s="81">
        <v>1</v>
      </c>
      <c r="G1547" s="110">
        <f>ROUND(D1547*E1547/F1547,0)</f>
        <v>1521</v>
      </c>
    </row>
    <row r="1548" spans="1:8">
      <c r="A1548" s="127"/>
      <c r="B1548" s="835" t="str">
        <f>'MAQUINARIA Y EQUIPOS'!$C$35</f>
        <v>MOTOBOMBA 3"</v>
      </c>
      <c r="C1548" s="836"/>
      <c r="D1548" s="37">
        <v>1</v>
      </c>
      <c r="E1548" s="82">
        <f>'MAQUINARIA Y EQUIPOS'!$D$35</f>
        <v>46400</v>
      </c>
      <c r="F1548" s="83">
        <v>40</v>
      </c>
      <c r="G1548" s="111">
        <f>ROUND(D1548*E1548/F1548,0)</f>
        <v>1160</v>
      </c>
    </row>
    <row r="1549" spans="1:8">
      <c r="A1549" s="95"/>
      <c r="B1549" s="835"/>
      <c r="C1549" s="836"/>
      <c r="D1549" s="89"/>
      <c r="E1549" s="82"/>
      <c r="F1549" s="83"/>
      <c r="G1549" s="111"/>
    </row>
    <row r="1550" spans="1:8">
      <c r="A1550" s="95"/>
      <c r="B1550" s="835" t="s">
        <v>841</v>
      </c>
      <c r="C1550" s="836"/>
      <c r="D1550" s="37"/>
      <c r="E1550" s="82"/>
      <c r="F1550" s="83"/>
      <c r="G1550" s="111"/>
    </row>
    <row r="1551" spans="1:8" ht="13.5" thickBot="1">
      <c r="A1551" s="95"/>
      <c r="B1551" s="839" t="s">
        <v>841</v>
      </c>
      <c r="C1551" s="840"/>
      <c r="D1551" s="77"/>
      <c r="E1551" s="106"/>
      <c r="F1551" s="86"/>
      <c r="G1551" s="112"/>
    </row>
    <row r="1552" spans="1:8" ht="14.25" thickTop="1" thickBot="1">
      <c r="A1552" s="95"/>
      <c r="B1552" s="808"/>
      <c r="C1552" s="808"/>
      <c r="D1552" s="808"/>
      <c r="E1552" s="809"/>
      <c r="F1552" s="119" t="s">
        <v>856</v>
      </c>
      <c r="G1552" s="118">
        <f>SUM(G1547:G1551)</f>
        <v>2681</v>
      </c>
    </row>
    <row r="1553" spans="1:8" ht="14.25" thickTop="1" thickBot="1">
      <c r="A1553" s="95"/>
      <c r="B1553" s="830"/>
      <c r="C1553" s="830"/>
      <c r="D1553" s="830"/>
      <c r="E1553" s="830"/>
      <c r="F1553" s="830"/>
      <c r="G1553" s="830"/>
    </row>
    <row r="1554" spans="1:8" ht="13.5" thickTop="1">
      <c r="A1554" s="95"/>
      <c r="B1554" s="811" t="s">
        <v>311</v>
      </c>
      <c r="C1554" s="812"/>
      <c r="D1554" s="812"/>
      <c r="E1554" s="812"/>
      <c r="F1554" s="812"/>
      <c r="G1554" s="825"/>
    </row>
    <row r="1555" spans="1:8">
      <c r="A1555" s="95"/>
      <c r="B1555" s="817" t="s">
        <v>838</v>
      </c>
      <c r="C1555" s="818"/>
      <c r="D1555" s="98" t="s">
        <v>842</v>
      </c>
      <c r="E1555" s="98" t="s">
        <v>853</v>
      </c>
      <c r="F1555" s="99" t="s">
        <v>1047</v>
      </c>
      <c r="G1555" s="107" t="s">
        <v>840</v>
      </c>
    </row>
    <row r="1556" spans="1:8">
      <c r="A1556" s="95"/>
      <c r="B1556" s="230"/>
      <c r="C1556" s="102"/>
      <c r="D1556" s="100"/>
      <c r="E1556" s="100" t="s">
        <v>312</v>
      </c>
      <c r="F1556" s="101" t="s">
        <v>313</v>
      </c>
      <c r="G1556" s="108" t="s">
        <v>314</v>
      </c>
    </row>
    <row r="1557" spans="1:8">
      <c r="A1557" s="125"/>
      <c r="B1557" s="875"/>
      <c r="C1557" s="876"/>
      <c r="D1557" s="87"/>
      <c r="E1557" s="10"/>
      <c r="F1557" s="80"/>
      <c r="G1557" s="110"/>
    </row>
    <row r="1558" spans="1:8">
      <c r="A1558" s="123"/>
      <c r="B1558" s="877"/>
      <c r="C1558" s="878"/>
      <c r="D1558" s="88"/>
      <c r="E1558" s="53"/>
      <c r="F1558" s="82"/>
      <c r="G1558" s="111"/>
    </row>
    <row r="1559" spans="1:8">
      <c r="A1559" s="95"/>
      <c r="B1559" s="835"/>
      <c r="C1559" s="836"/>
      <c r="D1559" s="37"/>
      <c r="E1559" s="55"/>
      <c r="F1559" s="82"/>
      <c r="G1559" s="111"/>
    </row>
    <row r="1560" spans="1:8">
      <c r="A1560" s="95"/>
      <c r="B1560" s="835"/>
      <c r="C1560" s="836"/>
      <c r="D1560" s="37"/>
      <c r="E1560" s="55"/>
      <c r="F1560" s="82"/>
      <c r="G1560" s="111"/>
    </row>
    <row r="1561" spans="1:8">
      <c r="A1561" s="95"/>
      <c r="B1561" s="837"/>
      <c r="C1561" s="838"/>
      <c r="D1561" s="37"/>
      <c r="E1561" s="55"/>
      <c r="F1561" s="82"/>
      <c r="G1561" s="111"/>
    </row>
    <row r="1562" spans="1:8">
      <c r="A1562" s="95"/>
      <c r="B1562" s="837"/>
      <c r="C1562" s="838"/>
      <c r="D1562" s="53" t="s">
        <v>841</v>
      </c>
      <c r="E1562" s="53"/>
      <c r="F1562" s="82"/>
      <c r="G1562" s="111"/>
    </row>
    <row r="1563" spans="1:8">
      <c r="A1563" s="95"/>
      <c r="B1563" s="837" t="s">
        <v>841</v>
      </c>
      <c r="C1563" s="838"/>
      <c r="D1563" s="53" t="s">
        <v>841</v>
      </c>
      <c r="E1563" s="53"/>
      <c r="F1563" s="82"/>
      <c r="G1563" s="111"/>
    </row>
    <row r="1564" spans="1:8">
      <c r="A1564" s="95"/>
      <c r="B1564" s="837" t="s">
        <v>841</v>
      </c>
      <c r="C1564" s="838"/>
      <c r="D1564" s="53" t="s">
        <v>841</v>
      </c>
      <c r="E1564" s="53"/>
      <c r="F1564" s="82"/>
      <c r="G1564" s="111"/>
      <c r="H1564" s="505" t="s">
        <v>1670</v>
      </c>
    </row>
    <row r="1565" spans="1:8" ht="13.5" thickBot="1">
      <c r="A1565" s="95"/>
      <c r="B1565" s="839" t="s">
        <v>841</v>
      </c>
      <c r="C1565" s="840"/>
      <c r="D1565" s="84" t="s">
        <v>841</v>
      </c>
      <c r="E1565" s="84"/>
      <c r="F1565" s="85"/>
      <c r="G1565" s="112"/>
    </row>
    <row r="1566" spans="1:8" ht="13.5" thickTop="1">
      <c r="A1566" s="95"/>
      <c r="B1566" s="808"/>
      <c r="C1566" s="809"/>
      <c r="D1566" s="801" t="s">
        <v>856</v>
      </c>
      <c r="E1566" s="802"/>
      <c r="F1566" s="9"/>
      <c r="G1566" s="113">
        <f>SUM(G1557:G1565)</f>
        <v>0</v>
      </c>
    </row>
    <row r="1567" spans="1:8">
      <c r="A1567" s="95"/>
      <c r="B1567" s="819"/>
      <c r="C1567" s="820"/>
      <c r="D1567" s="801" t="s">
        <v>857</v>
      </c>
      <c r="E1567" s="802"/>
      <c r="F1567" s="79">
        <f>'MANO DE OBRA'!$D$60</f>
        <v>0.05</v>
      </c>
      <c r="G1567" s="113">
        <f>ROUND(G1566*F1567,0)</f>
        <v>0</v>
      </c>
    </row>
    <row r="1568" spans="1:8" ht="13.5" thickBot="1">
      <c r="A1568" s="95"/>
      <c r="B1568" s="819"/>
      <c r="C1568" s="820"/>
      <c r="D1568" s="803" t="s">
        <v>320</v>
      </c>
      <c r="E1568" s="804"/>
      <c r="F1568" s="114"/>
      <c r="G1568" s="118">
        <f>+G1566+G1567</f>
        <v>0</v>
      </c>
    </row>
    <row r="1569" spans="1:7" ht="14.25" thickTop="1" thickBot="1">
      <c r="A1569" s="95"/>
      <c r="B1569" s="830"/>
      <c r="C1569" s="830"/>
      <c r="D1569" s="830"/>
      <c r="E1569" s="830"/>
      <c r="F1569" s="830"/>
      <c r="G1569" s="830"/>
    </row>
    <row r="1570" spans="1:7" ht="13.5" thickTop="1">
      <c r="A1570" s="95"/>
      <c r="B1570" s="811" t="s">
        <v>858</v>
      </c>
      <c r="C1570" s="812"/>
      <c r="D1570" s="812"/>
      <c r="E1570" s="812"/>
      <c r="F1570" s="812"/>
      <c r="G1570" s="825"/>
    </row>
    <row r="1571" spans="1:7">
      <c r="A1571" s="95"/>
      <c r="B1571" s="817"/>
      <c r="C1571" s="818"/>
      <c r="D1571" s="98" t="s">
        <v>301</v>
      </c>
      <c r="E1571" s="98" t="s">
        <v>859</v>
      </c>
      <c r="F1571" s="99" t="s">
        <v>839</v>
      </c>
      <c r="G1571" s="107" t="s">
        <v>840</v>
      </c>
    </row>
    <row r="1572" spans="1:7">
      <c r="A1572" s="95"/>
      <c r="B1572" s="821" t="s">
        <v>838</v>
      </c>
      <c r="C1572" s="822"/>
      <c r="D1572" s="100" t="s">
        <v>316</v>
      </c>
      <c r="E1572" s="100" t="s">
        <v>315</v>
      </c>
      <c r="F1572" s="101" t="s">
        <v>306</v>
      </c>
      <c r="G1572" s="108" t="s">
        <v>319</v>
      </c>
    </row>
    <row r="1573" spans="1:7">
      <c r="A1573" s="95"/>
      <c r="B1573" s="230"/>
      <c r="C1573" s="102"/>
      <c r="D1573" s="103"/>
      <c r="E1573" s="103" t="s">
        <v>317</v>
      </c>
      <c r="F1573" s="104" t="s">
        <v>318</v>
      </c>
      <c r="G1573" s="109"/>
    </row>
    <row r="1574" spans="1:7">
      <c r="A1574" s="95"/>
      <c r="B1574" s="823" t="str">
        <f>'MANO DE OBRA'!$B$10</f>
        <v>AYUDANTE CUAD. TIPO AA</v>
      </c>
      <c r="C1574" s="824"/>
      <c r="D1574" s="87">
        <v>1</v>
      </c>
      <c r="E1574" s="80">
        <f>'MANO DE OBRA'!$E$10</f>
        <v>34680</v>
      </c>
      <c r="F1574" s="81">
        <v>1.1399999999999999</v>
      </c>
      <c r="G1574" s="110">
        <f>ROUND(D1574*E1574/F1574,0)</f>
        <v>30421</v>
      </c>
    </row>
    <row r="1575" spans="1:7">
      <c r="A1575" s="95"/>
      <c r="B1575" s="835"/>
      <c r="C1575" s="836"/>
      <c r="D1575" s="37"/>
      <c r="E1575" s="82"/>
      <c r="F1575" s="83"/>
      <c r="G1575" s="111"/>
    </row>
    <row r="1576" spans="1:7">
      <c r="A1576" s="95"/>
      <c r="B1576" s="835"/>
      <c r="C1576" s="836"/>
      <c r="D1576" s="89"/>
      <c r="E1576" s="82"/>
      <c r="F1576" s="83"/>
      <c r="G1576" s="111"/>
    </row>
    <row r="1577" spans="1:7">
      <c r="A1577" s="95"/>
      <c r="B1577" s="835" t="s">
        <v>841</v>
      </c>
      <c r="C1577" s="836"/>
      <c r="D1577" s="37"/>
      <c r="E1577" s="82"/>
      <c r="F1577" s="83"/>
      <c r="G1577" s="111"/>
    </row>
    <row r="1578" spans="1:7" ht="13.5" thickBot="1">
      <c r="A1578" s="95"/>
      <c r="B1578" s="828" t="s">
        <v>841</v>
      </c>
      <c r="C1578" s="829"/>
      <c r="D1578" s="77"/>
      <c r="E1578" s="82"/>
      <c r="F1578" s="86"/>
      <c r="G1578" s="112"/>
    </row>
    <row r="1579" spans="1:7" ht="14.25" thickTop="1" thickBot="1">
      <c r="A1579" s="95"/>
      <c r="B1579" s="808"/>
      <c r="C1579" s="808"/>
      <c r="D1579" s="808"/>
      <c r="E1579" s="809"/>
      <c r="F1579" s="120" t="s">
        <v>856</v>
      </c>
      <c r="G1579" s="118">
        <f>SUM(G1574:G1578)</f>
        <v>30421</v>
      </c>
    </row>
    <row r="1580" spans="1:7" ht="14.25" thickTop="1" thickBot="1">
      <c r="A1580" s="95"/>
      <c r="B1580" s="810"/>
      <c r="C1580" s="810"/>
      <c r="D1580" s="810"/>
      <c r="E1580" s="810"/>
      <c r="F1580" s="810"/>
      <c r="G1580" s="810"/>
    </row>
    <row r="1581" spans="1:7" ht="13.5" thickTop="1">
      <c r="A1581" s="95"/>
      <c r="B1581" s="811" t="s">
        <v>321</v>
      </c>
      <c r="C1581" s="812"/>
      <c r="D1581" s="812"/>
      <c r="E1581" s="812"/>
      <c r="F1581" s="812"/>
      <c r="G1581" s="825"/>
    </row>
    <row r="1582" spans="1:7">
      <c r="A1582" s="95"/>
      <c r="B1582" s="817" t="s">
        <v>838</v>
      </c>
      <c r="C1582" s="818"/>
      <c r="D1582" s="98" t="s">
        <v>301</v>
      </c>
      <c r="E1582" s="98" t="s">
        <v>297</v>
      </c>
      <c r="F1582" s="99" t="s">
        <v>839</v>
      </c>
      <c r="G1582" s="107" t="s">
        <v>840</v>
      </c>
    </row>
    <row r="1583" spans="1:7">
      <c r="A1583" s="95"/>
      <c r="B1583" s="230"/>
      <c r="C1583" s="102"/>
      <c r="D1583" s="103" t="s">
        <v>322</v>
      </c>
      <c r="E1583" s="103" t="s">
        <v>323</v>
      </c>
      <c r="F1583" s="104" t="s">
        <v>324</v>
      </c>
      <c r="G1583" s="109" t="s">
        <v>325</v>
      </c>
    </row>
    <row r="1584" spans="1:7">
      <c r="A1584" s="95"/>
      <c r="B1584" s="826"/>
      <c r="C1584" s="827"/>
      <c r="D1584" s="96"/>
      <c r="E1584" s="96"/>
      <c r="F1584" s="96"/>
      <c r="G1584" s="116"/>
    </row>
    <row r="1585" spans="1:8" ht="13.5" thickBot="1">
      <c r="A1585" s="95"/>
      <c r="B1585" s="828" t="s">
        <v>841</v>
      </c>
      <c r="C1585" s="829"/>
      <c r="D1585" s="77"/>
      <c r="E1585" s="82"/>
      <c r="F1585" s="86"/>
      <c r="G1585" s="112"/>
    </row>
    <row r="1586" spans="1:8" ht="14.25" thickTop="1" thickBot="1">
      <c r="A1586" s="95"/>
      <c r="B1586" s="808"/>
      <c r="C1586" s="808"/>
      <c r="D1586" s="808"/>
      <c r="E1586" s="809"/>
      <c r="F1586" s="120" t="s">
        <v>856</v>
      </c>
      <c r="G1586" s="118">
        <f>SUM(G1581:G1585)</f>
        <v>0</v>
      </c>
    </row>
    <row r="1587" spans="1:8" ht="14.25" thickTop="1" thickBot="1">
      <c r="A1587" s="95"/>
      <c r="B1587" s="810"/>
      <c r="C1587" s="810"/>
      <c r="D1587" s="810"/>
      <c r="E1587" s="810"/>
      <c r="F1587" s="810"/>
      <c r="G1587" s="834"/>
    </row>
    <row r="1588" spans="1:8" ht="13.5" thickTop="1">
      <c r="A1588" s="95"/>
      <c r="B1588" s="811" t="s">
        <v>326</v>
      </c>
      <c r="C1588" s="812"/>
      <c r="D1588" s="812"/>
      <c r="E1588" s="812"/>
      <c r="F1588" s="813"/>
      <c r="G1588" s="121">
        <f>+G1552+G1568+G1579</f>
        <v>33102</v>
      </c>
    </row>
    <row r="1589" spans="1:8">
      <c r="A1589" s="95"/>
      <c r="B1589" s="814" t="s">
        <v>861</v>
      </c>
      <c r="C1589" s="815"/>
      <c r="D1589" s="815"/>
      <c r="E1589" s="816"/>
      <c r="F1589" s="128">
        <f>'MANO DE OBRA'!D1380</f>
        <v>0</v>
      </c>
      <c r="G1589" s="122">
        <f>ROUND(G1588*F1589,0)</f>
        <v>0</v>
      </c>
    </row>
    <row r="1590" spans="1:8" ht="13.5" thickBot="1">
      <c r="A1590" s="95"/>
      <c r="B1590" s="805" t="s">
        <v>1049</v>
      </c>
      <c r="C1590" s="806"/>
      <c r="D1590" s="806"/>
      <c r="E1590" s="806"/>
      <c r="F1590" s="807"/>
      <c r="G1590" s="118">
        <f>ROUND(G1588+G1589,-2)</f>
        <v>33100</v>
      </c>
      <c r="H1590" s="505" t="s">
        <v>1670</v>
      </c>
    </row>
    <row r="1591" spans="1:8" ht="15" thickTop="1">
      <c r="A1591" s="95"/>
      <c r="B1591" s="225" t="s">
        <v>303</v>
      </c>
      <c r="C1591" s="843"/>
      <c r="D1591" s="843"/>
      <c r="E1591" s="843"/>
      <c r="F1591" s="92" t="s">
        <v>781</v>
      </c>
      <c r="G1591" s="93" t="s">
        <v>1066</v>
      </c>
    </row>
    <row r="1592" spans="1:8">
      <c r="A1592" s="95"/>
      <c r="B1592" s="226" t="s">
        <v>834</v>
      </c>
      <c r="C1592" s="844" t="s">
        <v>342</v>
      </c>
      <c r="D1592" s="844"/>
      <c r="E1592" s="844"/>
      <c r="F1592" s="15" t="s">
        <v>833</v>
      </c>
      <c r="G1592" s="165" t="str">
        <f>'MANO DE OBRA'!$D$61</f>
        <v>Agosto de 2010</v>
      </c>
    </row>
    <row r="1593" spans="1:8" ht="27.75" customHeight="1" thickBot="1">
      <c r="A1593" s="236"/>
      <c r="B1593" s="240" t="s">
        <v>835</v>
      </c>
      <c r="C1593" s="934" t="s">
        <v>813</v>
      </c>
      <c r="D1593" s="934"/>
      <c r="E1593" s="934"/>
      <c r="F1593" s="934"/>
      <c r="G1593" s="935"/>
    </row>
    <row r="1594" spans="1:8" ht="14.25" thickTop="1" thickBot="1">
      <c r="A1594" s="95"/>
      <c r="B1594" s="847"/>
      <c r="C1594" s="847"/>
      <c r="D1594" s="847"/>
      <c r="E1594" s="847"/>
      <c r="F1594" s="847"/>
      <c r="G1594" s="847"/>
    </row>
    <row r="1595" spans="1:8" ht="13.5" thickTop="1">
      <c r="A1595" s="95"/>
      <c r="B1595" s="811" t="s">
        <v>304</v>
      </c>
      <c r="C1595" s="812"/>
      <c r="D1595" s="812"/>
      <c r="E1595" s="812"/>
      <c r="F1595" s="812"/>
      <c r="G1595" s="825"/>
    </row>
    <row r="1596" spans="1:8">
      <c r="A1596" s="95"/>
      <c r="B1596" s="229"/>
      <c r="C1596" s="97"/>
      <c r="D1596" s="98" t="s">
        <v>301</v>
      </c>
      <c r="E1596" s="98" t="s">
        <v>1072</v>
      </c>
      <c r="F1596" s="99" t="s">
        <v>839</v>
      </c>
      <c r="G1596" s="107" t="s">
        <v>840</v>
      </c>
    </row>
    <row r="1597" spans="1:8">
      <c r="A1597" s="95"/>
      <c r="B1597" s="821" t="s">
        <v>838</v>
      </c>
      <c r="C1597" s="822"/>
      <c r="D1597" s="100" t="s">
        <v>308</v>
      </c>
      <c r="E1597" s="100" t="s">
        <v>305</v>
      </c>
      <c r="F1597" s="101" t="s">
        <v>306</v>
      </c>
      <c r="G1597" s="108" t="s">
        <v>310</v>
      </c>
    </row>
    <row r="1598" spans="1:8">
      <c r="A1598" s="95"/>
      <c r="B1598" s="230"/>
      <c r="C1598" s="102"/>
      <c r="D1598" s="103"/>
      <c r="E1598" s="103" t="s">
        <v>309</v>
      </c>
      <c r="F1598" s="104" t="s">
        <v>307</v>
      </c>
      <c r="G1598" s="109"/>
    </row>
    <row r="1599" spans="1:8">
      <c r="A1599" s="127"/>
      <c r="B1599" s="823" t="str">
        <f>'MAQUINARIA Y EQUIPOS'!$C$28</f>
        <v>HERRAMIENTAS MENORES</v>
      </c>
      <c r="C1599" s="824"/>
      <c r="D1599" s="87">
        <v>1</v>
      </c>
      <c r="E1599" s="82">
        <f>ROUND(G1631*0.05,0)</f>
        <v>1948</v>
      </c>
      <c r="F1599" s="81">
        <v>1</v>
      </c>
      <c r="G1599" s="110">
        <f>ROUND(D1599*E1599/F1599,0)</f>
        <v>1948</v>
      </c>
    </row>
    <row r="1600" spans="1:8">
      <c r="A1600" s="127"/>
      <c r="B1600" s="835" t="str">
        <f>'MAQUINARIA Y EQUIPOS'!$C$35</f>
        <v>MOTOBOMBA 3"</v>
      </c>
      <c r="C1600" s="836"/>
      <c r="D1600" s="37">
        <v>1</v>
      </c>
      <c r="E1600" s="82">
        <f>'MAQUINARIA Y EQUIPOS'!$D$35</f>
        <v>46400</v>
      </c>
      <c r="F1600" s="83">
        <v>35</v>
      </c>
      <c r="G1600" s="111">
        <f>ROUND(D1600*E1600/F1600,0)</f>
        <v>1326</v>
      </c>
    </row>
    <row r="1601" spans="1:8">
      <c r="A1601" s="95"/>
      <c r="B1601" s="835"/>
      <c r="C1601" s="836"/>
      <c r="D1601" s="89"/>
      <c r="E1601" s="82"/>
      <c r="F1601" s="83"/>
      <c r="G1601" s="111"/>
    </row>
    <row r="1602" spans="1:8">
      <c r="A1602" s="95"/>
      <c r="B1602" s="835" t="s">
        <v>841</v>
      </c>
      <c r="C1602" s="836"/>
      <c r="D1602" s="37"/>
      <c r="E1602" s="82"/>
      <c r="F1602" s="83"/>
      <c r="G1602" s="111"/>
    </row>
    <row r="1603" spans="1:8" ht="13.5" thickBot="1">
      <c r="A1603" s="95"/>
      <c r="B1603" s="839" t="s">
        <v>841</v>
      </c>
      <c r="C1603" s="840"/>
      <c r="D1603" s="77"/>
      <c r="E1603" s="106"/>
      <c r="F1603" s="86"/>
      <c r="G1603" s="112"/>
    </row>
    <row r="1604" spans="1:8" ht="14.25" thickTop="1" thickBot="1">
      <c r="A1604" s="95"/>
      <c r="B1604" s="808"/>
      <c r="C1604" s="808"/>
      <c r="D1604" s="808"/>
      <c r="E1604" s="809"/>
      <c r="F1604" s="119" t="s">
        <v>856</v>
      </c>
      <c r="G1604" s="118">
        <f>SUM(G1599:G1603)</f>
        <v>3274</v>
      </c>
    </row>
    <row r="1605" spans="1:8" ht="14.25" thickTop="1" thickBot="1">
      <c r="A1605" s="95"/>
      <c r="B1605" s="830"/>
      <c r="C1605" s="830"/>
      <c r="D1605" s="830"/>
      <c r="E1605" s="830"/>
      <c r="F1605" s="830"/>
      <c r="G1605" s="830"/>
    </row>
    <row r="1606" spans="1:8" ht="13.5" thickTop="1">
      <c r="A1606" s="95"/>
      <c r="B1606" s="811" t="s">
        <v>311</v>
      </c>
      <c r="C1606" s="812"/>
      <c r="D1606" s="812"/>
      <c r="E1606" s="812"/>
      <c r="F1606" s="812"/>
      <c r="G1606" s="825"/>
    </row>
    <row r="1607" spans="1:8">
      <c r="A1607" s="95"/>
      <c r="B1607" s="817" t="s">
        <v>838</v>
      </c>
      <c r="C1607" s="818"/>
      <c r="D1607" s="98" t="s">
        <v>842</v>
      </c>
      <c r="E1607" s="98" t="s">
        <v>853</v>
      </c>
      <c r="F1607" s="99" t="s">
        <v>1047</v>
      </c>
      <c r="G1607" s="107" t="s">
        <v>840</v>
      </c>
    </row>
    <row r="1608" spans="1:8">
      <c r="A1608" s="95"/>
      <c r="B1608" s="230"/>
      <c r="C1608" s="102"/>
      <c r="D1608" s="100"/>
      <c r="E1608" s="100" t="s">
        <v>312</v>
      </c>
      <c r="F1608" s="101" t="s">
        <v>313</v>
      </c>
      <c r="G1608" s="108" t="s">
        <v>314</v>
      </c>
    </row>
    <row r="1609" spans="1:8">
      <c r="A1609" s="125"/>
      <c r="B1609" s="875"/>
      <c r="C1609" s="876"/>
      <c r="D1609" s="87"/>
      <c r="E1609" s="10"/>
      <c r="F1609" s="80"/>
      <c r="G1609" s="110"/>
    </row>
    <row r="1610" spans="1:8">
      <c r="A1610" s="123"/>
      <c r="B1610" s="877"/>
      <c r="C1610" s="878"/>
      <c r="D1610" s="88"/>
      <c r="E1610" s="53"/>
      <c r="F1610" s="82"/>
      <c r="G1610" s="111"/>
    </row>
    <row r="1611" spans="1:8">
      <c r="A1611" s="95"/>
      <c r="B1611" s="835"/>
      <c r="C1611" s="836"/>
      <c r="D1611" s="37"/>
      <c r="E1611" s="55"/>
      <c r="F1611" s="82"/>
      <c r="G1611" s="111"/>
    </row>
    <row r="1612" spans="1:8">
      <c r="A1612" s="95"/>
      <c r="B1612" s="835"/>
      <c r="C1612" s="836"/>
      <c r="D1612" s="37"/>
      <c r="E1612" s="55"/>
      <c r="F1612" s="82"/>
      <c r="G1612" s="111"/>
    </row>
    <row r="1613" spans="1:8">
      <c r="A1613" s="95"/>
      <c r="B1613" s="837"/>
      <c r="C1613" s="838"/>
      <c r="D1613" s="37"/>
      <c r="E1613" s="55"/>
      <c r="F1613" s="82"/>
      <c r="G1613" s="111"/>
    </row>
    <row r="1614" spans="1:8">
      <c r="A1614" s="95"/>
      <c r="B1614" s="837"/>
      <c r="C1614" s="838"/>
      <c r="D1614" s="53" t="s">
        <v>841</v>
      </c>
      <c r="E1614" s="53"/>
      <c r="F1614" s="82"/>
      <c r="G1614" s="111"/>
    </row>
    <row r="1615" spans="1:8">
      <c r="A1615" s="95"/>
      <c r="B1615" s="837" t="s">
        <v>841</v>
      </c>
      <c r="C1615" s="838"/>
      <c r="D1615" s="53" t="s">
        <v>841</v>
      </c>
      <c r="E1615" s="53"/>
      <c r="F1615" s="82"/>
      <c r="G1615" s="111"/>
    </row>
    <row r="1616" spans="1:8">
      <c r="A1616" s="95"/>
      <c r="B1616" s="837" t="s">
        <v>841</v>
      </c>
      <c r="C1616" s="838"/>
      <c r="D1616" s="53" t="s">
        <v>841</v>
      </c>
      <c r="E1616" s="53"/>
      <c r="F1616" s="82"/>
      <c r="G1616" s="111"/>
      <c r="H1616" s="505" t="s">
        <v>1670</v>
      </c>
    </row>
    <row r="1617" spans="1:7" ht="13.5" thickBot="1">
      <c r="A1617" s="95"/>
      <c r="B1617" s="839" t="s">
        <v>841</v>
      </c>
      <c r="C1617" s="840"/>
      <c r="D1617" s="84" t="s">
        <v>841</v>
      </c>
      <c r="E1617" s="84"/>
      <c r="F1617" s="85"/>
      <c r="G1617" s="112"/>
    </row>
    <row r="1618" spans="1:7" ht="13.5" thickTop="1">
      <c r="A1618" s="95"/>
      <c r="B1618" s="808"/>
      <c r="C1618" s="809"/>
      <c r="D1618" s="801" t="s">
        <v>856</v>
      </c>
      <c r="E1618" s="802"/>
      <c r="F1618" s="9"/>
      <c r="G1618" s="113">
        <f>SUM(G1609:G1617)</f>
        <v>0</v>
      </c>
    </row>
    <row r="1619" spans="1:7">
      <c r="A1619" s="95"/>
      <c r="B1619" s="819"/>
      <c r="C1619" s="820"/>
      <c r="D1619" s="801" t="s">
        <v>857</v>
      </c>
      <c r="E1619" s="802"/>
      <c r="F1619" s="79">
        <f>'MANO DE OBRA'!$D$60</f>
        <v>0.05</v>
      </c>
      <c r="G1619" s="113">
        <f>ROUND(G1618*F1619,0)</f>
        <v>0</v>
      </c>
    </row>
    <row r="1620" spans="1:7" ht="13.5" thickBot="1">
      <c r="A1620" s="95"/>
      <c r="B1620" s="819"/>
      <c r="C1620" s="820"/>
      <c r="D1620" s="803" t="s">
        <v>320</v>
      </c>
      <c r="E1620" s="804"/>
      <c r="F1620" s="114"/>
      <c r="G1620" s="118">
        <f>+G1618+G1619</f>
        <v>0</v>
      </c>
    </row>
    <row r="1621" spans="1:7" ht="14.25" thickTop="1" thickBot="1">
      <c r="A1621" s="95"/>
      <c r="B1621" s="830"/>
      <c r="C1621" s="830"/>
      <c r="D1621" s="830"/>
      <c r="E1621" s="830"/>
      <c r="F1621" s="830"/>
      <c r="G1621" s="830"/>
    </row>
    <row r="1622" spans="1:7" ht="13.5" thickTop="1">
      <c r="A1622" s="95"/>
      <c r="B1622" s="811" t="s">
        <v>858</v>
      </c>
      <c r="C1622" s="812"/>
      <c r="D1622" s="812"/>
      <c r="E1622" s="812"/>
      <c r="F1622" s="812"/>
      <c r="G1622" s="825"/>
    </row>
    <row r="1623" spans="1:7">
      <c r="A1623" s="95"/>
      <c r="B1623" s="817"/>
      <c r="C1623" s="818"/>
      <c r="D1623" s="98" t="s">
        <v>301</v>
      </c>
      <c r="E1623" s="98" t="s">
        <v>859</v>
      </c>
      <c r="F1623" s="99" t="s">
        <v>839</v>
      </c>
      <c r="G1623" s="107" t="s">
        <v>840</v>
      </c>
    </row>
    <row r="1624" spans="1:7">
      <c r="A1624" s="95"/>
      <c r="B1624" s="821" t="s">
        <v>838</v>
      </c>
      <c r="C1624" s="822"/>
      <c r="D1624" s="100" t="s">
        <v>316</v>
      </c>
      <c r="E1624" s="100" t="s">
        <v>315</v>
      </c>
      <c r="F1624" s="101" t="s">
        <v>306</v>
      </c>
      <c r="G1624" s="108" t="s">
        <v>319</v>
      </c>
    </row>
    <row r="1625" spans="1:7">
      <c r="A1625" s="95"/>
      <c r="B1625" s="230"/>
      <c r="C1625" s="102"/>
      <c r="D1625" s="103"/>
      <c r="E1625" s="103" t="s">
        <v>317</v>
      </c>
      <c r="F1625" s="104" t="s">
        <v>318</v>
      </c>
      <c r="G1625" s="109"/>
    </row>
    <row r="1626" spans="1:7">
      <c r="A1626" s="95"/>
      <c r="B1626" s="823" t="str">
        <f>'MANO DE OBRA'!$B$10</f>
        <v>AYUDANTE CUAD. TIPO AA</v>
      </c>
      <c r="C1626" s="824"/>
      <c r="D1626" s="87">
        <v>1</v>
      </c>
      <c r="E1626" s="80">
        <f>'MANO DE OBRA'!$E$10</f>
        <v>34680</v>
      </c>
      <c r="F1626" s="81">
        <v>0.89</v>
      </c>
      <c r="G1626" s="110">
        <f>ROUND(D1626*E1626/F1626,0)</f>
        <v>38966</v>
      </c>
    </row>
    <row r="1627" spans="1:7">
      <c r="A1627" s="95"/>
      <c r="B1627" s="835"/>
      <c r="C1627" s="836"/>
      <c r="D1627" s="37"/>
      <c r="E1627" s="82"/>
      <c r="F1627" s="83"/>
      <c r="G1627" s="111"/>
    </row>
    <row r="1628" spans="1:7">
      <c r="A1628" s="95"/>
      <c r="B1628" s="835"/>
      <c r="C1628" s="836"/>
      <c r="D1628" s="89"/>
      <c r="E1628" s="82"/>
      <c r="F1628" s="83"/>
      <c r="G1628" s="111"/>
    </row>
    <row r="1629" spans="1:7">
      <c r="A1629" s="95"/>
      <c r="B1629" s="835" t="s">
        <v>841</v>
      </c>
      <c r="C1629" s="836"/>
      <c r="D1629" s="37"/>
      <c r="E1629" s="82"/>
      <c r="F1629" s="83"/>
      <c r="G1629" s="111"/>
    </row>
    <row r="1630" spans="1:7" ht="13.5" thickBot="1">
      <c r="A1630" s="95"/>
      <c r="B1630" s="828" t="s">
        <v>841</v>
      </c>
      <c r="C1630" s="829"/>
      <c r="D1630" s="77"/>
      <c r="E1630" s="82"/>
      <c r="F1630" s="86"/>
      <c r="G1630" s="112"/>
    </row>
    <row r="1631" spans="1:7" ht="14.25" thickTop="1" thickBot="1">
      <c r="A1631" s="95"/>
      <c r="B1631" s="808"/>
      <c r="C1631" s="808"/>
      <c r="D1631" s="808"/>
      <c r="E1631" s="809"/>
      <c r="F1631" s="120" t="s">
        <v>856</v>
      </c>
      <c r="G1631" s="118">
        <f>SUM(G1626:G1630)</f>
        <v>38966</v>
      </c>
    </row>
    <row r="1632" spans="1:7" ht="14.25" thickTop="1" thickBot="1">
      <c r="A1632" s="95"/>
      <c r="B1632" s="810"/>
      <c r="C1632" s="810"/>
      <c r="D1632" s="810"/>
      <c r="E1632" s="810"/>
      <c r="F1632" s="810"/>
      <c r="G1632" s="810"/>
    </row>
    <row r="1633" spans="1:8" ht="13.5" thickTop="1">
      <c r="A1633" s="95"/>
      <c r="B1633" s="811" t="s">
        <v>321</v>
      </c>
      <c r="C1633" s="812"/>
      <c r="D1633" s="812"/>
      <c r="E1633" s="812"/>
      <c r="F1633" s="812"/>
      <c r="G1633" s="825"/>
    </row>
    <row r="1634" spans="1:8">
      <c r="A1634" s="95"/>
      <c r="B1634" s="817" t="s">
        <v>838</v>
      </c>
      <c r="C1634" s="818"/>
      <c r="D1634" s="98" t="s">
        <v>301</v>
      </c>
      <c r="E1634" s="98" t="s">
        <v>297</v>
      </c>
      <c r="F1634" s="99" t="s">
        <v>839</v>
      </c>
      <c r="G1634" s="107" t="s">
        <v>840</v>
      </c>
    </row>
    <row r="1635" spans="1:8">
      <c r="A1635" s="95"/>
      <c r="B1635" s="230"/>
      <c r="C1635" s="102"/>
      <c r="D1635" s="103" t="s">
        <v>322</v>
      </c>
      <c r="E1635" s="103" t="s">
        <v>323</v>
      </c>
      <c r="F1635" s="104" t="s">
        <v>324</v>
      </c>
      <c r="G1635" s="109" t="s">
        <v>325</v>
      </c>
    </row>
    <row r="1636" spans="1:8">
      <c r="A1636" s="95"/>
      <c r="B1636" s="826"/>
      <c r="C1636" s="827"/>
      <c r="D1636" s="96"/>
      <c r="E1636" s="96"/>
      <c r="F1636" s="96"/>
      <c r="G1636" s="116"/>
    </row>
    <row r="1637" spans="1:8" ht="13.5" thickBot="1">
      <c r="A1637" s="95"/>
      <c r="B1637" s="828" t="s">
        <v>841</v>
      </c>
      <c r="C1637" s="829"/>
      <c r="D1637" s="77"/>
      <c r="E1637" s="82"/>
      <c r="F1637" s="86"/>
      <c r="G1637" s="112"/>
    </row>
    <row r="1638" spans="1:8" ht="14.25" thickTop="1" thickBot="1">
      <c r="A1638" s="95"/>
      <c r="B1638" s="808"/>
      <c r="C1638" s="808"/>
      <c r="D1638" s="808"/>
      <c r="E1638" s="809"/>
      <c r="F1638" s="120" t="s">
        <v>856</v>
      </c>
      <c r="G1638" s="118">
        <f>SUM(G1633:G1637)</f>
        <v>0</v>
      </c>
    </row>
    <row r="1639" spans="1:8" ht="14.25" thickTop="1" thickBot="1">
      <c r="A1639" s="95"/>
      <c r="B1639" s="810"/>
      <c r="C1639" s="810"/>
      <c r="D1639" s="810"/>
      <c r="E1639" s="810"/>
      <c r="F1639" s="810"/>
      <c r="G1639" s="834"/>
    </row>
    <row r="1640" spans="1:8" ht="13.5" thickTop="1">
      <c r="A1640" s="95"/>
      <c r="B1640" s="811" t="s">
        <v>326</v>
      </c>
      <c r="C1640" s="812"/>
      <c r="D1640" s="812"/>
      <c r="E1640" s="812"/>
      <c r="F1640" s="813"/>
      <c r="G1640" s="121">
        <f>+G1604+G1620+G1631</f>
        <v>42240</v>
      </c>
    </row>
    <row r="1641" spans="1:8">
      <c r="A1641" s="95"/>
      <c r="B1641" s="814" t="s">
        <v>861</v>
      </c>
      <c r="C1641" s="815"/>
      <c r="D1641" s="815"/>
      <c r="E1641" s="816"/>
      <c r="F1641" s="128">
        <f>'MANO DE OBRA'!D1433</f>
        <v>0</v>
      </c>
      <c r="G1641" s="122">
        <f>ROUND(G1640*F1641,0)</f>
        <v>0</v>
      </c>
    </row>
    <row r="1642" spans="1:8" ht="13.5" thickBot="1">
      <c r="A1642" s="95"/>
      <c r="B1642" s="805" t="s">
        <v>1049</v>
      </c>
      <c r="C1642" s="806"/>
      <c r="D1642" s="806"/>
      <c r="E1642" s="806"/>
      <c r="F1642" s="807"/>
      <c r="G1642" s="118">
        <f>ROUND(G1640+G1641,-2)</f>
        <v>42200</v>
      </c>
      <c r="H1642" s="505" t="s">
        <v>1670</v>
      </c>
    </row>
    <row r="1643" spans="1:8" ht="15" thickTop="1">
      <c r="A1643" s="95"/>
      <c r="B1643" s="225" t="s">
        <v>303</v>
      </c>
      <c r="C1643" s="843"/>
      <c r="D1643" s="843"/>
      <c r="E1643" s="843"/>
      <c r="F1643" s="92" t="s">
        <v>781</v>
      </c>
      <c r="G1643" s="93" t="s">
        <v>1066</v>
      </c>
    </row>
    <row r="1644" spans="1:8">
      <c r="A1644" s="95"/>
      <c r="B1644" s="226" t="s">
        <v>834</v>
      </c>
      <c r="C1644" s="844" t="s">
        <v>342</v>
      </c>
      <c r="D1644" s="844"/>
      <c r="E1644" s="844"/>
      <c r="F1644" s="15" t="s">
        <v>833</v>
      </c>
      <c r="G1644" s="165" t="str">
        <f>'MANO DE OBRA'!$D$61</f>
        <v>Agosto de 2010</v>
      </c>
    </row>
    <row r="1645" spans="1:8" ht="27.75" customHeight="1" thickBot="1">
      <c r="A1645" s="236"/>
      <c r="B1645" s="240" t="s">
        <v>835</v>
      </c>
      <c r="C1645" s="934" t="s">
        <v>814</v>
      </c>
      <c r="D1645" s="934"/>
      <c r="E1645" s="934"/>
      <c r="F1645" s="934"/>
      <c r="G1645" s="935"/>
    </row>
    <row r="1646" spans="1:8" ht="14.25" thickTop="1" thickBot="1">
      <c r="A1646" s="95"/>
      <c r="B1646" s="847"/>
      <c r="C1646" s="847"/>
      <c r="D1646" s="847"/>
      <c r="E1646" s="847"/>
      <c r="F1646" s="847"/>
      <c r="G1646" s="847"/>
    </row>
    <row r="1647" spans="1:8" ht="13.5" thickTop="1">
      <c r="A1647" s="95"/>
      <c r="B1647" s="811" t="s">
        <v>304</v>
      </c>
      <c r="C1647" s="812"/>
      <c r="D1647" s="812"/>
      <c r="E1647" s="812"/>
      <c r="F1647" s="812"/>
      <c r="G1647" s="825"/>
    </row>
    <row r="1648" spans="1:8">
      <c r="A1648" s="95"/>
      <c r="B1648" s="229"/>
      <c r="C1648" s="97"/>
      <c r="D1648" s="98" t="s">
        <v>301</v>
      </c>
      <c r="E1648" s="98" t="s">
        <v>1072</v>
      </c>
      <c r="F1648" s="99" t="s">
        <v>839</v>
      </c>
      <c r="G1648" s="107" t="s">
        <v>840</v>
      </c>
    </row>
    <row r="1649" spans="1:7">
      <c r="A1649" s="95"/>
      <c r="B1649" s="821" t="s">
        <v>838</v>
      </c>
      <c r="C1649" s="822"/>
      <c r="D1649" s="100" t="s">
        <v>308</v>
      </c>
      <c r="E1649" s="100" t="s">
        <v>305</v>
      </c>
      <c r="F1649" s="101" t="s">
        <v>306</v>
      </c>
      <c r="G1649" s="108" t="s">
        <v>310</v>
      </c>
    </row>
    <row r="1650" spans="1:7">
      <c r="A1650" s="95"/>
      <c r="B1650" s="230"/>
      <c r="C1650" s="102"/>
      <c r="D1650" s="103"/>
      <c r="E1650" s="103" t="s">
        <v>309</v>
      </c>
      <c r="F1650" s="104" t="s">
        <v>307</v>
      </c>
      <c r="G1650" s="109"/>
    </row>
    <row r="1651" spans="1:7">
      <c r="A1651" s="127"/>
      <c r="B1651" s="823" t="str">
        <f>'MAQUINARIA Y EQUIPOS'!$C$28</f>
        <v>HERRAMIENTAS MENORES</v>
      </c>
      <c r="C1651" s="824"/>
      <c r="D1651" s="87">
        <v>1</v>
      </c>
      <c r="E1651" s="82">
        <f>ROUND(G1683*0.05,0)</f>
        <v>2588</v>
      </c>
      <c r="F1651" s="81">
        <v>1</v>
      </c>
      <c r="G1651" s="110">
        <f>ROUND(D1651*E1651/F1651,0)</f>
        <v>2588</v>
      </c>
    </row>
    <row r="1652" spans="1:7">
      <c r="A1652" s="127"/>
      <c r="B1652" s="835" t="str">
        <f>'MAQUINARIA Y EQUIPOS'!$C$35</f>
        <v>MOTOBOMBA 3"</v>
      </c>
      <c r="C1652" s="836"/>
      <c r="D1652" s="37">
        <v>1</v>
      </c>
      <c r="E1652" s="82">
        <f>'MAQUINARIA Y EQUIPOS'!$D$35</f>
        <v>46400</v>
      </c>
      <c r="F1652" s="83">
        <v>30</v>
      </c>
      <c r="G1652" s="111">
        <f>ROUND(D1652*E1652/F1652,0)</f>
        <v>1547</v>
      </c>
    </row>
    <row r="1653" spans="1:7">
      <c r="A1653" s="95"/>
      <c r="B1653" s="835"/>
      <c r="C1653" s="836"/>
      <c r="D1653" s="89"/>
      <c r="E1653" s="82"/>
      <c r="F1653" s="83"/>
      <c r="G1653" s="111"/>
    </row>
    <row r="1654" spans="1:7">
      <c r="A1654" s="95"/>
      <c r="B1654" s="835" t="s">
        <v>841</v>
      </c>
      <c r="C1654" s="836"/>
      <c r="D1654" s="37"/>
      <c r="E1654" s="82"/>
      <c r="F1654" s="83"/>
      <c r="G1654" s="111"/>
    </row>
    <row r="1655" spans="1:7" ht="13.5" thickBot="1">
      <c r="A1655" s="95"/>
      <c r="B1655" s="839" t="s">
        <v>841</v>
      </c>
      <c r="C1655" s="840"/>
      <c r="D1655" s="77"/>
      <c r="E1655" s="106"/>
      <c r="F1655" s="86"/>
      <c r="G1655" s="112"/>
    </row>
    <row r="1656" spans="1:7" ht="14.25" thickTop="1" thickBot="1">
      <c r="A1656" s="95"/>
      <c r="B1656" s="808"/>
      <c r="C1656" s="808"/>
      <c r="D1656" s="808"/>
      <c r="E1656" s="809"/>
      <c r="F1656" s="119" t="s">
        <v>856</v>
      </c>
      <c r="G1656" s="118">
        <f>SUM(G1651:G1655)</f>
        <v>4135</v>
      </c>
    </row>
    <row r="1657" spans="1:7" ht="14.25" thickTop="1" thickBot="1">
      <c r="A1657" s="95"/>
      <c r="B1657" s="830"/>
      <c r="C1657" s="830"/>
      <c r="D1657" s="830"/>
      <c r="E1657" s="830"/>
      <c r="F1657" s="830"/>
      <c r="G1657" s="830"/>
    </row>
    <row r="1658" spans="1:7" ht="13.5" thickTop="1">
      <c r="A1658" s="95"/>
      <c r="B1658" s="811" t="s">
        <v>311</v>
      </c>
      <c r="C1658" s="812"/>
      <c r="D1658" s="812"/>
      <c r="E1658" s="812"/>
      <c r="F1658" s="812"/>
      <c r="G1658" s="825"/>
    </row>
    <row r="1659" spans="1:7">
      <c r="A1659" s="95"/>
      <c r="B1659" s="817" t="s">
        <v>838</v>
      </c>
      <c r="C1659" s="818"/>
      <c r="D1659" s="98" t="s">
        <v>842</v>
      </c>
      <c r="E1659" s="98" t="s">
        <v>853</v>
      </c>
      <c r="F1659" s="99" t="s">
        <v>1047</v>
      </c>
      <c r="G1659" s="107" t="s">
        <v>840</v>
      </c>
    </row>
    <row r="1660" spans="1:7">
      <c r="A1660" s="95"/>
      <c r="B1660" s="230"/>
      <c r="C1660" s="102"/>
      <c r="D1660" s="100"/>
      <c r="E1660" s="100" t="s">
        <v>312</v>
      </c>
      <c r="F1660" s="101" t="s">
        <v>313</v>
      </c>
      <c r="G1660" s="108" t="s">
        <v>314</v>
      </c>
    </row>
    <row r="1661" spans="1:7">
      <c r="A1661" s="125"/>
      <c r="B1661" s="875"/>
      <c r="C1661" s="876"/>
      <c r="D1661" s="87"/>
      <c r="E1661" s="10"/>
      <c r="F1661" s="80"/>
      <c r="G1661" s="110"/>
    </row>
    <row r="1662" spans="1:7">
      <c r="A1662" s="123"/>
      <c r="B1662" s="877"/>
      <c r="C1662" s="878"/>
      <c r="D1662" s="88"/>
      <c r="E1662" s="53"/>
      <c r="F1662" s="82"/>
      <c r="G1662" s="111"/>
    </row>
    <row r="1663" spans="1:7">
      <c r="A1663" s="95"/>
      <c r="B1663" s="835"/>
      <c r="C1663" s="836"/>
      <c r="D1663" s="37"/>
      <c r="E1663" s="55"/>
      <c r="F1663" s="82"/>
      <c r="G1663" s="111"/>
    </row>
    <row r="1664" spans="1:7">
      <c r="A1664" s="95"/>
      <c r="B1664" s="835"/>
      <c r="C1664" s="836"/>
      <c r="D1664" s="37"/>
      <c r="E1664" s="55"/>
      <c r="F1664" s="82"/>
      <c r="G1664" s="111"/>
    </row>
    <row r="1665" spans="1:8">
      <c r="A1665" s="95"/>
      <c r="B1665" s="837"/>
      <c r="C1665" s="838"/>
      <c r="D1665" s="37"/>
      <c r="E1665" s="55"/>
      <c r="F1665" s="82"/>
      <c r="G1665" s="111"/>
    </row>
    <row r="1666" spans="1:8">
      <c r="A1666" s="95"/>
      <c r="B1666" s="837"/>
      <c r="C1666" s="838"/>
      <c r="D1666" s="53" t="s">
        <v>841</v>
      </c>
      <c r="E1666" s="53"/>
      <c r="F1666" s="82"/>
      <c r="G1666" s="111"/>
    </row>
    <row r="1667" spans="1:8">
      <c r="A1667" s="95"/>
      <c r="B1667" s="837" t="s">
        <v>841</v>
      </c>
      <c r="C1667" s="838"/>
      <c r="D1667" s="53" t="s">
        <v>841</v>
      </c>
      <c r="E1667" s="53"/>
      <c r="F1667" s="82"/>
      <c r="G1667" s="111"/>
    </row>
    <row r="1668" spans="1:8">
      <c r="A1668" s="95"/>
      <c r="B1668" s="837" t="s">
        <v>841</v>
      </c>
      <c r="C1668" s="838"/>
      <c r="D1668" s="53" t="s">
        <v>841</v>
      </c>
      <c r="E1668" s="53"/>
      <c r="F1668" s="82"/>
      <c r="G1668" s="111"/>
      <c r="H1668" s="505" t="s">
        <v>1670</v>
      </c>
    </row>
    <row r="1669" spans="1:8" ht="13.5" thickBot="1">
      <c r="A1669" s="95"/>
      <c r="B1669" s="839" t="s">
        <v>841</v>
      </c>
      <c r="C1669" s="840"/>
      <c r="D1669" s="84" t="s">
        <v>841</v>
      </c>
      <c r="E1669" s="84"/>
      <c r="F1669" s="85"/>
      <c r="G1669" s="112"/>
    </row>
    <row r="1670" spans="1:8" ht="13.5" thickTop="1">
      <c r="A1670" s="95"/>
      <c r="B1670" s="808"/>
      <c r="C1670" s="809"/>
      <c r="D1670" s="801" t="s">
        <v>856</v>
      </c>
      <c r="E1670" s="802"/>
      <c r="F1670" s="9"/>
      <c r="G1670" s="113">
        <f>SUM(G1661:G1669)</f>
        <v>0</v>
      </c>
    </row>
    <row r="1671" spans="1:8">
      <c r="A1671" s="95"/>
      <c r="B1671" s="819"/>
      <c r="C1671" s="820"/>
      <c r="D1671" s="801" t="s">
        <v>857</v>
      </c>
      <c r="E1671" s="802"/>
      <c r="F1671" s="79">
        <f>'MANO DE OBRA'!$D$60</f>
        <v>0.05</v>
      </c>
      <c r="G1671" s="113">
        <f>ROUND(G1670*F1671,0)</f>
        <v>0</v>
      </c>
    </row>
    <row r="1672" spans="1:8" ht="13.5" thickBot="1">
      <c r="A1672" s="95"/>
      <c r="B1672" s="819"/>
      <c r="C1672" s="820"/>
      <c r="D1672" s="803" t="s">
        <v>320</v>
      </c>
      <c r="E1672" s="804"/>
      <c r="F1672" s="114"/>
      <c r="G1672" s="118">
        <f>+G1670+G1671</f>
        <v>0</v>
      </c>
    </row>
    <row r="1673" spans="1:8" ht="14.25" thickTop="1" thickBot="1">
      <c r="A1673" s="95"/>
      <c r="B1673" s="830"/>
      <c r="C1673" s="830"/>
      <c r="D1673" s="830"/>
      <c r="E1673" s="830"/>
      <c r="F1673" s="830"/>
      <c r="G1673" s="830"/>
    </row>
    <row r="1674" spans="1:8" ht="13.5" thickTop="1">
      <c r="A1674" s="95"/>
      <c r="B1674" s="811" t="s">
        <v>858</v>
      </c>
      <c r="C1674" s="812"/>
      <c r="D1674" s="812"/>
      <c r="E1674" s="812"/>
      <c r="F1674" s="812"/>
      <c r="G1674" s="825"/>
    </row>
    <row r="1675" spans="1:8">
      <c r="A1675" s="95"/>
      <c r="B1675" s="817"/>
      <c r="C1675" s="818"/>
      <c r="D1675" s="98" t="s">
        <v>301</v>
      </c>
      <c r="E1675" s="98" t="s">
        <v>859</v>
      </c>
      <c r="F1675" s="99" t="s">
        <v>839</v>
      </c>
      <c r="G1675" s="107" t="s">
        <v>840</v>
      </c>
    </row>
    <row r="1676" spans="1:8">
      <c r="A1676" s="95"/>
      <c r="B1676" s="821" t="s">
        <v>838</v>
      </c>
      <c r="C1676" s="822"/>
      <c r="D1676" s="100" t="s">
        <v>316</v>
      </c>
      <c r="E1676" s="100" t="s">
        <v>315</v>
      </c>
      <c r="F1676" s="101" t="s">
        <v>306</v>
      </c>
      <c r="G1676" s="108" t="s">
        <v>319</v>
      </c>
    </row>
    <row r="1677" spans="1:8">
      <c r="A1677" s="95"/>
      <c r="B1677" s="230"/>
      <c r="C1677" s="102"/>
      <c r="D1677" s="103"/>
      <c r="E1677" s="103" t="s">
        <v>317</v>
      </c>
      <c r="F1677" s="104" t="s">
        <v>318</v>
      </c>
      <c r="G1677" s="109"/>
    </row>
    <row r="1678" spans="1:8">
      <c r="A1678" s="95"/>
      <c r="B1678" s="823" t="str">
        <f>'MANO DE OBRA'!$B$10</f>
        <v>AYUDANTE CUAD. TIPO AA</v>
      </c>
      <c r="C1678" s="824"/>
      <c r="D1678" s="87">
        <v>1</v>
      </c>
      <c r="E1678" s="80">
        <f>'MANO DE OBRA'!$E$10</f>
        <v>34680</v>
      </c>
      <c r="F1678" s="81">
        <v>0.67</v>
      </c>
      <c r="G1678" s="110">
        <f>ROUND(D1678*E1678/F1678,0)</f>
        <v>51761</v>
      </c>
    </row>
    <row r="1679" spans="1:8">
      <c r="A1679" s="95"/>
      <c r="B1679" s="835"/>
      <c r="C1679" s="836"/>
      <c r="D1679" s="37"/>
      <c r="E1679" s="82"/>
      <c r="F1679" s="83"/>
      <c r="G1679" s="111"/>
    </row>
    <row r="1680" spans="1:8">
      <c r="A1680" s="95"/>
      <c r="B1680" s="835"/>
      <c r="C1680" s="836"/>
      <c r="D1680" s="89"/>
      <c r="E1680" s="82"/>
      <c r="F1680" s="83"/>
      <c r="G1680" s="111"/>
    </row>
    <row r="1681" spans="1:8">
      <c r="A1681" s="95"/>
      <c r="B1681" s="835" t="s">
        <v>841</v>
      </c>
      <c r="C1681" s="836"/>
      <c r="D1681" s="37"/>
      <c r="E1681" s="82"/>
      <c r="F1681" s="83"/>
      <c r="G1681" s="111"/>
    </row>
    <row r="1682" spans="1:8" ht="13.5" thickBot="1">
      <c r="A1682" s="95"/>
      <c r="B1682" s="828" t="s">
        <v>841</v>
      </c>
      <c r="C1682" s="829"/>
      <c r="D1682" s="77"/>
      <c r="E1682" s="82"/>
      <c r="F1682" s="86"/>
      <c r="G1682" s="112"/>
    </row>
    <row r="1683" spans="1:8" ht="14.25" thickTop="1" thickBot="1">
      <c r="A1683" s="95"/>
      <c r="B1683" s="808"/>
      <c r="C1683" s="808"/>
      <c r="D1683" s="808"/>
      <c r="E1683" s="809"/>
      <c r="F1683" s="120" t="s">
        <v>856</v>
      </c>
      <c r="G1683" s="118">
        <f>SUM(G1678:G1682)</f>
        <v>51761</v>
      </c>
    </row>
    <row r="1684" spans="1:8" ht="14.25" thickTop="1" thickBot="1">
      <c r="A1684" s="95"/>
      <c r="B1684" s="810"/>
      <c r="C1684" s="810"/>
      <c r="D1684" s="810"/>
      <c r="E1684" s="810"/>
      <c r="F1684" s="810"/>
      <c r="G1684" s="810"/>
    </row>
    <row r="1685" spans="1:8" ht="13.5" thickTop="1">
      <c r="A1685" s="95"/>
      <c r="B1685" s="811" t="s">
        <v>321</v>
      </c>
      <c r="C1685" s="812"/>
      <c r="D1685" s="812"/>
      <c r="E1685" s="812"/>
      <c r="F1685" s="812"/>
      <c r="G1685" s="825"/>
    </row>
    <row r="1686" spans="1:8">
      <c r="A1686" s="95"/>
      <c r="B1686" s="817" t="s">
        <v>838</v>
      </c>
      <c r="C1686" s="818"/>
      <c r="D1686" s="98" t="s">
        <v>301</v>
      </c>
      <c r="E1686" s="98" t="s">
        <v>297</v>
      </c>
      <c r="F1686" s="99" t="s">
        <v>839</v>
      </c>
      <c r="G1686" s="107" t="s">
        <v>840</v>
      </c>
    </row>
    <row r="1687" spans="1:8">
      <c r="A1687" s="95"/>
      <c r="B1687" s="230"/>
      <c r="C1687" s="102"/>
      <c r="D1687" s="103" t="s">
        <v>322</v>
      </c>
      <c r="E1687" s="103" t="s">
        <v>323</v>
      </c>
      <c r="F1687" s="104" t="s">
        <v>324</v>
      </c>
      <c r="G1687" s="109" t="s">
        <v>325</v>
      </c>
    </row>
    <row r="1688" spans="1:8">
      <c r="A1688" s="95"/>
      <c r="B1688" s="826"/>
      <c r="C1688" s="827"/>
      <c r="D1688" s="96"/>
      <c r="E1688" s="96"/>
      <c r="F1688" s="96"/>
      <c r="G1688" s="116"/>
    </row>
    <row r="1689" spans="1:8" ht="13.5" thickBot="1">
      <c r="A1689" s="95"/>
      <c r="B1689" s="828" t="s">
        <v>841</v>
      </c>
      <c r="C1689" s="829"/>
      <c r="D1689" s="77"/>
      <c r="E1689" s="82"/>
      <c r="F1689" s="86"/>
      <c r="G1689" s="112"/>
    </row>
    <row r="1690" spans="1:8" ht="14.25" thickTop="1" thickBot="1">
      <c r="A1690" s="95"/>
      <c r="B1690" s="808"/>
      <c r="C1690" s="808"/>
      <c r="D1690" s="808"/>
      <c r="E1690" s="809"/>
      <c r="F1690" s="120" t="s">
        <v>856</v>
      </c>
      <c r="G1690" s="118">
        <f>SUM(G1685:G1689)</f>
        <v>0</v>
      </c>
    </row>
    <row r="1691" spans="1:8" ht="14.25" thickTop="1" thickBot="1">
      <c r="A1691" s="95"/>
      <c r="B1691" s="810"/>
      <c r="C1691" s="810"/>
      <c r="D1691" s="810"/>
      <c r="E1691" s="810"/>
      <c r="F1691" s="810"/>
      <c r="G1691" s="834"/>
    </row>
    <row r="1692" spans="1:8" ht="13.5" thickTop="1">
      <c r="A1692" s="95"/>
      <c r="B1692" s="811" t="s">
        <v>326</v>
      </c>
      <c r="C1692" s="812"/>
      <c r="D1692" s="812"/>
      <c r="E1692" s="812"/>
      <c r="F1692" s="813"/>
      <c r="G1692" s="121">
        <f>+G1656+G1672+G1683</f>
        <v>55896</v>
      </c>
    </row>
    <row r="1693" spans="1:8">
      <c r="A1693" s="95"/>
      <c r="B1693" s="814" t="s">
        <v>861</v>
      </c>
      <c r="C1693" s="815"/>
      <c r="D1693" s="815"/>
      <c r="E1693" s="816"/>
      <c r="F1693" s="128">
        <f>'MANO DE OBRA'!D1485</f>
        <v>0</v>
      </c>
      <c r="G1693" s="122">
        <f>ROUND(G1692*F1693,0)</f>
        <v>0</v>
      </c>
    </row>
    <row r="1694" spans="1:8" ht="13.5" thickBot="1">
      <c r="A1694" s="95"/>
      <c r="B1694" s="805" t="s">
        <v>1049</v>
      </c>
      <c r="C1694" s="806"/>
      <c r="D1694" s="806"/>
      <c r="E1694" s="806"/>
      <c r="F1694" s="807"/>
      <c r="G1694" s="118">
        <f>ROUND(G1692+G1693,-2)</f>
        <v>55900</v>
      </c>
      <c r="H1694" s="505" t="s">
        <v>1670</v>
      </c>
    </row>
    <row r="1695" spans="1:8" ht="15" thickTop="1">
      <c r="A1695" s="95"/>
      <c r="B1695" s="225" t="s">
        <v>303</v>
      </c>
      <c r="C1695" s="843"/>
      <c r="D1695" s="843"/>
      <c r="E1695" s="843"/>
      <c r="F1695" s="92" t="s">
        <v>781</v>
      </c>
      <c r="G1695" s="93" t="s">
        <v>1066</v>
      </c>
    </row>
    <row r="1696" spans="1:8">
      <c r="A1696" s="95"/>
      <c r="B1696" s="226" t="s">
        <v>834</v>
      </c>
      <c r="C1696" s="844" t="s">
        <v>342</v>
      </c>
      <c r="D1696" s="844"/>
      <c r="E1696" s="844"/>
      <c r="F1696" s="15" t="s">
        <v>833</v>
      </c>
      <c r="G1696" s="165" t="str">
        <f>'MANO DE OBRA'!$D$61</f>
        <v>Agosto de 2010</v>
      </c>
    </row>
    <row r="1697" spans="1:7" ht="27.75" customHeight="1" thickBot="1">
      <c r="A1697" s="236"/>
      <c r="B1697" s="240" t="s">
        <v>835</v>
      </c>
      <c r="C1697" s="934" t="s">
        <v>815</v>
      </c>
      <c r="D1697" s="934"/>
      <c r="E1697" s="934"/>
      <c r="F1697" s="934"/>
      <c r="G1697" s="935"/>
    </row>
    <row r="1698" spans="1:7" ht="14.25" thickTop="1" thickBot="1">
      <c r="A1698" s="95"/>
      <c r="B1698" s="847"/>
      <c r="C1698" s="847"/>
      <c r="D1698" s="847"/>
      <c r="E1698" s="847"/>
      <c r="F1698" s="847"/>
      <c r="G1698" s="847"/>
    </row>
    <row r="1699" spans="1:7" ht="13.5" thickTop="1">
      <c r="A1699" s="95"/>
      <c r="B1699" s="811" t="s">
        <v>304</v>
      </c>
      <c r="C1699" s="812"/>
      <c r="D1699" s="812"/>
      <c r="E1699" s="812"/>
      <c r="F1699" s="812"/>
      <c r="G1699" s="825"/>
    </row>
    <row r="1700" spans="1:7">
      <c r="A1700" s="95"/>
      <c r="B1700" s="229"/>
      <c r="C1700" s="97"/>
      <c r="D1700" s="98" t="s">
        <v>301</v>
      </c>
      <c r="E1700" s="98" t="s">
        <v>1072</v>
      </c>
      <c r="F1700" s="99" t="s">
        <v>839</v>
      </c>
      <c r="G1700" s="107" t="s">
        <v>840</v>
      </c>
    </row>
    <row r="1701" spans="1:7">
      <c r="A1701" s="95"/>
      <c r="B1701" s="821" t="s">
        <v>838</v>
      </c>
      <c r="C1701" s="822"/>
      <c r="D1701" s="100" t="s">
        <v>308</v>
      </c>
      <c r="E1701" s="100" t="s">
        <v>305</v>
      </c>
      <c r="F1701" s="101" t="s">
        <v>306</v>
      </c>
      <c r="G1701" s="108" t="s">
        <v>310</v>
      </c>
    </row>
    <row r="1702" spans="1:7">
      <c r="A1702" s="95"/>
      <c r="B1702" s="230"/>
      <c r="C1702" s="102"/>
      <c r="D1702" s="103"/>
      <c r="E1702" s="103" t="s">
        <v>309</v>
      </c>
      <c r="F1702" s="104" t="s">
        <v>307</v>
      </c>
      <c r="G1702" s="109"/>
    </row>
    <row r="1703" spans="1:7">
      <c r="A1703" s="127"/>
      <c r="B1703" s="823" t="str">
        <f>'MAQUINARIA Y EQUIPOS'!$C$28</f>
        <v>HERRAMIENTAS MENORES</v>
      </c>
      <c r="C1703" s="824"/>
      <c r="D1703" s="87">
        <v>1</v>
      </c>
      <c r="E1703" s="82">
        <f>ROUND(G1735*0.05,0)</f>
        <v>3272</v>
      </c>
      <c r="F1703" s="81">
        <v>1</v>
      </c>
      <c r="G1703" s="110">
        <f>ROUND(D1703*E1703/F1703,0)</f>
        <v>3272</v>
      </c>
    </row>
    <row r="1704" spans="1:7">
      <c r="A1704" s="127"/>
      <c r="B1704" s="835" t="str">
        <f>'MAQUINARIA Y EQUIPOS'!$C$35</f>
        <v>MOTOBOMBA 3"</v>
      </c>
      <c r="C1704" s="836"/>
      <c r="D1704" s="37">
        <v>1</v>
      </c>
      <c r="E1704" s="82">
        <f>'MAQUINARIA Y EQUIPOS'!$D$35</f>
        <v>46400</v>
      </c>
      <c r="F1704" s="83">
        <v>25</v>
      </c>
      <c r="G1704" s="111">
        <f>ROUND(D1704*E1704/F1704,0)</f>
        <v>1856</v>
      </c>
    </row>
    <row r="1705" spans="1:7">
      <c r="A1705" s="95"/>
      <c r="B1705" s="835"/>
      <c r="C1705" s="836"/>
      <c r="D1705" s="89"/>
      <c r="E1705" s="82"/>
      <c r="F1705" s="83"/>
      <c r="G1705" s="111"/>
    </row>
    <row r="1706" spans="1:7">
      <c r="A1706" s="95"/>
      <c r="B1706" s="835" t="s">
        <v>841</v>
      </c>
      <c r="C1706" s="836"/>
      <c r="D1706" s="37"/>
      <c r="E1706" s="82"/>
      <c r="F1706" s="83"/>
      <c r="G1706" s="111"/>
    </row>
    <row r="1707" spans="1:7" ht="13.5" thickBot="1">
      <c r="A1707" s="95"/>
      <c r="B1707" s="839" t="s">
        <v>841</v>
      </c>
      <c r="C1707" s="840"/>
      <c r="D1707" s="77"/>
      <c r="E1707" s="106"/>
      <c r="F1707" s="86"/>
      <c r="G1707" s="112"/>
    </row>
    <row r="1708" spans="1:7" ht="14.25" thickTop="1" thickBot="1">
      <c r="A1708" s="95"/>
      <c r="B1708" s="808"/>
      <c r="C1708" s="808"/>
      <c r="D1708" s="808"/>
      <c r="E1708" s="809"/>
      <c r="F1708" s="119" t="s">
        <v>856</v>
      </c>
      <c r="G1708" s="118">
        <f>SUM(G1703:G1707)</f>
        <v>5128</v>
      </c>
    </row>
    <row r="1709" spans="1:7" ht="14.25" thickTop="1" thickBot="1">
      <c r="A1709" s="95"/>
      <c r="B1709" s="830"/>
      <c r="C1709" s="830"/>
      <c r="D1709" s="830"/>
      <c r="E1709" s="830"/>
      <c r="F1709" s="830"/>
      <c r="G1709" s="830"/>
    </row>
    <row r="1710" spans="1:7" ht="13.5" thickTop="1">
      <c r="A1710" s="95"/>
      <c r="B1710" s="811" t="s">
        <v>311</v>
      </c>
      <c r="C1710" s="812"/>
      <c r="D1710" s="812"/>
      <c r="E1710" s="812"/>
      <c r="F1710" s="812"/>
      <c r="G1710" s="825"/>
    </row>
    <row r="1711" spans="1:7">
      <c r="A1711" s="95"/>
      <c r="B1711" s="817" t="s">
        <v>838</v>
      </c>
      <c r="C1711" s="818"/>
      <c r="D1711" s="98" t="s">
        <v>842</v>
      </c>
      <c r="E1711" s="98" t="s">
        <v>853</v>
      </c>
      <c r="F1711" s="99" t="s">
        <v>1047</v>
      </c>
      <c r="G1711" s="107" t="s">
        <v>840</v>
      </c>
    </row>
    <row r="1712" spans="1:7">
      <c r="A1712" s="95"/>
      <c r="B1712" s="230"/>
      <c r="C1712" s="102"/>
      <c r="D1712" s="100"/>
      <c r="E1712" s="100" t="s">
        <v>312</v>
      </c>
      <c r="F1712" s="101" t="s">
        <v>313</v>
      </c>
      <c r="G1712" s="108" t="s">
        <v>314</v>
      </c>
    </row>
    <row r="1713" spans="1:8">
      <c r="A1713" s="125"/>
      <c r="B1713" s="875"/>
      <c r="C1713" s="876"/>
      <c r="D1713" s="87"/>
      <c r="E1713" s="10"/>
      <c r="F1713" s="80"/>
      <c r="G1713" s="110"/>
    </row>
    <row r="1714" spans="1:8">
      <c r="A1714" s="123"/>
      <c r="B1714" s="877"/>
      <c r="C1714" s="878"/>
      <c r="D1714" s="88"/>
      <c r="E1714" s="53"/>
      <c r="F1714" s="82"/>
      <c r="G1714" s="111"/>
    </row>
    <row r="1715" spans="1:8">
      <c r="A1715" s="95"/>
      <c r="B1715" s="835"/>
      <c r="C1715" s="836"/>
      <c r="D1715" s="37"/>
      <c r="E1715" s="55"/>
      <c r="F1715" s="82"/>
      <c r="G1715" s="111"/>
    </row>
    <row r="1716" spans="1:8">
      <c r="A1716" s="95"/>
      <c r="B1716" s="835"/>
      <c r="C1716" s="836"/>
      <c r="D1716" s="37"/>
      <c r="E1716" s="55"/>
      <c r="F1716" s="82"/>
      <c r="G1716" s="111"/>
    </row>
    <row r="1717" spans="1:8">
      <c r="A1717" s="95"/>
      <c r="B1717" s="837"/>
      <c r="C1717" s="838"/>
      <c r="D1717" s="37"/>
      <c r="E1717" s="55"/>
      <c r="F1717" s="82"/>
      <c r="G1717" s="111"/>
    </row>
    <row r="1718" spans="1:8">
      <c r="A1718" s="95"/>
      <c r="B1718" s="837"/>
      <c r="C1718" s="838"/>
      <c r="D1718" s="53" t="s">
        <v>841</v>
      </c>
      <c r="E1718" s="53"/>
      <c r="F1718" s="82"/>
      <c r="G1718" s="111"/>
    </row>
    <row r="1719" spans="1:8">
      <c r="A1719" s="95"/>
      <c r="B1719" s="837" t="s">
        <v>841</v>
      </c>
      <c r="C1719" s="838"/>
      <c r="D1719" s="53" t="s">
        <v>841</v>
      </c>
      <c r="E1719" s="53"/>
      <c r="F1719" s="82"/>
      <c r="G1719" s="111"/>
    </row>
    <row r="1720" spans="1:8">
      <c r="A1720" s="95"/>
      <c r="B1720" s="837" t="s">
        <v>841</v>
      </c>
      <c r="C1720" s="838"/>
      <c r="D1720" s="53" t="s">
        <v>841</v>
      </c>
      <c r="E1720" s="53"/>
      <c r="F1720" s="82"/>
      <c r="G1720" s="111"/>
      <c r="H1720" s="505" t="s">
        <v>1670</v>
      </c>
    </row>
    <row r="1721" spans="1:8" ht="13.5" thickBot="1">
      <c r="A1721" s="95"/>
      <c r="B1721" s="839" t="s">
        <v>841</v>
      </c>
      <c r="C1721" s="840"/>
      <c r="D1721" s="84" t="s">
        <v>841</v>
      </c>
      <c r="E1721" s="84"/>
      <c r="F1721" s="85"/>
      <c r="G1721" s="112"/>
    </row>
    <row r="1722" spans="1:8" ht="13.5" thickTop="1">
      <c r="A1722" s="95"/>
      <c r="B1722" s="808"/>
      <c r="C1722" s="809"/>
      <c r="D1722" s="801" t="s">
        <v>856</v>
      </c>
      <c r="E1722" s="802"/>
      <c r="F1722" s="9"/>
      <c r="G1722" s="113">
        <f>SUM(G1713:G1721)</f>
        <v>0</v>
      </c>
    </row>
    <row r="1723" spans="1:8">
      <c r="A1723" s="95"/>
      <c r="B1723" s="819"/>
      <c r="C1723" s="820"/>
      <c r="D1723" s="801" t="s">
        <v>857</v>
      </c>
      <c r="E1723" s="802"/>
      <c r="F1723" s="79">
        <f>'MANO DE OBRA'!$D$60</f>
        <v>0.05</v>
      </c>
      <c r="G1723" s="113">
        <f>ROUND(G1722*F1723,0)</f>
        <v>0</v>
      </c>
    </row>
    <row r="1724" spans="1:8" ht="13.5" thickBot="1">
      <c r="A1724" s="95"/>
      <c r="B1724" s="819"/>
      <c r="C1724" s="820"/>
      <c r="D1724" s="803" t="s">
        <v>320</v>
      </c>
      <c r="E1724" s="804"/>
      <c r="F1724" s="114"/>
      <c r="G1724" s="118">
        <f>+G1722+G1723</f>
        <v>0</v>
      </c>
    </row>
    <row r="1725" spans="1:8" ht="14.25" thickTop="1" thickBot="1">
      <c r="A1725" s="95"/>
      <c r="B1725" s="830"/>
      <c r="C1725" s="830"/>
      <c r="D1725" s="830"/>
      <c r="E1725" s="830"/>
      <c r="F1725" s="830"/>
      <c r="G1725" s="830"/>
    </row>
    <row r="1726" spans="1:8" ht="13.5" thickTop="1">
      <c r="A1726" s="95"/>
      <c r="B1726" s="811" t="s">
        <v>858</v>
      </c>
      <c r="C1726" s="812"/>
      <c r="D1726" s="812"/>
      <c r="E1726" s="812"/>
      <c r="F1726" s="812"/>
      <c r="G1726" s="825"/>
    </row>
    <row r="1727" spans="1:8">
      <c r="A1727" s="95"/>
      <c r="B1727" s="817"/>
      <c r="C1727" s="818"/>
      <c r="D1727" s="98" t="s">
        <v>301</v>
      </c>
      <c r="E1727" s="98" t="s">
        <v>859</v>
      </c>
      <c r="F1727" s="99" t="s">
        <v>839</v>
      </c>
      <c r="G1727" s="107" t="s">
        <v>840</v>
      </c>
    </row>
    <row r="1728" spans="1:8">
      <c r="A1728" s="95"/>
      <c r="B1728" s="821" t="s">
        <v>838</v>
      </c>
      <c r="C1728" s="822"/>
      <c r="D1728" s="100" t="s">
        <v>316</v>
      </c>
      <c r="E1728" s="100" t="s">
        <v>315</v>
      </c>
      <c r="F1728" s="101" t="s">
        <v>306</v>
      </c>
      <c r="G1728" s="108" t="s">
        <v>319</v>
      </c>
    </row>
    <row r="1729" spans="1:7">
      <c r="A1729" s="95"/>
      <c r="B1729" s="230"/>
      <c r="C1729" s="102"/>
      <c r="D1729" s="103"/>
      <c r="E1729" s="103" t="s">
        <v>317</v>
      </c>
      <c r="F1729" s="104" t="s">
        <v>318</v>
      </c>
      <c r="G1729" s="109"/>
    </row>
    <row r="1730" spans="1:7">
      <c r="A1730" s="95"/>
      <c r="B1730" s="823" t="str">
        <f>'MANO DE OBRA'!$B$10</f>
        <v>AYUDANTE CUAD. TIPO AA</v>
      </c>
      <c r="C1730" s="824"/>
      <c r="D1730" s="87">
        <v>1</v>
      </c>
      <c r="E1730" s="80">
        <f>'MANO DE OBRA'!$E$10</f>
        <v>34680</v>
      </c>
      <c r="F1730" s="81">
        <v>0.53</v>
      </c>
      <c r="G1730" s="110">
        <f>ROUND(D1730*E1730/F1730,0)</f>
        <v>65434</v>
      </c>
    </row>
    <row r="1731" spans="1:7">
      <c r="A1731" s="95"/>
      <c r="B1731" s="835"/>
      <c r="C1731" s="836"/>
      <c r="D1731" s="37"/>
      <c r="E1731" s="82"/>
      <c r="F1731" s="83"/>
      <c r="G1731" s="111"/>
    </row>
    <row r="1732" spans="1:7">
      <c r="A1732" s="95"/>
      <c r="B1732" s="835"/>
      <c r="C1732" s="836"/>
      <c r="D1732" s="89"/>
      <c r="E1732" s="82"/>
      <c r="F1732" s="83"/>
      <c r="G1732" s="111"/>
    </row>
    <row r="1733" spans="1:7">
      <c r="A1733" s="95"/>
      <c r="B1733" s="835" t="s">
        <v>841</v>
      </c>
      <c r="C1733" s="836"/>
      <c r="D1733" s="37"/>
      <c r="E1733" s="82"/>
      <c r="F1733" s="83"/>
      <c r="G1733" s="111"/>
    </row>
    <row r="1734" spans="1:7" ht="13.5" thickBot="1">
      <c r="A1734" s="95"/>
      <c r="B1734" s="828" t="s">
        <v>841</v>
      </c>
      <c r="C1734" s="829"/>
      <c r="D1734" s="77"/>
      <c r="E1734" s="82"/>
      <c r="F1734" s="86"/>
      <c r="G1734" s="112"/>
    </row>
    <row r="1735" spans="1:7" ht="14.25" thickTop="1" thickBot="1">
      <c r="A1735" s="95"/>
      <c r="B1735" s="808"/>
      <c r="C1735" s="808"/>
      <c r="D1735" s="808"/>
      <c r="E1735" s="809"/>
      <c r="F1735" s="120" t="s">
        <v>856</v>
      </c>
      <c r="G1735" s="118">
        <f>SUM(G1730:G1734)</f>
        <v>65434</v>
      </c>
    </row>
    <row r="1736" spans="1:7" ht="14.25" thickTop="1" thickBot="1">
      <c r="A1736" s="95"/>
      <c r="B1736" s="810"/>
      <c r="C1736" s="810"/>
      <c r="D1736" s="810"/>
      <c r="E1736" s="810"/>
      <c r="F1736" s="810"/>
      <c r="G1736" s="810"/>
    </row>
    <row r="1737" spans="1:7" ht="13.5" thickTop="1">
      <c r="A1737" s="95"/>
      <c r="B1737" s="811" t="s">
        <v>321</v>
      </c>
      <c r="C1737" s="812"/>
      <c r="D1737" s="812"/>
      <c r="E1737" s="812"/>
      <c r="F1737" s="812"/>
      <c r="G1737" s="825"/>
    </row>
    <row r="1738" spans="1:7">
      <c r="A1738" s="95"/>
      <c r="B1738" s="817" t="s">
        <v>838</v>
      </c>
      <c r="C1738" s="818"/>
      <c r="D1738" s="98" t="s">
        <v>301</v>
      </c>
      <c r="E1738" s="98" t="s">
        <v>297</v>
      </c>
      <c r="F1738" s="99" t="s">
        <v>839</v>
      </c>
      <c r="G1738" s="107" t="s">
        <v>840</v>
      </c>
    </row>
    <row r="1739" spans="1:7">
      <c r="A1739" s="95"/>
      <c r="B1739" s="230"/>
      <c r="C1739" s="102"/>
      <c r="D1739" s="103" t="s">
        <v>322</v>
      </c>
      <c r="E1739" s="103" t="s">
        <v>323</v>
      </c>
      <c r="F1739" s="104" t="s">
        <v>324</v>
      </c>
      <c r="G1739" s="109" t="s">
        <v>325</v>
      </c>
    </row>
    <row r="1740" spans="1:7">
      <c r="A1740" s="95"/>
      <c r="B1740" s="826"/>
      <c r="C1740" s="827"/>
      <c r="D1740" s="96"/>
      <c r="E1740" s="96"/>
      <c r="F1740" s="96"/>
      <c r="G1740" s="116"/>
    </row>
    <row r="1741" spans="1:7" ht="13.5" thickBot="1">
      <c r="A1741" s="95"/>
      <c r="B1741" s="828" t="s">
        <v>841</v>
      </c>
      <c r="C1741" s="829"/>
      <c r="D1741" s="77"/>
      <c r="E1741" s="82"/>
      <c r="F1741" s="86"/>
      <c r="G1741" s="112"/>
    </row>
    <row r="1742" spans="1:7" ht="14.25" thickTop="1" thickBot="1">
      <c r="A1742" s="95"/>
      <c r="B1742" s="808"/>
      <c r="C1742" s="808"/>
      <c r="D1742" s="808"/>
      <c r="E1742" s="809"/>
      <c r="F1742" s="120" t="s">
        <v>856</v>
      </c>
      <c r="G1742" s="118">
        <f>SUM(G1737:G1741)</f>
        <v>0</v>
      </c>
    </row>
    <row r="1743" spans="1:7" ht="14.25" thickTop="1" thickBot="1">
      <c r="A1743" s="95"/>
      <c r="B1743" s="810"/>
      <c r="C1743" s="810"/>
      <c r="D1743" s="810"/>
      <c r="E1743" s="810"/>
      <c r="F1743" s="810"/>
      <c r="G1743" s="834"/>
    </row>
    <row r="1744" spans="1:7" ht="13.5" thickTop="1">
      <c r="A1744" s="95"/>
      <c r="B1744" s="811" t="s">
        <v>326</v>
      </c>
      <c r="C1744" s="812"/>
      <c r="D1744" s="812"/>
      <c r="E1744" s="812"/>
      <c r="F1744" s="813"/>
      <c r="G1744" s="121">
        <f>+G1708+G1724+G1735</f>
        <v>70562</v>
      </c>
    </row>
    <row r="1745" spans="1:8">
      <c r="A1745" s="95"/>
      <c r="B1745" s="814" t="s">
        <v>861</v>
      </c>
      <c r="C1745" s="815"/>
      <c r="D1745" s="815"/>
      <c r="E1745" s="816"/>
      <c r="F1745" s="128">
        <f>'MANO DE OBRA'!D1537</f>
        <v>0</v>
      </c>
      <c r="G1745" s="122">
        <f>ROUND(G1744*F1745,0)</f>
        <v>0</v>
      </c>
    </row>
    <row r="1746" spans="1:8" ht="13.5" thickBot="1">
      <c r="A1746" s="95"/>
      <c r="B1746" s="805" t="s">
        <v>1049</v>
      </c>
      <c r="C1746" s="806"/>
      <c r="D1746" s="806"/>
      <c r="E1746" s="806"/>
      <c r="F1746" s="807"/>
      <c r="G1746" s="118">
        <f>ROUND(G1744+G1745,-2)</f>
        <v>70600</v>
      </c>
      <c r="H1746" s="505" t="s">
        <v>1670</v>
      </c>
    </row>
    <row r="1747" spans="1:8" ht="15" thickTop="1">
      <c r="A1747" s="95"/>
      <c r="B1747" s="225" t="s">
        <v>303</v>
      </c>
      <c r="C1747" s="843"/>
      <c r="D1747" s="843"/>
      <c r="E1747" s="843"/>
      <c r="F1747" s="92" t="s">
        <v>781</v>
      </c>
      <c r="G1747" s="93" t="s">
        <v>1066</v>
      </c>
    </row>
    <row r="1748" spans="1:8">
      <c r="A1748" s="95"/>
      <c r="B1748" s="226" t="s">
        <v>834</v>
      </c>
      <c r="C1748" s="844" t="s">
        <v>342</v>
      </c>
      <c r="D1748" s="844"/>
      <c r="E1748" s="844"/>
      <c r="F1748" s="15" t="s">
        <v>833</v>
      </c>
      <c r="G1748" s="165" t="str">
        <f>'MANO DE OBRA'!$D$61</f>
        <v>Agosto de 2010</v>
      </c>
    </row>
    <row r="1749" spans="1:8" ht="27.75" customHeight="1" thickBot="1">
      <c r="A1749" s="236"/>
      <c r="B1749" s="240" t="s">
        <v>835</v>
      </c>
      <c r="C1749" s="934" t="s">
        <v>816</v>
      </c>
      <c r="D1749" s="934"/>
      <c r="E1749" s="934"/>
      <c r="F1749" s="934"/>
      <c r="G1749" s="935"/>
    </row>
    <row r="1750" spans="1:8" ht="14.25" thickTop="1" thickBot="1">
      <c r="A1750" s="95"/>
      <c r="B1750" s="847"/>
      <c r="C1750" s="847"/>
      <c r="D1750" s="847"/>
      <c r="E1750" s="847"/>
      <c r="F1750" s="847"/>
      <c r="G1750" s="847"/>
    </row>
    <row r="1751" spans="1:8" ht="13.5" thickTop="1">
      <c r="A1751" s="95"/>
      <c r="B1751" s="811" t="s">
        <v>304</v>
      </c>
      <c r="C1751" s="812"/>
      <c r="D1751" s="812"/>
      <c r="E1751" s="812"/>
      <c r="F1751" s="812"/>
      <c r="G1751" s="825"/>
    </row>
    <row r="1752" spans="1:8">
      <c r="A1752" s="95"/>
      <c r="B1752" s="229"/>
      <c r="C1752" s="97"/>
      <c r="D1752" s="98" t="s">
        <v>301</v>
      </c>
      <c r="E1752" s="98" t="s">
        <v>1072</v>
      </c>
      <c r="F1752" s="99" t="s">
        <v>839</v>
      </c>
      <c r="G1752" s="107" t="s">
        <v>840</v>
      </c>
    </row>
    <row r="1753" spans="1:8">
      <c r="A1753" s="95"/>
      <c r="B1753" s="821" t="s">
        <v>838</v>
      </c>
      <c r="C1753" s="822"/>
      <c r="D1753" s="100" t="s">
        <v>308</v>
      </c>
      <c r="E1753" s="100" t="s">
        <v>305</v>
      </c>
      <c r="F1753" s="101" t="s">
        <v>306</v>
      </c>
      <c r="G1753" s="108" t="s">
        <v>310</v>
      </c>
    </row>
    <row r="1754" spans="1:8">
      <c r="A1754" s="95"/>
      <c r="B1754" s="230"/>
      <c r="C1754" s="102"/>
      <c r="D1754" s="103"/>
      <c r="E1754" s="103" t="s">
        <v>309</v>
      </c>
      <c r="F1754" s="104" t="s">
        <v>307</v>
      </c>
      <c r="G1754" s="109"/>
    </row>
    <row r="1755" spans="1:8">
      <c r="A1755" s="127"/>
      <c r="B1755" s="823" t="str">
        <f>'MAQUINARIA Y EQUIPOS'!$C$28</f>
        <v>HERRAMIENTAS MENORES</v>
      </c>
      <c r="C1755" s="824"/>
      <c r="D1755" s="87">
        <v>1</v>
      </c>
      <c r="E1755" s="82">
        <f>ROUND(G1787*0.05,0)</f>
        <v>5255</v>
      </c>
      <c r="F1755" s="81">
        <v>1</v>
      </c>
      <c r="G1755" s="110">
        <f>ROUND(D1755*E1755/F1755,0)</f>
        <v>5255</v>
      </c>
    </row>
    <row r="1756" spans="1:8">
      <c r="A1756" s="127"/>
      <c r="B1756" s="835" t="str">
        <f>'MAQUINARIA Y EQUIPOS'!$C$35</f>
        <v>MOTOBOMBA 3"</v>
      </c>
      <c r="C1756" s="836"/>
      <c r="D1756" s="37">
        <v>1</v>
      </c>
      <c r="E1756" s="82">
        <f>'MAQUINARIA Y EQUIPOS'!$D$35</f>
        <v>46400</v>
      </c>
      <c r="F1756" s="83">
        <v>20</v>
      </c>
      <c r="G1756" s="111">
        <f>ROUND(D1756*E1756/F1756,0)</f>
        <v>2320</v>
      </c>
    </row>
    <row r="1757" spans="1:8">
      <c r="A1757" s="95"/>
      <c r="B1757" s="835"/>
      <c r="C1757" s="836"/>
      <c r="D1757" s="89"/>
      <c r="E1757" s="82"/>
      <c r="F1757" s="83"/>
      <c r="G1757" s="111"/>
    </row>
    <row r="1758" spans="1:8">
      <c r="A1758" s="95"/>
      <c r="B1758" s="835" t="s">
        <v>841</v>
      </c>
      <c r="C1758" s="836"/>
      <c r="D1758" s="37"/>
      <c r="E1758" s="82"/>
      <c r="F1758" s="83"/>
      <c r="G1758" s="111"/>
    </row>
    <row r="1759" spans="1:8" ht="13.5" thickBot="1">
      <c r="A1759" s="95"/>
      <c r="B1759" s="839" t="s">
        <v>841</v>
      </c>
      <c r="C1759" s="840"/>
      <c r="D1759" s="77"/>
      <c r="E1759" s="106"/>
      <c r="F1759" s="86"/>
      <c r="G1759" s="112"/>
    </row>
    <row r="1760" spans="1:8" ht="14.25" thickTop="1" thickBot="1">
      <c r="A1760" s="95"/>
      <c r="B1760" s="808"/>
      <c r="C1760" s="808"/>
      <c r="D1760" s="808"/>
      <c r="E1760" s="809"/>
      <c r="F1760" s="119" t="s">
        <v>856</v>
      </c>
      <c r="G1760" s="118">
        <f>SUM(G1755:G1759)</f>
        <v>7575</v>
      </c>
    </row>
    <row r="1761" spans="1:8" ht="14.25" thickTop="1" thickBot="1">
      <c r="A1761" s="95"/>
      <c r="B1761" s="830"/>
      <c r="C1761" s="830"/>
      <c r="D1761" s="830"/>
      <c r="E1761" s="830"/>
      <c r="F1761" s="830"/>
      <c r="G1761" s="830"/>
    </row>
    <row r="1762" spans="1:8" ht="13.5" thickTop="1">
      <c r="A1762" s="95"/>
      <c r="B1762" s="811" t="s">
        <v>311</v>
      </c>
      <c r="C1762" s="812"/>
      <c r="D1762" s="812"/>
      <c r="E1762" s="812"/>
      <c r="F1762" s="812"/>
      <c r="G1762" s="825"/>
    </row>
    <row r="1763" spans="1:8">
      <c r="A1763" s="95"/>
      <c r="B1763" s="817" t="s">
        <v>838</v>
      </c>
      <c r="C1763" s="818"/>
      <c r="D1763" s="98" t="s">
        <v>842</v>
      </c>
      <c r="E1763" s="98" t="s">
        <v>853</v>
      </c>
      <c r="F1763" s="99" t="s">
        <v>1047</v>
      </c>
      <c r="G1763" s="107" t="s">
        <v>840</v>
      </c>
    </row>
    <row r="1764" spans="1:8">
      <c r="A1764" s="95"/>
      <c r="B1764" s="230"/>
      <c r="C1764" s="102"/>
      <c r="D1764" s="100"/>
      <c r="E1764" s="100" t="s">
        <v>312</v>
      </c>
      <c r="F1764" s="101" t="s">
        <v>313</v>
      </c>
      <c r="G1764" s="108" t="s">
        <v>314</v>
      </c>
    </row>
    <row r="1765" spans="1:8">
      <c r="A1765" s="125"/>
      <c r="B1765" s="875"/>
      <c r="C1765" s="876"/>
      <c r="D1765" s="87"/>
      <c r="E1765" s="10"/>
      <c r="F1765" s="80"/>
      <c r="G1765" s="110"/>
    </row>
    <row r="1766" spans="1:8">
      <c r="A1766" s="123"/>
      <c r="B1766" s="877"/>
      <c r="C1766" s="878"/>
      <c r="D1766" s="88"/>
      <c r="E1766" s="53"/>
      <c r="F1766" s="82"/>
      <c r="G1766" s="111"/>
    </row>
    <row r="1767" spans="1:8">
      <c r="A1767" s="95"/>
      <c r="B1767" s="835"/>
      <c r="C1767" s="836"/>
      <c r="D1767" s="37"/>
      <c r="E1767" s="55"/>
      <c r="F1767" s="82"/>
      <c r="G1767" s="111"/>
    </row>
    <row r="1768" spans="1:8">
      <c r="A1768" s="95"/>
      <c r="B1768" s="835"/>
      <c r="C1768" s="836"/>
      <c r="D1768" s="37"/>
      <c r="E1768" s="55"/>
      <c r="F1768" s="82"/>
      <c r="G1768" s="111"/>
    </row>
    <row r="1769" spans="1:8">
      <c r="A1769" s="95"/>
      <c r="B1769" s="837"/>
      <c r="C1769" s="838"/>
      <c r="D1769" s="37"/>
      <c r="E1769" s="55"/>
      <c r="F1769" s="82"/>
      <c r="G1769" s="111"/>
    </row>
    <row r="1770" spans="1:8">
      <c r="A1770" s="95"/>
      <c r="B1770" s="837"/>
      <c r="C1770" s="838"/>
      <c r="D1770" s="53" t="s">
        <v>841</v>
      </c>
      <c r="E1770" s="53"/>
      <c r="F1770" s="82"/>
      <c r="G1770" s="111"/>
    </row>
    <row r="1771" spans="1:8">
      <c r="A1771" s="95"/>
      <c r="B1771" s="837" t="s">
        <v>841</v>
      </c>
      <c r="C1771" s="838"/>
      <c r="D1771" s="53" t="s">
        <v>841</v>
      </c>
      <c r="E1771" s="53"/>
      <c r="F1771" s="82"/>
      <c r="G1771" s="111"/>
    </row>
    <row r="1772" spans="1:8">
      <c r="A1772" s="95"/>
      <c r="B1772" s="837" t="s">
        <v>841</v>
      </c>
      <c r="C1772" s="838"/>
      <c r="D1772" s="53" t="s">
        <v>841</v>
      </c>
      <c r="E1772" s="53"/>
      <c r="F1772" s="82"/>
      <c r="G1772" s="111"/>
      <c r="H1772" s="505" t="s">
        <v>1670</v>
      </c>
    </row>
    <row r="1773" spans="1:8" ht="13.5" thickBot="1">
      <c r="A1773" s="95"/>
      <c r="B1773" s="839" t="s">
        <v>841</v>
      </c>
      <c r="C1773" s="840"/>
      <c r="D1773" s="84" t="s">
        <v>841</v>
      </c>
      <c r="E1773" s="84"/>
      <c r="F1773" s="85"/>
      <c r="G1773" s="112"/>
    </row>
    <row r="1774" spans="1:8" ht="13.5" thickTop="1">
      <c r="A1774" s="95"/>
      <c r="B1774" s="808"/>
      <c r="C1774" s="809"/>
      <c r="D1774" s="801" t="s">
        <v>856</v>
      </c>
      <c r="E1774" s="802"/>
      <c r="F1774" s="9"/>
      <c r="G1774" s="113">
        <f>SUM(G1765:G1773)</f>
        <v>0</v>
      </c>
    </row>
    <row r="1775" spans="1:8">
      <c r="A1775" s="95"/>
      <c r="B1775" s="819"/>
      <c r="C1775" s="820"/>
      <c r="D1775" s="801" t="s">
        <v>857</v>
      </c>
      <c r="E1775" s="802"/>
      <c r="F1775" s="79">
        <f>'MANO DE OBRA'!$D$60</f>
        <v>0.05</v>
      </c>
      <c r="G1775" s="113">
        <f>ROUND(G1774*F1775,0)</f>
        <v>0</v>
      </c>
    </row>
    <row r="1776" spans="1:8" ht="13.5" thickBot="1">
      <c r="A1776" s="95"/>
      <c r="B1776" s="819"/>
      <c r="C1776" s="820"/>
      <c r="D1776" s="803" t="s">
        <v>320</v>
      </c>
      <c r="E1776" s="804"/>
      <c r="F1776" s="114"/>
      <c r="G1776" s="118">
        <f>+G1774+G1775</f>
        <v>0</v>
      </c>
    </row>
    <row r="1777" spans="1:7" ht="14.25" thickTop="1" thickBot="1">
      <c r="A1777" s="95"/>
      <c r="B1777" s="830"/>
      <c r="C1777" s="830"/>
      <c r="D1777" s="830"/>
      <c r="E1777" s="830"/>
      <c r="F1777" s="830"/>
      <c r="G1777" s="830"/>
    </row>
    <row r="1778" spans="1:7" ht="13.5" thickTop="1">
      <c r="A1778" s="95"/>
      <c r="B1778" s="811" t="s">
        <v>858</v>
      </c>
      <c r="C1778" s="812"/>
      <c r="D1778" s="812"/>
      <c r="E1778" s="812"/>
      <c r="F1778" s="812"/>
      <c r="G1778" s="825"/>
    </row>
    <row r="1779" spans="1:7">
      <c r="A1779" s="95"/>
      <c r="B1779" s="817"/>
      <c r="C1779" s="818"/>
      <c r="D1779" s="98" t="s">
        <v>301</v>
      </c>
      <c r="E1779" s="98" t="s">
        <v>859</v>
      </c>
      <c r="F1779" s="99" t="s">
        <v>839</v>
      </c>
      <c r="G1779" s="107" t="s">
        <v>840</v>
      </c>
    </row>
    <row r="1780" spans="1:7">
      <c r="A1780" s="95"/>
      <c r="B1780" s="821" t="s">
        <v>838</v>
      </c>
      <c r="C1780" s="822"/>
      <c r="D1780" s="100" t="s">
        <v>316</v>
      </c>
      <c r="E1780" s="100" t="s">
        <v>315</v>
      </c>
      <c r="F1780" s="101" t="s">
        <v>306</v>
      </c>
      <c r="G1780" s="108" t="s">
        <v>319</v>
      </c>
    </row>
    <row r="1781" spans="1:7">
      <c r="A1781" s="95"/>
      <c r="B1781" s="230"/>
      <c r="C1781" s="102"/>
      <c r="D1781" s="103"/>
      <c r="E1781" s="103" t="s">
        <v>317</v>
      </c>
      <c r="F1781" s="104" t="s">
        <v>318</v>
      </c>
      <c r="G1781" s="109"/>
    </row>
    <row r="1782" spans="1:7">
      <c r="A1782" s="95"/>
      <c r="B1782" s="823" t="str">
        <f>'MANO DE OBRA'!$B$10</f>
        <v>AYUDANTE CUAD. TIPO AA</v>
      </c>
      <c r="C1782" s="824"/>
      <c r="D1782" s="87">
        <v>1</v>
      </c>
      <c r="E1782" s="80">
        <f>'MANO DE OBRA'!$E$10</f>
        <v>34680</v>
      </c>
      <c r="F1782" s="81">
        <v>0.33</v>
      </c>
      <c r="G1782" s="110">
        <f>ROUND(D1782*E1782/F1782,0)</f>
        <v>105091</v>
      </c>
    </row>
    <row r="1783" spans="1:7">
      <c r="A1783" s="95"/>
      <c r="B1783" s="835"/>
      <c r="C1783" s="836"/>
      <c r="D1783" s="37"/>
      <c r="E1783" s="82"/>
      <c r="F1783" s="83"/>
      <c r="G1783" s="111"/>
    </row>
    <row r="1784" spans="1:7">
      <c r="A1784" s="95"/>
      <c r="B1784" s="835"/>
      <c r="C1784" s="836"/>
      <c r="D1784" s="89"/>
      <c r="E1784" s="82"/>
      <c r="F1784" s="83"/>
      <c r="G1784" s="111"/>
    </row>
    <row r="1785" spans="1:7">
      <c r="A1785" s="95"/>
      <c r="B1785" s="835" t="s">
        <v>841</v>
      </c>
      <c r="C1785" s="836"/>
      <c r="D1785" s="37"/>
      <c r="E1785" s="82"/>
      <c r="F1785" s="83"/>
      <c r="G1785" s="111"/>
    </row>
    <row r="1786" spans="1:7" ht="13.5" thickBot="1">
      <c r="A1786" s="95"/>
      <c r="B1786" s="828" t="s">
        <v>841</v>
      </c>
      <c r="C1786" s="829"/>
      <c r="D1786" s="77"/>
      <c r="E1786" s="82"/>
      <c r="F1786" s="86"/>
      <c r="G1786" s="112"/>
    </row>
    <row r="1787" spans="1:7" ht="14.25" thickTop="1" thickBot="1">
      <c r="A1787" s="95"/>
      <c r="B1787" s="808"/>
      <c r="C1787" s="808"/>
      <c r="D1787" s="808"/>
      <c r="E1787" s="809"/>
      <c r="F1787" s="120" t="s">
        <v>856</v>
      </c>
      <c r="G1787" s="118">
        <f>SUM(G1782:G1786)</f>
        <v>105091</v>
      </c>
    </row>
    <row r="1788" spans="1:7" ht="14.25" thickTop="1" thickBot="1">
      <c r="A1788" s="95"/>
      <c r="B1788" s="810"/>
      <c r="C1788" s="810"/>
      <c r="D1788" s="810"/>
      <c r="E1788" s="810"/>
      <c r="F1788" s="810"/>
      <c r="G1788" s="810"/>
    </row>
    <row r="1789" spans="1:7" ht="13.5" thickTop="1">
      <c r="A1789" s="95"/>
      <c r="B1789" s="811" t="s">
        <v>321</v>
      </c>
      <c r="C1789" s="812"/>
      <c r="D1789" s="812"/>
      <c r="E1789" s="812"/>
      <c r="F1789" s="812"/>
      <c r="G1789" s="825"/>
    </row>
    <row r="1790" spans="1:7">
      <c r="A1790" s="95"/>
      <c r="B1790" s="817" t="s">
        <v>838</v>
      </c>
      <c r="C1790" s="818"/>
      <c r="D1790" s="98" t="s">
        <v>301</v>
      </c>
      <c r="E1790" s="98" t="s">
        <v>297</v>
      </c>
      <c r="F1790" s="99" t="s">
        <v>839</v>
      </c>
      <c r="G1790" s="107" t="s">
        <v>840</v>
      </c>
    </row>
    <row r="1791" spans="1:7">
      <c r="A1791" s="95"/>
      <c r="B1791" s="230"/>
      <c r="C1791" s="102"/>
      <c r="D1791" s="103" t="s">
        <v>322</v>
      </c>
      <c r="E1791" s="103" t="s">
        <v>323</v>
      </c>
      <c r="F1791" s="104" t="s">
        <v>324</v>
      </c>
      <c r="G1791" s="109" t="s">
        <v>325</v>
      </c>
    </row>
    <row r="1792" spans="1:7">
      <c r="A1792" s="95"/>
      <c r="B1792" s="826"/>
      <c r="C1792" s="827"/>
      <c r="D1792" s="96"/>
      <c r="E1792" s="96"/>
      <c r="F1792" s="96"/>
      <c r="G1792" s="116"/>
    </row>
    <row r="1793" spans="1:8" ht="13.5" thickBot="1">
      <c r="A1793" s="95"/>
      <c r="B1793" s="828" t="s">
        <v>841</v>
      </c>
      <c r="C1793" s="829"/>
      <c r="D1793" s="77"/>
      <c r="E1793" s="82"/>
      <c r="F1793" s="86"/>
      <c r="G1793" s="112"/>
    </row>
    <row r="1794" spans="1:8" ht="14.25" thickTop="1" thickBot="1">
      <c r="A1794" s="95"/>
      <c r="B1794" s="808"/>
      <c r="C1794" s="808"/>
      <c r="D1794" s="808"/>
      <c r="E1794" s="809"/>
      <c r="F1794" s="120" t="s">
        <v>856</v>
      </c>
      <c r="G1794" s="118">
        <f>SUM(G1789:G1793)</f>
        <v>0</v>
      </c>
    </row>
    <row r="1795" spans="1:8" ht="14.25" thickTop="1" thickBot="1">
      <c r="A1795" s="95"/>
      <c r="B1795" s="810"/>
      <c r="C1795" s="810"/>
      <c r="D1795" s="810"/>
      <c r="E1795" s="810"/>
      <c r="F1795" s="810"/>
      <c r="G1795" s="834"/>
    </row>
    <row r="1796" spans="1:8" ht="13.5" thickTop="1">
      <c r="A1796" s="95"/>
      <c r="B1796" s="811" t="s">
        <v>326</v>
      </c>
      <c r="C1796" s="812"/>
      <c r="D1796" s="812"/>
      <c r="E1796" s="812"/>
      <c r="F1796" s="813"/>
      <c r="G1796" s="121">
        <f>+G1760+G1776+G1787</f>
        <v>112666</v>
      </c>
    </row>
    <row r="1797" spans="1:8">
      <c r="A1797" s="95"/>
      <c r="B1797" s="814" t="s">
        <v>861</v>
      </c>
      <c r="C1797" s="815"/>
      <c r="D1797" s="815"/>
      <c r="E1797" s="816"/>
      <c r="F1797" s="128">
        <f>'MANO DE OBRA'!D1589</f>
        <v>0</v>
      </c>
      <c r="G1797" s="122">
        <f>ROUND(G1796*F1797,0)</f>
        <v>0</v>
      </c>
    </row>
    <row r="1798" spans="1:8" ht="13.5" thickBot="1">
      <c r="A1798" s="95"/>
      <c r="B1798" s="805" t="s">
        <v>1049</v>
      </c>
      <c r="C1798" s="806"/>
      <c r="D1798" s="806"/>
      <c r="E1798" s="806"/>
      <c r="F1798" s="807"/>
      <c r="G1798" s="118">
        <f>ROUND(G1796+G1797,-2)</f>
        <v>112700</v>
      </c>
      <c r="H1798" s="505" t="s">
        <v>1670</v>
      </c>
    </row>
    <row r="1799" spans="1:8" ht="15" thickTop="1">
      <c r="A1799" s="95"/>
      <c r="B1799" s="225" t="s">
        <v>303</v>
      </c>
      <c r="C1799" s="843"/>
      <c r="D1799" s="843"/>
      <c r="E1799" s="843"/>
      <c r="F1799" s="92" t="s">
        <v>781</v>
      </c>
      <c r="G1799" s="93" t="s">
        <v>1066</v>
      </c>
    </row>
    <row r="1800" spans="1:8">
      <c r="A1800" s="95"/>
      <c r="B1800" s="226" t="s">
        <v>834</v>
      </c>
      <c r="C1800" s="844" t="s">
        <v>342</v>
      </c>
      <c r="D1800" s="844"/>
      <c r="E1800" s="844"/>
      <c r="F1800" s="15" t="s">
        <v>833</v>
      </c>
      <c r="G1800" s="165" t="str">
        <f>'MANO DE OBRA'!$D$61</f>
        <v>Agosto de 2010</v>
      </c>
    </row>
    <row r="1801" spans="1:8" ht="27.75" customHeight="1" thickBot="1">
      <c r="A1801" s="236"/>
      <c r="B1801" s="240" t="s">
        <v>835</v>
      </c>
      <c r="C1801" s="934" t="s">
        <v>817</v>
      </c>
      <c r="D1801" s="934"/>
      <c r="E1801" s="934"/>
      <c r="F1801" s="934"/>
      <c r="G1801" s="935"/>
    </row>
    <row r="1802" spans="1:8" ht="14.25" thickTop="1" thickBot="1">
      <c r="A1802" s="95"/>
      <c r="B1802" s="847"/>
      <c r="C1802" s="847"/>
      <c r="D1802" s="847"/>
      <c r="E1802" s="847"/>
      <c r="F1802" s="847"/>
      <c r="G1802" s="847"/>
    </row>
    <row r="1803" spans="1:8" ht="13.5" thickTop="1">
      <c r="A1803" s="95"/>
      <c r="B1803" s="811" t="s">
        <v>304</v>
      </c>
      <c r="C1803" s="812"/>
      <c r="D1803" s="812"/>
      <c r="E1803" s="812"/>
      <c r="F1803" s="812"/>
      <c r="G1803" s="825"/>
    </row>
    <row r="1804" spans="1:8">
      <c r="A1804" s="95"/>
      <c r="B1804" s="229"/>
      <c r="C1804" s="97"/>
      <c r="D1804" s="98" t="s">
        <v>301</v>
      </c>
      <c r="E1804" s="98" t="s">
        <v>1072</v>
      </c>
      <c r="F1804" s="99" t="s">
        <v>839</v>
      </c>
      <c r="G1804" s="107" t="s">
        <v>840</v>
      </c>
    </row>
    <row r="1805" spans="1:8">
      <c r="A1805" s="95"/>
      <c r="B1805" s="821" t="s">
        <v>838</v>
      </c>
      <c r="C1805" s="822"/>
      <c r="D1805" s="100" t="s">
        <v>308</v>
      </c>
      <c r="E1805" s="100" t="s">
        <v>305</v>
      </c>
      <c r="F1805" s="101" t="s">
        <v>306</v>
      </c>
      <c r="G1805" s="108" t="s">
        <v>310</v>
      </c>
    </row>
    <row r="1806" spans="1:8">
      <c r="A1806" s="95"/>
      <c r="B1806" s="230"/>
      <c r="C1806" s="102"/>
      <c r="D1806" s="103"/>
      <c r="E1806" s="103" t="s">
        <v>309</v>
      </c>
      <c r="F1806" s="104" t="s">
        <v>307</v>
      </c>
      <c r="G1806" s="109"/>
    </row>
    <row r="1807" spans="1:8">
      <c r="A1807" s="127"/>
      <c r="B1807" s="823" t="str">
        <f>'MAQUINARIA Y EQUIPOS'!$C$28</f>
        <v>HERRAMIENTAS MENORES</v>
      </c>
      <c r="C1807" s="824"/>
      <c r="D1807" s="87">
        <v>1</v>
      </c>
      <c r="E1807" s="82">
        <f>ROUND(G1839*0.05,0)</f>
        <v>1521</v>
      </c>
      <c r="F1807" s="81">
        <v>1</v>
      </c>
      <c r="G1807" s="110">
        <f>ROUND(D1807*E1807/F1807,0)</f>
        <v>1521</v>
      </c>
    </row>
    <row r="1808" spans="1:8">
      <c r="A1808" s="127"/>
      <c r="B1808" s="835" t="str">
        <f>'MAQUINARIA Y EQUIPOS'!$C$35</f>
        <v>MOTOBOMBA 3"</v>
      </c>
      <c r="C1808" s="836"/>
      <c r="D1808" s="37">
        <v>1</v>
      </c>
      <c r="E1808" s="82">
        <f>'MAQUINARIA Y EQUIPOS'!$D$35</f>
        <v>46400</v>
      </c>
      <c r="F1808" s="83">
        <v>40</v>
      </c>
      <c r="G1808" s="111">
        <f>ROUND(D1808*E1808/F1808,0)</f>
        <v>1160</v>
      </c>
    </row>
    <row r="1809" spans="1:8">
      <c r="A1809" s="95"/>
      <c r="B1809" s="835"/>
      <c r="C1809" s="836"/>
      <c r="D1809" s="89"/>
      <c r="E1809" s="82"/>
      <c r="F1809" s="83"/>
      <c r="G1809" s="111"/>
    </row>
    <row r="1810" spans="1:8">
      <c r="A1810" s="95"/>
      <c r="B1810" s="835" t="s">
        <v>841</v>
      </c>
      <c r="C1810" s="836"/>
      <c r="D1810" s="37"/>
      <c r="E1810" s="82"/>
      <c r="F1810" s="83"/>
      <c r="G1810" s="111"/>
    </row>
    <row r="1811" spans="1:8" ht="13.5" thickBot="1">
      <c r="A1811" s="95"/>
      <c r="B1811" s="839" t="s">
        <v>841</v>
      </c>
      <c r="C1811" s="840"/>
      <c r="D1811" s="77"/>
      <c r="E1811" s="106"/>
      <c r="F1811" s="86"/>
      <c r="G1811" s="112"/>
    </row>
    <row r="1812" spans="1:8" ht="14.25" thickTop="1" thickBot="1">
      <c r="A1812" s="95"/>
      <c r="B1812" s="808"/>
      <c r="C1812" s="808"/>
      <c r="D1812" s="808"/>
      <c r="E1812" s="809"/>
      <c r="F1812" s="119" t="s">
        <v>856</v>
      </c>
      <c r="G1812" s="118">
        <f>SUM(G1807:G1811)</f>
        <v>2681</v>
      </c>
    </row>
    <row r="1813" spans="1:8" ht="14.25" thickTop="1" thickBot="1">
      <c r="A1813" s="95"/>
      <c r="B1813" s="830"/>
      <c r="C1813" s="830"/>
      <c r="D1813" s="830"/>
      <c r="E1813" s="830"/>
      <c r="F1813" s="830"/>
      <c r="G1813" s="830"/>
    </row>
    <row r="1814" spans="1:8" ht="13.5" thickTop="1">
      <c r="A1814" s="95"/>
      <c r="B1814" s="811" t="s">
        <v>311</v>
      </c>
      <c r="C1814" s="812"/>
      <c r="D1814" s="812"/>
      <c r="E1814" s="812"/>
      <c r="F1814" s="812"/>
      <c r="G1814" s="825"/>
    </row>
    <row r="1815" spans="1:8">
      <c r="A1815" s="95"/>
      <c r="B1815" s="817" t="s">
        <v>838</v>
      </c>
      <c r="C1815" s="818"/>
      <c r="D1815" s="98" t="s">
        <v>842</v>
      </c>
      <c r="E1815" s="98" t="s">
        <v>853</v>
      </c>
      <c r="F1815" s="99" t="s">
        <v>1047</v>
      </c>
      <c r="G1815" s="107" t="s">
        <v>840</v>
      </c>
    </row>
    <row r="1816" spans="1:8">
      <c r="A1816" s="95"/>
      <c r="B1816" s="230"/>
      <c r="C1816" s="102"/>
      <c r="D1816" s="100"/>
      <c r="E1816" s="100" t="s">
        <v>312</v>
      </c>
      <c r="F1816" s="101" t="s">
        <v>313</v>
      </c>
      <c r="G1816" s="108" t="s">
        <v>314</v>
      </c>
    </row>
    <row r="1817" spans="1:8">
      <c r="A1817" s="125"/>
      <c r="B1817" s="875"/>
      <c r="C1817" s="876"/>
      <c r="D1817" s="87"/>
      <c r="E1817" s="10"/>
      <c r="F1817" s="80"/>
      <c r="G1817" s="110"/>
    </row>
    <row r="1818" spans="1:8">
      <c r="A1818" s="123"/>
      <c r="B1818" s="877"/>
      <c r="C1818" s="878"/>
      <c r="D1818" s="88"/>
      <c r="E1818" s="53"/>
      <c r="F1818" s="82"/>
      <c r="G1818" s="111"/>
    </row>
    <row r="1819" spans="1:8">
      <c r="A1819" s="95"/>
      <c r="B1819" s="835"/>
      <c r="C1819" s="836"/>
      <c r="D1819" s="37"/>
      <c r="E1819" s="55"/>
      <c r="F1819" s="82"/>
      <c r="G1819" s="111"/>
    </row>
    <row r="1820" spans="1:8">
      <c r="A1820" s="95"/>
      <c r="B1820" s="835"/>
      <c r="C1820" s="836"/>
      <c r="D1820" s="37"/>
      <c r="E1820" s="55"/>
      <c r="F1820" s="82"/>
      <c r="G1820" s="111"/>
    </row>
    <row r="1821" spans="1:8">
      <c r="A1821" s="95"/>
      <c r="B1821" s="837"/>
      <c r="C1821" s="838"/>
      <c r="D1821" s="37"/>
      <c r="E1821" s="55"/>
      <c r="F1821" s="82"/>
      <c r="G1821" s="111"/>
    </row>
    <row r="1822" spans="1:8">
      <c r="A1822" s="95"/>
      <c r="B1822" s="837"/>
      <c r="C1822" s="838"/>
      <c r="D1822" s="53" t="s">
        <v>841</v>
      </c>
      <c r="E1822" s="53"/>
      <c r="F1822" s="82"/>
      <c r="G1822" s="111"/>
    </row>
    <row r="1823" spans="1:8">
      <c r="A1823" s="95"/>
      <c r="B1823" s="837" t="s">
        <v>841</v>
      </c>
      <c r="C1823" s="838"/>
      <c r="D1823" s="53" t="s">
        <v>841</v>
      </c>
      <c r="E1823" s="53"/>
      <c r="F1823" s="82"/>
      <c r="G1823" s="111"/>
    </row>
    <row r="1824" spans="1:8">
      <c r="A1824" s="95"/>
      <c r="B1824" s="837" t="s">
        <v>841</v>
      </c>
      <c r="C1824" s="838"/>
      <c r="D1824" s="53" t="s">
        <v>841</v>
      </c>
      <c r="E1824" s="53"/>
      <c r="F1824" s="82"/>
      <c r="G1824" s="111"/>
      <c r="H1824" s="505" t="s">
        <v>1670</v>
      </c>
    </row>
    <row r="1825" spans="1:7" ht="13.5" thickBot="1">
      <c r="A1825" s="95"/>
      <c r="B1825" s="839" t="s">
        <v>841</v>
      </c>
      <c r="C1825" s="840"/>
      <c r="D1825" s="84" t="s">
        <v>841</v>
      </c>
      <c r="E1825" s="84"/>
      <c r="F1825" s="85"/>
      <c r="G1825" s="112"/>
    </row>
    <row r="1826" spans="1:7" ht="13.5" thickTop="1">
      <c r="A1826" s="95"/>
      <c r="B1826" s="808"/>
      <c r="C1826" s="809"/>
      <c r="D1826" s="801" t="s">
        <v>856</v>
      </c>
      <c r="E1826" s="802"/>
      <c r="F1826" s="9"/>
      <c r="G1826" s="113">
        <f>SUM(G1817:G1825)</f>
        <v>0</v>
      </c>
    </row>
    <row r="1827" spans="1:7">
      <c r="A1827" s="95"/>
      <c r="B1827" s="819"/>
      <c r="C1827" s="820"/>
      <c r="D1827" s="801" t="s">
        <v>857</v>
      </c>
      <c r="E1827" s="802"/>
      <c r="F1827" s="79">
        <f>'MANO DE OBRA'!$D$60</f>
        <v>0.05</v>
      </c>
      <c r="G1827" s="113">
        <f>ROUND(G1826*F1827,0)</f>
        <v>0</v>
      </c>
    </row>
    <row r="1828" spans="1:7" ht="13.5" thickBot="1">
      <c r="A1828" s="95"/>
      <c r="B1828" s="819"/>
      <c r="C1828" s="820"/>
      <c r="D1828" s="803" t="s">
        <v>320</v>
      </c>
      <c r="E1828" s="804"/>
      <c r="F1828" s="114"/>
      <c r="G1828" s="118">
        <f>+G1826+G1827</f>
        <v>0</v>
      </c>
    </row>
    <row r="1829" spans="1:7" ht="14.25" thickTop="1" thickBot="1">
      <c r="A1829" s="95"/>
      <c r="B1829" s="830"/>
      <c r="C1829" s="830"/>
      <c r="D1829" s="830"/>
      <c r="E1829" s="830"/>
      <c r="F1829" s="830"/>
      <c r="G1829" s="830"/>
    </row>
    <row r="1830" spans="1:7" ht="13.5" thickTop="1">
      <c r="A1830" s="95"/>
      <c r="B1830" s="811" t="s">
        <v>858</v>
      </c>
      <c r="C1830" s="812"/>
      <c r="D1830" s="812"/>
      <c r="E1830" s="812"/>
      <c r="F1830" s="812"/>
      <c r="G1830" s="825"/>
    </row>
    <row r="1831" spans="1:7">
      <c r="A1831" s="95"/>
      <c r="B1831" s="817"/>
      <c r="C1831" s="818"/>
      <c r="D1831" s="98" t="s">
        <v>301</v>
      </c>
      <c r="E1831" s="98" t="s">
        <v>859</v>
      </c>
      <c r="F1831" s="99" t="s">
        <v>839</v>
      </c>
      <c r="G1831" s="107" t="s">
        <v>840</v>
      </c>
    </row>
    <row r="1832" spans="1:7">
      <c r="A1832" s="95"/>
      <c r="B1832" s="821" t="s">
        <v>838</v>
      </c>
      <c r="C1832" s="822"/>
      <c r="D1832" s="100" t="s">
        <v>316</v>
      </c>
      <c r="E1832" s="100" t="s">
        <v>315</v>
      </c>
      <c r="F1832" s="101" t="s">
        <v>306</v>
      </c>
      <c r="G1832" s="108" t="s">
        <v>319</v>
      </c>
    </row>
    <row r="1833" spans="1:7">
      <c r="A1833" s="95"/>
      <c r="B1833" s="230"/>
      <c r="C1833" s="102"/>
      <c r="D1833" s="103"/>
      <c r="E1833" s="103" t="s">
        <v>317</v>
      </c>
      <c r="F1833" s="104" t="s">
        <v>318</v>
      </c>
      <c r="G1833" s="109"/>
    </row>
    <row r="1834" spans="1:7">
      <c r="A1834" s="95"/>
      <c r="B1834" s="823" t="str">
        <f>'MANO DE OBRA'!$B$10</f>
        <v>AYUDANTE CUAD. TIPO AA</v>
      </c>
      <c r="C1834" s="824"/>
      <c r="D1834" s="87">
        <v>1</v>
      </c>
      <c r="E1834" s="80">
        <f>'MANO DE OBRA'!$E$10</f>
        <v>34680</v>
      </c>
      <c r="F1834" s="81">
        <v>1.1399999999999999</v>
      </c>
      <c r="G1834" s="110">
        <f>ROUND(D1834*E1834/F1834,0)</f>
        <v>30421</v>
      </c>
    </row>
    <row r="1835" spans="1:7">
      <c r="A1835" s="95"/>
      <c r="B1835" s="835"/>
      <c r="C1835" s="836"/>
      <c r="D1835" s="37"/>
      <c r="E1835" s="82"/>
      <c r="F1835" s="83"/>
      <c r="G1835" s="111"/>
    </row>
    <row r="1836" spans="1:7">
      <c r="A1836" s="95"/>
      <c r="B1836" s="835"/>
      <c r="C1836" s="836"/>
      <c r="D1836" s="89"/>
      <c r="E1836" s="82"/>
      <c r="F1836" s="83"/>
      <c r="G1836" s="111"/>
    </row>
    <row r="1837" spans="1:7">
      <c r="A1837" s="95"/>
      <c r="B1837" s="835" t="s">
        <v>841</v>
      </c>
      <c r="C1837" s="836"/>
      <c r="D1837" s="37"/>
      <c r="E1837" s="82"/>
      <c r="F1837" s="83"/>
      <c r="G1837" s="111"/>
    </row>
    <row r="1838" spans="1:7" ht="13.5" thickBot="1">
      <c r="A1838" s="95"/>
      <c r="B1838" s="828" t="s">
        <v>841</v>
      </c>
      <c r="C1838" s="829"/>
      <c r="D1838" s="77"/>
      <c r="E1838" s="82"/>
      <c r="F1838" s="86"/>
      <c r="G1838" s="112"/>
    </row>
    <row r="1839" spans="1:7" ht="14.25" thickTop="1" thickBot="1">
      <c r="A1839" s="95"/>
      <c r="B1839" s="808"/>
      <c r="C1839" s="808"/>
      <c r="D1839" s="808"/>
      <c r="E1839" s="809"/>
      <c r="F1839" s="120" t="s">
        <v>856</v>
      </c>
      <c r="G1839" s="118">
        <f>SUM(G1834:G1838)</f>
        <v>30421</v>
      </c>
    </row>
    <row r="1840" spans="1:7" ht="14.25" thickTop="1" thickBot="1">
      <c r="A1840" s="95"/>
      <c r="B1840" s="810"/>
      <c r="C1840" s="810"/>
      <c r="D1840" s="810"/>
      <c r="E1840" s="810"/>
      <c r="F1840" s="810"/>
      <c r="G1840" s="810"/>
    </row>
    <row r="1841" spans="1:8" ht="13.5" thickTop="1">
      <c r="A1841" s="95"/>
      <c r="B1841" s="811" t="s">
        <v>321</v>
      </c>
      <c r="C1841" s="812"/>
      <c r="D1841" s="812"/>
      <c r="E1841" s="812"/>
      <c r="F1841" s="812"/>
      <c r="G1841" s="825"/>
    </row>
    <row r="1842" spans="1:8">
      <c r="A1842" s="95"/>
      <c r="B1842" s="817" t="s">
        <v>838</v>
      </c>
      <c r="C1842" s="818"/>
      <c r="D1842" s="98" t="s">
        <v>301</v>
      </c>
      <c r="E1842" s="98" t="s">
        <v>297</v>
      </c>
      <c r="F1842" s="99" t="s">
        <v>839</v>
      </c>
      <c r="G1842" s="107" t="s">
        <v>840</v>
      </c>
    </row>
    <row r="1843" spans="1:8">
      <c r="A1843" s="95"/>
      <c r="B1843" s="230"/>
      <c r="C1843" s="102"/>
      <c r="D1843" s="103" t="s">
        <v>322</v>
      </c>
      <c r="E1843" s="103" t="s">
        <v>323</v>
      </c>
      <c r="F1843" s="104" t="s">
        <v>324</v>
      </c>
      <c r="G1843" s="109" t="s">
        <v>325</v>
      </c>
    </row>
    <row r="1844" spans="1:8">
      <c r="A1844" s="95"/>
      <c r="B1844" s="826"/>
      <c r="C1844" s="827"/>
      <c r="D1844" s="96"/>
      <c r="E1844" s="96"/>
      <c r="F1844" s="96"/>
      <c r="G1844" s="116"/>
    </row>
    <row r="1845" spans="1:8" ht="13.5" thickBot="1">
      <c r="A1845" s="95"/>
      <c r="B1845" s="828" t="s">
        <v>841</v>
      </c>
      <c r="C1845" s="829"/>
      <c r="D1845" s="77"/>
      <c r="E1845" s="82"/>
      <c r="F1845" s="86"/>
      <c r="G1845" s="112"/>
    </row>
    <row r="1846" spans="1:8" ht="14.25" thickTop="1" thickBot="1">
      <c r="A1846" s="95"/>
      <c r="B1846" s="808"/>
      <c r="C1846" s="808"/>
      <c r="D1846" s="808"/>
      <c r="E1846" s="809"/>
      <c r="F1846" s="120" t="s">
        <v>856</v>
      </c>
      <c r="G1846" s="118">
        <f>SUM(G1841:G1845)</f>
        <v>0</v>
      </c>
    </row>
    <row r="1847" spans="1:8" ht="14.25" thickTop="1" thickBot="1">
      <c r="A1847" s="95"/>
      <c r="B1847" s="810"/>
      <c r="C1847" s="810"/>
      <c r="D1847" s="810"/>
      <c r="E1847" s="810"/>
      <c r="F1847" s="810"/>
      <c r="G1847" s="834"/>
    </row>
    <row r="1848" spans="1:8" ht="13.5" thickTop="1">
      <c r="A1848" s="95"/>
      <c r="B1848" s="811" t="s">
        <v>326</v>
      </c>
      <c r="C1848" s="812"/>
      <c r="D1848" s="812"/>
      <c r="E1848" s="812"/>
      <c r="F1848" s="813"/>
      <c r="G1848" s="121">
        <f>+G1812+G1828+G1839</f>
        <v>33102</v>
      </c>
    </row>
    <row r="1849" spans="1:8">
      <c r="A1849" s="95"/>
      <c r="B1849" s="814" t="s">
        <v>861</v>
      </c>
      <c r="C1849" s="815"/>
      <c r="D1849" s="815"/>
      <c r="E1849" s="816"/>
      <c r="F1849" s="128">
        <f>'MANO DE OBRA'!D1641</f>
        <v>0</v>
      </c>
      <c r="G1849" s="122">
        <f>ROUND(G1848*F1849,0)</f>
        <v>0</v>
      </c>
    </row>
    <row r="1850" spans="1:8" ht="13.5" thickBot="1">
      <c r="A1850" s="95"/>
      <c r="B1850" s="805" t="s">
        <v>1049</v>
      </c>
      <c r="C1850" s="806"/>
      <c r="D1850" s="806"/>
      <c r="E1850" s="806"/>
      <c r="F1850" s="807"/>
      <c r="G1850" s="118">
        <f>ROUND(G1848+G1849,-2)</f>
        <v>33100</v>
      </c>
      <c r="H1850" s="505" t="s">
        <v>1670</v>
      </c>
    </row>
    <row r="1851" spans="1:8" ht="15" thickTop="1">
      <c r="A1851" s="95"/>
      <c r="B1851" s="225" t="s">
        <v>303</v>
      </c>
      <c r="C1851" s="843"/>
      <c r="D1851" s="843"/>
      <c r="E1851" s="843"/>
      <c r="F1851" s="92" t="s">
        <v>781</v>
      </c>
      <c r="G1851" s="93" t="s">
        <v>1066</v>
      </c>
    </row>
    <row r="1852" spans="1:8">
      <c r="A1852" s="95"/>
      <c r="B1852" s="226" t="s">
        <v>834</v>
      </c>
      <c r="C1852" s="844" t="s">
        <v>342</v>
      </c>
      <c r="D1852" s="844"/>
      <c r="E1852" s="844"/>
      <c r="F1852" s="15" t="s">
        <v>833</v>
      </c>
      <c r="G1852" s="165" t="str">
        <f>'MANO DE OBRA'!$D$61</f>
        <v>Agosto de 2010</v>
      </c>
    </row>
    <row r="1853" spans="1:8" ht="27.75" customHeight="1" thickBot="1">
      <c r="A1853" s="236"/>
      <c r="B1853" s="240" t="s">
        <v>835</v>
      </c>
      <c r="C1853" s="934" t="s">
        <v>818</v>
      </c>
      <c r="D1853" s="934"/>
      <c r="E1853" s="934"/>
      <c r="F1853" s="934"/>
      <c r="G1853" s="935"/>
    </row>
    <row r="1854" spans="1:8" ht="14.25" thickTop="1" thickBot="1">
      <c r="A1854" s="95"/>
      <c r="B1854" s="847"/>
      <c r="C1854" s="847"/>
      <c r="D1854" s="847"/>
      <c r="E1854" s="847"/>
      <c r="F1854" s="847"/>
      <c r="G1854" s="847"/>
    </row>
    <row r="1855" spans="1:8" ht="13.5" thickTop="1">
      <c r="A1855" s="95"/>
      <c r="B1855" s="811" t="s">
        <v>304</v>
      </c>
      <c r="C1855" s="812"/>
      <c r="D1855" s="812"/>
      <c r="E1855" s="812"/>
      <c r="F1855" s="812"/>
      <c r="G1855" s="825"/>
    </row>
    <row r="1856" spans="1:8">
      <c r="A1856" s="95"/>
      <c r="B1856" s="229"/>
      <c r="C1856" s="97"/>
      <c r="D1856" s="98" t="s">
        <v>301</v>
      </c>
      <c r="E1856" s="98" t="s">
        <v>1072</v>
      </c>
      <c r="F1856" s="99" t="s">
        <v>839</v>
      </c>
      <c r="G1856" s="107" t="s">
        <v>840</v>
      </c>
    </row>
    <row r="1857" spans="1:7">
      <c r="A1857" s="95"/>
      <c r="B1857" s="821" t="s">
        <v>838</v>
      </c>
      <c r="C1857" s="822"/>
      <c r="D1857" s="100" t="s">
        <v>308</v>
      </c>
      <c r="E1857" s="100" t="s">
        <v>305</v>
      </c>
      <c r="F1857" s="101" t="s">
        <v>306</v>
      </c>
      <c r="G1857" s="108" t="s">
        <v>310</v>
      </c>
    </row>
    <row r="1858" spans="1:7">
      <c r="A1858" s="95"/>
      <c r="B1858" s="230"/>
      <c r="C1858" s="102"/>
      <c r="D1858" s="103"/>
      <c r="E1858" s="103" t="s">
        <v>309</v>
      </c>
      <c r="F1858" s="104" t="s">
        <v>307</v>
      </c>
      <c r="G1858" s="109"/>
    </row>
    <row r="1859" spans="1:7">
      <c r="A1859" s="127"/>
      <c r="B1859" s="823" t="str">
        <f>'MAQUINARIA Y EQUIPOS'!$C$28</f>
        <v>HERRAMIENTAS MENORES</v>
      </c>
      <c r="C1859" s="824"/>
      <c r="D1859" s="87">
        <v>1</v>
      </c>
      <c r="E1859" s="82">
        <f>ROUND(G1891*0.05,0)</f>
        <v>1948</v>
      </c>
      <c r="F1859" s="81">
        <v>1</v>
      </c>
      <c r="G1859" s="110">
        <f>ROUND(D1859*E1859/F1859,0)</f>
        <v>1948</v>
      </c>
    </row>
    <row r="1860" spans="1:7">
      <c r="A1860" s="127"/>
      <c r="B1860" s="835" t="str">
        <f>'MAQUINARIA Y EQUIPOS'!$C$35</f>
        <v>MOTOBOMBA 3"</v>
      </c>
      <c r="C1860" s="836"/>
      <c r="D1860" s="37">
        <v>1</v>
      </c>
      <c r="E1860" s="82">
        <f>'MAQUINARIA Y EQUIPOS'!$D$35</f>
        <v>46400</v>
      </c>
      <c r="F1860" s="83">
        <v>35</v>
      </c>
      <c r="G1860" s="111">
        <f>ROUND(D1860*E1860/F1860,0)</f>
        <v>1326</v>
      </c>
    </row>
    <row r="1861" spans="1:7">
      <c r="A1861" s="95"/>
      <c r="B1861" s="835"/>
      <c r="C1861" s="836"/>
      <c r="D1861" s="89"/>
      <c r="E1861" s="82"/>
      <c r="F1861" s="83"/>
      <c r="G1861" s="111"/>
    </row>
    <row r="1862" spans="1:7">
      <c r="A1862" s="95"/>
      <c r="B1862" s="835" t="s">
        <v>841</v>
      </c>
      <c r="C1862" s="836"/>
      <c r="D1862" s="37"/>
      <c r="E1862" s="82"/>
      <c r="F1862" s="83"/>
      <c r="G1862" s="111"/>
    </row>
    <row r="1863" spans="1:7" ht="13.5" thickBot="1">
      <c r="A1863" s="95"/>
      <c r="B1863" s="839" t="s">
        <v>841</v>
      </c>
      <c r="C1863" s="840"/>
      <c r="D1863" s="77"/>
      <c r="E1863" s="106"/>
      <c r="F1863" s="86"/>
      <c r="G1863" s="112"/>
    </row>
    <row r="1864" spans="1:7" ht="14.25" thickTop="1" thickBot="1">
      <c r="A1864" s="95"/>
      <c r="B1864" s="808"/>
      <c r="C1864" s="808"/>
      <c r="D1864" s="808"/>
      <c r="E1864" s="809"/>
      <c r="F1864" s="119" t="s">
        <v>856</v>
      </c>
      <c r="G1864" s="118">
        <f>SUM(G1859:G1863)</f>
        <v>3274</v>
      </c>
    </row>
    <row r="1865" spans="1:7" ht="14.25" thickTop="1" thickBot="1">
      <c r="A1865" s="95"/>
      <c r="B1865" s="830"/>
      <c r="C1865" s="830"/>
      <c r="D1865" s="830"/>
      <c r="E1865" s="830"/>
      <c r="F1865" s="830"/>
      <c r="G1865" s="830"/>
    </row>
    <row r="1866" spans="1:7" ht="13.5" thickTop="1">
      <c r="A1866" s="95"/>
      <c r="B1866" s="811" t="s">
        <v>311</v>
      </c>
      <c r="C1866" s="812"/>
      <c r="D1866" s="812"/>
      <c r="E1866" s="812"/>
      <c r="F1866" s="812"/>
      <c r="G1866" s="825"/>
    </row>
    <row r="1867" spans="1:7">
      <c r="A1867" s="95"/>
      <c r="B1867" s="817" t="s">
        <v>838</v>
      </c>
      <c r="C1867" s="818"/>
      <c r="D1867" s="98" t="s">
        <v>842</v>
      </c>
      <c r="E1867" s="98" t="s">
        <v>853</v>
      </c>
      <c r="F1867" s="99" t="s">
        <v>1047</v>
      </c>
      <c r="G1867" s="107" t="s">
        <v>840</v>
      </c>
    </row>
    <row r="1868" spans="1:7">
      <c r="A1868" s="95"/>
      <c r="B1868" s="230"/>
      <c r="C1868" s="102"/>
      <c r="D1868" s="100"/>
      <c r="E1868" s="100" t="s">
        <v>312</v>
      </c>
      <c r="F1868" s="101" t="s">
        <v>313</v>
      </c>
      <c r="G1868" s="108" t="s">
        <v>314</v>
      </c>
    </row>
    <row r="1869" spans="1:7">
      <c r="A1869" s="125"/>
      <c r="B1869" s="875"/>
      <c r="C1869" s="876"/>
      <c r="D1869" s="87"/>
      <c r="E1869" s="10"/>
      <c r="F1869" s="80"/>
      <c r="G1869" s="110"/>
    </row>
    <row r="1870" spans="1:7">
      <c r="A1870" s="123"/>
      <c r="B1870" s="877"/>
      <c r="C1870" s="878"/>
      <c r="D1870" s="88"/>
      <c r="E1870" s="53"/>
      <c r="F1870" s="82"/>
      <c r="G1870" s="111"/>
    </row>
    <row r="1871" spans="1:7">
      <c r="A1871" s="95"/>
      <c r="B1871" s="835"/>
      <c r="C1871" s="836"/>
      <c r="D1871" s="37"/>
      <c r="E1871" s="55"/>
      <c r="F1871" s="82"/>
      <c r="G1871" s="111"/>
    </row>
    <row r="1872" spans="1:7">
      <c r="A1872" s="95"/>
      <c r="B1872" s="835"/>
      <c r="C1872" s="836"/>
      <c r="D1872" s="37"/>
      <c r="E1872" s="55"/>
      <c r="F1872" s="82"/>
      <c r="G1872" s="111"/>
    </row>
    <row r="1873" spans="1:8">
      <c r="A1873" s="95"/>
      <c r="B1873" s="837"/>
      <c r="C1873" s="838"/>
      <c r="D1873" s="37"/>
      <c r="E1873" s="55"/>
      <c r="F1873" s="82"/>
      <c r="G1873" s="111"/>
    </row>
    <row r="1874" spans="1:8">
      <c r="A1874" s="95"/>
      <c r="B1874" s="837"/>
      <c r="C1874" s="838"/>
      <c r="D1874" s="53" t="s">
        <v>841</v>
      </c>
      <c r="E1874" s="53"/>
      <c r="F1874" s="82"/>
      <c r="G1874" s="111"/>
    </row>
    <row r="1875" spans="1:8">
      <c r="A1875" s="95"/>
      <c r="B1875" s="837" t="s">
        <v>841</v>
      </c>
      <c r="C1875" s="838"/>
      <c r="D1875" s="53" t="s">
        <v>841</v>
      </c>
      <c r="E1875" s="53"/>
      <c r="F1875" s="82"/>
      <c r="G1875" s="111"/>
    </row>
    <row r="1876" spans="1:8">
      <c r="A1876" s="95"/>
      <c r="B1876" s="837" t="s">
        <v>841</v>
      </c>
      <c r="C1876" s="838"/>
      <c r="D1876" s="53" t="s">
        <v>841</v>
      </c>
      <c r="E1876" s="53"/>
      <c r="F1876" s="82"/>
      <c r="G1876" s="111"/>
      <c r="H1876" s="505" t="s">
        <v>1670</v>
      </c>
    </row>
    <row r="1877" spans="1:8" ht="13.5" thickBot="1">
      <c r="A1877" s="95"/>
      <c r="B1877" s="839" t="s">
        <v>841</v>
      </c>
      <c r="C1877" s="840"/>
      <c r="D1877" s="84" t="s">
        <v>841</v>
      </c>
      <c r="E1877" s="84"/>
      <c r="F1877" s="85"/>
      <c r="G1877" s="112"/>
    </row>
    <row r="1878" spans="1:8" ht="13.5" thickTop="1">
      <c r="A1878" s="95"/>
      <c r="B1878" s="808"/>
      <c r="C1878" s="809"/>
      <c r="D1878" s="801" t="s">
        <v>856</v>
      </c>
      <c r="E1878" s="802"/>
      <c r="F1878" s="9"/>
      <c r="G1878" s="113">
        <f>SUM(G1869:G1877)</f>
        <v>0</v>
      </c>
    </row>
    <row r="1879" spans="1:8">
      <c r="A1879" s="95"/>
      <c r="B1879" s="819"/>
      <c r="C1879" s="820"/>
      <c r="D1879" s="801" t="s">
        <v>857</v>
      </c>
      <c r="E1879" s="802"/>
      <c r="F1879" s="79">
        <f>'MANO DE OBRA'!$D$60</f>
        <v>0.05</v>
      </c>
      <c r="G1879" s="113">
        <f>ROUND(G1878*F1879,0)</f>
        <v>0</v>
      </c>
    </row>
    <row r="1880" spans="1:8" ht="13.5" thickBot="1">
      <c r="A1880" s="95"/>
      <c r="B1880" s="819"/>
      <c r="C1880" s="820"/>
      <c r="D1880" s="803" t="s">
        <v>320</v>
      </c>
      <c r="E1880" s="804"/>
      <c r="F1880" s="114"/>
      <c r="G1880" s="118">
        <f>+G1878+G1879</f>
        <v>0</v>
      </c>
    </row>
    <row r="1881" spans="1:8" ht="14.25" thickTop="1" thickBot="1">
      <c r="A1881" s="95"/>
      <c r="B1881" s="830"/>
      <c r="C1881" s="830"/>
      <c r="D1881" s="830"/>
      <c r="E1881" s="830"/>
      <c r="F1881" s="830"/>
      <c r="G1881" s="830"/>
    </row>
    <row r="1882" spans="1:8" ht="13.5" thickTop="1">
      <c r="A1882" s="95"/>
      <c r="B1882" s="811" t="s">
        <v>858</v>
      </c>
      <c r="C1882" s="812"/>
      <c r="D1882" s="812"/>
      <c r="E1882" s="812"/>
      <c r="F1882" s="812"/>
      <c r="G1882" s="825"/>
    </row>
    <row r="1883" spans="1:8">
      <c r="A1883" s="95"/>
      <c r="B1883" s="817"/>
      <c r="C1883" s="818"/>
      <c r="D1883" s="98" t="s">
        <v>301</v>
      </c>
      <c r="E1883" s="98" t="s">
        <v>859</v>
      </c>
      <c r="F1883" s="99" t="s">
        <v>839</v>
      </c>
      <c r="G1883" s="107" t="s">
        <v>840</v>
      </c>
    </row>
    <row r="1884" spans="1:8">
      <c r="A1884" s="95"/>
      <c r="B1884" s="821" t="s">
        <v>838</v>
      </c>
      <c r="C1884" s="822"/>
      <c r="D1884" s="100" t="s">
        <v>316</v>
      </c>
      <c r="E1884" s="100" t="s">
        <v>315</v>
      </c>
      <c r="F1884" s="101" t="s">
        <v>306</v>
      </c>
      <c r="G1884" s="108" t="s">
        <v>319</v>
      </c>
    </row>
    <row r="1885" spans="1:8">
      <c r="A1885" s="95"/>
      <c r="B1885" s="230"/>
      <c r="C1885" s="102"/>
      <c r="D1885" s="103"/>
      <c r="E1885" s="103" t="s">
        <v>317</v>
      </c>
      <c r="F1885" s="104" t="s">
        <v>318</v>
      </c>
      <c r="G1885" s="109"/>
    </row>
    <row r="1886" spans="1:8">
      <c r="A1886" s="95"/>
      <c r="B1886" s="823" t="str">
        <f>'MANO DE OBRA'!$B$10</f>
        <v>AYUDANTE CUAD. TIPO AA</v>
      </c>
      <c r="C1886" s="824"/>
      <c r="D1886" s="87">
        <v>1</v>
      </c>
      <c r="E1886" s="80">
        <f>'MANO DE OBRA'!$E$10</f>
        <v>34680</v>
      </c>
      <c r="F1886" s="81">
        <v>0.89</v>
      </c>
      <c r="G1886" s="110">
        <f>ROUND(D1886*E1886/F1886,0)</f>
        <v>38966</v>
      </c>
    </row>
    <row r="1887" spans="1:8">
      <c r="A1887" s="95"/>
      <c r="B1887" s="835"/>
      <c r="C1887" s="836"/>
      <c r="D1887" s="37"/>
      <c r="E1887" s="82"/>
      <c r="F1887" s="83"/>
      <c r="G1887" s="111"/>
    </row>
    <row r="1888" spans="1:8">
      <c r="A1888" s="95"/>
      <c r="B1888" s="835"/>
      <c r="C1888" s="836"/>
      <c r="D1888" s="89"/>
      <c r="E1888" s="82"/>
      <c r="F1888" s="83"/>
      <c r="G1888" s="111"/>
    </row>
    <row r="1889" spans="1:8">
      <c r="A1889" s="95"/>
      <c r="B1889" s="835" t="s">
        <v>841</v>
      </c>
      <c r="C1889" s="836"/>
      <c r="D1889" s="37"/>
      <c r="E1889" s="82"/>
      <c r="F1889" s="83"/>
      <c r="G1889" s="111"/>
    </row>
    <row r="1890" spans="1:8" ht="13.5" thickBot="1">
      <c r="A1890" s="95"/>
      <c r="B1890" s="828" t="s">
        <v>841</v>
      </c>
      <c r="C1890" s="829"/>
      <c r="D1890" s="77"/>
      <c r="E1890" s="82"/>
      <c r="F1890" s="86"/>
      <c r="G1890" s="112"/>
    </row>
    <row r="1891" spans="1:8" ht="14.25" thickTop="1" thickBot="1">
      <c r="A1891" s="95"/>
      <c r="B1891" s="808"/>
      <c r="C1891" s="808"/>
      <c r="D1891" s="808"/>
      <c r="E1891" s="809"/>
      <c r="F1891" s="120" t="s">
        <v>856</v>
      </c>
      <c r="G1891" s="118">
        <f>SUM(G1886:G1890)</f>
        <v>38966</v>
      </c>
    </row>
    <row r="1892" spans="1:8" ht="14.25" thickTop="1" thickBot="1">
      <c r="A1892" s="95"/>
      <c r="B1892" s="810"/>
      <c r="C1892" s="810"/>
      <c r="D1892" s="810"/>
      <c r="E1892" s="810"/>
      <c r="F1892" s="810"/>
      <c r="G1892" s="810"/>
    </row>
    <row r="1893" spans="1:8" ht="13.5" thickTop="1">
      <c r="A1893" s="95"/>
      <c r="B1893" s="811" t="s">
        <v>321</v>
      </c>
      <c r="C1893" s="812"/>
      <c r="D1893" s="812"/>
      <c r="E1893" s="812"/>
      <c r="F1893" s="812"/>
      <c r="G1893" s="825"/>
    </row>
    <row r="1894" spans="1:8">
      <c r="A1894" s="95"/>
      <c r="B1894" s="817" t="s">
        <v>838</v>
      </c>
      <c r="C1894" s="818"/>
      <c r="D1894" s="98" t="s">
        <v>301</v>
      </c>
      <c r="E1894" s="98" t="s">
        <v>297</v>
      </c>
      <c r="F1894" s="99" t="s">
        <v>839</v>
      </c>
      <c r="G1894" s="107" t="s">
        <v>840</v>
      </c>
    </row>
    <row r="1895" spans="1:8">
      <c r="A1895" s="95"/>
      <c r="B1895" s="230"/>
      <c r="C1895" s="102"/>
      <c r="D1895" s="103" t="s">
        <v>322</v>
      </c>
      <c r="E1895" s="103" t="s">
        <v>323</v>
      </c>
      <c r="F1895" s="104" t="s">
        <v>324</v>
      </c>
      <c r="G1895" s="109" t="s">
        <v>325</v>
      </c>
    </row>
    <row r="1896" spans="1:8">
      <c r="A1896" s="95"/>
      <c r="B1896" s="826"/>
      <c r="C1896" s="827"/>
      <c r="D1896" s="96"/>
      <c r="E1896" s="96"/>
      <c r="F1896" s="96"/>
      <c r="G1896" s="116"/>
    </row>
    <row r="1897" spans="1:8" ht="13.5" thickBot="1">
      <c r="A1897" s="95"/>
      <c r="B1897" s="828" t="s">
        <v>841</v>
      </c>
      <c r="C1897" s="829"/>
      <c r="D1897" s="77"/>
      <c r="E1897" s="82"/>
      <c r="F1897" s="86"/>
      <c r="G1897" s="112"/>
    </row>
    <row r="1898" spans="1:8" ht="14.25" thickTop="1" thickBot="1">
      <c r="A1898" s="95"/>
      <c r="B1898" s="808"/>
      <c r="C1898" s="808"/>
      <c r="D1898" s="808"/>
      <c r="E1898" s="809"/>
      <c r="F1898" s="120" t="s">
        <v>856</v>
      </c>
      <c r="G1898" s="118">
        <f>SUM(G1893:G1897)</f>
        <v>0</v>
      </c>
    </row>
    <row r="1899" spans="1:8" ht="14.25" thickTop="1" thickBot="1">
      <c r="A1899" s="95"/>
      <c r="B1899" s="810"/>
      <c r="C1899" s="810"/>
      <c r="D1899" s="810"/>
      <c r="E1899" s="810"/>
      <c r="F1899" s="810"/>
      <c r="G1899" s="834"/>
    </row>
    <row r="1900" spans="1:8" ht="13.5" thickTop="1">
      <c r="A1900" s="95"/>
      <c r="B1900" s="811" t="s">
        <v>326</v>
      </c>
      <c r="C1900" s="812"/>
      <c r="D1900" s="812"/>
      <c r="E1900" s="812"/>
      <c r="F1900" s="813"/>
      <c r="G1900" s="121">
        <f>+G1864+G1880+G1891</f>
        <v>42240</v>
      </c>
    </row>
    <row r="1901" spans="1:8">
      <c r="A1901" s="95"/>
      <c r="B1901" s="814" t="s">
        <v>861</v>
      </c>
      <c r="C1901" s="815"/>
      <c r="D1901" s="815"/>
      <c r="E1901" s="816"/>
      <c r="F1901" s="128">
        <f>'MANO DE OBRA'!D1693</f>
        <v>0</v>
      </c>
      <c r="G1901" s="122">
        <f>ROUND(G1900*F1901,0)</f>
        <v>0</v>
      </c>
    </row>
    <row r="1902" spans="1:8" ht="13.5" thickBot="1">
      <c r="A1902" s="95"/>
      <c r="B1902" s="805" t="s">
        <v>1049</v>
      </c>
      <c r="C1902" s="806"/>
      <c r="D1902" s="806"/>
      <c r="E1902" s="806"/>
      <c r="F1902" s="807"/>
      <c r="G1902" s="118">
        <f>ROUND(G1900+G1901,-2)</f>
        <v>42200</v>
      </c>
      <c r="H1902" s="505" t="s">
        <v>1670</v>
      </c>
    </row>
    <row r="1903" spans="1:8" ht="15" thickTop="1">
      <c r="A1903" s="95"/>
      <c r="B1903" s="225" t="s">
        <v>303</v>
      </c>
      <c r="C1903" s="843"/>
      <c r="D1903" s="843"/>
      <c r="E1903" s="843"/>
      <c r="F1903" s="92" t="s">
        <v>781</v>
      </c>
      <c r="G1903" s="93" t="s">
        <v>1066</v>
      </c>
    </row>
    <row r="1904" spans="1:8">
      <c r="A1904" s="95"/>
      <c r="B1904" s="226" t="s">
        <v>834</v>
      </c>
      <c r="C1904" s="844" t="s">
        <v>342</v>
      </c>
      <c r="D1904" s="844"/>
      <c r="E1904" s="844"/>
      <c r="F1904" s="15" t="s">
        <v>833</v>
      </c>
      <c r="G1904" s="165" t="str">
        <f>'MANO DE OBRA'!$D$61</f>
        <v>Agosto de 2010</v>
      </c>
    </row>
    <row r="1905" spans="1:7" ht="27.75" customHeight="1" thickBot="1">
      <c r="A1905" s="236"/>
      <c r="B1905" s="240" t="s">
        <v>835</v>
      </c>
      <c r="C1905" s="934" t="s">
        <v>819</v>
      </c>
      <c r="D1905" s="934"/>
      <c r="E1905" s="934"/>
      <c r="F1905" s="934"/>
      <c r="G1905" s="935"/>
    </row>
    <row r="1906" spans="1:7" ht="14.25" thickTop="1" thickBot="1">
      <c r="A1906" s="95"/>
      <c r="B1906" s="847"/>
      <c r="C1906" s="847"/>
      <c r="D1906" s="847"/>
      <c r="E1906" s="847"/>
      <c r="F1906" s="847"/>
      <c r="G1906" s="847"/>
    </row>
    <row r="1907" spans="1:7" ht="13.5" thickTop="1">
      <c r="A1907" s="95"/>
      <c r="B1907" s="811" t="s">
        <v>304</v>
      </c>
      <c r="C1907" s="812"/>
      <c r="D1907" s="812"/>
      <c r="E1907" s="812"/>
      <c r="F1907" s="812"/>
      <c r="G1907" s="825"/>
    </row>
    <row r="1908" spans="1:7">
      <c r="A1908" s="95"/>
      <c r="B1908" s="229"/>
      <c r="C1908" s="97"/>
      <c r="D1908" s="98" t="s">
        <v>301</v>
      </c>
      <c r="E1908" s="98" t="s">
        <v>1072</v>
      </c>
      <c r="F1908" s="99" t="s">
        <v>839</v>
      </c>
      <c r="G1908" s="107" t="s">
        <v>840</v>
      </c>
    </row>
    <row r="1909" spans="1:7">
      <c r="A1909" s="95"/>
      <c r="B1909" s="821" t="s">
        <v>838</v>
      </c>
      <c r="C1909" s="822"/>
      <c r="D1909" s="100" t="s">
        <v>308</v>
      </c>
      <c r="E1909" s="100" t="s">
        <v>305</v>
      </c>
      <c r="F1909" s="101" t="s">
        <v>306</v>
      </c>
      <c r="G1909" s="108" t="s">
        <v>310</v>
      </c>
    </row>
    <row r="1910" spans="1:7">
      <c r="A1910" s="95"/>
      <c r="B1910" s="230"/>
      <c r="C1910" s="102"/>
      <c r="D1910" s="103"/>
      <c r="E1910" s="103" t="s">
        <v>309</v>
      </c>
      <c r="F1910" s="104" t="s">
        <v>307</v>
      </c>
      <c r="G1910" s="109"/>
    </row>
    <row r="1911" spans="1:7">
      <c r="A1911" s="127"/>
      <c r="B1911" s="823" t="str">
        <f>'MAQUINARIA Y EQUIPOS'!$C$28</f>
        <v>HERRAMIENTAS MENORES</v>
      </c>
      <c r="C1911" s="824"/>
      <c r="D1911" s="87">
        <v>1</v>
      </c>
      <c r="E1911" s="82">
        <f>ROUND(G1943*0.05,0)</f>
        <v>3096</v>
      </c>
      <c r="F1911" s="81">
        <v>1</v>
      </c>
      <c r="G1911" s="110">
        <f>ROUND(D1911*E1911/F1911,0)</f>
        <v>3096</v>
      </c>
    </row>
    <row r="1912" spans="1:7">
      <c r="A1912" s="127"/>
      <c r="B1912" s="835" t="str">
        <f>'MAQUINARIA Y EQUIPOS'!$C$35</f>
        <v>MOTOBOMBA 3"</v>
      </c>
      <c r="C1912" s="836"/>
      <c r="D1912" s="37">
        <v>1</v>
      </c>
      <c r="E1912" s="82">
        <f>'MAQUINARIA Y EQUIPOS'!$D$35</f>
        <v>46400</v>
      </c>
      <c r="F1912" s="83">
        <v>30</v>
      </c>
      <c r="G1912" s="111">
        <f>ROUND(D1912*E1912/F1912,0)</f>
        <v>1547</v>
      </c>
    </row>
    <row r="1913" spans="1:7">
      <c r="A1913" s="95"/>
      <c r="B1913" s="835"/>
      <c r="C1913" s="836"/>
      <c r="D1913" s="89"/>
      <c r="E1913" s="82"/>
      <c r="F1913" s="83"/>
      <c r="G1913" s="111"/>
    </row>
    <row r="1914" spans="1:7">
      <c r="A1914" s="95"/>
      <c r="B1914" s="835" t="s">
        <v>841</v>
      </c>
      <c r="C1914" s="836"/>
      <c r="D1914" s="37"/>
      <c r="E1914" s="82"/>
      <c r="F1914" s="83"/>
      <c r="G1914" s="111"/>
    </row>
    <row r="1915" spans="1:7" ht="13.5" thickBot="1">
      <c r="A1915" s="95"/>
      <c r="B1915" s="839" t="s">
        <v>841</v>
      </c>
      <c r="C1915" s="840"/>
      <c r="D1915" s="77"/>
      <c r="E1915" s="106"/>
      <c r="F1915" s="86"/>
      <c r="G1915" s="112"/>
    </row>
    <row r="1916" spans="1:7" ht="14.25" thickTop="1" thickBot="1">
      <c r="A1916" s="95"/>
      <c r="B1916" s="808"/>
      <c r="C1916" s="808"/>
      <c r="D1916" s="808"/>
      <c r="E1916" s="809"/>
      <c r="F1916" s="119" t="s">
        <v>856</v>
      </c>
      <c r="G1916" s="118">
        <f>SUM(G1911:G1915)</f>
        <v>4643</v>
      </c>
    </row>
    <row r="1917" spans="1:7" ht="14.25" thickTop="1" thickBot="1">
      <c r="A1917" s="95"/>
      <c r="B1917" s="830"/>
      <c r="C1917" s="830"/>
      <c r="D1917" s="830"/>
      <c r="E1917" s="830"/>
      <c r="F1917" s="830"/>
      <c r="G1917" s="830"/>
    </row>
    <row r="1918" spans="1:7" ht="13.5" thickTop="1">
      <c r="A1918" s="95"/>
      <c r="B1918" s="811" t="s">
        <v>311</v>
      </c>
      <c r="C1918" s="812"/>
      <c r="D1918" s="812"/>
      <c r="E1918" s="812"/>
      <c r="F1918" s="812"/>
      <c r="G1918" s="825"/>
    </row>
    <row r="1919" spans="1:7">
      <c r="A1919" s="95"/>
      <c r="B1919" s="817" t="s">
        <v>838</v>
      </c>
      <c r="C1919" s="818"/>
      <c r="D1919" s="98" t="s">
        <v>842</v>
      </c>
      <c r="E1919" s="98" t="s">
        <v>853</v>
      </c>
      <c r="F1919" s="99" t="s">
        <v>1047</v>
      </c>
      <c r="G1919" s="107" t="s">
        <v>840</v>
      </c>
    </row>
    <row r="1920" spans="1:7">
      <c r="A1920" s="95"/>
      <c r="B1920" s="230"/>
      <c r="C1920" s="102"/>
      <c r="D1920" s="100"/>
      <c r="E1920" s="100" t="s">
        <v>312</v>
      </c>
      <c r="F1920" s="101" t="s">
        <v>313</v>
      </c>
      <c r="G1920" s="108" t="s">
        <v>314</v>
      </c>
    </row>
    <row r="1921" spans="1:8">
      <c r="A1921" s="125"/>
      <c r="B1921" s="875"/>
      <c r="C1921" s="876"/>
      <c r="D1921" s="87"/>
      <c r="E1921" s="10"/>
      <c r="F1921" s="80"/>
      <c r="G1921" s="110"/>
    </row>
    <row r="1922" spans="1:8">
      <c r="A1922" s="123"/>
      <c r="B1922" s="877"/>
      <c r="C1922" s="878"/>
      <c r="D1922" s="88"/>
      <c r="E1922" s="53"/>
      <c r="F1922" s="82"/>
      <c r="G1922" s="111"/>
    </row>
    <row r="1923" spans="1:8">
      <c r="A1923" s="95"/>
      <c r="B1923" s="835"/>
      <c r="C1923" s="836"/>
      <c r="D1923" s="37"/>
      <c r="E1923" s="55"/>
      <c r="F1923" s="82"/>
      <c r="G1923" s="111"/>
    </row>
    <row r="1924" spans="1:8">
      <c r="A1924" s="95"/>
      <c r="B1924" s="835"/>
      <c r="C1924" s="836"/>
      <c r="D1924" s="37"/>
      <c r="E1924" s="55"/>
      <c r="F1924" s="82"/>
      <c r="G1924" s="111"/>
    </row>
    <row r="1925" spans="1:8">
      <c r="A1925" s="95"/>
      <c r="B1925" s="837"/>
      <c r="C1925" s="838"/>
      <c r="D1925" s="37"/>
      <c r="E1925" s="55"/>
      <c r="F1925" s="82"/>
      <c r="G1925" s="111"/>
    </row>
    <row r="1926" spans="1:8">
      <c r="A1926" s="95"/>
      <c r="B1926" s="837"/>
      <c r="C1926" s="838"/>
      <c r="D1926" s="53" t="s">
        <v>841</v>
      </c>
      <c r="E1926" s="53"/>
      <c r="F1926" s="82"/>
      <c r="G1926" s="111"/>
    </row>
    <row r="1927" spans="1:8">
      <c r="A1927" s="95"/>
      <c r="B1927" s="837" t="s">
        <v>841</v>
      </c>
      <c r="C1927" s="838"/>
      <c r="D1927" s="53" t="s">
        <v>841</v>
      </c>
      <c r="E1927" s="53"/>
      <c r="F1927" s="82"/>
      <c r="G1927" s="111"/>
    </row>
    <row r="1928" spans="1:8">
      <c r="A1928" s="95"/>
      <c r="B1928" s="837" t="s">
        <v>841</v>
      </c>
      <c r="C1928" s="838"/>
      <c r="D1928" s="53" t="s">
        <v>841</v>
      </c>
      <c r="E1928" s="53"/>
      <c r="F1928" s="82"/>
      <c r="G1928" s="111"/>
      <c r="H1928" s="505" t="s">
        <v>1670</v>
      </c>
    </row>
    <row r="1929" spans="1:8" ht="13.5" thickBot="1">
      <c r="A1929" s="95"/>
      <c r="B1929" s="839" t="s">
        <v>841</v>
      </c>
      <c r="C1929" s="840"/>
      <c r="D1929" s="84" t="s">
        <v>841</v>
      </c>
      <c r="E1929" s="84"/>
      <c r="F1929" s="85"/>
      <c r="G1929" s="112"/>
    </row>
    <row r="1930" spans="1:8" ht="13.5" thickTop="1">
      <c r="A1930" s="95"/>
      <c r="B1930" s="808"/>
      <c r="C1930" s="809"/>
      <c r="D1930" s="801" t="s">
        <v>856</v>
      </c>
      <c r="E1930" s="802"/>
      <c r="F1930" s="9"/>
      <c r="G1930" s="113">
        <f>SUM(G1921:G1929)</f>
        <v>0</v>
      </c>
    </row>
    <row r="1931" spans="1:8">
      <c r="A1931" s="95"/>
      <c r="B1931" s="819"/>
      <c r="C1931" s="820"/>
      <c r="D1931" s="801" t="s">
        <v>857</v>
      </c>
      <c r="E1931" s="802"/>
      <c r="F1931" s="79">
        <f>'MANO DE OBRA'!$D$60</f>
        <v>0.05</v>
      </c>
      <c r="G1931" s="113">
        <f>ROUND(G1930*F1931,0)</f>
        <v>0</v>
      </c>
    </row>
    <row r="1932" spans="1:8" ht="13.5" thickBot="1">
      <c r="A1932" s="95"/>
      <c r="B1932" s="819"/>
      <c r="C1932" s="820"/>
      <c r="D1932" s="803" t="s">
        <v>320</v>
      </c>
      <c r="E1932" s="804"/>
      <c r="F1932" s="114"/>
      <c r="G1932" s="118">
        <f>+G1930+G1931</f>
        <v>0</v>
      </c>
    </row>
    <row r="1933" spans="1:8" ht="14.25" thickTop="1" thickBot="1">
      <c r="A1933" s="95"/>
      <c r="B1933" s="830"/>
      <c r="C1933" s="830"/>
      <c r="D1933" s="830"/>
      <c r="E1933" s="830"/>
      <c r="F1933" s="830"/>
      <c r="G1933" s="830"/>
    </row>
    <row r="1934" spans="1:8" ht="13.5" thickTop="1">
      <c r="A1934" s="95"/>
      <c r="B1934" s="811" t="s">
        <v>858</v>
      </c>
      <c r="C1934" s="812"/>
      <c r="D1934" s="812"/>
      <c r="E1934" s="812"/>
      <c r="F1934" s="812"/>
      <c r="G1934" s="825"/>
    </row>
    <row r="1935" spans="1:8">
      <c r="A1935" s="95"/>
      <c r="B1935" s="817"/>
      <c r="C1935" s="818"/>
      <c r="D1935" s="98" t="s">
        <v>301</v>
      </c>
      <c r="E1935" s="98" t="s">
        <v>859</v>
      </c>
      <c r="F1935" s="99" t="s">
        <v>839</v>
      </c>
      <c r="G1935" s="107" t="s">
        <v>840</v>
      </c>
    </row>
    <row r="1936" spans="1:8">
      <c r="A1936" s="95"/>
      <c r="B1936" s="821" t="s">
        <v>838</v>
      </c>
      <c r="C1936" s="822"/>
      <c r="D1936" s="100" t="s">
        <v>316</v>
      </c>
      <c r="E1936" s="100" t="s">
        <v>315</v>
      </c>
      <c r="F1936" s="101" t="s">
        <v>306</v>
      </c>
      <c r="G1936" s="108" t="s">
        <v>319</v>
      </c>
    </row>
    <row r="1937" spans="1:7">
      <c r="A1937" s="95"/>
      <c r="B1937" s="230"/>
      <c r="C1937" s="102"/>
      <c r="D1937" s="103"/>
      <c r="E1937" s="103" t="s">
        <v>317</v>
      </c>
      <c r="F1937" s="104" t="s">
        <v>318</v>
      </c>
      <c r="G1937" s="109"/>
    </row>
    <row r="1938" spans="1:7">
      <c r="A1938" s="95"/>
      <c r="B1938" s="823" t="str">
        <f>'MANO DE OBRA'!$B$10</f>
        <v>AYUDANTE CUAD. TIPO AA</v>
      </c>
      <c r="C1938" s="824"/>
      <c r="D1938" s="87">
        <v>1</v>
      </c>
      <c r="E1938" s="80">
        <f>'MANO DE OBRA'!$E$10</f>
        <v>34680</v>
      </c>
      <c r="F1938" s="81">
        <v>0.56000000000000005</v>
      </c>
      <c r="G1938" s="110">
        <f>ROUND(D1938*E1938/F1938,0)</f>
        <v>61929</v>
      </c>
    </row>
    <row r="1939" spans="1:7">
      <c r="A1939" s="95"/>
      <c r="B1939" s="835"/>
      <c r="C1939" s="836"/>
      <c r="D1939" s="37"/>
      <c r="E1939" s="82"/>
      <c r="F1939" s="83"/>
      <c r="G1939" s="111"/>
    </row>
    <row r="1940" spans="1:7">
      <c r="A1940" s="95"/>
      <c r="B1940" s="835"/>
      <c r="C1940" s="836"/>
      <c r="D1940" s="89"/>
      <c r="E1940" s="82"/>
      <c r="F1940" s="83"/>
      <c r="G1940" s="111"/>
    </row>
    <row r="1941" spans="1:7">
      <c r="A1941" s="95"/>
      <c r="B1941" s="835" t="s">
        <v>841</v>
      </c>
      <c r="C1941" s="836"/>
      <c r="D1941" s="37"/>
      <c r="E1941" s="82"/>
      <c r="F1941" s="83"/>
      <c r="G1941" s="111"/>
    </row>
    <row r="1942" spans="1:7" ht="13.5" thickBot="1">
      <c r="A1942" s="95"/>
      <c r="B1942" s="828" t="s">
        <v>841</v>
      </c>
      <c r="C1942" s="829"/>
      <c r="D1942" s="77"/>
      <c r="E1942" s="82"/>
      <c r="F1942" s="86"/>
      <c r="G1942" s="112"/>
    </row>
    <row r="1943" spans="1:7" ht="14.25" thickTop="1" thickBot="1">
      <c r="A1943" s="95"/>
      <c r="B1943" s="808"/>
      <c r="C1943" s="808"/>
      <c r="D1943" s="808"/>
      <c r="E1943" s="809"/>
      <c r="F1943" s="120" t="s">
        <v>856</v>
      </c>
      <c r="G1943" s="118">
        <f>SUM(G1938:G1942)</f>
        <v>61929</v>
      </c>
    </row>
    <row r="1944" spans="1:7" ht="14.25" thickTop="1" thickBot="1">
      <c r="A1944" s="95"/>
      <c r="B1944" s="810"/>
      <c r="C1944" s="810"/>
      <c r="D1944" s="810"/>
      <c r="E1944" s="810"/>
      <c r="F1944" s="810"/>
      <c r="G1944" s="810"/>
    </row>
    <row r="1945" spans="1:7" ht="13.5" thickTop="1">
      <c r="A1945" s="95"/>
      <c r="B1945" s="811" t="s">
        <v>321</v>
      </c>
      <c r="C1945" s="812"/>
      <c r="D1945" s="812"/>
      <c r="E1945" s="812"/>
      <c r="F1945" s="812"/>
      <c r="G1945" s="825"/>
    </row>
    <row r="1946" spans="1:7">
      <c r="A1946" s="95"/>
      <c r="B1946" s="817" t="s">
        <v>838</v>
      </c>
      <c r="C1946" s="818"/>
      <c r="D1946" s="98" t="s">
        <v>301</v>
      </c>
      <c r="E1946" s="98" t="s">
        <v>297</v>
      </c>
      <c r="F1946" s="99" t="s">
        <v>839</v>
      </c>
      <c r="G1946" s="107" t="s">
        <v>840</v>
      </c>
    </row>
    <row r="1947" spans="1:7">
      <c r="A1947" s="95"/>
      <c r="B1947" s="230"/>
      <c r="C1947" s="102"/>
      <c r="D1947" s="103" t="s">
        <v>322</v>
      </c>
      <c r="E1947" s="103" t="s">
        <v>323</v>
      </c>
      <c r="F1947" s="104" t="s">
        <v>324</v>
      </c>
      <c r="G1947" s="109" t="s">
        <v>325</v>
      </c>
    </row>
    <row r="1948" spans="1:7">
      <c r="A1948" s="95"/>
      <c r="B1948" s="826"/>
      <c r="C1948" s="827"/>
      <c r="D1948" s="96"/>
      <c r="E1948" s="96"/>
      <c r="F1948" s="96"/>
      <c r="G1948" s="116"/>
    </row>
    <row r="1949" spans="1:7" ht="13.5" thickBot="1">
      <c r="A1949" s="95"/>
      <c r="B1949" s="828" t="s">
        <v>841</v>
      </c>
      <c r="C1949" s="829"/>
      <c r="D1949" s="77"/>
      <c r="E1949" s="82"/>
      <c r="F1949" s="86"/>
      <c r="G1949" s="112"/>
    </row>
    <row r="1950" spans="1:7" ht="14.25" thickTop="1" thickBot="1">
      <c r="A1950" s="95"/>
      <c r="B1950" s="808"/>
      <c r="C1950" s="808"/>
      <c r="D1950" s="808"/>
      <c r="E1950" s="809"/>
      <c r="F1950" s="120" t="s">
        <v>856</v>
      </c>
      <c r="G1950" s="118">
        <f>SUM(G1945:G1949)</f>
        <v>0</v>
      </c>
    </row>
    <row r="1951" spans="1:7" ht="14.25" thickTop="1" thickBot="1">
      <c r="A1951" s="95"/>
      <c r="B1951" s="810"/>
      <c r="C1951" s="810"/>
      <c r="D1951" s="810"/>
      <c r="E1951" s="810"/>
      <c r="F1951" s="810"/>
      <c r="G1951" s="834"/>
    </row>
    <row r="1952" spans="1:7" ht="13.5" thickTop="1">
      <c r="A1952" s="95"/>
      <c r="B1952" s="811" t="s">
        <v>326</v>
      </c>
      <c r="C1952" s="812"/>
      <c r="D1952" s="812"/>
      <c r="E1952" s="812"/>
      <c r="F1952" s="813"/>
      <c r="G1952" s="121">
        <f>+G1916+G1932+G1943</f>
        <v>66572</v>
      </c>
    </row>
    <row r="1953" spans="1:8">
      <c r="A1953" s="95"/>
      <c r="B1953" s="814" t="s">
        <v>861</v>
      </c>
      <c r="C1953" s="815"/>
      <c r="D1953" s="815"/>
      <c r="E1953" s="816"/>
      <c r="F1953" s="128">
        <f>'MANO DE OBRA'!D1745</f>
        <v>0</v>
      </c>
      <c r="G1953" s="122">
        <f>ROUND(G1952*F1953,0)</f>
        <v>0</v>
      </c>
    </row>
    <row r="1954" spans="1:8" ht="13.5" thickBot="1">
      <c r="A1954" s="95"/>
      <c r="B1954" s="805" t="s">
        <v>1049</v>
      </c>
      <c r="C1954" s="806"/>
      <c r="D1954" s="806"/>
      <c r="E1954" s="806"/>
      <c r="F1954" s="807"/>
      <c r="G1954" s="118">
        <f>ROUND(G1952+G1953,-2)</f>
        <v>66600</v>
      </c>
      <c r="H1954" s="505" t="s">
        <v>1670</v>
      </c>
    </row>
    <row r="1955" spans="1:8" ht="15" thickTop="1">
      <c r="A1955" s="95"/>
      <c r="B1955" s="225" t="s">
        <v>303</v>
      </c>
      <c r="C1955" s="843"/>
      <c r="D1955" s="843"/>
      <c r="E1955" s="843"/>
      <c r="F1955" s="92" t="s">
        <v>781</v>
      </c>
      <c r="G1955" s="93" t="s">
        <v>1066</v>
      </c>
    </row>
    <row r="1956" spans="1:8">
      <c r="A1956" s="95"/>
      <c r="B1956" s="226" t="s">
        <v>834</v>
      </c>
      <c r="C1956" s="844" t="s">
        <v>342</v>
      </c>
      <c r="D1956" s="844"/>
      <c r="E1956" s="844"/>
      <c r="F1956" s="15" t="s">
        <v>833</v>
      </c>
      <c r="G1956" s="165" t="str">
        <f>'MANO DE OBRA'!$D$61</f>
        <v>Agosto de 2010</v>
      </c>
    </row>
    <row r="1957" spans="1:8" ht="27.75" customHeight="1" thickBot="1">
      <c r="A1957" s="236"/>
      <c r="B1957" s="240" t="s">
        <v>835</v>
      </c>
      <c r="C1957" s="934" t="s">
        <v>820</v>
      </c>
      <c r="D1957" s="934"/>
      <c r="E1957" s="934"/>
      <c r="F1957" s="934"/>
      <c r="G1957" s="935"/>
    </row>
    <row r="1958" spans="1:8" ht="14.25" thickTop="1" thickBot="1">
      <c r="A1958" s="95"/>
      <c r="B1958" s="847"/>
      <c r="C1958" s="847"/>
      <c r="D1958" s="847"/>
      <c r="E1958" s="847"/>
      <c r="F1958" s="847"/>
      <c r="G1958" s="847"/>
    </row>
    <row r="1959" spans="1:8" ht="13.5" thickTop="1">
      <c r="A1959" s="95"/>
      <c r="B1959" s="811" t="s">
        <v>304</v>
      </c>
      <c r="C1959" s="812"/>
      <c r="D1959" s="812"/>
      <c r="E1959" s="812"/>
      <c r="F1959" s="812"/>
      <c r="G1959" s="825"/>
    </row>
    <row r="1960" spans="1:8">
      <c r="A1960" s="95"/>
      <c r="B1960" s="229"/>
      <c r="C1960" s="97"/>
      <c r="D1960" s="98" t="s">
        <v>301</v>
      </c>
      <c r="E1960" s="98" t="s">
        <v>1072</v>
      </c>
      <c r="F1960" s="99" t="s">
        <v>839</v>
      </c>
      <c r="G1960" s="107" t="s">
        <v>840</v>
      </c>
    </row>
    <row r="1961" spans="1:8">
      <c r="A1961" s="95"/>
      <c r="B1961" s="821" t="s">
        <v>838</v>
      </c>
      <c r="C1961" s="822"/>
      <c r="D1961" s="100" t="s">
        <v>308</v>
      </c>
      <c r="E1961" s="100" t="s">
        <v>305</v>
      </c>
      <c r="F1961" s="101" t="s">
        <v>306</v>
      </c>
      <c r="G1961" s="108" t="s">
        <v>310</v>
      </c>
    </row>
    <row r="1962" spans="1:8">
      <c r="A1962" s="95"/>
      <c r="B1962" s="230"/>
      <c r="C1962" s="102"/>
      <c r="D1962" s="103"/>
      <c r="E1962" s="103" t="s">
        <v>309</v>
      </c>
      <c r="F1962" s="104" t="s">
        <v>307</v>
      </c>
      <c r="G1962" s="109"/>
    </row>
    <row r="1963" spans="1:8">
      <c r="A1963" s="127"/>
      <c r="B1963" s="823" t="str">
        <f>'MAQUINARIA Y EQUIPOS'!$C$28</f>
        <v>HERRAMIENTAS MENORES</v>
      </c>
      <c r="C1963" s="824"/>
      <c r="D1963" s="87">
        <v>1</v>
      </c>
      <c r="E1963" s="82">
        <f>ROUND(G1995*0.05,0)</f>
        <v>3335</v>
      </c>
      <c r="F1963" s="81">
        <v>1</v>
      </c>
      <c r="G1963" s="110">
        <f>ROUND(D1963*E1963/F1963,0)</f>
        <v>3335</v>
      </c>
    </row>
    <row r="1964" spans="1:8">
      <c r="A1964" s="127"/>
      <c r="B1964" s="835" t="str">
        <f>'MAQUINARIA Y EQUIPOS'!$C$35</f>
        <v>MOTOBOMBA 3"</v>
      </c>
      <c r="C1964" s="836"/>
      <c r="D1964" s="37">
        <v>1</v>
      </c>
      <c r="E1964" s="82">
        <f>'MAQUINARIA Y EQUIPOS'!$D$35</f>
        <v>46400</v>
      </c>
      <c r="F1964" s="83">
        <v>25</v>
      </c>
      <c r="G1964" s="111">
        <f>ROUND(D1964*E1964/F1964,0)</f>
        <v>1856</v>
      </c>
    </row>
    <row r="1965" spans="1:8">
      <c r="A1965" s="95"/>
      <c r="B1965" s="835"/>
      <c r="C1965" s="836"/>
      <c r="D1965" s="89"/>
      <c r="E1965" s="82"/>
      <c r="F1965" s="83"/>
      <c r="G1965" s="111"/>
    </row>
    <row r="1966" spans="1:8">
      <c r="A1966" s="95"/>
      <c r="B1966" s="835" t="s">
        <v>841</v>
      </c>
      <c r="C1966" s="836"/>
      <c r="D1966" s="37"/>
      <c r="E1966" s="82"/>
      <c r="F1966" s="83"/>
      <c r="G1966" s="111"/>
    </row>
    <row r="1967" spans="1:8" ht="13.5" thickBot="1">
      <c r="A1967" s="95"/>
      <c r="B1967" s="839" t="s">
        <v>841</v>
      </c>
      <c r="C1967" s="840"/>
      <c r="D1967" s="77"/>
      <c r="E1967" s="106"/>
      <c r="F1967" s="86"/>
      <c r="G1967" s="112"/>
    </row>
    <row r="1968" spans="1:8" ht="14.25" thickTop="1" thickBot="1">
      <c r="A1968" s="95"/>
      <c r="B1968" s="808"/>
      <c r="C1968" s="808"/>
      <c r="D1968" s="808"/>
      <c r="E1968" s="809"/>
      <c r="F1968" s="119" t="s">
        <v>856</v>
      </c>
      <c r="G1968" s="118">
        <f>SUM(G1963:G1967)</f>
        <v>5191</v>
      </c>
    </row>
    <row r="1969" spans="1:8" ht="14.25" thickTop="1" thickBot="1">
      <c r="A1969" s="95"/>
      <c r="B1969" s="830"/>
      <c r="C1969" s="830"/>
      <c r="D1969" s="830"/>
      <c r="E1969" s="830"/>
      <c r="F1969" s="830"/>
      <c r="G1969" s="830"/>
    </row>
    <row r="1970" spans="1:8" ht="13.5" thickTop="1">
      <c r="A1970" s="95"/>
      <c r="B1970" s="811" t="s">
        <v>311</v>
      </c>
      <c r="C1970" s="812"/>
      <c r="D1970" s="812"/>
      <c r="E1970" s="812"/>
      <c r="F1970" s="812"/>
      <c r="G1970" s="825"/>
    </row>
    <row r="1971" spans="1:8">
      <c r="A1971" s="95"/>
      <c r="B1971" s="817" t="s">
        <v>838</v>
      </c>
      <c r="C1971" s="818"/>
      <c r="D1971" s="98" t="s">
        <v>842</v>
      </c>
      <c r="E1971" s="98" t="s">
        <v>853</v>
      </c>
      <c r="F1971" s="99" t="s">
        <v>1047</v>
      </c>
      <c r="G1971" s="107" t="s">
        <v>840</v>
      </c>
    </row>
    <row r="1972" spans="1:8">
      <c r="A1972" s="95"/>
      <c r="B1972" s="230"/>
      <c r="C1972" s="102"/>
      <c r="D1972" s="100"/>
      <c r="E1972" s="100" t="s">
        <v>312</v>
      </c>
      <c r="F1972" s="101" t="s">
        <v>313</v>
      </c>
      <c r="G1972" s="108" t="s">
        <v>314</v>
      </c>
    </row>
    <row r="1973" spans="1:8">
      <c r="A1973" s="125"/>
      <c r="B1973" s="875"/>
      <c r="C1973" s="876"/>
      <c r="D1973" s="87"/>
      <c r="E1973" s="10"/>
      <c r="F1973" s="80"/>
      <c r="G1973" s="110"/>
    </row>
    <row r="1974" spans="1:8">
      <c r="A1974" s="123"/>
      <c r="B1974" s="877"/>
      <c r="C1974" s="878"/>
      <c r="D1974" s="88"/>
      <c r="E1974" s="53"/>
      <c r="F1974" s="82"/>
      <c r="G1974" s="111"/>
    </row>
    <row r="1975" spans="1:8">
      <c r="A1975" s="95"/>
      <c r="B1975" s="835"/>
      <c r="C1975" s="836"/>
      <c r="D1975" s="37"/>
      <c r="E1975" s="55"/>
      <c r="F1975" s="82"/>
      <c r="G1975" s="111"/>
    </row>
    <row r="1976" spans="1:8">
      <c r="A1976" s="95"/>
      <c r="B1976" s="835"/>
      <c r="C1976" s="836"/>
      <c r="D1976" s="37"/>
      <c r="E1976" s="55"/>
      <c r="F1976" s="82"/>
      <c r="G1976" s="111"/>
    </row>
    <row r="1977" spans="1:8">
      <c r="A1977" s="95"/>
      <c r="B1977" s="837"/>
      <c r="C1977" s="838"/>
      <c r="D1977" s="37"/>
      <c r="E1977" s="55"/>
      <c r="F1977" s="82"/>
      <c r="G1977" s="111"/>
    </row>
    <row r="1978" spans="1:8">
      <c r="A1978" s="95"/>
      <c r="B1978" s="837"/>
      <c r="C1978" s="838"/>
      <c r="D1978" s="53" t="s">
        <v>841</v>
      </c>
      <c r="E1978" s="53"/>
      <c r="F1978" s="82"/>
      <c r="G1978" s="111"/>
    </row>
    <row r="1979" spans="1:8">
      <c r="A1979" s="95"/>
      <c r="B1979" s="837" t="s">
        <v>841</v>
      </c>
      <c r="C1979" s="838"/>
      <c r="D1979" s="53" t="s">
        <v>841</v>
      </c>
      <c r="E1979" s="53"/>
      <c r="F1979" s="82"/>
      <c r="G1979" s="111"/>
    </row>
    <row r="1980" spans="1:8">
      <c r="A1980" s="95"/>
      <c r="B1980" s="837" t="s">
        <v>841</v>
      </c>
      <c r="C1980" s="838"/>
      <c r="D1980" s="53" t="s">
        <v>841</v>
      </c>
      <c r="E1980" s="53"/>
      <c r="F1980" s="82"/>
      <c r="G1980" s="111"/>
      <c r="H1980" s="505" t="s">
        <v>1670</v>
      </c>
    </row>
    <row r="1981" spans="1:8" ht="13.5" thickBot="1">
      <c r="A1981" s="95"/>
      <c r="B1981" s="839" t="s">
        <v>841</v>
      </c>
      <c r="C1981" s="840"/>
      <c r="D1981" s="84" t="s">
        <v>841</v>
      </c>
      <c r="E1981" s="84"/>
      <c r="F1981" s="85"/>
      <c r="G1981" s="112"/>
    </row>
    <row r="1982" spans="1:8" ht="13.5" thickTop="1">
      <c r="A1982" s="95"/>
      <c r="B1982" s="808"/>
      <c r="C1982" s="809"/>
      <c r="D1982" s="801" t="s">
        <v>856</v>
      </c>
      <c r="E1982" s="802"/>
      <c r="F1982" s="9"/>
      <c r="G1982" s="113">
        <f>SUM(G1973:G1981)</f>
        <v>0</v>
      </c>
    </row>
    <row r="1983" spans="1:8">
      <c r="A1983" s="95"/>
      <c r="B1983" s="819"/>
      <c r="C1983" s="820"/>
      <c r="D1983" s="801" t="s">
        <v>857</v>
      </c>
      <c r="E1983" s="802"/>
      <c r="F1983" s="79">
        <f>'MANO DE OBRA'!$D$60</f>
        <v>0.05</v>
      </c>
      <c r="G1983" s="113">
        <f>ROUND(G1982*F1983,0)</f>
        <v>0</v>
      </c>
    </row>
    <row r="1984" spans="1:8" ht="13.5" thickBot="1">
      <c r="A1984" s="95"/>
      <c r="B1984" s="819"/>
      <c r="C1984" s="820"/>
      <c r="D1984" s="803" t="s">
        <v>320</v>
      </c>
      <c r="E1984" s="804"/>
      <c r="F1984" s="114"/>
      <c r="G1984" s="118">
        <f>+G1982+G1983</f>
        <v>0</v>
      </c>
    </row>
    <row r="1985" spans="1:7" ht="14.25" thickTop="1" thickBot="1">
      <c r="A1985" s="95"/>
      <c r="B1985" s="830"/>
      <c r="C1985" s="830"/>
      <c r="D1985" s="830"/>
      <c r="E1985" s="830"/>
      <c r="F1985" s="830"/>
      <c r="G1985" s="830"/>
    </row>
    <row r="1986" spans="1:7" ht="13.5" thickTop="1">
      <c r="A1986" s="95"/>
      <c r="B1986" s="811" t="s">
        <v>858</v>
      </c>
      <c r="C1986" s="812"/>
      <c r="D1986" s="812"/>
      <c r="E1986" s="812"/>
      <c r="F1986" s="812"/>
      <c r="G1986" s="825"/>
    </row>
    <row r="1987" spans="1:7">
      <c r="A1987" s="95"/>
      <c r="B1987" s="817"/>
      <c r="C1987" s="818"/>
      <c r="D1987" s="98" t="s">
        <v>301</v>
      </c>
      <c r="E1987" s="98" t="s">
        <v>859</v>
      </c>
      <c r="F1987" s="99" t="s">
        <v>839</v>
      </c>
      <c r="G1987" s="107" t="s">
        <v>840</v>
      </c>
    </row>
    <row r="1988" spans="1:7">
      <c r="A1988" s="95"/>
      <c r="B1988" s="821" t="s">
        <v>838</v>
      </c>
      <c r="C1988" s="822"/>
      <c r="D1988" s="100" t="s">
        <v>316</v>
      </c>
      <c r="E1988" s="100" t="s">
        <v>315</v>
      </c>
      <c r="F1988" s="101" t="s">
        <v>306</v>
      </c>
      <c r="G1988" s="108" t="s">
        <v>319</v>
      </c>
    </row>
    <row r="1989" spans="1:7">
      <c r="A1989" s="95"/>
      <c r="B1989" s="230"/>
      <c r="C1989" s="102"/>
      <c r="D1989" s="103"/>
      <c r="E1989" s="103" t="s">
        <v>317</v>
      </c>
      <c r="F1989" s="104" t="s">
        <v>318</v>
      </c>
      <c r="G1989" s="109"/>
    </row>
    <row r="1990" spans="1:7">
      <c r="A1990" s="95"/>
      <c r="B1990" s="823" t="str">
        <f>'MANO DE OBRA'!$B$10</f>
        <v>AYUDANTE CUAD. TIPO AA</v>
      </c>
      <c r="C1990" s="824"/>
      <c r="D1990" s="87">
        <v>1</v>
      </c>
      <c r="E1990" s="80">
        <f>'MANO DE OBRA'!$E$10</f>
        <v>34680</v>
      </c>
      <c r="F1990" s="81">
        <v>0.52</v>
      </c>
      <c r="G1990" s="110">
        <f>ROUND(D1990*E1990/F1990,0)</f>
        <v>66692</v>
      </c>
    </row>
    <row r="1991" spans="1:7">
      <c r="A1991" s="95"/>
      <c r="B1991" s="835"/>
      <c r="C1991" s="836"/>
      <c r="D1991" s="37"/>
      <c r="E1991" s="82"/>
      <c r="F1991" s="83"/>
      <c r="G1991" s="111"/>
    </row>
    <row r="1992" spans="1:7">
      <c r="A1992" s="95"/>
      <c r="B1992" s="835"/>
      <c r="C1992" s="836"/>
      <c r="D1992" s="89"/>
      <c r="E1992" s="82"/>
      <c r="F1992" s="83"/>
      <c r="G1992" s="111"/>
    </row>
    <row r="1993" spans="1:7">
      <c r="A1993" s="95"/>
      <c r="B1993" s="835" t="s">
        <v>841</v>
      </c>
      <c r="C1993" s="836"/>
      <c r="D1993" s="37"/>
      <c r="E1993" s="82"/>
      <c r="F1993" s="83"/>
      <c r="G1993" s="111"/>
    </row>
    <row r="1994" spans="1:7" ht="13.5" thickBot="1">
      <c r="A1994" s="95"/>
      <c r="B1994" s="828" t="s">
        <v>841</v>
      </c>
      <c r="C1994" s="829"/>
      <c r="D1994" s="77"/>
      <c r="E1994" s="82"/>
      <c r="F1994" s="86"/>
      <c r="G1994" s="112"/>
    </row>
    <row r="1995" spans="1:7" ht="14.25" thickTop="1" thickBot="1">
      <c r="A1995" s="95"/>
      <c r="B1995" s="808"/>
      <c r="C1995" s="808"/>
      <c r="D1995" s="808"/>
      <c r="E1995" s="809"/>
      <c r="F1995" s="120" t="s">
        <v>856</v>
      </c>
      <c r="G1995" s="118">
        <f>SUM(G1990:G1994)</f>
        <v>66692</v>
      </c>
    </row>
    <row r="1996" spans="1:7" ht="14.25" thickTop="1" thickBot="1">
      <c r="A1996" s="95"/>
      <c r="B1996" s="810"/>
      <c r="C1996" s="810"/>
      <c r="D1996" s="810"/>
      <c r="E1996" s="810"/>
      <c r="F1996" s="810"/>
      <c r="G1996" s="810"/>
    </row>
    <row r="1997" spans="1:7" ht="13.5" thickTop="1">
      <c r="A1997" s="95"/>
      <c r="B1997" s="811" t="s">
        <v>321</v>
      </c>
      <c r="C1997" s="812"/>
      <c r="D1997" s="812"/>
      <c r="E1997" s="812"/>
      <c r="F1997" s="812"/>
      <c r="G1997" s="825"/>
    </row>
    <row r="1998" spans="1:7">
      <c r="A1998" s="95"/>
      <c r="B1998" s="817" t="s">
        <v>838</v>
      </c>
      <c r="C1998" s="818"/>
      <c r="D1998" s="98" t="s">
        <v>301</v>
      </c>
      <c r="E1998" s="98" t="s">
        <v>297</v>
      </c>
      <c r="F1998" s="99" t="s">
        <v>839</v>
      </c>
      <c r="G1998" s="107" t="s">
        <v>840</v>
      </c>
    </row>
    <row r="1999" spans="1:7">
      <c r="A1999" s="95"/>
      <c r="B1999" s="230"/>
      <c r="C1999" s="102"/>
      <c r="D1999" s="103" t="s">
        <v>322</v>
      </c>
      <c r="E1999" s="103" t="s">
        <v>323</v>
      </c>
      <c r="F1999" s="104" t="s">
        <v>324</v>
      </c>
      <c r="G1999" s="109" t="s">
        <v>325</v>
      </c>
    </row>
    <row r="2000" spans="1:7">
      <c r="A2000" s="95"/>
      <c r="B2000" s="826"/>
      <c r="C2000" s="827"/>
      <c r="D2000" s="96"/>
      <c r="E2000" s="96"/>
      <c r="F2000" s="96"/>
      <c r="G2000" s="116"/>
    </row>
    <row r="2001" spans="1:8" ht="13.5" thickBot="1">
      <c r="A2001" s="95"/>
      <c r="B2001" s="828" t="s">
        <v>841</v>
      </c>
      <c r="C2001" s="829"/>
      <c r="D2001" s="77"/>
      <c r="E2001" s="82"/>
      <c r="F2001" s="86"/>
      <c r="G2001" s="112"/>
    </row>
    <row r="2002" spans="1:8" ht="14.25" thickTop="1" thickBot="1">
      <c r="A2002" s="95"/>
      <c r="B2002" s="808"/>
      <c r="C2002" s="808"/>
      <c r="D2002" s="808"/>
      <c r="E2002" s="809"/>
      <c r="F2002" s="120" t="s">
        <v>856</v>
      </c>
      <c r="G2002" s="118">
        <f>SUM(G1997:G2001)</f>
        <v>0</v>
      </c>
    </row>
    <row r="2003" spans="1:8" ht="14.25" thickTop="1" thickBot="1">
      <c r="A2003" s="95"/>
      <c r="B2003" s="810"/>
      <c r="C2003" s="810"/>
      <c r="D2003" s="810"/>
      <c r="E2003" s="810"/>
      <c r="F2003" s="810"/>
      <c r="G2003" s="834"/>
    </row>
    <row r="2004" spans="1:8" ht="13.5" thickTop="1">
      <c r="A2004" s="95"/>
      <c r="B2004" s="811" t="s">
        <v>326</v>
      </c>
      <c r="C2004" s="812"/>
      <c r="D2004" s="812"/>
      <c r="E2004" s="812"/>
      <c r="F2004" s="813"/>
      <c r="G2004" s="121">
        <f>+G1968+G1984+G1995</f>
        <v>71883</v>
      </c>
    </row>
    <row r="2005" spans="1:8">
      <c r="A2005" s="95"/>
      <c r="B2005" s="814" t="s">
        <v>861</v>
      </c>
      <c r="C2005" s="815"/>
      <c r="D2005" s="815"/>
      <c r="E2005" s="816"/>
      <c r="F2005" s="128">
        <f>'MANO DE OBRA'!D1797</f>
        <v>0</v>
      </c>
      <c r="G2005" s="122">
        <f>ROUND(G2004*F2005,0)</f>
        <v>0</v>
      </c>
    </row>
    <row r="2006" spans="1:8" ht="13.5" thickBot="1">
      <c r="A2006" s="95"/>
      <c r="B2006" s="805" t="s">
        <v>1049</v>
      </c>
      <c r="C2006" s="806"/>
      <c r="D2006" s="806"/>
      <c r="E2006" s="806"/>
      <c r="F2006" s="807"/>
      <c r="G2006" s="118">
        <f>ROUND(G2004+G2005,-2)</f>
        <v>71900</v>
      </c>
      <c r="H2006" s="505" t="s">
        <v>1670</v>
      </c>
    </row>
    <row r="2007" spans="1:8" ht="15" thickTop="1">
      <c r="A2007" s="95"/>
      <c r="B2007" s="225" t="s">
        <v>303</v>
      </c>
      <c r="C2007" s="843"/>
      <c r="D2007" s="843"/>
      <c r="E2007" s="843"/>
      <c r="F2007" s="92" t="s">
        <v>781</v>
      </c>
      <c r="G2007" s="93" t="s">
        <v>1066</v>
      </c>
    </row>
    <row r="2008" spans="1:8">
      <c r="A2008" s="95"/>
      <c r="B2008" s="226" t="s">
        <v>834</v>
      </c>
      <c r="C2008" s="844" t="s">
        <v>342</v>
      </c>
      <c r="D2008" s="844"/>
      <c r="E2008" s="844"/>
      <c r="F2008" s="15" t="s">
        <v>833</v>
      </c>
      <c r="G2008" s="165" t="str">
        <f>'MANO DE OBRA'!$D$61</f>
        <v>Agosto de 2010</v>
      </c>
    </row>
    <row r="2009" spans="1:8" ht="27.75" customHeight="1" thickBot="1">
      <c r="A2009" s="236"/>
      <c r="B2009" s="240" t="s">
        <v>835</v>
      </c>
      <c r="C2009" s="934" t="s">
        <v>821</v>
      </c>
      <c r="D2009" s="934"/>
      <c r="E2009" s="934"/>
      <c r="F2009" s="934"/>
      <c r="G2009" s="935"/>
    </row>
    <row r="2010" spans="1:8" ht="14.25" thickTop="1" thickBot="1">
      <c r="A2010" s="95"/>
      <c r="B2010" s="847"/>
      <c r="C2010" s="847"/>
      <c r="D2010" s="847"/>
      <c r="E2010" s="847"/>
      <c r="F2010" s="847"/>
      <c r="G2010" s="847"/>
    </row>
    <row r="2011" spans="1:8" ht="13.5" thickTop="1">
      <c r="A2011" s="95"/>
      <c r="B2011" s="811" t="s">
        <v>304</v>
      </c>
      <c r="C2011" s="812"/>
      <c r="D2011" s="812"/>
      <c r="E2011" s="812"/>
      <c r="F2011" s="812"/>
      <c r="G2011" s="825"/>
    </row>
    <row r="2012" spans="1:8">
      <c r="A2012" s="95"/>
      <c r="B2012" s="229"/>
      <c r="C2012" s="97"/>
      <c r="D2012" s="98" t="s">
        <v>301</v>
      </c>
      <c r="E2012" s="98" t="s">
        <v>1072</v>
      </c>
      <c r="F2012" s="99" t="s">
        <v>839</v>
      </c>
      <c r="G2012" s="107" t="s">
        <v>840</v>
      </c>
    </row>
    <row r="2013" spans="1:8">
      <c r="A2013" s="95"/>
      <c r="B2013" s="821" t="s">
        <v>838</v>
      </c>
      <c r="C2013" s="822"/>
      <c r="D2013" s="100" t="s">
        <v>308</v>
      </c>
      <c r="E2013" s="100" t="s">
        <v>305</v>
      </c>
      <c r="F2013" s="101" t="s">
        <v>306</v>
      </c>
      <c r="G2013" s="108" t="s">
        <v>310</v>
      </c>
    </row>
    <row r="2014" spans="1:8">
      <c r="A2014" s="95"/>
      <c r="B2014" s="230"/>
      <c r="C2014" s="102"/>
      <c r="D2014" s="103"/>
      <c r="E2014" s="103" t="s">
        <v>309</v>
      </c>
      <c r="F2014" s="104" t="s">
        <v>307</v>
      </c>
      <c r="G2014" s="109"/>
    </row>
    <row r="2015" spans="1:8">
      <c r="A2015" s="127"/>
      <c r="B2015" s="823" t="str">
        <f>'MAQUINARIA Y EQUIPOS'!$C$28</f>
        <v>HERRAMIENTAS MENORES</v>
      </c>
      <c r="C2015" s="824"/>
      <c r="D2015" s="87">
        <v>1</v>
      </c>
      <c r="E2015" s="82">
        <f>ROUND(G2047*0.05,0)</f>
        <v>6193</v>
      </c>
      <c r="F2015" s="81">
        <v>1</v>
      </c>
      <c r="G2015" s="110">
        <f>ROUND(D2015*E2015/F2015,0)</f>
        <v>6193</v>
      </c>
    </row>
    <row r="2016" spans="1:8">
      <c r="A2016" s="127"/>
      <c r="B2016" s="835" t="str">
        <f>'MAQUINARIA Y EQUIPOS'!$C$35</f>
        <v>MOTOBOMBA 3"</v>
      </c>
      <c r="C2016" s="836"/>
      <c r="D2016" s="37">
        <v>1</v>
      </c>
      <c r="E2016" s="82">
        <f>'MAQUINARIA Y EQUIPOS'!$D$35</f>
        <v>46400</v>
      </c>
      <c r="F2016" s="83">
        <v>40</v>
      </c>
      <c r="G2016" s="111">
        <f>ROUND(D2016*E2016/F2016,0)</f>
        <v>1160</v>
      </c>
    </row>
    <row r="2017" spans="1:8">
      <c r="A2017" s="95"/>
      <c r="B2017" s="835"/>
      <c r="C2017" s="836"/>
      <c r="D2017" s="89"/>
      <c r="E2017" s="82"/>
      <c r="F2017" s="83"/>
      <c r="G2017" s="111"/>
    </row>
    <row r="2018" spans="1:8">
      <c r="A2018" s="95"/>
      <c r="B2018" s="835" t="s">
        <v>841</v>
      </c>
      <c r="C2018" s="836"/>
      <c r="D2018" s="37"/>
      <c r="E2018" s="82"/>
      <c r="F2018" s="83"/>
      <c r="G2018" s="111"/>
    </row>
    <row r="2019" spans="1:8" ht="13.5" thickBot="1">
      <c r="A2019" s="95"/>
      <c r="B2019" s="839" t="s">
        <v>841</v>
      </c>
      <c r="C2019" s="840"/>
      <c r="D2019" s="77"/>
      <c r="E2019" s="106"/>
      <c r="F2019" s="86"/>
      <c r="G2019" s="112"/>
    </row>
    <row r="2020" spans="1:8" ht="14.25" thickTop="1" thickBot="1">
      <c r="A2020" s="95"/>
      <c r="B2020" s="808"/>
      <c r="C2020" s="808"/>
      <c r="D2020" s="808"/>
      <c r="E2020" s="809"/>
      <c r="F2020" s="119" t="s">
        <v>856</v>
      </c>
      <c r="G2020" s="118">
        <f>SUM(G2015:G2019)</f>
        <v>7353</v>
      </c>
    </row>
    <row r="2021" spans="1:8" ht="14.25" thickTop="1" thickBot="1">
      <c r="A2021" s="95"/>
      <c r="B2021" s="830"/>
      <c r="C2021" s="830"/>
      <c r="D2021" s="830"/>
      <c r="E2021" s="830"/>
      <c r="F2021" s="830"/>
      <c r="G2021" s="830"/>
    </row>
    <row r="2022" spans="1:8" ht="13.5" thickTop="1">
      <c r="A2022" s="95"/>
      <c r="B2022" s="811" t="s">
        <v>311</v>
      </c>
      <c r="C2022" s="812"/>
      <c r="D2022" s="812"/>
      <c r="E2022" s="812"/>
      <c r="F2022" s="812"/>
      <c r="G2022" s="825"/>
    </row>
    <row r="2023" spans="1:8">
      <c r="A2023" s="95"/>
      <c r="B2023" s="817" t="s">
        <v>838</v>
      </c>
      <c r="C2023" s="818"/>
      <c r="D2023" s="98" t="s">
        <v>842</v>
      </c>
      <c r="E2023" s="98" t="s">
        <v>853</v>
      </c>
      <c r="F2023" s="99" t="s">
        <v>1047</v>
      </c>
      <c r="G2023" s="107" t="s">
        <v>840</v>
      </c>
    </row>
    <row r="2024" spans="1:8">
      <c r="A2024" s="95"/>
      <c r="B2024" s="230"/>
      <c r="C2024" s="102"/>
      <c r="D2024" s="100"/>
      <c r="E2024" s="100" t="s">
        <v>312</v>
      </c>
      <c r="F2024" s="101" t="s">
        <v>313</v>
      </c>
      <c r="G2024" s="108" t="s">
        <v>314</v>
      </c>
    </row>
    <row r="2025" spans="1:8">
      <c r="A2025" s="125"/>
      <c r="B2025" s="875"/>
      <c r="C2025" s="876"/>
      <c r="D2025" s="87"/>
      <c r="E2025" s="10"/>
      <c r="F2025" s="80"/>
      <c r="G2025" s="110"/>
    </row>
    <row r="2026" spans="1:8">
      <c r="A2026" s="123"/>
      <c r="B2026" s="877"/>
      <c r="C2026" s="878"/>
      <c r="D2026" s="88"/>
      <c r="E2026" s="53"/>
      <c r="F2026" s="82"/>
      <c r="G2026" s="111"/>
    </row>
    <row r="2027" spans="1:8">
      <c r="A2027" s="95"/>
      <c r="B2027" s="835"/>
      <c r="C2027" s="836"/>
      <c r="D2027" s="37"/>
      <c r="E2027" s="55"/>
      <c r="F2027" s="82"/>
      <c r="G2027" s="111"/>
    </row>
    <row r="2028" spans="1:8">
      <c r="A2028" s="95"/>
      <c r="B2028" s="835"/>
      <c r="C2028" s="836"/>
      <c r="D2028" s="37"/>
      <c r="E2028" s="55"/>
      <c r="F2028" s="82"/>
      <c r="G2028" s="111"/>
    </row>
    <row r="2029" spans="1:8">
      <c r="A2029" s="95"/>
      <c r="B2029" s="837"/>
      <c r="C2029" s="838"/>
      <c r="D2029" s="37"/>
      <c r="E2029" s="55"/>
      <c r="F2029" s="82"/>
      <c r="G2029" s="111"/>
    </row>
    <row r="2030" spans="1:8">
      <c r="A2030" s="95"/>
      <c r="B2030" s="837"/>
      <c r="C2030" s="838"/>
      <c r="D2030" s="53" t="s">
        <v>841</v>
      </c>
      <c r="E2030" s="53"/>
      <c r="F2030" s="82"/>
      <c r="G2030" s="111"/>
    </row>
    <row r="2031" spans="1:8">
      <c r="A2031" s="95"/>
      <c r="B2031" s="837" t="s">
        <v>841</v>
      </c>
      <c r="C2031" s="838"/>
      <c r="D2031" s="53" t="s">
        <v>841</v>
      </c>
      <c r="E2031" s="53"/>
      <c r="F2031" s="82"/>
      <c r="G2031" s="111"/>
    </row>
    <row r="2032" spans="1:8">
      <c r="A2032" s="95"/>
      <c r="B2032" s="837" t="s">
        <v>841</v>
      </c>
      <c r="C2032" s="838"/>
      <c r="D2032" s="53" t="s">
        <v>841</v>
      </c>
      <c r="E2032" s="53"/>
      <c r="F2032" s="82"/>
      <c r="G2032" s="111"/>
      <c r="H2032" s="505" t="s">
        <v>1670</v>
      </c>
    </row>
    <row r="2033" spans="1:7" ht="13.5" thickBot="1">
      <c r="A2033" s="95"/>
      <c r="B2033" s="839" t="s">
        <v>841</v>
      </c>
      <c r="C2033" s="840"/>
      <c r="D2033" s="84" t="s">
        <v>841</v>
      </c>
      <c r="E2033" s="84"/>
      <c r="F2033" s="85"/>
      <c r="G2033" s="112"/>
    </row>
    <row r="2034" spans="1:7" ht="13.5" thickTop="1">
      <c r="A2034" s="95"/>
      <c r="B2034" s="808"/>
      <c r="C2034" s="809"/>
      <c r="D2034" s="801" t="s">
        <v>856</v>
      </c>
      <c r="E2034" s="802"/>
      <c r="F2034" s="9"/>
      <c r="G2034" s="113">
        <f>SUM(G2025:G2033)</f>
        <v>0</v>
      </c>
    </row>
    <row r="2035" spans="1:7">
      <c r="A2035" s="95"/>
      <c r="B2035" s="819"/>
      <c r="C2035" s="820"/>
      <c r="D2035" s="801" t="s">
        <v>857</v>
      </c>
      <c r="E2035" s="802"/>
      <c r="F2035" s="79">
        <f>'MANO DE OBRA'!$D$60</f>
        <v>0.05</v>
      </c>
      <c r="G2035" s="113">
        <f>ROUND(G2034*F2035,0)</f>
        <v>0</v>
      </c>
    </row>
    <row r="2036" spans="1:7" ht="13.5" thickBot="1">
      <c r="A2036" s="95"/>
      <c r="B2036" s="819"/>
      <c r="C2036" s="820"/>
      <c r="D2036" s="803" t="s">
        <v>320</v>
      </c>
      <c r="E2036" s="804"/>
      <c r="F2036" s="114"/>
      <c r="G2036" s="118">
        <f>+G2034+G2035</f>
        <v>0</v>
      </c>
    </row>
    <row r="2037" spans="1:7" ht="14.25" thickTop="1" thickBot="1">
      <c r="A2037" s="95"/>
      <c r="B2037" s="830"/>
      <c r="C2037" s="830"/>
      <c r="D2037" s="830"/>
      <c r="E2037" s="830"/>
      <c r="F2037" s="830"/>
      <c r="G2037" s="830"/>
    </row>
    <row r="2038" spans="1:7" ht="13.5" thickTop="1">
      <c r="A2038" s="95"/>
      <c r="B2038" s="811" t="s">
        <v>858</v>
      </c>
      <c r="C2038" s="812"/>
      <c r="D2038" s="812"/>
      <c r="E2038" s="812"/>
      <c r="F2038" s="812"/>
      <c r="G2038" s="825"/>
    </row>
    <row r="2039" spans="1:7">
      <c r="A2039" s="95"/>
      <c r="B2039" s="817"/>
      <c r="C2039" s="818"/>
      <c r="D2039" s="98" t="s">
        <v>301</v>
      </c>
      <c r="E2039" s="98" t="s">
        <v>859</v>
      </c>
      <c r="F2039" s="99" t="s">
        <v>839</v>
      </c>
      <c r="G2039" s="107" t="s">
        <v>840</v>
      </c>
    </row>
    <row r="2040" spans="1:7">
      <c r="A2040" s="95"/>
      <c r="B2040" s="821" t="s">
        <v>838</v>
      </c>
      <c r="C2040" s="822"/>
      <c r="D2040" s="100" t="s">
        <v>316</v>
      </c>
      <c r="E2040" s="100" t="s">
        <v>315</v>
      </c>
      <c r="F2040" s="101" t="s">
        <v>306</v>
      </c>
      <c r="G2040" s="108" t="s">
        <v>319</v>
      </c>
    </row>
    <row r="2041" spans="1:7">
      <c r="A2041" s="95"/>
      <c r="B2041" s="230"/>
      <c r="C2041" s="102"/>
      <c r="D2041" s="103"/>
      <c r="E2041" s="103" t="s">
        <v>317</v>
      </c>
      <c r="F2041" s="104" t="s">
        <v>318</v>
      </c>
      <c r="G2041" s="109"/>
    </row>
    <row r="2042" spans="1:7">
      <c r="A2042" s="95"/>
      <c r="B2042" s="823" t="str">
        <f>'MANO DE OBRA'!$B$10</f>
        <v>AYUDANTE CUAD. TIPO AA</v>
      </c>
      <c r="C2042" s="824"/>
      <c r="D2042" s="87">
        <v>1</v>
      </c>
      <c r="E2042" s="80">
        <f>'MANO DE OBRA'!$E$10</f>
        <v>34680</v>
      </c>
      <c r="F2042" s="81">
        <v>0.28000000000000003</v>
      </c>
      <c r="G2042" s="110">
        <f>ROUND(D2042*E2042/F2042,0)</f>
        <v>123857</v>
      </c>
    </row>
    <row r="2043" spans="1:7">
      <c r="A2043" s="95"/>
      <c r="B2043" s="835"/>
      <c r="C2043" s="836"/>
      <c r="D2043" s="37"/>
      <c r="E2043" s="82"/>
      <c r="F2043" s="83"/>
      <c r="G2043" s="111"/>
    </row>
    <row r="2044" spans="1:7">
      <c r="A2044" s="95"/>
      <c r="B2044" s="835"/>
      <c r="C2044" s="836"/>
      <c r="D2044" s="89"/>
      <c r="E2044" s="82"/>
      <c r="F2044" s="83"/>
      <c r="G2044" s="111"/>
    </row>
    <row r="2045" spans="1:7">
      <c r="A2045" s="95"/>
      <c r="B2045" s="835" t="s">
        <v>841</v>
      </c>
      <c r="C2045" s="836"/>
      <c r="D2045" s="37"/>
      <c r="E2045" s="82"/>
      <c r="F2045" s="83"/>
      <c r="G2045" s="111"/>
    </row>
    <row r="2046" spans="1:7" ht="13.5" thickBot="1">
      <c r="A2046" s="95"/>
      <c r="B2046" s="828" t="s">
        <v>841</v>
      </c>
      <c r="C2046" s="829"/>
      <c r="D2046" s="77"/>
      <c r="E2046" s="82"/>
      <c r="F2046" s="86"/>
      <c r="G2046" s="112"/>
    </row>
    <row r="2047" spans="1:7" ht="14.25" thickTop="1" thickBot="1">
      <c r="A2047" s="95"/>
      <c r="B2047" s="808"/>
      <c r="C2047" s="808"/>
      <c r="D2047" s="808"/>
      <c r="E2047" s="809"/>
      <c r="F2047" s="120" t="s">
        <v>856</v>
      </c>
      <c r="G2047" s="118">
        <f>SUM(G2042:G2046)</f>
        <v>123857</v>
      </c>
    </row>
    <row r="2048" spans="1:7" ht="14.25" thickTop="1" thickBot="1">
      <c r="A2048" s="95"/>
      <c r="B2048" s="810"/>
      <c r="C2048" s="810"/>
      <c r="D2048" s="810"/>
      <c r="E2048" s="810"/>
      <c r="F2048" s="810"/>
      <c r="G2048" s="810"/>
    </row>
    <row r="2049" spans="1:8" ht="13.5" thickTop="1">
      <c r="A2049" s="95"/>
      <c r="B2049" s="811" t="s">
        <v>321</v>
      </c>
      <c r="C2049" s="812"/>
      <c r="D2049" s="812"/>
      <c r="E2049" s="812"/>
      <c r="F2049" s="812"/>
      <c r="G2049" s="825"/>
    </row>
    <row r="2050" spans="1:8">
      <c r="A2050" s="95"/>
      <c r="B2050" s="817" t="s">
        <v>838</v>
      </c>
      <c r="C2050" s="818"/>
      <c r="D2050" s="98" t="s">
        <v>301</v>
      </c>
      <c r="E2050" s="98" t="s">
        <v>297</v>
      </c>
      <c r="F2050" s="99" t="s">
        <v>839</v>
      </c>
      <c r="G2050" s="107" t="s">
        <v>840</v>
      </c>
    </row>
    <row r="2051" spans="1:8">
      <c r="A2051" s="95"/>
      <c r="B2051" s="230"/>
      <c r="C2051" s="102"/>
      <c r="D2051" s="103" t="s">
        <v>322</v>
      </c>
      <c r="E2051" s="103" t="s">
        <v>323</v>
      </c>
      <c r="F2051" s="104" t="s">
        <v>324</v>
      </c>
      <c r="G2051" s="109" t="s">
        <v>325</v>
      </c>
    </row>
    <row r="2052" spans="1:8">
      <c r="A2052" s="95"/>
      <c r="B2052" s="826"/>
      <c r="C2052" s="827"/>
      <c r="D2052" s="96"/>
      <c r="E2052" s="96"/>
      <c r="F2052" s="96"/>
      <c r="G2052" s="116"/>
    </row>
    <row r="2053" spans="1:8" ht="13.5" thickBot="1">
      <c r="A2053" s="95"/>
      <c r="B2053" s="828" t="s">
        <v>841</v>
      </c>
      <c r="C2053" s="829"/>
      <c r="D2053" s="77"/>
      <c r="E2053" s="82"/>
      <c r="F2053" s="86"/>
      <c r="G2053" s="112"/>
    </row>
    <row r="2054" spans="1:8" ht="14.25" thickTop="1" thickBot="1">
      <c r="A2054" s="95"/>
      <c r="B2054" s="808"/>
      <c r="C2054" s="808"/>
      <c r="D2054" s="808"/>
      <c r="E2054" s="809"/>
      <c r="F2054" s="120" t="s">
        <v>856</v>
      </c>
      <c r="G2054" s="118">
        <f>SUM(G2049:G2053)</f>
        <v>0</v>
      </c>
    </row>
    <row r="2055" spans="1:8" ht="14.25" thickTop="1" thickBot="1">
      <c r="A2055" s="95"/>
      <c r="B2055" s="810"/>
      <c r="C2055" s="810"/>
      <c r="D2055" s="810"/>
      <c r="E2055" s="810"/>
      <c r="F2055" s="810"/>
      <c r="G2055" s="834"/>
    </row>
    <row r="2056" spans="1:8" ht="13.5" thickTop="1">
      <c r="A2056" s="95"/>
      <c r="B2056" s="811" t="s">
        <v>326</v>
      </c>
      <c r="C2056" s="812"/>
      <c r="D2056" s="812"/>
      <c r="E2056" s="812"/>
      <c r="F2056" s="813"/>
      <c r="G2056" s="121">
        <f>+G2020+G2036+G2047</f>
        <v>131210</v>
      </c>
    </row>
    <row r="2057" spans="1:8">
      <c r="A2057" s="95"/>
      <c r="B2057" s="814" t="s">
        <v>861</v>
      </c>
      <c r="C2057" s="815"/>
      <c r="D2057" s="815"/>
      <c r="E2057" s="816"/>
      <c r="F2057" s="128">
        <f>'MANO DE OBRA'!D1849</f>
        <v>0</v>
      </c>
      <c r="G2057" s="122">
        <f>ROUND(G2056*F2057,0)</f>
        <v>0</v>
      </c>
    </row>
    <row r="2058" spans="1:8" ht="13.5" thickBot="1">
      <c r="A2058" s="95"/>
      <c r="B2058" s="805" t="s">
        <v>1049</v>
      </c>
      <c r="C2058" s="806"/>
      <c r="D2058" s="806"/>
      <c r="E2058" s="806"/>
      <c r="F2058" s="807"/>
      <c r="G2058" s="118">
        <f>ROUND(G2056+G2057,-2)</f>
        <v>131200</v>
      </c>
      <c r="H2058" s="505" t="s">
        <v>1670</v>
      </c>
    </row>
    <row r="2059" spans="1:8" ht="15" thickTop="1">
      <c r="A2059" s="95"/>
      <c r="B2059" s="225">
        <v>3</v>
      </c>
      <c r="C2059" s="843"/>
      <c r="D2059" s="843"/>
      <c r="E2059" s="843"/>
      <c r="F2059" s="92" t="s">
        <v>781</v>
      </c>
      <c r="G2059" s="93" t="s">
        <v>1066</v>
      </c>
    </row>
    <row r="2060" spans="1:8">
      <c r="A2060" s="95"/>
      <c r="B2060" s="226" t="s">
        <v>834</v>
      </c>
      <c r="C2060" s="844" t="s">
        <v>342</v>
      </c>
      <c r="D2060" s="844"/>
      <c r="E2060" s="844"/>
      <c r="F2060" s="15" t="s">
        <v>833</v>
      </c>
      <c r="G2060" s="165" t="str">
        <f>'MANO DE OBRA'!$D$61</f>
        <v>Agosto de 2010</v>
      </c>
    </row>
    <row r="2061" spans="1:8" ht="27.75" customHeight="1" thickBot="1">
      <c r="A2061" s="236"/>
      <c r="B2061" s="240" t="s">
        <v>835</v>
      </c>
      <c r="C2061" s="934" t="s">
        <v>822</v>
      </c>
      <c r="D2061" s="934"/>
      <c r="E2061" s="934"/>
      <c r="F2061" s="934"/>
      <c r="G2061" s="935"/>
    </row>
    <row r="2062" spans="1:8" ht="14.25" thickTop="1" thickBot="1">
      <c r="A2062" s="95"/>
      <c r="B2062" s="847"/>
      <c r="C2062" s="847"/>
      <c r="D2062" s="847"/>
      <c r="E2062" s="847"/>
      <c r="F2062" s="847"/>
      <c r="G2062" s="847"/>
    </row>
    <row r="2063" spans="1:8" ht="13.5" thickTop="1">
      <c r="A2063" s="95"/>
      <c r="B2063" s="811" t="s">
        <v>304</v>
      </c>
      <c r="C2063" s="812"/>
      <c r="D2063" s="812"/>
      <c r="E2063" s="812"/>
      <c r="F2063" s="812"/>
      <c r="G2063" s="825"/>
    </row>
    <row r="2064" spans="1:8">
      <c r="A2064" s="95"/>
      <c r="B2064" s="229"/>
      <c r="C2064" s="97"/>
      <c r="D2064" s="98" t="s">
        <v>301</v>
      </c>
      <c r="E2064" s="98" t="s">
        <v>1072</v>
      </c>
      <c r="F2064" s="99" t="s">
        <v>839</v>
      </c>
      <c r="G2064" s="107" t="s">
        <v>840</v>
      </c>
    </row>
    <row r="2065" spans="1:7">
      <c r="A2065" s="95"/>
      <c r="B2065" s="821" t="s">
        <v>838</v>
      </c>
      <c r="C2065" s="822"/>
      <c r="D2065" s="100" t="s">
        <v>308</v>
      </c>
      <c r="E2065" s="100" t="s">
        <v>305</v>
      </c>
      <c r="F2065" s="101" t="s">
        <v>306</v>
      </c>
      <c r="G2065" s="108" t="s">
        <v>310</v>
      </c>
    </row>
    <row r="2066" spans="1:7">
      <c r="A2066" s="95"/>
      <c r="B2066" s="230"/>
      <c r="C2066" s="102"/>
      <c r="D2066" s="103"/>
      <c r="E2066" s="103" t="s">
        <v>309</v>
      </c>
      <c r="F2066" s="104" t="s">
        <v>307</v>
      </c>
      <c r="G2066" s="109"/>
    </row>
    <row r="2067" spans="1:7">
      <c r="A2067" s="127"/>
      <c r="B2067" s="823" t="str">
        <f>'MAQUINARIA Y EQUIPOS'!$C$28</f>
        <v>HERRAMIENTAS MENORES</v>
      </c>
      <c r="C2067" s="824"/>
      <c r="D2067" s="87">
        <v>1</v>
      </c>
      <c r="E2067" s="82">
        <f>ROUND(G2099*0.05,0)</f>
        <v>7225</v>
      </c>
      <c r="F2067" s="81">
        <v>1</v>
      </c>
      <c r="G2067" s="110">
        <f>ROUND(D2067*E2067/F2067,0)</f>
        <v>7225</v>
      </c>
    </row>
    <row r="2068" spans="1:7">
      <c r="A2068" s="127"/>
      <c r="B2068" s="835" t="str">
        <f>'MAQUINARIA Y EQUIPOS'!$C$35</f>
        <v>MOTOBOMBA 3"</v>
      </c>
      <c r="C2068" s="836"/>
      <c r="D2068" s="37">
        <v>1</v>
      </c>
      <c r="E2068" s="82">
        <f>'MAQUINARIA Y EQUIPOS'!$D$35</f>
        <v>46400</v>
      </c>
      <c r="F2068" s="83">
        <v>35</v>
      </c>
      <c r="G2068" s="111">
        <f>ROUND(D2068*E2068/F2068,0)</f>
        <v>1326</v>
      </c>
    </row>
    <row r="2069" spans="1:7">
      <c r="A2069" s="95"/>
      <c r="B2069" s="835"/>
      <c r="C2069" s="836"/>
      <c r="D2069" s="89"/>
      <c r="E2069" s="82"/>
      <c r="F2069" s="83"/>
      <c r="G2069" s="111"/>
    </row>
    <row r="2070" spans="1:7">
      <c r="A2070" s="95"/>
      <c r="B2070" s="835" t="s">
        <v>841</v>
      </c>
      <c r="C2070" s="836"/>
      <c r="D2070" s="37"/>
      <c r="E2070" s="82"/>
      <c r="F2070" s="83"/>
      <c r="G2070" s="111"/>
    </row>
    <row r="2071" spans="1:7" ht="13.5" thickBot="1">
      <c r="A2071" s="95"/>
      <c r="B2071" s="839" t="s">
        <v>841</v>
      </c>
      <c r="C2071" s="840"/>
      <c r="D2071" s="77"/>
      <c r="E2071" s="106"/>
      <c r="F2071" s="86"/>
      <c r="G2071" s="112"/>
    </row>
    <row r="2072" spans="1:7" ht="14.25" thickTop="1" thickBot="1">
      <c r="A2072" s="95"/>
      <c r="B2072" s="808"/>
      <c r="C2072" s="808"/>
      <c r="D2072" s="808"/>
      <c r="E2072" s="809"/>
      <c r="F2072" s="119" t="s">
        <v>856</v>
      </c>
      <c r="G2072" s="118">
        <f>SUM(G2067:G2071)</f>
        <v>8551</v>
      </c>
    </row>
    <row r="2073" spans="1:7" ht="14.25" thickTop="1" thickBot="1">
      <c r="A2073" s="95"/>
      <c r="B2073" s="830"/>
      <c r="C2073" s="830"/>
      <c r="D2073" s="830"/>
      <c r="E2073" s="830"/>
      <c r="F2073" s="830"/>
      <c r="G2073" s="830"/>
    </row>
    <row r="2074" spans="1:7" ht="13.5" thickTop="1">
      <c r="A2074" s="95"/>
      <c r="B2074" s="811" t="s">
        <v>311</v>
      </c>
      <c r="C2074" s="812"/>
      <c r="D2074" s="812"/>
      <c r="E2074" s="812"/>
      <c r="F2074" s="812"/>
      <c r="G2074" s="825"/>
    </row>
    <row r="2075" spans="1:7">
      <c r="A2075" s="95"/>
      <c r="B2075" s="817" t="s">
        <v>838</v>
      </c>
      <c r="C2075" s="818"/>
      <c r="D2075" s="98" t="s">
        <v>842</v>
      </c>
      <c r="E2075" s="98" t="s">
        <v>853</v>
      </c>
      <c r="F2075" s="99" t="s">
        <v>1047</v>
      </c>
      <c r="G2075" s="107" t="s">
        <v>840</v>
      </c>
    </row>
    <row r="2076" spans="1:7">
      <c r="A2076" s="95"/>
      <c r="B2076" s="230"/>
      <c r="C2076" s="102"/>
      <c r="D2076" s="100"/>
      <c r="E2076" s="100" t="s">
        <v>312</v>
      </c>
      <c r="F2076" s="101" t="s">
        <v>313</v>
      </c>
      <c r="G2076" s="108" t="s">
        <v>314</v>
      </c>
    </row>
    <row r="2077" spans="1:7">
      <c r="A2077" s="125"/>
      <c r="B2077" s="875"/>
      <c r="C2077" s="876"/>
      <c r="D2077" s="87"/>
      <c r="E2077" s="10"/>
      <c r="F2077" s="80"/>
      <c r="G2077" s="110"/>
    </row>
    <row r="2078" spans="1:7">
      <c r="A2078" s="123"/>
      <c r="B2078" s="877"/>
      <c r="C2078" s="878"/>
      <c r="D2078" s="88"/>
      <c r="E2078" s="53"/>
      <c r="F2078" s="82"/>
      <c r="G2078" s="111"/>
    </row>
    <row r="2079" spans="1:7">
      <c r="A2079" s="95"/>
      <c r="B2079" s="835"/>
      <c r="C2079" s="836"/>
      <c r="D2079" s="37"/>
      <c r="E2079" s="55"/>
      <c r="F2079" s="82"/>
      <c r="G2079" s="111"/>
    </row>
    <row r="2080" spans="1:7">
      <c r="A2080" s="95"/>
      <c r="B2080" s="835"/>
      <c r="C2080" s="836"/>
      <c r="D2080" s="37"/>
      <c r="E2080" s="55"/>
      <c r="F2080" s="82"/>
      <c r="G2080" s="111"/>
    </row>
    <row r="2081" spans="1:8">
      <c r="A2081" s="95"/>
      <c r="B2081" s="837"/>
      <c r="C2081" s="838"/>
      <c r="D2081" s="37"/>
      <c r="E2081" s="55"/>
      <c r="F2081" s="82"/>
      <c r="G2081" s="111"/>
    </row>
    <row r="2082" spans="1:8">
      <c r="A2082" s="95"/>
      <c r="B2082" s="837"/>
      <c r="C2082" s="838"/>
      <c r="D2082" s="53" t="s">
        <v>841</v>
      </c>
      <c r="E2082" s="53"/>
      <c r="F2082" s="82"/>
      <c r="G2082" s="111"/>
    </row>
    <row r="2083" spans="1:8">
      <c r="A2083" s="95"/>
      <c r="B2083" s="837" t="s">
        <v>841</v>
      </c>
      <c r="C2083" s="838"/>
      <c r="D2083" s="53" t="s">
        <v>841</v>
      </c>
      <c r="E2083" s="53"/>
      <c r="F2083" s="82"/>
      <c r="G2083" s="111"/>
    </row>
    <row r="2084" spans="1:8">
      <c r="A2084" s="95"/>
      <c r="B2084" s="837" t="s">
        <v>841</v>
      </c>
      <c r="C2084" s="838"/>
      <c r="D2084" s="53" t="s">
        <v>841</v>
      </c>
      <c r="E2084" s="53"/>
      <c r="F2084" s="82"/>
      <c r="G2084" s="111"/>
      <c r="H2084" s="505" t="s">
        <v>1670</v>
      </c>
    </row>
    <row r="2085" spans="1:8" ht="13.5" thickBot="1">
      <c r="A2085" s="95"/>
      <c r="B2085" s="839" t="s">
        <v>841</v>
      </c>
      <c r="C2085" s="840"/>
      <c r="D2085" s="84" t="s">
        <v>841</v>
      </c>
      <c r="E2085" s="84"/>
      <c r="F2085" s="85"/>
      <c r="G2085" s="112"/>
    </row>
    <row r="2086" spans="1:8" ht="13.5" thickTop="1">
      <c r="A2086" s="95"/>
      <c r="B2086" s="808"/>
      <c r="C2086" s="809"/>
      <c r="D2086" s="801" t="s">
        <v>856</v>
      </c>
      <c r="E2086" s="802"/>
      <c r="F2086" s="9"/>
      <c r="G2086" s="113">
        <f>SUM(G2077:G2085)</f>
        <v>0</v>
      </c>
    </row>
    <row r="2087" spans="1:8">
      <c r="A2087" s="95"/>
      <c r="B2087" s="819"/>
      <c r="C2087" s="820"/>
      <c r="D2087" s="801" t="s">
        <v>857</v>
      </c>
      <c r="E2087" s="802"/>
      <c r="F2087" s="79">
        <f>'MANO DE OBRA'!$D$60</f>
        <v>0.05</v>
      </c>
      <c r="G2087" s="113">
        <f>ROUND(G2086*F2087,0)</f>
        <v>0</v>
      </c>
    </row>
    <row r="2088" spans="1:8" ht="13.5" thickBot="1">
      <c r="A2088" s="95"/>
      <c r="B2088" s="819"/>
      <c r="C2088" s="820"/>
      <c r="D2088" s="803" t="s">
        <v>320</v>
      </c>
      <c r="E2088" s="804"/>
      <c r="F2088" s="114"/>
      <c r="G2088" s="118">
        <f>+G2086+G2087</f>
        <v>0</v>
      </c>
    </row>
    <row r="2089" spans="1:8" ht="14.25" thickTop="1" thickBot="1">
      <c r="A2089" s="95"/>
      <c r="B2089" s="830"/>
      <c r="C2089" s="830"/>
      <c r="D2089" s="830"/>
      <c r="E2089" s="830"/>
      <c r="F2089" s="830"/>
      <c r="G2089" s="830"/>
    </row>
    <row r="2090" spans="1:8" ht="13.5" thickTop="1">
      <c r="A2090" s="95"/>
      <c r="B2090" s="811" t="s">
        <v>858</v>
      </c>
      <c r="C2090" s="812"/>
      <c r="D2090" s="812"/>
      <c r="E2090" s="812"/>
      <c r="F2090" s="812"/>
      <c r="G2090" s="825"/>
    </row>
    <row r="2091" spans="1:8">
      <c r="A2091" s="95"/>
      <c r="B2091" s="817"/>
      <c r="C2091" s="818"/>
      <c r="D2091" s="98" t="s">
        <v>301</v>
      </c>
      <c r="E2091" s="98" t="s">
        <v>859</v>
      </c>
      <c r="F2091" s="99" t="s">
        <v>839</v>
      </c>
      <c r="G2091" s="107" t="s">
        <v>840</v>
      </c>
    </row>
    <row r="2092" spans="1:8">
      <c r="A2092" s="95"/>
      <c r="B2092" s="821" t="s">
        <v>838</v>
      </c>
      <c r="C2092" s="822"/>
      <c r="D2092" s="100" t="s">
        <v>316</v>
      </c>
      <c r="E2092" s="100" t="s">
        <v>315</v>
      </c>
      <c r="F2092" s="101" t="s">
        <v>306</v>
      </c>
      <c r="G2092" s="108" t="s">
        <v>319</v>
      </c>
    </row>
    <row r="2093" spans="1:8">
      <c r="A2093" s="95"/>
      <c r="B2093" s="230"/>
      <c r="C2093" s="102"/>
      <c r="D2093" s="103"/>
      <c r="E2093" s="103" t="s">
        <v>317</v>
      </c>
      <c r="F2093" s="104" t="s">
        <v>318</v>
      </c>
      <c r="G2093" s="109"/>
    </row>
    <row r="2094" spans="1:8">
      <c r="A2094" s="95"/>
      <c r="B2094" s="823" t="str">
        <f>'MANO DE OBRA'!$B$10</f>
        <v>AYUDANTE CUAD. TIPO AA</v>
      </c>
      <c r="C2094" s="824"/>
      <c r="D2094" s="87">
        <v>1</v>
      </c>
      <c r="E2094" s="80">
        <f>'MANO DE OBRA'!$E$10</f>
        <v>34680</v>
      </c>
      <c r="F2094" s="81">
        <v>0.24</v>
      </c>
      <c r="G2094" s="110">
        <f>ROUND(D2094*E2094/F2094,0)</f>
        <v>144500</v>
      </c>
    </row>
    <row r="2095" spans="1:8">
      <c r="A2095" s="95"/>
      <c r="B2095" s="835"/>
      <c r="C2095" s="836"/>
      <c r="D2095" s="37"/>
      <c r="E2095" s="82"/>
      <c r="F2095" s="83"/>
      <c r="G2095" s="111"/>
    </row>
    <row r="2096" spans="1:8">
      <c r="A2096" s="95"/>
      <c r="B2096" s="835"/>
      <c r="C2096" s="836"/>
      <c r="D2096" s="89"/>
      <c r="E2096" s="82"/>
      <c r="F2096" s="83"/>
      <c r="G2096" s="111"/>
    </row>
    <row r="2097" spans="1:8">
      <c r="A2097" s="95"/>
      <c r="B2097" s="835" t="s">
        <v>841</v>
      </c>
      <c r="C2097" s="836"/>
      <c r="D2097" s="37"/>
      <c r="E2097" s="82"/>
      <c r="F2097" s="83"/>
      <c r="G2097" s="111"/>
    </row>
    <row r="2098" spans="1:8" ht="13.5" thickBot="1">
      <c r="A2098" s="95"/>
      <c r="B2098" s="828" t="s">
        <v>841</v>
      </c>
      <c r="C2098" s="829"/>
      <c r="D2098" s="77"/>
      <c r="E2098" s="82"/>
      <c r="F2098" s="86"/>
      <c r="G2098" s="112"/>
    </row>
    <row r="2099" spans="1:8" ht="14.25" thickTop="1" thickBot="1">
      <c r="A2099" s="95"/>
      <c r="B2099" s="808"/>
      <c r="C2099" s="808"/>
      <c r="D2099" s="808"/>
      <c r="E2099" s="809"/>
      <c r="F2099" s="120" t="s">
        <v>856</v>
      </c>
      <c r="G2099" s="118">
        <f>SUM(G2094:G2098)</f>
        <v>144500</v>
      </c>
    </row>
    <row r="2100" spans="1:8" ht="14.25" thickTop="1" thickBot="1">
      <c r="A2100" s="95"/>
      <c r="B2100" s="810"/>
      <c r="C2100" s="810"/>
      <c r="D2100" s="810"/>
      <c r="E2100" s="810"/>
      <c r="F2100" s="810"/>
      <c r="G2100" s="810"/>
    </row>
    <row r="2101" spans="1:8" ht="13.5" thickTop="1">
      <c r="A2101" s="95"/>
      <c r="B2101" s="811" t="s">
        <v>321</v>
      </c>
      <c r="C2101" s="812"/>
      <c r="D2101" s="812"/>
      <c r="E2101" s="812"/>
      <c r="F2101" s="812"/>
      <c r="G2101" s="825"/>
    </row>
    <row r="2102" spans="1:8">
      <c r="A2102" s="95"/>
      <c r="B2102" s="817" t="s">
        <v>838</v>
      </c>
      <c r="C2102" s="818"/>
      <c r="D2102" s="98" t="s">
        <v>301</v>
      </c>
      <c r="E2102" s="98" t="s">
        <v>297</v>
      </c>
      <c r="F2102" s="99" t="s">
        <v>839</v>
      </c>
      <c r="G2102" s="107" t="s">
        <v>840</v>
      </c>
    </row>
    <row r="2103" spans="1:8">
      <c r="A2103" s="95"/>
      <c r="B2103" s="230"/>
      <c r="C2103" s="102"/>
      <c r="D2103" s="103" t="s">
        <v>322</v>
      </c>
      <c r="E2103" s="103" t="s">
        <v>323</v>
      </c>
      <c r="F2103" s="104" t="s">
        <v>324</v>
      </c>
      <c r="G2103" s="109" t="s">
        <v>325</v>
      </c>
    </row>
    <row r="2104" spans="1:8">
      <c r="A2104" s="95"/>
      <c r="B2104" s="826"/>
      <c r="C2104" s="827"/>
      <c r="D2104" s="96"/>
      <c r="E2104" s="96"/>
      <c r="F2104" s="96"/>
      <c r="G2104" s="116"/>
    </row>
    <row r="2105" spans="1:8" ht="13.5" thickBot="1">
      <c r="A2105" s="95"/>
      <c r="B2105" s="828" t="s">
        <v>841</v>
      </c>
      <c r="C2105" s="829"/>
      <c r="D2105" s="77"/>
      <c r="E2105" s="82"/>
      <c r="F2105" s="86"/>
      <c r="G2105" s="112"/>
    </row>
    <row r="2106" spans="1:8" ht="14.25" thickTop="1" thickBot="1">
      <c r="A2106" s="95"/>
      <c r="B2106" s="808"/>
      <c r="C2106" s="808"/>
      <c r="D2106" s="808"/>
      <c r="E2106" s="809"/>
      <c r="F2106" s="120" t="s">
        <v>856</v>
      </c>
      <c r="G2106" s="118">
        <f>SUM(G2101:G2105)</f>
        <v>0</v>
      </c>
    </row>
    <row r="2107" spans="1:8" ht="14.25" thickTop="1" thickBot="1">
      <c r="A2107" s="95"/>
      <c r="B2107" s="810"/>
      <c r="C2107" s="810"/>
      <c r="D2107" s="810"/>
      <c r="E2107" s="810"/>
      <c r="F2107" s="810"/>
      <c r="G2107" s="834"/>
    </row>
    <row r="2108" spans="1:8" ht="13.5" thickTop="1">
      <c r="A2108" s="95"/>
      <c r="B2108" s="811" t="s">
        <v>326</v>
      </c>
      <c r="C2108" s="812"/>
      <c r="D2108" s="812"/>
      <c r="E2108" s="812"/>
      <c r="F2108" s="813"/>
      <c r="G2108" s="121">
        <f>+G2072+G2088+G2099</f>
        <v>153051</v>
      </c>
    </row>
    <row r="2109" spans="1:8">
      <c r="A2109" s="95"/>
      <c r="B2109" s="814" t="s">
        <v>861</v>
      </c>
      <c r="C2109" s="815"/>
      <c r="D2109" s="815"/>
      <c r="E2109" s="816"/>
      <c r="F2109" s="128">
        <f>'MANO DE OBRA'!D1901</f>
        <v>0</v>
      </c>
      <c r="G2109" s="122">
        <f>ROUND(G2108*F2109,0)</f>
        <v>0</v>
      </c>
    </row>
    <row r="2110" spans="1:8" ht="13.5" thickBot="1">
      <c r="A2110" s="95"/>
      <c r="B2110" s="805" t="s">
        <v>1049</v>
      </c>
      <c r="C2110" s="806"/>
      <c r="D2110" s="806"/>
      <c r="E2110" s="806"/>
      <c r="F2110" s="807"/>
      <c r="G2110" s="118">
        <f>ROUND(G2108+G2109,-2)</f>
        <v>153100</v>
      </c>
      <c r="H2110" s="505" t="s">
        <v>1670</v>
      </c>
    </row>
    <row r="2111" spans="1:8" ht="15" thickTop="1">
      <c r="A2111" s="95"/>
      <c r="B2111" s="225" t="s">
        <v>303</v>
      </c>
      <c r="C2111" s="843"/>
      <c r="D2111" s="843"/>
      <c r="E2111" s="843"/>
      <c r="F2111" s="92" t="s">
        <v>781</v>
      </c>
      <c r="G2111" s="93" t="s">
        <v>1066</v>
      </c>
    </row>
    <row r="2112" spans="1:8">
      <c r="A2112" s="95"/>
      <c r="B2112" s="226" t="s">
        <v>834</v>
      </c>
      <c r="C2112" s="844" t="s">
        <v>342</v>
      </c>
      <c r="D2112" s="844"/>
      <c r="E2112" s="844"/>
      <c r="F2112" s="15" t="s">
        <v>833</v>
      </c>
      <c r="G2112" s="165" t="str">
        <f>'MANO DE OBRA'!$D$61</f>
        <v>Agosto de 2010</v>
      </c>
    </row>
    <row r="2113" spans="1:7" ht="27.75" customHeight="1" thickBot="1">
      <c r="A2113" s="236"/>
      <c r="B2113" s="240" t="s">
        <v>835</v>
      </c>
      <c r="C2113" s="934" t="s">
        <v>823</v>
      </c>
      <c r="D2113" s="934"/>
      <c r="E2113" s="934"/>
      <c r="F2113" s="934"/>
      <c r="G2113" s="935"/>
    </row>
    <row r="2114" spans="1:7" ht="14.25" thickTop="1" thickBot="1">
      <c r="A2114" s="95"/>
      <c r="B2114" s="847"/>
      <c r="C2114" s="847"/>
      <c r="D2114" s="847"/>
      <c r="E2114" s="847"/>
      <c r="F2114" s="847"/>
      <c r="G2114" s="847"/>
    </row>
    <row r="2115" spans="1:7" ht="13.5" thickTop="1">
      <c r="A2115" s="95"/>
      <c r="B2115" s="811" t="s">
        <v>304</v>
      </c>
      <c r="C2115" s="812"/>
      <c r="D2115" s="812"/>
      <c r="E2115" s="812"/>
      <c r="F2115" s="812"/>
      <c r="G2115" s="825"/>
    </row>
    <row r="2116" spans="1:7">
      <c r="A2116" s="95"/>
      <c r="B2116" s="229"/>
      <c r="C2116" s="97"/>
      <c r="D2116" s="98" t="s">
        <v>301</v>
      </c>
      <c r="E2116" s="98" t="s">
        <v>1072</v>
      </c>
      <c r="F2116" s="99" t="s">
        <v>839</v>
      </c>
      <c r="G2116" s="107" t="s">
        <v>840</v>
      </c>
    </row>
    <row r="2117" spans="1:7">
      <c r="A2117" s="95"/>
      <c r="B2117" s="821" t="s">
        <v>838</v>
      </c>
      <c r="C2117" s="822"/>
      <c r="D2117" s="100" t="s">
        <v>308</v>
      </c>
      <c r="E2117" s="100" t="s">
        <v>305</v>
      </c>
      <c r="F2117" s="101" t="s">
        <v>306</v>
      </c>
      <c r="G2117" s="108" t="s">
        <v>310</v>
      </c>
    </row>
    <row r="2118" spans="1:7">
      <c r="A2118" s="95"/>
      <c r="B2118" s="230"/>
      <c r="C2118" s="102"/>
      <c r="D2118" s="103"/>
      <c r="E2118" s="103" t="s">
        <v>309</v>
      </c>
      <c r="F2118" s="104" t="s">
        <v>307</v>
      </c>
      <c r="G2118" s="109"/>
    </row>
    <row r="2119" spans="1:7">
      <c r="A2119" s="127"/>
      <c r="B2119" s="823" t="str">
        <f>'MAQUINARIA Y EQUIPOS'!$C$28</f>
        <v>HERRAMIENTAS MENORES</v>
      </c>
      <c r="C2119" s="824"/>
      <c r="D2119" s="87">
        <v>1</v>
      </c>
      <c r="E2119" s="82">
        <f>ROUND(G2151*0.05,0)</f>
        <v>8670</v>
      </c>
      <c r="F2119" s="81">
        <v>1</v>
      </c>
      <c r="G2119" s="110">
        <f>ROUND(D2119*E2119/F2119,0)</f>
        <v>8670</v>
      </c>
    </row>
    <row r="2120" spans="1:7">
      <c r="A2120" s="127"/>
      <c r="B2120" s="835" t="str">
        <f>'MAQUINARIA Y EQUIPOS'!$C$35</f>
        <v>MOTOBOMBA 3"</v>
      </c>
      <c r="C2120" s="836"/>
      <c r="D2120" s="37">
        <v>1</v>
      </c>
      <c r="E2120" s="82">
        <f>'MAQUINARIA Y EQUIPOS'!$D$35</f>
        <v>46400</v>
      </c>
      <c r="F2120" s="83">
        <v>30</v>
      </c>
      <c r="G2120" s="111">
        <f>ROUND(D2120*E2120/F2120,0)</f>
        <v>1547</v>
      </c>
    </row>
    <row r="2121" spans="1:7">
      <c r="A2121" s="95"/>
      <c r="B2121" s="835"/>
      <c r="C2121" s="836"/>
      <c r="D2121" s="89"/>
      <c r="E2121" s="82"/>
      <c r="F2121" s="83"/>
      <c r="G2121" s="111"/>
    </row>
    <row r="2122" spans="1:7">
      <c r="A2122" s="95"/>
      <c r="B2122" s="835" t="s">
        <v>841</v>
      </c>
      <c r="C2122" s="836"/>
      <c r="D2122" s="37"/>
      <c r="E2122" s="82"/>
      <c r="F2122" s="83"/>
      <c r="G2122" s="111"/>
    </row>
    <row r="2123" spans="1:7" ht="13.5" thickBot="1">
      <c r="A2123" s="95"/>
      <c r="B2123" s="839" t="s">
        <v>841</v>
      </c>
      <c r="C2123" s="840"/>
      <c r="D2123" s="77"/>
      <c r="E2123" s="106"/>
      <c r="F2123" s="86"/>
      <c r="G2123" s="112"/>
    </row>
    <row r="2124" spans="1:7" ht="14.25" thickTop="1" thickBot="1">
      <c r="A2124" s="95"/>
      <c r="B2124" s="808"/>
      <c r="C2124" s="808"/>
      <c r="D2124" s="808"/>
      <c r="E2124" s="809"/>
      <c r="F2124" s="119" t="s">
        <v>856</v>
      </c>
      <c r="G2124" s="118">
        <f>SUM(G2119:G2123)</f>
        <v>10217</v>
      </c>
    </row>
    <row r="2125" spans="1:7" ht="14.25" thickTop="1" thickBot="1">
      <c r="A2125" s="95"/>
      <c r="B2125" s="830"/>
      <c r="C2125" s="830"/>
      <c r="D2125" s="830"/>
      <c r="E2125" s="830"/>
      <c r="F2125" s="830"/>
      <c r="G2125" s="830"/>
    </row>
    <row r="2126" spans="1:7" ht="13.5" thickTop="1">
      <c r="A2126" s="95"/>
      <c r="B2126" s="811" t="s">
        <v>311</v>
      </c>
      <c r="C2126" s="812"/>
      <c r="D2126" s="812"/>
      <c r="E2126" s="812"/>
      <c r="F2126" s="812"/>
      <c r="G2126" s="825"/>
    </row>
    <row r="2127" spans="1:7">
      <c r="A2127" s="95"/>
      <c r="B2127" s="817" t="s">
        <v>838</v>
      </c>
      <c r="C2127" s="818"/>
      <c r="D2127" s="98" t="s">
        <v>842</v>
      </c>
      <c r="E2127" s="98" t="s">
        <v>853</v>
      </c>
      <c r="F2127" s="99" t="s">
        <v>1047</v>
      </c>
      <c r="G2127" s="107" t="s">
        <v>840</v>
      </c>
    </row>
    <row r="2128" spans="1:7">
      <c r="A2128" s="95"/>
      <c r="B2128" s="230"/>
      <c r="C2128" s="102"/>
      <c r="D2128" s="100"/>
      <c r="E2128" s="100" t="s">
        <v>312</v>
      </c>
      <c r="F2128" s="101" t="s">
        <v>313</v>
      </c>
      <c r="G2128" s="108" t="s">
        <v>314</v>
      </c>
    </row>
    <row r="2129" spans="1:8">
      <c r="A2129" s="125"/>
      <c r="B2129" s="875"/>
      <c r="C2129" s="876"/>
      <c r="D2129" s="87"/>
      <c r="E2129" s="10"/>
      <c r="F2129" s="80"/>
      <c r="G2129" s="110"/>
    </row>
    <row r="2130" spans="1:8">
      <c r="A2130" s="123"/>
      <c r="B2130" s="877"/>
      <c r="C2130" s="878"/>
      <c r="D2130" s="88"/>
      <c r="E2130" s="53"/>
      <c r="F2130" s="82"/>
      <c r="G2130" s="111"/>
    </row>
    <row r="2131" spans="1:8">
      <c r="A2131" s="95"/>
      <c r="B2131" s="835"/>
      <c r="C2131" s="836"/>
      <c r="D2131" s="37"/>
      <c r="E2131" s="55"/>
      <c r="F2131" s="82"/>
      <c r="G2131" s="111"/>
    </row>
    <row r="2132" spans="1:8">
      <c r="A2132" s="95"/>
      <c r="B2132" s="835"/>
      <c r="C2132" s="836"/>
      <c r="D2132" s="37"/>
      <c r="E2132" s="55"/>
      <c r="F2132" s="82"/>
      <c r="G2132" s="111"/>
    </row>
    <row r="2133" spans="1:8">
      <c r="A2133" s="95"/>
      <c r="B2133" s="837"/>
      <c r="C2133" s="838"/>
      <c r="D2133" s="37"/>
      <c r="E2133" s="55"/>
      <c r="F2133" s="82"/>
      <c r="G2133" s="111"/>
    </row>
    <row r="2134" spans="1:8">
      <c r="A2134" s="95"/>
      <c r="B2134" s="837"/>
      <c r="C2134" s="838"/>
      <c r="D2134" s="53" t="s">
        <v>841</v>
      </c>
      <c r="E2134" s="53"/>
      <c r="F2134" s="82"/>
      <c r="G2134" s="111"/>
    </row>
    <row r="2135" spans="1:8">
      <c r="A2135" s="95"/>
      <c r="B2135" s="837" t="s">
        <v>841</v>
      </c>
      <c r="C2135" s="838"/>
      <c r="D2135" s="53" t="s">
        <v>841</v>
      </c>
      <c r="E2135" s="53"/>
      <c r="F2135" s="82"/>
      <c r="G2135" s="111"/>
    </row>
    <row r="2136" spans="1:8">
      <c r="A2136" s="95"/>
      <c r="B2136" s="837" t="s">
        <v>841</v>
      </c>
      <c r="C2136" s="838"/>
      <c r="D2136" s="53" t="s">
        <v>841</v>
      </c>
      <c r="E2136" s="53"/>
      <c r="F2136" s="82"/>
      <c r="G2136" s="111"/>
      <c r="H2136" s="505" t="s">
        <v>1670</v>
      </c>
    </row>
    <row r="2137" spans="1:8" ht="13.5" thickBot="1">
      <c r="A2137" s="95"/>
      <c r="B2137" s="839" t="s">
        <v>841</v>
      </c>
      <c r="C2137" s="840"/>
      <c r="D2137" s="84" t="s">
        <v>841</v>
      </c>
      <c r="E2137" s="84"/>
      <c r="F2137" s="85"/>
      <c r="G2137" s="112"/>
    </row>
    <row r="2138" spans="1:8" ht="13.5" thickTop="1">
      <c r="A2138" s="95"/>
      <c r="B2138" s="808"/>
      <c r="C2138" s="809"/>
      <c r="D2138" s="801" t="s">
        <v>856</v>
      </c>
      <c r="E2138" s="802"/>
      <c r="F2138" s="9"/>
      <c r="G2138" s="113">
        <f>SUM(G2129:G2137)</f>
        <v>0</v>
      </c>
    </row>
    <row r="2139" spans="1:8">
      <c r="A2139" s="95"/>
      <c r="B2139" s="819"/>
      <c r="C2139" s="820"/>
      <c r="D2139" s="801" t="s">
        <v>857</v>
      </c>
      <c r="E2139" s="802"/>
      <c r="F2139" s="79">
        <f>'MANO DE OBRA'!$D$60</f>
        <v>0.05</v>
      </c>
      <c r="G2139" s="113">
        <f>ROUND(G2138*F2139,0)</f>
        <v>0</v>
      </c>
    </row>
    <row r="2140" spans="1:8" ht="13.5" thickBot="1">
      <c r="A2140" s="95"/>
      <c r="B2140" s="819"/>
      <c r="C2140" s="820"/>
      <c r="D2140" s="803" t="s">
        <v>320</v>
      </c>
      <c r="E2140" s="804"/>
      <c r="F2140" s="114"/>
      <c r="G2140" s="118">
        <f>+G2138+G2139</f>
        <v>0</v>
      </c>
    </row>
    <row r="2141" spans="1:8" ht="14.25" thickTop="1" thickBot="1">
      <c r="A2141" s="95"/>
      <c r="B2141" s="830"/>
      <c r="C2141" s="830"/>
      <c r="D2141" s="830"/>
      <c r="E2141" s="830"/>
      <c r="F2141" s="830"/>
      <c r="G2141" s="830"/>
    </row>
    <row r="2142" spans="1:8" ht="13.5" thickTop="1">
      <c r="A2142" s="95"/>
      <c r="B2142" s="811" t="s">
        <v>858</v>
      </c>
      <c r="C2142" s="812"/>
      <c r="D2142" s="812"/>
      <c r="E2142" s="812"/>
      <c r="F2142" s="812"/>
      <c r="G2142" s="825"/>
    </row>
    <row r="2143" spans="1:8">
      <c r="A2143" s="95"/>
      <c r="B2143" s="817"/>
      <c r="C2143" s="818"/>
      <c r="D2143" s="98" t="s">
        <v>301</v>
      </c>
      <c r="E2143" s="98" t="s">
        <v>859</v>
      </c>
      <c r="F2143" s="99" t="s">
        <v>839</v>
      </c>
      <c r="G2143" s="107" t="s">
        <v>840</v>
      </c>
    </row>
    <row r="2144" spans="1:8">
      <c r="A2144" s="95"/>
      <c r="B2144" s="821" t="s">
        <v>838</v>
      </c>
      <c r="C2144" s="822"/>
      <c r="D2144" s="100" t="s">
        <v>316</v>
      </c>
      <c r="E2144" s="100" t="s">
        <v>315</v>
      </c>
      <c r="F2144" s="101" t="s">
        <v>306</v>
      </c>
      <c r="G2144" s="108" t="s">
        <v>319</v>
      </c>
    </row>
    <row r="2145" spans="1:7">
      <c r="A2145" s="95"/>
      <c r="B2145" s="230"/>
      <c r="C2145" s="102"/>
      <c r="D2145" s="103"/>
      <c r="E2145" s="103" t="s">
        <v>317</v>
      </c>
      <c r="F2145" s="104" t="s">
        <v>318</v>
      </c>
      <c r="G2145" s="109"/>
    </row>
    <row r="2146" spans="1:7">
      <c r="A2146" s="95"/>
      <c r="B2146" s="823" t="str">
        <f>'MANO DE OBRA'!$B$10</f>
        <v>AYUDANTE CUAD. TIPO AA</v>
      </c>
      <c r="C2146" s="824"/>
      <c r="D2146" s="87">
        <v>1</v>
      </c>
      <c r="E2146" s="80">
        <f>'MANO DE OBRA'!$E$10</f>
        <v>34680</v>
      </c>
      <c r="F2146" s="81">
        <v>0.2</v>
      </c>
      <c r="G2146" s="110">
        <f>ROUND(D2146*E2146/F2146,0)</f>
        <v>173400</v>
      </c>
    </row>
    <row r="2147" spans="1:7">
      <c r="A2147" s="95"/>
      <c r="B2147" s="835"/>
      <c r="C2147" s="836"/>
      <c r="D2147" s="37"/>
      <c r="E2147" s="82"/>
      <c r="F2147" s="83"/>
      <c r="G2147" s="111"/>
    </row>
    <row r="2148" spans="1:7">
      <c r="A2148" s="95"/>
      <c r="B2148" s="835"/>
      <c r="C2148" s="836"/>
      <c r="D2148" s="89"/>
      <c r="E2148" s="82"/>
      <c r="F2148" s="83"/>
      <c r="G2148" s="111"/>
    </row>
    <row r="2149" spans="1:7">
      <c r="A2149" s="95"/>
      <c r="B2149" s="835" t="s">
        <v>841</v>
      </c>
      <c r="C2149" s="836"/>
      <c r="D2149" s="37"/>
      <c r="E2149" s="82"/>
      <c r="F2149" s="83"/>
      <c r="G2149" s="111"/>
    </row>
    <row r="2150" spans="1:7" ht="13.5" thickBot="1">
      <c r="A2150" s="95"/>
      <c r="B2150" s="828" t="s">
        <v>841</v>
      </c>
      <c r="C2150" s="829"/>
      <c r="D2150" s="77"/>
      <c r="E2150" s="82"/>
      <c r="F2150" s="86"/>
      <c r="G2150" s="112"/>
    </row>
    <row r="2151" spans="1:7" ht="14.25" thickTop="1" thickBot="1">
      <c r="A2151" s="95"/>
      <c r="B2151" s="808"/>
      <c r="C2151" s="808"/>
      <c r="D2151" s="808"/>
      <c r="E2151" s="809"/>
      <c r="F2151" s="120" t="s">
        <v>856</v>
      </c>
      <c r="G2151" s="118">
        <f>SUM(G2146:G2150)</f>
        <v>173400</v>
      </c>
    </row>
    <row r="2152" spans="1:7" ht="14.25" thickTop="1" thickBot="1">
      <c r="A2152" s="95"/>
      <c r="B2152" s="810"/>
      <c r="C2152" s="810"/>
      <c r="D2152" s="810"/>
      <c r="E2152" s="810"/>
      <c r="F2152" s="810"/>
      <c r="G2152" s="810"/>
    </row>
    <row r="2153" spans="1:7" ht="13.5" thickTop="1">
      <c r="A2153" s="95"/>
      <c r="B2153" s="811" t="s">
        <v>321</v>
      </c>
      <c r="C2153" s="812"/>
      <c r="D2153" s="812"/>
      <c r="E2153" s="812"/>
      <c r="F2153" s="812"/>
      <c r="G2153" s="825"/>
    </row>
    <row r="2154" spans="1:7">
      <c r="A2154" s="95"/>
      <c r="B2154" s="817" t="s">
        <v>838</v>
      </c>
      <c r="C2154" s="818"/>
      <c r="D2154" s="98" t="s">
        <v>301</v>
      </c>
      <c r="E2154" s="98" t="s">
        <v>297</v>
      </c>
      <c r="F2154" s="99" t="s">
        <v>839</v>
      </c>
      <c r="G2154" s="107" t="s">
        <v>840</v>
      </c>
    </row>
    <row r="2155" spans="1:7">
      <c r="A2155" s="95"/>
      <c r="B2155" s="230"/>
      <c r="C2155" s="102"/>
      <c r="D2155" s="103" t="s">
        <v>322</v>
      </c>
      <c r="E2155" s="103" t="s">
        <v>323</v>
      </c>
      <c r="F2155" s="104" t="s">
        <v>324</v>
      </c>
      <c r="G2155" s="109" t="s">
        <v>325</v>
      </c>
    </row>
    <row r="2156" spans="1:7">
      <c r="A2156" s="95"/>
      <c r="B2156" s="826"/>
      <c r="C2156" s="827"/>
      <c r="D2156" s="96"/>
      <c r="E2156" s="96"/>
      <c r="F2156" s="96"/>
      <c r="G2156" s="116"/>
    </row>
    <row r="2157" spans="1:7" ht="13.5" thickBot="1">
      <c r="A2157" s="95"/>
      <c r="B2157" s="828" t="s">
        <v>841</v>
      </c>
      <c r="C2157" s="829"/>
      <c r="D2157" s="77"/>
      <c r="E2157" s="82"/>
      <c r="F2157" s="86"/>
      <c r="G2157" s="112"/>
    </row>
    <row r="2158" spans="1:7" ht="14.25" thickTop="1" thickBot="1">
      <c r="A2158" s="95"/>
      <c r="B2158" s="808"/>
      <c r="C2158" s="808"/>
      <c r="D2158" s="808"/>
      <c r="E2158" s="809"/>
      <c r="F2158" s="120" t="s">
        <v>856</v>
      </c>
      <c r="G2158" s="118">
        <f>SUM(G2153:G2157)</f>
        <v>0</v>
      </c>
    </row>
    <row r="2159" spans="1:7" ht="14.25" thickTop="1" thickBot="1">
      <c r="A2159" s="95"/>
      <c r="B2159" s="810"/>
      <c r="C2159" s="810"/>
      <c r="D2159" s="810"/>
      <c r="E2159" s="810"/>
      <c r="F2159" s="810"/>
      <c r="G2159" s="834"/>
    </row>
    <row r="2160" spans="1:7" ht="13.5" thickTop="1">
      <c r="A2160" s="95"/>
      <c r="B2160" s="811" t="s">
        <v>326</v>
      </c>
      <c r="C2160" s="812"/>
      <c r="D2160" s="812"/>
      <c r="E2160" s="812"/>
      <c r="F2160" s="813"/>
      <c r="G2160" s="121">
        <f>+G2124+G2140+G2151</f>
        <v>183617</v>
      </c>
    </row>
    <row r="2161" spans="1:8">
      <c r="A2161" s="95"/>
      <c r="B2161" s="814" t="s">
        <v>861</v>
      </c>
      <c r="C2161" s="815"/>
      <c r="D2161" s="815"/>
      <c r="E2161" s="816"/>
      <c r="F2161" s="128">
        <f>'MANO DE OBRA'!D1953</f>
        <v>0</v>
      </c>
      <c r="G2161" s="122">
        <f>ROUND(G2160*F2161,0)</f>
        <v>0</v>
      </c>
    </row>
    <row r="2162" spans="1:8" ht="13.5" thickBot="1">
      <c r="A2162" s="95"/>
      <c r="B2162" s="805" t="s">
        <v>1049</v>
      </c>
      <c r="C2162" s="806"/>
      <c r="D2162" s="806"/>
      <c r="E2162" s="806"/>
      <c r="F2162" s="807"/>
      <c r="G2162" s="118">
        <f>ROUND(G2160+G2161,-2)</f>
        <v>183600</v>
      </c>
      <c r="H2162" s="505" t="s">
        <v>1670</v>
      </c>
    </row>
    <row r="2163" spans="1:8" ht="15" thickTop="1">
      <c r="A2163" s="95"/>
      <c r="B2163" s="225" t="s">
        <v>303</v>
      </c>
      <c r="C2163" s="843"/>
      <c r="D2163" s="843"/>
      <c r="E2163" s="843"/>
      <c r="F2163" s="92" t="s">
        <v>781</v>
      </c>
      <c r="G2163" s="93" t="s">
        <v>1066</v>
      </c>
    </row>
    <row r="2164" spans="1:8">
      <c r="A2164" s="95"/>
      <c r="B2164" s="226" t="s">
        <v>834</v>
      </c>
      <c r="C2164" s="844" t="s">
        <v>342</v>
      </c>
      <c r="D2164" s="844"/>
      <c r="E2164" s="844"/>
      <c r="F2164" s="15" t="s">
        <v>833</v>
      </c>
      <c r="G2164" s="165" t="str">
        <f>'MANO DE OBRA'!$D$61</f>
        <v>Agosto de 2010</v>
      </c>
    </row>
    <row r="2165" spans="1:8" ht="13.5" thickBot="1">
      <c r="A2165" s="236"/>
      <c r="B2165" s="240" t="s">
        <v>835</v>
      </c>
      <c r="C2165" s="934" t="s">
        <v>1344</v>
      </c>
      <c r="D2165" s="934"/>
      <c r="E2165" s="934"/>
      <c r="F2165" s="934"/>
      <c r="G2165" s="935"/>
    </row>
    <row r="2166" spans="1:8" ht="14.25" thickTop="1" thickBot="1">
      <c r="A2166" s="95"/>
      <c r="B2166" s="847"/>
      <c r="C2166" s="847"/>
      <c r="D2166" s="847"/>
      <c r="E2166" s="847"/>
      <c r="F2166" s="847"/>
      <c r="G2166" s="847"/>
    </row>
    <row r="2167" spans="1:8" ht="13.5" thickTop="1">
      <c r="A2167" s="95"/>
      <c r="B2167" s="811" t="s">
        <v>304</v>
      </c>
      <c r="C2167" s="812"/>
      <c r="D2167" s="812"/>
      <c r="E2167" s="812"/>
      <c r="F2167" s="812"/>
      <c r="G2167" s="825"/>
    </row>
    <row r="2168" spans="1:8">
      <c r="A2168" s="95"/>
      <c r="B2168" s="229"/>
      <c r="C2168" s="97"/>
      <c r="D2168" s="98" t="s">
        <v>301</v>
      </c>
      <c r="E2168" s="98" t="s">
        <v>1072</v>
      </c>
      <c r="F2168" s="99" t="s">
        <v>839</v>
      </c>
      <c r="G2168" s="107" t="s">
        <v>840</v>
      </c>
    </row>
    <row r="2169" spans="1:8">
      <c r="A2169" s="95"/>
      <c r="B2169" s="821" t="s">
        <v>838</v>
      </c>
      <c r="C2169" s="822"/>
      <c r="D2169" s="100" t="s">
        <v>308</v>
      </c>
      <c r="E2169" s="100" t="s">
        <v>305</v>
      </c>
      <c r="F2169" s="101" t="s">
        <v>306</v>
      </c>
      <c r="G2169" s="108" t="s">
        <v>310</v>
      </c>
    </row>
    <row r="2170" spans="1:8">
      <c r="A2170" s="95"/>
      <c r="B2170" s="230"/>
      <c r="C2170" s="102"/>
      <c r="D2170" s="103"/>
      <c r="E2170" s="103" t="s">
        <v>309</v>
      </c>
      <c r="F2170" s="104" t="s">
        <v>307</v>
      </c>
      <c r="G2170" s="109"/>
    </row>
    <row r="2171" spans="1:8">
      <c r="A2171" s="127"/>
      <c r="B2171" s="823" t="str">
        <f>'MAQUINARIA Y EQUIPOS'!$C$28</f>
        <v>HERRAMIENTAS MENORES</v>
      </c>
      <c r="C2171" s="824"/>
      <c r="D2171" s="87">
        <v>1</v>
      </c>
      <c r="E2171" s="82">
        <f>ROUND(G2204*0.05,0)</f>
        <v>649</v>
      </c>
      <c r="F2171" s="81">
        <v>1</v>
      </c>
      <c r="G2171" s="110">
        <f>ROUND(D2171*E2171/F2171,0)</f>
        <v>649</v>
      </c>
    </row>
    <row r="2172" spans="1:8">
      <c r="A2172" s="127"/>
      <c r="B2172" s="835"/>
      <c r="C2172" s="836"/>
      <c r="D2172" s="37"/>
      <c r="E2172" s="82"/>
      <c r="F2172" s="83"/>
      <c r="G2172" s="111"/>
    </row>
    <row r="2173" spans="1:8">
      <c r="A2173" s="125"/>
      <c r="B2173" s="837"/>
      <c r="C2173" s="838"/>
      <c r="D2173" s="37"/>
      <c r="E2173" s="82"/>
      <c r="F2173" s="83"/>
      <c r="G2173" s="111"/>
    </row>
    <row r="2174" spans="1:8">
      <c r="A2174" s="95"/>
      <c r="B2174" s="835"/>
      <c r="C2174" s="836"/>
      <c r="D2174" s="89"/>
      <c r="E2174" s="82"/>
      <c r="F2174" s="83"/>
      <c r="G2174" s="111"/>
    </row>
    <row r="2175" spans="1:8">
      <c r="A2175" s="95"/>
      <c r="B2175" s="835" t="s">
        <v>841</v>
      </c>
      <c r="C2175" s="836"/>
      <c r="D2175" s="37"/>
      <c r="E2175" s="82"/>
      <c r="F2175" s="83"/>
      <c r="G2175" s="111"/>
    </row>
    <row r="2176" spans="1:8" ht="13.5" thickBot="1">
      <c r="A2176" s="95"/>
      <c r="B2176" s="839" t="s">
        <v>841</v>
      </c>
      <c r="C2176" s="840"/>
      <c r="D2176" s="77"/>
      <c r="E2176" s="106"/>
      <c r="F2176" s="86"/>
      <c r="G2176" s="112"/>
    </row>
    <row r="2177" spans="1:8" ht="14.25" thickTop="1" thickBot="1">
      <c r="A2177" s="95"/>
      <c r="B2177" s="808"/>
      <c r="C2177" s="808"/>
      <c r="D2177" s="808"/>
      <c r="E2177" s="809"/>
      <c r="F2177" s="119" t="s">
        <v>856</v>
      </c>
      <c r="G2177" s="118">
        <f>SUM(G2171:G2176)</f>
        <v>649</v>
      </c>
    </row>
    <row r="2178" spans="1:8" ht="14.25" thickTop="1" thickBot="1">
      <c r="A2178" s="95"/>
      <c r="B2178" s="830"/>
      <c r="C2178" s="830"/>
      <c r="D2178" s="830"/>
      <c r="E2178" s="830"/>
      <c r="F2178" s="830"/>
      <c r="G2178" s="830"/>
    </row>
    <row r="2179" spans="1:8" ht="13.5" thickTop="1">
      <c r="A2179" s="95"/>
      <c r="B2179" s="811" t="s">
        <v>311</v>
      </c>
      <c r="C2179" s="812"/>
      <c r="D2179" s="812"/>
      <c r="E2179" s="812"/>
      <c r="F2179" s="812"/>
      <c r="G2179" s="825"/>
    </row>
    <row r="2180" spans="1:8">
      <c r="A2180" s="95"/>
      <c r="B2180" s="817" t="s">
        <v>838</v>
      </c>
      <c r="C2180" s="818"/>
      <c r="D2180" s="98" t="s">
        <v>842</v>
      </c>
      <c r="E2180" s="98" t="s">
        <v>853</v>
      </c>
      <c r="F2180" s="99" t="s">
        <v>1047</v>
      </c>
      <c r="G2180" s="107" t="s">
        <v>840</v>
      </c>
    </row>
    <row r="2181" spans="1:8">
      <c r="A2181" s="95"/>
      <c r="B2181" s="230"/>
      <c r="C2181" s="102"/>
      <c r="D2181" s="100"/>
      <c r="E2181" s="100" t="s">
        <v>312</v>
      </c>
      <c r="F2181" s="101" t="s">
        <v>313</v>
      </c>
      <c r="G2181" s="108" t="s">
        <v>314</v>
      </c>
    </row>
    <row r="2182" spans="1:8">
      <c r="A2182" s="125"/>
      <c r="B2182" s="875"/>
      <c r="C2182" s="876"/>
      <c r="D2182" s="87"/>
      <c r="E2182" s="10"/>
      <c r="F2182" s="80"/>
      <c r="G2182" s="110"/>
    </row>
    <row r="2183" spans="1:8">
      <c r="A2183" s="123"/>
      <c r="B2183" s="877"/>
      <c r="C2183" s="878"/>
      <c r="D2183" s="88"/>
      <c r="E2183" s="53"/>
      <c r="F2183" s="82"/>
      <c r="G2183" s="111"/>
    </row>
    <row r="2184" spans="1:8">
      <c r="A2184" s="95"/>
      <c r="B2184" s="835"/>
      <c r="C2184" s="836"/>
      <c r="D2184" s="37"/>
      <c r="E2184" s="55"/>
      <c r="F2184" s="82"/>
      <c r="G2184" s="111"/>
    </row>
    <row r="2185" spans="1:8">
      <c r="A2185" s="95"/>
      <c r="B2185" s="835"/>
      <c r="C2185" s="836"/>
      <c r="D2185" s="37"/>
      <c r="E2185" s="55"/>
      <c r="F2185" s="82"/>
      <c r="G2185" s="111"/>
    </row>
    <row r="2186" spans="1:8">
      <c r="A2186" s="95"/>
      <c r="B2186" s="837"/>
      <c r="C2186" s="838"/>
      <c r="D2186" s="37"/>
      <c r="E2186" s="55"/>
      <c r="F2186" s="82"/>
      <c r="G2186" s="111"/>
    </row>
    <row r="2187" spans="1:8">
      <c r="A2187" s="95"/>
      <c r="B2187" s="837"/>
      <c r="C2187" s="838"/>
      <c r="D2187" s="53" t="s">
        <v>841</v>
      </c>
      <c r="E2187" s="53"/>
      <c r="F2187" s="82"/>
      <c r="G2187" s="111"/>
    </row>
    <row r="2188" spans="1:8">
      <c r="A2188" s="95"/>
      <c r="B2188" s="837" t="s">
        <v>841</v>
      </c>
      <c r="C2188" s="838"/>
      <c r="D2188" s="53" t="s">
        <v>841</v>
      </c>
      <c r="E2188" s="53"/>
      <c r="F2188" s="82"/>
      <c r="G2188" s="111"/>
    </row>
    <row r="2189" spans="1:8">
      <c r="A2189" s="95"/>
      <c r="B2189" s="837" t="s">
        <v>841</v>
      </c>
      <c r="C2189" s="838"/>
      <c r="D2189" s="53" t="s">
        <v>841</v>
      </c>
      <c r="E2189" s="53"/>
      <c r="F2189" s="82"/>
      <c r="G2189" s="111"/>
      <c r="H2189" s="505" t="s">
        <v>1670</v>
      </c>
    </row>
    <row r="2190" spans="1:8" ht="13.5" thickBot="1">
      <c r="A2190" s="95"/>
      <c r="B2190" s="839" t="s">
        <v>841</v>
      </c>
      <c r="C2190" s="840"/>
      <c r="D2190" s="84" t="s">
        <v>841</v>
      </c>
      <c r="E2190" s="84"/>
      <c r="F2190" s="85"/>
      <c r="G2190" s="112"/>
    </row>
    <row r="2191" spans="1:8" ht="13.5" thickTop="1">
      <c r="A2191" s="95"/>
      <c r="B2191" s="808"/>
      <c r="C2191" s="809"/>
      <c r="D2191" s="801" t="s">
        <v>856</v>
      </c>
      <c r="E2191" s="802"/>
      <c r="F2191" s="9"/>
      <c r="G2191" s="113">
        <f>SUM(G2182:G2190)</f>
        <v>0</v>
      </c>
    </row>
    <row r="2192" spans="1:8">
      <c r="A2192" s="95"/>
      <c r="B2192" s="819"/>
      <c r="C2192" s="820"/>
      <c r="D2192" s="801" t="s">
        <v>857</v>
      </c>
      <c r="E2192" s="802"/>
      <c r="F2192" s="79">
        <f>'MANO DE OBRA'!$D$60</f>
        <v>0.05</v>
      </c>
      <c r="G2192" s="113">
        <f>ROUND(G2191*F2192,0)</f>
        <v>0</v>
      </c>
    </row>
    <row r="2193" spans="1:7" ht="13.5" thickBot="1">
      <c r="A2193" s="95"/>
      <c r="B2193" s="819"/>
      <c r="C2193" s="820"/>
      <c r="D2193" s="803" t="s">
        <v>320</v>
      </c>
      <c r="E2193" s="804"/>
      <c r="F2193" s="114"/>
      <c r="G2193" s="118">
        <f>+G2191+G2192</f>
        <v>0</v>
      </c>
    </row>
    <row r="2194" spans="1:7" ht="14.25" thickTop="1" thickBot="1">
      <c r="A2194" s="95"/>
      <c r="B2194" s="830"/>
      <c r="C2194" s="830"/>
      <c r="D2194" s="830"/>
      <c r="E2194" s="830"/>
      <c r="F2194" s="830"/>
      <c r="G2194" s="830"/>
    </row>
    <row r="2195" spans="1:7" ht="13.5" thickTop="1">
      <c r="A2195" s="95"/>
      <c r="B2195" s="811" t="s">
        <v>858</v>
      </c>
      <c r="C2195" s="812"/>
      <c r="D2195" s="812"/>
      <c r="E2195" s="812"/>
      <c r="F2195" s="812"/>
      <c r="G2195" s="825"/>
    </row>
    <row r="2196" spans="1:7">
      <c r="A2196" s="95"/>
      <c r="B2196" s="817"/>
      <c r="C2196" s="818"/>
      <c r="D2196" s="98" t="s">
        <v>301</v>
      </c>
      <c r="E2196" s="98" t="s">
        <v>859</v>
      </c>
      <c r="F2196" s="99" t="s">
        <v>839</v>
      </c>
      <c r="G2196" s="107" t="s">
        <v>840</v>
      </c>
    </row>
    <row r="2197" spans="1:7">
      <c r="A2197" s="95"/>
      <c r="B2197" s="821" t="s">
        <v>838</v>
      </c>
      <c r="C2197" s="822"/>
      <c r="D2197" s="100" t="s">
        <v>316</v>
      </c>
      <c r="E2197" s="100" t="s">
        <v>315</v>
      </c>
      <c r="F2197" s="101" t="s">
        <v>306</v>
      </c>
      <c r="G2197" s="108" t="s">
        <v>319</v>
      </c>
    </row>
    <row r="2198" spans="1:7">
      <c r="A2198" s="95"/>
      <c r="B2198" s="230"/>
      <c r="C2198" s="102"/>
      <c r="D2198" s="103"/>
      <c r="E2198" s="103" t="s">
        <v>317</v>
      </c>
      <c r="F2198" s="104" t="s">
        <v>318</v>
      </c>
      <c r="G2198" s="109"/>
    </row>
    <row r="2199" spans="1:7">
      <c r="A2199" s="95"/>
      <c r="B2199" s="823" t="str">
        <f>'MANO DE OBRA'!$B$10</f>
        <v>AYUDANTE CUAD. TIPO AA</v>
      </c>
      <c r="C2199" s="824"/>
      <c r="D2199" s="87">
        <v>1</v>
      </c>
      <c r="E2199" s="80">
        <f>'MANO DE OBRA'!$E$10</f>
        <v>34680</v>
      </c>
      <c r="F2199" s="81">
        <v>2.67</v>
      </c>
      <c r="G2199" s="110">
        <f>ROUND(D2199*E2199/F2199,0)</f>
        <v>12989</v>
      </c>
    </row>
    <row r="2200" spans="1:7">
      <c r="A2200" s="95"/>
      <c r="B2200" s="835"/>
      <c r="C2200" s="836"/>
      <c r="D2200" s="37"/>
      <c r="E2200" s="82"/>
      <c r="F2200" s="83"/>
      <c r="G2200" s="111"/>
    </row>
    <row r="2201" spans="1:7">
      <c r="A2201" s="95"/>
      <c r="B2201" s="835"/>
      <c r="C2201" s="836"/>
      <c r="D2201" s="89"/>
      <c r="E2201" s="82"/>
      <c r="F2201" s="83"/>
      <c r="G2201" s="111"/>
    </row>
    <row r="2202" spans="1:7">
      <c r="A2202" s="95"/>
      <c r="B2202" s="835" t="s">
        <v>841</v>
      </c>
      <c r="C2202" s="836"/>
      <c r="D2202" s="37"/>
      <c r="E2202" s="82"/>
      <c r="F2202" s="83"/>
      <c r="G2202" s="111"/>
    </row>
    <row r="2203" spans="1:7" ht="13.5" thickBot="1">
      <c r="A2203" s="95"/>
      <c r="B2203" s="828" t="s">
        <v>841</v>
      </c>
      <c r="C2203" s="829"/>
      <c r="D2203" s="77"/>
      <c r="E2203" s="82"/>
      <c r="F2203" s="86"/>
      <c r="G2203" s="112"/>
    </row>
    <row r="2204" spans="1:7" ht="14.25" thickTop="1" thickBot="1">
      <c r="A2204" s="95"/>
      <c r="B2204" s="808"/>
      <c r="C2204" s="808"/>
      <c r="D2204" s="808"/>
      <c r="E2204" s="809"/>
      <c r="F2204" s="120" t="s">
        <v>856</v>
      </c>
      <c r="G2204" s="118">
        <f>SUM(G2199:G2203)</f>
        <v>12989</v>
      </c>
    </row>
    <row r="2205" spans="1:7" ht="14.25" thickTop="1" thickBot="1">
      <c r="A2205" s="95"/>
      <c r="B2205" s="810"/>
      <c r="C2205" s="810"/>
      <c r="D2205" s="810"/>
      <c r="E2205" s="810"/>
      <c r="F2205" s="810"/>
      <c r="G2205" s="810"/>
    </row>
    <row r="2206" spans="1:7" ht="13.5" thickTop="1">
      <c r="A2206" s="95"/>
      <c r="B2206" s="811" t="s">
        <v>321</v>
      </c>
      <c r="C2206" s="812"/>
      <c r="D2206" s="812"/>
      <c r="E2206" s="812"/>
      <c r="F2206" s="812"/>
      <c r="G2206" s="825"/>
    </row>
    <row r="2207" spans="1:7">
      <c r="A2207" s="95"/>
      <c r="B2207" s="817" t="s">
        <v>838</v>
      </c>
      <c r="C2207" s="818"/>
      <c r="D2207" s="98" t="s">
        <v>301</v>
      </c>
      <c r="E2207" s="98" t="s">
        <v>297</v>
      </c>
      <c r="F2207" s="99" t="s">
        <v>839</v>
      </c>
      <c r="G2207" s="107" t="s">
        <v>840</v>
      </c>
    </row>
    <row r="2208" spans="1:7">
      <c r="A2208" s="95"/>
      <c r="B2208" s="230"/>
      <c r="C2208" s="102"/>
      <c r="D2208" s="103" t="s">
        <v>322</v>
      </c>
      <c r="E2208" s="103" t="s">
        <v>323</v>
      </c>
      <c r="F2208" s="104" t="s">
        <v>324</v>
      </c>
      <c r="G2208" s="109" t="s">
        <v>325</v>
      </c>
    </row>
    <row r="2209" spans="1:8">
      <c r="A2209" s="95"/>
      <c r="B2209" s="826"/>
      <c r="C2209" s="827"/>
      <c r="D2209" s="96"/>
      <c r="E2209" s="96"/>
      <c r="F2209" s="96"/>
      <c r="G2209" s="116"/>
    </row>
    <row r="2210" spans="1:8" ht="13.5" thickBot="1">
      <c r="A2210" s="95"/>
      <c r="B2210" s="828" t="s">
        <v>841</v>
      </c>
      <c r="C2210" s="829"/>
      <c r="D2210" s="77"/>
      <c r="E2210" s="82"/>
      <c r="F2210" s="86"/>
      <c r="G2210" s="112"/>
    </row>
    <row r="2211" spans="1:8" ht="14.25" thickTop="1" thickBot="1">
      <c r="A2211" s="95"/>
      <c r="B2211" s="808"/>
      <c r="C2211" s="808"/>
      <c r="D2211" s="808"/>
      <c r="E2211" s="809"/>
      <c r="F2211" s="120" t="s">
        <v>856</v>
      </c>
      <c r="G2211" s="118">
        <f>SUM(G2206:G2210)</f>
        <v>0</v>
      </c>
    </row>
    <row r="2212" spans="1:8" ht="14.25" thickTop="1" thickBot="1">
      <c r="A2212" s="95"/>
      <c r="B2212" s="810"/>
      <c r="C2212" s="810"/>
      <c r="D2212" s="810"/>
      <c r="E2212" s="810"/>
      <c r="F2212" s="810"/>
      <c r="G2212" s="834"/>
    </row>
    <row r="2213" spans="1:8" ht="13.5" thickTop="1">
      <c r="A2213" s="95"/>
      <c r="B2213" s="811" t="s">
        <v>326</v>
      </c>
      <c r="C2213" s="812"/>
      <c r="D2213" s="812"/>
      <c r="E2213" s="812"/>
      <c r="F2213" s="813"/>
      <c r="G2213" s="121">
        <f>+G2177+G2193+G2204</f>
        <v>13638</v>
      </c>
    </row>
    <row r="2214" spans="1:8">
      <c r="A2214" s="95"/>
      <c r="B2214" s="814" t="s">
        <v>861</v>
      </c>
      <c r="C2214" s="815"/>
      <c r="D2214" s="815"/>
      <c r="E2214" s="816"/>
      <c r="F2214" s="128">
        <f>'MANO DE OBRA'!D2058</f>
        <v>0</v>
      </c>
      <c r="G2214" s="122">
        <f>ROUND(G2213*F2214,0)</f>
        <v>0</v>
      </c>
    </row>
    <row r="2215" spans="1:8" ht="13.5" thickBot="1">
      <c r="A2215" s="95"/>
      <c r="B2215" s="805" t="s">
        <v>1049</v>
      </c>
      <c r="C2215" s="806"/>
      <c r="D2215" s="806"/>
      <c r="E2215" s="806"/>
      <c r="F2215" s="807"/>
      <c r="G2215" s="118">
        <f>ROUND(G2213+G2214,-2)</f>
        <v>13600</v>
      </c>
      <c r="H2215" s="505" t="s">
        <v>1670</v>
      </c>
    </row>
    <row r="2216" spans="1:8" ht="15" thickTop="1">
      <c r="A2216" s="95"/>
      <c r="B2216" s="225" t="s">
        <v>303</v>
      </c>
      <c r="C2216" s="843"/>
      <c r="D2216" s="843"/>
      <c r="E2216" s="843"/>
      <c r="F2216" s="92" t="s">
        <v>781</v>
      </c>
      <c r="G2216" s="93" t="s">
        <v>1066</v>
      </c>
    </row>
    <row r="2217" spans="1:8">
      <c r="A2217" s="95"/>
      <c r="B2217" s="226" t="s">
        <v>834</v>
      </c>
      <c r="C2217" s="844" t="s">
        <v>342</v>
      </c>
      <c r="D2217" s="844"/>
      <c r="E2217" s="844"/>
      <c r="F2217" s="15" t="s">
        <v>833</v>
      </c>
      <c r="G2217" s="165" t="str">
        <f>'MANO DE OBRA'!$D$61</f>
        <v>Agosto de 2010</v>
      </c>
    </row>
    <row r="2218" spans="1:8" ht="13.5" thickBot="1">
      <c r="A2218" s="236"/>
      <c r="B2218" s="240" t="s">
        <v>835</v>
      </c>
      <c r="C2218" s="934" t="s">
        <v>1345</v>
      </c>
      <c r="D2218" s="934"/>
      <c r="E2218" s="934"/>
      <c r="F2218" s="934"/>
      <c r="G2218" s="935"/>
    </row>
    <row r="2219" spans="1:8" ht="14.25" thickTop="1" thickBot="1">
      <c r="A2219" s="95"/>
      <c r="B2219" s="847"/>
      <c r="C2219" s="847"/>
      <c r="D2219" s="847"/>
      <c r="E2219" s="847"/>
      <c r="F2219" s="847"/>
      <c r="G2219" s="847"/>
    </row>
    <row r="2220" spans="1:8" ht="13.5" thickTop="1">
      <c r="A2220" s="95"/>
      <c r="B2220" s="811" t="s">
        <v>304</v>
      </c>
      <c r="C2220" s="812"/>
      <c r="D2220" s="812"/>
      <c r="E2220" s="812"/>
      <c r="F2220" s="812"/>
      <c r="G2220" s="825"/>
    </row>
    <row r="2221" spans="1:8">
      <c r="A2221" s="95"/>
      <c r="B2221" s="229"/>
      <c r="C2221" s="97"/>
      <c r="D2221" s="98" t="s">
        <v>301</v>
      </c>
      <c r="E2221" s="98" t="s">
        <v>1072</v>
      </c>
      <c r="F2221" s="99" t="s">
        <v>839</v>
      </c>
      <c r="G2221" s="107" t="s">
        <v>840</v>
      </c>
    </row>
    <row r="2222" spans="1:8">
      <c r="A2222" s="95"/>
      <c r="B2222" s="821" t="s">
        <v>838</v>
      </c>
      <c r="C2222" s="822"/>
      <c r="D2222" s="100" t="s">
        <v>308</v>
      </c>
      <c r="E2222" s="100" t="s">
        <v>305</v>
      </c>
      <c r="F2222" s="101" t="s">
        <v>306</v>
      </c>
      <c r="G2222" s="108" t="s">
        <v>310</v>
      </c>
    </row>
    <row r="2223" spans="1:8">
      <c r="A2223" s="95"/>
      <c r="B2223" s="230"/>
      <c r="C2223" s="102"/>
      <c r="D2223" s="103"/>
      <c r="E2223" s="103" t="s">
        <v>309</v>
      </c>
      <c r="F2223" s="104" t="s">
        <v>307</v>
      </c>
      <c r="G2223" s="109"/>
    </row>
    <row r="2224" spans="1:8">
      <c r="A2224" s="127"/>
      <c r="B2224" s="823" t="str">
        <f>'MAQUINARIA Y EQUIPOS'!$C$28</f>
        <v>HERRAMIENTAS MENORES</v>
      </c>
      <c r="C2224" s="824"/>
      <c r="D2224" s="87">
        <v>1</v>
      </c>
      <c r="E2224" s="82">
        <f>ROUND(G2257*0.05,0)</f>
        <v>867</v>
      </c>
      <c r="F2224" s="81">
        <v>1</v>
      </c>
      <c r="G2224" s="110">
        <f>ROUND(D2224*E2224/F2224,0)</f>
        <v>867</v>
      </c>
    </row>
    <row r="2225" spans="1:7">
      <c r="A2225" s="127"/>
      <c r="B2225" s="835"/>
      <c r="C2225" s="836"/>
      <c r="D2225" s="37"/>
      <c r="E2225" s="82"/>
      <c r="F2225" s="83"/>
      <c r="G2225" s="111"/>
    </row>
    <row r="2226" spans="1:7">
      <c r="A2226" s="125"/>
      <c r="B2226" s="837"/>
      <c r="C2226" s="838"/>
      <c r="D2226" s="37"/>
      <c r="E2226" s="82"/>
      <c r="F2226" s="83"/>
      <c r="G2226" s="111"/>
    </row>
    <row r="2227" spans="1:7">
      <c r="A2227" s="95"/>
      <c r="B2227" s="835"/>
      <c r="C2227" s="836"/>
      <c r="D2227" s="89"/>
      <c r="E2227" s="82"/>
      <c r="F2227" s="83"/>
      <c r="G2227" s="111"/>
    </row>
    <row r="2228" spans="1:7">
      <c r="A2228" s="95"/>
      <c r="B2228" s="835" t="s">
        <v>841</v>
      </c>
      <c r="C2228" s="836"/>
      <c r="D2228" s="37"/>
      <c r="E2228" s="82"/>
      <c r="F2228" s="83"/>
      <c r="G2228" s="111"/>
    </row>
    <row r="2229" spans="1:7" ht="13.5" thickBot="1">
      <c r="A2229" s="95"/>
      <c r="B2229" s="839" t="s">
        <v>841</v>
      </c>
      <c r="C2229" s="840"/>
      <c r="D2229" s="77"/>
      <c r="E2229" s="106"/>
      <c r="F2229" s="86"/>
      <c r="G2229" s="112"/>
    </row>
    <row r="2230" spans="1:7" ht="14.25" thickTop="1" thickBot="1">
      <c r="A2230" s="95"/>
      <c r="B2230" s="808"/>
      <c r="C2230" s="808"/>
      <c r="D2230" s="808"/>
      <c r="E2230" s="809"/>
      <c r="F2230" s="119" t="s">
        <v>856</v>
      </c>
      <c r="G2230" s="118">
        <f>SUM(G2224:G2229)</f>
        <v>867</v>
      </c>
    </row>
    <row r="2231" spans="1:7" ht="14.25" thickTop="1" thickBot="1">
      <c r="A2231" s="95"/>
      <c r="B2231" s="830"/>
      <c r="C2231" s="830"/>
      <c r="D2231" s="830"/>
      <c r="E2231" s="830"/>
      <c r="F2231" s="830"/>
      <c r="G2231" s="830"/>
    </row>
    <row r="2232" spans="1:7" ht="13.5" thickTop="1">
      <c r="A2232" s="95"/>
      <c r="B2232" s="811" t="s">
        <v>311</v>
      </c>
      <c r="C2232" s="812"/>
      <c r="D2232" s="812"/>
      <c r="E2232" s="812"/>
      <c r="F2232" s="812"/>
      <c r="G2232" s="825"/>
    </row>
    <row r="2233" spans="1:7">
      <c r="A2233" s="95"/>
      <c r="B2233" s="817" t="s">
        <v>838</v>
      </c>
      <c r="C2233" s="818"/>
      <c r="D2233" s="98" t="s">
        <v>842</v>
      </c>
      <c r="E2233" s="98" t="s">
        <v>853</v>
      </c>
      <c r="F2233" s="99" t="s">
        <v>1047</v>
      </c>
      <c r="G2233" s="107" t="s">
        <v>840</v>
      </c>
    </row>
    <row r="2234" spans="1:7">
      <c r="A2234" s="95"/>
      <c r="B2234" s="230"/>
      <c r="C2234" s="102"/>
      <c r="D2234" s="100"/>
      <c r="E2234" s="100" t="s">
        <v>312</v>
      </c>
      <c r="F2234" s="101" t="s">
        <v>313</v>
      </c>
      <c r="G2234" s="108" t="s">
        <v>314</v>
      </c>
    </row>
    <row r="2235" spans="1:7">
      <c r="A2235" s="125"/>
      <c r="B2235" s="875"/>
      <c r="C2235" s="876"/>
      <c r="D2235" s="87"/>
      <c r="E2235" s="10"/>
      <c r="F2235" s="80"/>
      <c r="G2235" s="110"/>
    </row>
    <row r="2236" spans="1:7">
      <c r="A2236" s="123"/>
      <c r="B2236" s="877"/>
      <c r="C2236" s="878"/>
      <c r="D2236" s="88"/>
      <c r="E2236" s="53"/>
      <c r="F2236" s="82"/>
      <c r="G2236" s="111"/>
    </row>
    <row r="2237" spans="1:7">
      <c r="A2237" s="95"/>
      <c r="B2237" s="835"/>
      <c r="C2237" s="836"/>
      <c r="D2237" s="37"/>
      <c r="E2237" s="55"/>
      <c r="F2237" s="82"/>
      <c r="G2237" s="111"/>
    </row>
    <row r="2238" spans="1:7">
      <c r="A2238" s="95"/>
      <c r="B2238" s="835"/>
      <c r="C2238" s="836"/>
      <c r="D2238" s="37"/>
      <c r="E2238" s="55"/>
      <c r="F2238" s="82"/>
      <c r="G2238" s="111"/>
    </row>
    <row r="2239" spans="1:7">
      <c r="A2239" s="95"/>
      <c r="B2239" s="837"/>
      <c r="C2239" s="838"/>
      <c r="D2239" s="37"/>
      <c r="E2239" s="55"/>
      <c r="F2239" s="82"/>
      <c r="G2239" s="111"/>
    </row>
    <row r="2240" spans="1:7">
      <c r="A2240" s="95"/>
      <c r="B2240" s="837"/>
      <c r="C2240" s="838"/>
      <c r="D2240" s="53" t="s">
        <v>841</v>
      </c>
      <c r="E2240" s="53"/>
      <c r="F2240" s="82"/>
      <c r="G2240" s="111"/>
    </row>
    <row r="2241" spans="1:8">
      <c r="A2241" s="95"/>
      <c r="B2241" s="837" t="s">
        <v>841</v>
      </c>
      <c r="C2241" s="838"/>
      <c r="D2241" s="53" t="s">
        <v>841</v>
      </c>
      <c r="E2241" s="53"/>
      <c r="F2241" s="82"/>
      <c r="G2241" s="111"/>
    </row>
    <row r="2242" spans="1:8">
      <c r="A2242" s="95"/>
      <c r="B2242" s="837" t="s">
        <v>841</v>
      </c>
      <c r="C2242" s="838"/>
      <c r="D2242" s="53" t="s">
        <v>841</v>
      </c>
      <c r="E2242" s="53"/>
      <c r="F2242" s="82"/>
      <c r="G2242" s="111"/>
      <c r="H2242" s="505" t="s">
        <v>1670</v>
      </c>
    </row>
    <row r="2243" spans="1:8" ht="13.5" thickBot="1">
      <c r="A2243" s="95"/>
      <c r="B2243" s="839" t="s">
        <v>841</v>
      </c>
      <c r="C2243" s="840"/>
      <c r="D2243" s="84" t="s">
        <v>841</v>
      </c>
      <c r="E2243" s="84"/>
      <c r="F2243" s="85"/>
      <c r="G2243" s="112"/>
    </row>
    <row r="2244" spans="1:8" ht="13.5" thickTop="1">
      <c r="A2244" s="95"/>
      <c r="B2244" s="808"/>
      <c r="C2244" s="809"/>
      <c r="D2244" s="801" t="s">
        <v>856</v>
      </c>
      <c r="E2244" s="802"/>
      <c r="F2244" s="9"/>
      <c r="G2244" s="113">
        <f>SUM(G2235:G2243)</f>
        <v>0</v>
      </c>
    </row>
    <row r="2245" spans="1:8">
      <c r="A2245" s="95"/>
      <c r="B2245" s="819"/>
      <c r="C2245" s="820"/>
      <c r="D2245" s="801" t="s">
        <v>857</v>
      </c>
      <c r="E2245" s="802"/>
      <c r="F2245" s="79">
        <f>'MANO DE OBRA'!$D$60</f>
        <v>0.05</v>
      </c>
      <c r="G2245" s="113">
        <f>ROUND(G2244*F2245,0)</f>
        <v>0</v>
      </c>
    </row>
    <row r="2246" spans="1:8" ht="13.5" thickBot="1">
      <c r="A2246" s="95"/>
      <c r="B2246" s="819"/>
      <c r="C2246" s="820"/>
      <c r="D2246" s="803" t="s">
        <v>320</v>
      </c>
      <c r="E2246" s="804"/>
      <c r="F2246" s="114"/>
      <c r="G2246" s="118">
        <f>+G2244+G2245</f>
        <v>0</v>
      </c>
    </row>
    <row r="2247" spans="1:8" ht="14.25" thickTop="1" thickBot="1">
      <c r="A2247" s="95"/>
      <c r="B2247" s="830"/>
      <c r="C2247" s="830"/>
      <c r="D2247" s="830"/>
      <c r="E2247" s="830"/>
      <c r="F2247" s="830"/>
      <c r="G2247" s="830"/>
    </row>
    <row r="2248" spans="1:8" ht="13.5" thickTop="1">
      <c r="A2248" s="95"/>
      <c r="B2248" s="811" t="s">
        <v>858</v>
      </c>
      <c r="C2248" s="812"/>
      <c r="D2248" s="812"/>
      <c r="E2248" s="812"/>
      <c r="F2248" s="812"/>
      <c r="G2248" s="825"/>
    </row>
    <row r="2249" spans="1:8">
      <c r="A2249" s="95"/>
      <c r="B2249" s="817"/>
      <c r="C2249" s="818"/>
      <c r="D2249" s="98" t="s">
        <v>301</v>
      </c>
      <c r="E2249" s="98" t="s">
        <v>859</v>
      </c>
      <c r="F2249" s="99" t="s">
        <v>839</v>
      </c>
      <c r="G2249" s="107" t="s">
        <v>840</v>
      </c>
    </row>
    <row r="2250" spans="1:8">
      <c r="A2250" s="95"/>
      <c r="B2250" s="821" t="s">
        <v>838</v>
      </c>
      <c r="C2250" s="822"/>
      <c r="D2250" s="100" t="s">
        <v>316</v>
      </c>
      <c r="E2250" s="100" t="s">
        <v>315</v>
      </c>
      <c r="F2250" s="101" t="s">
        <v>306</v>
      </c>
      <c r="G2250" s="108" t="s">
        <v>319</v>
      </c>
    </row>
    <row r="2251" spans="1:8">
      <c r="A2251" s="95"/>
      <c r="B2251" s="230"/>
      <c r="C2251" s="102"/>
      <c r="D2251" s="103"/>
      <c r="E2251" s="103" t="s">
        <v>317</v>
      </c>
      <c r="F2251" s="104" t="s">
        <v>318</v>
      </c>
      <c r="G2251" s="109"/>
    </row>
    <row r="2252" spans="1:8">
      <c r="A2252" s="95"/>
      <c r="B2252" s="823" t="str">
        <f>'MANO DE OBRA'!$B$10</f>
        <v>AYUDANTE CUAD. TIPO AA</v>
      </c>
      <c r="C2252" s="824"/>
      <c r="D2252" s="87">
        <v>1</v>
      </c>
      <c r="E2252" s="80">
        <f>'MANO DE OBRA'!$E$10</f>
        <v>34680</v>
      </c>
      <c r="F2252" s="81">
        <v>2</v>
      </c>
      <c r="G2252" s="110">
        <f>ROUND(D2252*E2252/F2252,0)</f>
        <v>17340</v>
      </c>
    </row>
    <row r="2253" spans="1:8">
      <c r="A2253" s="95"/>
      <c r="B2253" s="835"/>
      <c r="C2253" s="836"/>
      <c r="D2253" s="37"/>
      <c r="E2253" s="82"/>
      <c r="F2253" s="83"/>
      <c r="G2253" s="111"/>
    </row>
    <row r="2254" spans="1:8">
      <c r="A2254" s="95"/>
      <c r="B2254" s="835"/>
      <c r="C2254" s="836"/>
      <c r="D2254" s="89"/>
      <c r="E2254" s="82"/>
      <c r="F2254" s="83"/>
      <c r="G2254" s="111"/>
    </row>
    <row r="2255" spans="1:8">
      <c r="A2255" s="95"/>
      <c r="B2255" s="835" t="s">
        <v>841</v>
      </c>
      <c r="C2255" s="836"/>
      <c r="D2255" s="37"/>
      <c r="E2255" s="82"/>
      <c r="F2255" s="83"/>
      <c r="G2255" s="111"/>
    </row>
    <row r="2256" spans="1:8" ht="13.5" thickBot="1">
      <c r="A2256" s="95"/>
      <c r="B2256" s="828" t="s">
        <v>841</v>
      </c>
      <c r="C2256" s="829"/>
      <c r="D2256" s="77"/>
      <c r="E2256" s="82"/>
      <c r="F2256" s="86"/>
      <c r="G2256" s="112"/>
    </row>
    <row r="2257" spans="1:8" ht="14.25" thickTop="1" thickBot="1">
      <c r="A2257" s="95"/>
      <c r="B2257" s="808"/>
      <c r="C2257" s="808"/>
      <c r="D2257" s="808"/>
      <c r="E2257" s="809"/>
      <c r="F2257" s="120" t="s">
        <v>856</v>
      </c>
      <c r="G2257" s="118">
        <f>SUM(G2252:G2256)</f>
        <v>17340</v>
      </c>
    </row>
    <row r="2258" spans="1:8" ht="14.25" thickTop="1" thickBot="1">
      <c r="A2258" s="95"/>
      <c r="B2258" s="810"/>
      <c r="C2258" s="810"/>
      <c r="D2258" s="810"/>
      <c r="E2258" s="810"/>
      <c r="F2258" s="810"/>
      <c r="G2258" s="810"/>
    </row>
    <row r="2259" spans="1:8" ht="13.5" thickTop="1">
      <c r="A2259" s="95"/>
      <c r="B2259" s="811" t="s">
        <v>321</v>
      </c>
      <c r="C2259" s="812"/>
      <c r="D2259" s="812"/>
      <c r="E2259" s="812"/>
      <c r="F2259" s="812"/>
      <c r="G2259" s="825"/>
    </row>
    <row r="2260" spans="1:8">
      <c r="A2260" s="95"/>
      <c r="B2260" s="817" t="s">
        <v>838</v>
      </c>
      <c r="C2260" s="818"/>
      <c r="D2260" s="98" t="s">
        <v>301</v>
      </c>
      <c r="E2260" s="98" t="s">
        <v>297</v>
      </c>
      <c r="F2260" s="99" t="s">
        <v>839</v>
      </c>
      <c r="G2260" s="107" t="s">
        <v>840</v>
      </c>
    </row>
    <row r="2261" spans="1:8">
      <c r="A2261" s="95"/>
      <c r="B2261" s="230"/>
      <c r="C2261" s="102"/>
      <c r="D2261" s="103" t="s">
        <v>322</v>
      </c>
      <c r="E2261" s="103" t="s">
        <v>323</v>
      </c>
      <c r="F2261" s="104" t="s">
        <v>324</v>
      </c>
      <c r="G2261" s="109" t="s">
        <v>325</v>
      </c>
    </row>
    <row r="2262" spans="1:8">
      <c r="A2262" s="95"/>
      <c r="B2262" s="826"/>
      <c r="C2262" s="827"/>
      <c r="D2262" s="96"/>
      <c r="E2262" s="96"/>
      <c r="F2262" s="96"/>
      <c r="G2262" s="116"/>
    </row>
    <row r="2263" spans="1:8" ht="13.5" thickBot="1">
      <c r="A2263" s="95"/>
      <c r="B2263" s="828" t="s">
        <v>841</v>
      </c>
      <c r="C2263" s="829"/>
      <c r="D2263" s="77"/>
      <c r="E2263" s="82"/>
      <c r="F2263" s="86"/>
      <c r="G2263" s="112"/>
    </row>
    <row r="2264" spans="1:8" ht="14.25" thickTop="1" thickBot="1">
      <c r="A2264" s="95"/>
      <c r="B2264" s="808"/>
      <c r="C2264" s="808"/>
      <c r="D2264" s="808"/>
      <c r="E2264" s="809"/>
      <c r="F2264" s="120" t="s">
        <v>856</v>
      </c>
      <c r="G2264" s="118">
        <f>SUM(G2259:G2263)</f>
        <v>0</v>
      </c>
    </row>
    <row r="2265" spans="1:8" ht="14.25" thickTop="1" thickBot="1">
      <c r="A2265" s="95"/>
      <c r="B2265" s="810"/>
      <c r="C2265" s="810"/>
      <c r="D2265" s="810"/>
      <c r="E2265" s="810"/>
      <c r="F2265" s="810"/>
      <c r="G2265" s="834"/>
    </row>
    <row r="2266" spans="1:8" ht="13.5" thickTop="1">
      <c r="A2266" s="95"/>
      <c r="B2266" s="811" t="s">
        <v>326</v>
      </c>
      <c r="C2266" s="812"/>
      <c r="D2266" s="812"/>
      <c r="E2266" s="812"/>
      <c r="F2266" s="813"/>
      <c r="G2266" s="121">
        <f>+G2230+G2246+G2257</f>
        <v>18207</v>
      </c>
    </row>
    <row r="2267" spans="1:8">
      <c r="A2267" s="95"/>
      <c r="B2267" s="814" t="s">
        <v>861</v>
      </c>
      <c r="C2267" s="815"/>
      <c r="D2267" s="815"/>
      <c r="E2267" s="816"/>
      <c r="F2267" s="128">
        <f>'MANO DE OBRA'!D2005</f>
        <v>0</v>
      </c>
      <c r="G2267" s="122">
        <f>ROUND(G2266*F2267,0)</f>
        <v>0</v>
      </c>
    </row>
    <row r="2268" spans="1:8" ht="13.5" thickBot="1">
      <c r="A2268" s="95"/>
      <c r="B2268" s="805" t="s">
        <v>1049</v>
      </c>
      <c r="C2268" s="806"/>
      <c r="D2268" s="806"/>
      <c r="E2268" s="806"/>
      <c r="F2268" s="807"/>
      <c r="G2268" s="118">
        <f>ROUND(G2266+G2267,-2)</f>
        <v>18200</v>
      </c>
      <c r="H2268" s="505" t="s">
        <v>1670</v>
      </c>
    </row>
    <row r="2269" spans="1:8" ht="15" thickTop="1">
      <c r="A2269" s="95"/>
      <c r="B2269" s="225" t="s">
        <v>303</v>
      </c>
      <c r="C2269" s="843"/>
      <c r="D2269" s="843"/>
      <c r="E2269" s="843"/>
      <c r="F2269" s="92" t="s">
        <v>781</v>
      </c>
      <c r="G2269" s="93" t="s">
        <v>1066</v>
      </c>
    </row>
    <row r="2270" spans="1:8">
      <c r="A2270" s="95"/>
      <c r="B2270" s="226" t="s">
        <v>834</v>
      </c>
      <c r="C2270" s="844" t="s">
        <v>342</v>
      </c>
      <c r="D2270" s="844"/>
      <c r="E2270" s="844"/>
      <c r="F2270" s="15" t="s">
        <v>833</v>
      </c>
      <c r="G2270" s="165" t="str">
        <f>'MANO DE OBRA'!$D$61</f>
        <v>Agosto de 2010</v>
      </c>
    </row>
    <row r="2271" spans="1:8" ht="13.5" thickBot="1">
      <c r="A2271" s="236"/>
      <c r="B2271" s="240" t="s">
        <v>835</v>
      </c>
      <c r="C2271" s="934" t="s">
        <v>1346</v>
      </c>
      <c r="D2271" s="934"/>
      <c r="E2271" s="934"/>
      <c r="F2271" s="934"/>
      <c r="G2271" s="935"/>
    </row>
    <row r="2272" spans="1:8" ht="14.25" thickTop="1" thickBot="1">
      <c r="A2272" s="95"/>
      <c r="B2272" s="847"/>
      <c r="C2272" s="847"/>
      <c r="D2272" s="847"/>
      <c r="E2272" s="847"/>
      <c r="F2272" s="847"/>
      <c r="G2272" s="847"/>
    </row>
    <row r="2273" spans="1:7" ht="13.5" thickTop="1">
      <c r="A2273" s="95"/>
      <c r="B2273" s="811" t="s">
        <v>304</v>
      </c>
      <c r="C2273" s="812"/>
      <c r="D2273" s="812"/>
      <c r="E2273" s="812"/>
      <c r="F2273" s="812"/>
      <c r="G2273" s="825"/>
    </row>
    <row r="2274" spans="1:7">
      <c r="A2274" s="95"/>
      <c r="B2274" s="229"/>
      <c r="C2274" s="97"/>
      <c r="D2274" s="98" t="s">
        <v>301</v>
      </c>
      <c r="E2274" s="98" t="s">
        <v>1072</v>
      </c>
      <c r="F2274" s="99" t="s">
        <v>839</v>
      </c>
      <c r="G2274" s="107" t="s">
        <v>840</v>
      </c>
    </row>
    <row r="2275" spans="1:7">
      <c r="A2275" s="95"/>
      <c r="B2275" s="821" t="s">
        <v>838</v>
      </c>
      <c r="C2275" s="822"/>
      <c r="D2275" s="100" t="s">
        <v>308</v>
      </c>
      <c r="E2275" s="100" t="s">
        <v>305</v>
      </c>
      <c r="F2275" s="101" t="s">
        <v>306</v>
      </c>
      <c r="G2275" s="108" t="s">
        <v>310</v>
      </c>
    </row>
    <row r="2276" spans="1:7">
      <c r="A2276" s="95"/>
      <c r="B2276" s="230"/>
      <c r="C2276" s="102"/>
      <c r="D2276" s="103"/>
      <c r="E2276" s="103" t="s">
        <v>309</v>
      </c>
      <c r="F2276" s="104" t="s">
        <v>307</v>
      </c>
      <c r="G2276" s="109"/>
    </row>
    <row r="2277" spans="1:7">
      <c r="A2277" s="127"/>
      <c r="B2277" s="823" t="str">
        <f>'MAQUINARIA Y EQUIPOS'!$C$28</f>
        <v>HERRAMIENTAS MENORES</v>
      </c>
      <c r="C2277" s="824"/>
      <c r="D2277" s="87">
        <v>1</v>
      </c>
      <c r="E2277" s="82">
        <f>ROUND(G2310*0.05,0)</f>
        <v>1148</v>
      </c>
      <c r="F2277" s="81">
        <v>1</v>
      </c>
      <c r="G2277" s="110">
        <f>ROUND(D2277*E2277/F2277,0)</f>
        <v>1148</v>
      </c>
    </row>
    <row r="2278" spans="1:7">
      <c r="A2278" s="127"/>
      <c r="B2278" s="835"/>
      <c r="C2278" s="836"/>
      <c r="D2278" s="37"/>
      <c r="E2278" s="82"/>
      <c r="F2278" s="83"/>
      <c r="G2278" s="111"/>
    </row>
    <row r="2279" spans="1:7">
      <c r="A2279" s="125"/>
      <c r="B2279" s="837"/>
      <c r="C2279" s="838"/>
      <c r="D2279" s="37"/>
      <c r="E2279" s="82"/>
      <c r="F2279" s="83"/>
      <c r="G2279" s="111"/>
    </row>
    <row r="2280" spans="1:7">
      <c r="A2280" s="95"/>
      <c r="B2280" s="835"/>
      <c r="C2280" s="836"/>
      <c r="D2280" s="89"/>
      <c r="E2280" s="82"/>
      <c r="F2280" s="83"/>
      <c r="G2280" s="111"/>
    </row>
    <row r="2281" spans="1:7">
      <c r="A2281" s="95"/>
      <c r="B2281" s="835" t="s">
        <v>841</v>
      </c>
      <c r="C2281" s="836"/>
      <c r="D2281" s="37"/>
      <c r="E2281" s="82"/>
      <c r="F2281" s="83"/>
      <c r="G2281" s="111"/>
    </row>
    <row r="2282" spans="1:7" ht="13.5" thickBot="1">
      <c r="A2282" s="95"/>
      <c r="B2282" s="839" t="s">
        <v>841</v>
      </c>
      <c r="C2282" s="840"/>
      <c r="D2282" s="77"/>
      <c r="E2282" s="106"/>
      <c r="F2282" s="86"/>
      <c r="G2282" s="112"/>
    </row>
    <row r="2283" spans="1:7" ht="14.25" thickTop="1" thickBot="1">
      <c r="A2283" s="95"/>
      <c r="B2283" s="808"/>
      <c r="C2283" s="808"/>
      <c r="D2283" s="808"/>
      <c r="E2283" s="809"/>
      <c r="F2283" s="119" t="s">
        <v>856</v>
      </c>
      <c r="G2283" s="118">
        <f>SUM(G2277:G2282)</f>
        <v>1148</v>
      </c>
    </row>
    <row r="2284" spans="1:7" ht="14.25" thickTop="1" thickBot="1">
      <c r="A2284" s="95"/>
      <c r="B2284" s="830"/>
      <c r="C2284" s="830"/>
      <c r="D2284" s="830"/>
      <c r="E2284" s="830"/>
      <c r="F2284" s="830"/>
      <c r="G2284" s="830"/>
    </row>
    <row r="2285" spans="1:7" ht="13.5" thickTop="1">
      <c r="A2285" s="95"/>
      <c r="B2285" s="811" t="s">
        <v>311</v>
      </c>
      <c r="C2285" s="812"/>
      <c r="D2285" s="812"/>
      <c r="E2285" s="812"/>
      <c r="F2285" s="812"/>
      <c r="G2285" s="825"/>
    </row>
    <row r="2286" spans="1:7">
      <c r="A2286" s="95"/>
      <c r="B2286" s="817" t="s">
        <v>838</v>
      </c>
      <c r="C2286" s="818"/>
      <c r="D2286" s="98" t="s">
        <v>842</v>
      </c>
      <c r="E2286" s="98" t="s">
        <v>853</v>
      </c>
      <c r="F2286" s="99" t="s">
        <v>1047</v>
      </c>
      <c r="G2286" s="107" t="s">
        <v>840</v>
      </c>
    </row>
    <row r="2287" spans="1:7">
      <c r="A2287" s="95"/>
      <c r="B2287" s="230"/>
      <c r="C2287" s="102"/>
      <c r="D2287" s="100"/>
      <c r="E2287" s="100" t="s">
        <v>312</v>
      </c>
      <c r="F2287" s="101" t="s">
        <v>313</v>
      </c>
      <c r="G2287" s="108" t="s">
        <v>314</v>
      </c>
    </row>
    <row r="2288" spans="1:7">
      <c r="A2288" s="125"/>
      <c r="B2288" s="875"/>
      <c r="C2288" s="876"/>
      <c r="D2288" s="87"/>
      <c r="E2288" s="10"/>
      <c r="F2288" s="80"/>
      <c r="G2288" s="110"/>
    </row>
    <row r="2289" spans="1:8">
      <c r="A2289" s="123"/>
      <c r="B2289" s="877"/>
      <c r="C2289" s="878"/>
      <c r="D2289" s="88"/>
      <c r="E2289" s="53"/>
      <c r="F2289" s="82"/>
      <c r="G2289" s="111"/>
    </row>
    <row r="2290" spans="1:8">
      <c r="A2290" s="95"/>
      <c r="B2290" s="835"/>
      <c r="C2290" s="836"/>
      <c r="D2290" s="37"/>
      <c r="E2290" s="55"/>
      <c r="F2290" s="82"/>
      <c r="G2290" s="111"/>
    </row>
    <row r="2291" spans="1:8">
      <c r="A2291" s="95"/>
      <c r="B2291" s="835"/>
      <c r="C2291" s="836"/>
      <c r="D2291" s="37"/>
      <c r="E2291" s="55"/>
      <c r="F2291" s="82"/>
      <c r="G2291" s="111"/>
    </row>
    <row r="2292" spans="1:8">
      <c r="A2292" s="95"/>
      <c r="B2292" s="837"/>
      <c r="C2292" s="838"/>
      <c r="D2292" s="37"/>
      <c r="E2292" s="55"/>
      <c r="F2292" s="82"/>
      <c r="G2292" s="111"/>
    </row>
    <row r="2293" spans="1:8">
      <c r="A2293" s="95"/>
      <c r="B2293" s="837"/>
      <c r="C2293" s="838"/>
      <c r="D2293" s="53" t="s">
        <v>841</v>
      </c>
      <c r="E2293" s="53"/>
      <c r="F2293" s="82"/>
      <c r="G2293" s="111"/>
    </row>
    <row r="2294" spans="1:8">
      <c r="A2294" s="95"/>
      <c r="B2294" s="837" t="s">
        <v>841</v>
      </c>
      <c r="C2294" s="838"/>
      <c r="D2294" s="53" t="s">
        <v>841</v>
      </c>
      <c r="E2294" s="53"/>
      <c r="F2294" s="82"/>
      <c r="G2294" s="111"/>
    </row>
    <row r="2295" spans="1:8">
      <c r="A2295" s="95"/>
      <c r="B2295" s="837" t="s">
        <v>841</v>
      </c>
      <c r="C2295" s="838"/>
      <c r="D2295" s="53" t="s">
        <v>841</v>
      </c>
      <c r="E2295" s="53"/>
      <c r="F2295" s="82"/>
      <c r="G2295" s="111"/>
      <c r="H2295" s="505" t="s">
        <v>1670</v>
      </c>
    </row>
    <row r="2296" spans="1:8" ht="13.5" thickBot="1">
      <c r="A2296" s="95"/>
      <c r="B2296" s="839" t="s">
        <v>841</v>
      </c>
      <c r="C2296" s="840"/>
      <c r="D2296" s="84" t="s">
        <v>841</v>
      </c>
      <c r="E2296" s="84"/>
      <c r="F2296" s="85"/>
      <c r="G2296" s="112"/>
    </row>
    <row r="2297" spans="1:8" ht="13.5" thickTop="1">
      <c r="A2297" s="95"/>
      <c r="B2297" s="808"/>
      <c r="C2297" s="809"/>
      <c r="D2297" s="801" t="s">
        <v>856</v>
      </c>
      <c r="E2297" s="802"/>
      <c r="F2297" s="9"/>
      <c r="G2297" s="113">
        <f>SUM(G2288:G2296)</f>
        <v>0</v>
      </c>
    </row>
    <row r="2298" spans="1:8">
      <c r="A2298" s="95"/>
      <c r="B2298" s="819"/>
      <c r="C2298" s="820"/>
      <c r="D2298" s="801" t="s">
        <v>857</v>
      </c>
      <c r="E2298" s="802"/>
      <c r="F2298" s="79">
        <f>'MANO DE OBRA'!$D$60</f>
        <v>0.05</v>
      </c>
      <c r="G2298" s="113">
        <f>ROUND(G2297*F2298,0)</f>
        <v>0</v>
      </c>
    </row>
    <row r="2299" spans="1:8" ht="13.5" thickBot="1">
      <c r="A2299" s="95"/>
      <c r="B2299" s="819"/>
      <c r="C2299" s="820"/>
      <c r="D2299" s="803" t="s">
        <v>320</v>
      </c>
      <c r="E2299" s="804"/>
      <c r="F2299" s="114"/>
      <c r="G2299" s="118">
        <f>+G2297+G2298</f>
        <v>0</v>
      </c>
    </row>
    <row r="2300" spans="1:8" ht="14.25" thickTop="1" thickBot="1">
      <c r="A2300" s="95"/>
      <c r="B2300" s="830"/>
      <c r="C2300" s="830"/>
      <c r="D2300" s="830"/>
      <c r="E2300" s="830"/>
      <c r="F2300" s="830"/>
      <c r="G2300" s="830"/>
    </row>
    <row r="2301" spans="1:8" ht="13.5" thickTop="1">
      <c r="A2301" s="95"/>
      <c r="B2301" s="811" t="s">
        <v>858</v>
      </c>
      <c r="C2301" s="812"/>
      <c r="D2301" s="812"/>
      <c r="E2301" s="812"/>
      <c r="F2301" s="812"/>
      <c r="G2301" s="825"/>
    </row>
    <row r="2302" spans="1:8">
      <c r="A2302" s="95"/>
      <c r="B2302" s="817"/>
      <c r="C2302" s="818"/>
      <c r="D2302" s="98" t="s">
        <v>301</v>
      </c>
      <c r="E2302" s="98" t="s">
        <v>859</v>
      </c>
      <c r="F2302" s="99" t="s">
        <v>839</v>
      </c>
      <c r="G2302" s="107" t="s">
        <v>840</v>
      </c>
    </row>
    <row r="2303" spans="1:8">
      <c r="A2303" s="95"/>
      <c r="B2303" s="821" t="s">
        <v>838</v>
      </c>
      <c r="C2303" s="822"/>
      <c r="D2303" s="100" t="s">
        <v>316</v>
      </c>
      <c r="E2303" s="100" t="s">
        <v>315</v>
      </c>
      <c r="F2303" s="101" t="s">
        <v>306</v>
      </c>
      <c r="G2303" s="108" t="s">
        <v>319</v>
      </c>
    </row>
    <row r="2304" spans="1:8">
      <c r="A2304" s="95"/>
      <c r="B2304" s="230"/>
      <c r="C2304" s="102"/>
      <c r="D2304" s="103"/>
      <c r="E2304" s="103" t="s">
        <v>317</v>
      </c>
      <c r="F2304" s="104" t="s">
        <v>318</v>
      </c>
      <c r="G2304" s="109"/>
    </row>
    <row r="2305" spans="1:7">
      <c r="A2305" s="95"/>
      <c r="B2305" s="823" t="str">
        <f>'MANO DE OBRA'!$B$10</f>
        <v>AYUDANTE CUAD. TIPO AA</v>
      </c>
      <c r="C2305" s="824"/>
      <c r="D2305" s="87">
        <v>1</v>
      </c>
      <c r="E2305" s="80">
        <f>'MANO DE OBRA'!$E$10</f>
        <v>34680</v>
      </c>
      <c r="F2305" s="81">
        <v>1.51</v>
      </c>
      <c r="G2305" s="110">
        <f>ROUND(D2305*E2305/F2305,0)</f>
        <v>22967</v>
      </c>
    </row>
    <row r="2306" spans="1:7">
      <c r="A2306" s="95"/>
      <c r="B2306" s="835"/>
      <c r="C2306" s="836"/>
      <c r="D2306" s="37"/>
      <c r="E2306" s="82"/>
      <c r="F2306" s="83"/>
      <c r="G2306" s="111"/>
    </row>
    <row r="2307" spans="1:7">
      <c r="A2307" s="95"/>
      <c r="B2307" s="835"/>
      <c r="C2307" s="836"/>
      <c r="D2307" s="89"/>
      <c r="E2307" s="82"/>
      <c r="F2307" s="83"/>
      <c r="G2307" s="111"/>
    </row>
    <row r="2308" spans="1:7">
      <c r="A2308" s="95"/>
      <c r="B2308" s="835" t="s">
        <v>841</v>
      </c>
      <c r="C2308" s="836"/>
      <c r="D2308" s="37"/>
      <c r="E2308" s="82"/>
      <c r="F2308" s="83"/>
      <c r="G2308" s="111"/>
    </row>
    <row r="2309" spans="1:7" ht="13.5" thickBot="1">
      <c r="A2309" s="95"/>
      <c r="B2309" s="828" t="s">
        <v>841</v>
      </c>
      <c r="C2309" s="829"/>
      <c r="D2309" s="77"/>
      <c r="E2309" s="82"/>
      <c r="F2309" s="86"/>
      <c r="G2309" s="112"/>
    </row>
    <row r="2310" spans="1:7" ht="14.25" thickTop="1" thickBot="1">
      <c r="A2310" s="95"/>
      <c r="B2310" s="808"/>
      <c r="C2310" s="808"/>
      <c r="D2310" s="808"/>
      <c r="E2310" s="809"/>
      <c r="F2310" s="120" t="s">
        <v>856</v>
      </c>
      <c r="G2310" s="118">
        <f>SUM(G2305:G2309)</f>
        <v>22967</v>
      </c>
    </row>
    <row r="2311" spans="1:7" ht="14.25" thickTop="1" thickBot="1">
      <c r="A2311" s="95"/>
      <c r="B2311" s="810"/>
      <c r="C2311" s="810"/>
      <c r="D2311" s="810"/>
      <c r="E2311" s="810"/>
      <c r="F2311" s="810"/>
      <c r="G2311" s="810"/>
    </row>
    <row r="2312" spans="1:7" ht="13.5" thickTop="1">
      <c r="A2312" s="95"/>
      <c r="B2312" s="811" t="s">
        <v>321</v>
      </c>
      <c r="C2312" s="812"/>
      <c r="D2312" s="812"/>
      <c r="E2312" s="812"/>
      <c r="F2312" s="812"/>
      <c r="G2312" s="825"/>
    </row>
    <row r="2313" spans="1:7">
      <c r="A2313" s="95"/>
      <c r="B2313" s="817" t="s">
        <v>838</v>
      </c>
      <c r="C2313" s="818"/>
      <c r="D2313" s="98" t="s">
        <v>301</v>
      </c>
      <c r="E2313" s="98" t="s">
        <v>297</v>
      </c>
      <c r="F2313" s="99" t="s">
        <v>839</v>
      </c>
      <c r="G2313" s="107" t="s">
        <v>840</v>
      </c>
    </row>
    <row r="2314" spans="1:7">
      <c r="A2314" s="95"/>
      <c r="B2314" s="230"/>
      <c r="C2314" s="102"/>
      <c r="D2314" s="103" t="s">
        <v>322</v>
      </c>
      <c r="E2314" s="103" t="s">
        <v>323</v>
      </c>
      <c r="F2314" s="104" t="s">
        <v>324</v>
      </c>
      <c r="G2314" s="109" t="s">
        <v>325</v>
      </c>
    </row>
    <row r="2315" spans="1:7">
      <c r="A2315" s="95"/>
      <c r="B2315" s="826"/>
      <c r="C2315" s="827"/>
      <c r="D2315" s="96"/>
      <c r="E2315" s="96"/>
      <c r="F2315" s="96"/>
      <c r="G2315" s="116"/>
    </row>
    <row r="2316" spans="1:7" ht="13.5" thickBot="1">
      <c r="A2316" s="95"/>
      <c r="B2316" s="828" t="s">
        <v>841</v>
      </c>
      <c r="C2316" s="829"/>
      <c r="D2316" s="77"/>
      <c r="E2316" s="82"/>
      <c r="F2316" s="86"/>
      <c r="G2316" s="112"/>
    </row>
    <row r="2317" spans="1:7" ht="14.25" thickTop="1" thickBot="1">
      <c r="A2317" s="95"/>
      <c r="B2317" s="808"/>
      <c r="C2317" s="808"/>
      <c r="D2317" s="808"/>
      <c r="E2317" s="809"/>
      <c r="F2317" s="120" t="s">
        <v>856</v>
      </c>
      <c r="G2317" s="118">
        <f>SUM(G2312:G2316)</f>
        <v>0</v>
      </c>
    </row>
    <row r="2318" spans="1:7" ht="14.25" thickTop="1" thickBot="1">
      <c r="A2318" s="95"/>
      <c r="B2318" s="810"/>
      <c r="C2318" s="810"/>
      <c r="D2318" s="810"/>
      <c r="E2318" s="810"/>
      <c r="F2318" s="810"/>
      <c r="G2318" s="834"/>
    </row>
    <row r="2319" spans="1:7" ht="13.5" thickTop="1">
      <c r="A2319" s="95"/>
      <c r="B2319" s="811" t="s">
        <v>326</v>
      </c>
      <c r="C2319" s="812"/>
      <c r="D2319" s="812"/>
      <c r="E2319" s="812"/>
      <c r="F2319" s="813"/>
      <c r="G2319" s="121">
        <f>+G2283+G2299+G2310</f>
        <v>24115</v>
      </c>
    </row>
    <row r="2320" spans="1:7">
      <c r="A2320" s="95"/>
      <c r="B2320" s="814" t="s">
        <v>861</v>
      </c>
      <c r="C2320" s="815"/>
      <c r="D2320" s="815"/>
      <c r="E2320" s="816"/>
      <c r="F2320" s="128">
        <f>'MANO DE OBRA'!D2058</f>
        <v>0</v>
      </c>
      <c r="G2320" s="122">
        <f>ROUND(G2319*F2320,0)</f>
        <v>0</v>
      </c>
    </row>
    <row r="2321" spans="1:8" ht="13.5" thickBot="1">
      <c r="A2321" s="95"/>
      <c r="B2321" s="805" t="s">
        <v>1049</v>
      </c>
      <c r="C2321" s="806"/>
      <c r="D2321" s="806"/>
      <c r="E2321" s="806"/>
      <c r="F2321" s="807"/>
      <c r="G2321" s="118">
        <f>ROUND(G2319+G2320,-2)</f>
        <v>24100</v>
      </c>
      <c r="H2321" s="505" t="s">
        <v>1670</v>
      </c>
    </row>
    <row r="2322" spans="1:8" ht="15" thickTop="1">
      <c r="A2322" s="95"/>
      <c r="B2322" s="225" t="s">
        <v>303</v>
      </c>
      <c r="C2322" s="843"/>
      <c r="D2322" s="843"/>
      <c r="E2322" s="843"/>
      <c r="F2322" s="92" t="s">
        <v>781</v>
      </c>
      <c r="G2322" s="93" t="s">
        <v>1066</v>
      </c>
    </row>
    <row r="2323" spans="1:8">
      <c r="A2323" s="95"/>
      <c r="B2323" s="226" t="s">
        <v>834</v>
      </c>
      <c r="C2323" s="844" t="s">
        <v>342</v>
      </c>
      <c r="D2323" s="844"/>
      <c r="E2323" s="844"/>
      <c r="F2323" s="15" t="s">
        <v>833</v>
      </c>
      <c r="G2323" s="165" t="str">
        <f>'MANO DE OBRA'!$D$61</f>
        <v>Agosto de 2010</v>
      </c>
    </row>
    <row r="2324" spans="1:8" ht="13.5" thickBot="1">
      <c r="A2324" s="236"/>
      <c r="B2324" s="240" t="s">
        <v>835</v>
      </c>
      <c r="C2324" s="934" t="s">
        <v>1347</v>
      </c>
      <c r="D2324" s="934"/>
      <c r="E2324" s="934"/>
      <c r="F2324" s="934"/>
      <c r="G2324" s="935"/>
    </row>
    <row r="2325" spans="1:8" ht="14.25" thickTop="1" thickBot="1">
      <c r="A2325" s="95"/>
      <c r="B2325" s="847"/>
      <c r="C2325" s="847"/>
      <c r="D2325" s="847"/>
      <c r="E2325" s="847"/>
      <c r="F2325" s="847"/>
      <c r="G2325" s="847"/>
    </row>
    <row r="2326" spans="1:8" ht="13.5" thickTop="1">
      <c r="A2326" s="95"/>
      <c r="B2326" s="811" t="s">
        <v>304</v>
      </c>
      <c r="C2326" s="812"/>
      <c r="D2326" s="812"/>
      <c r="E2326" s="812"/>
      <c r="F2326" s="812"/>
      <c r="G2326" s="825"/>
    </row>
    <row r="2327" spans="1:8">
      <c r="A2327" s="95"/>
      <c r="B2327" s="229"/>
      <c r="C2327" s="97"/>
      <c r="D2327" s="98" t="s">
        <v>301</v>
      </c>
      <c r="E2327" s="98" t="s">
        <v>1072</v>
      </c>
      <c r="F2327" s="99" t="s">
        <v>839</v>
      </c>
      <c r="G2327" s="107" t="s">
        <v>840</v>
      </c>
    </row>
    <row r="2328" spans="1:8">
      <c r="A2328" s="95"/>
      <c r="B2328" s="821" t="s">
        <v>838</v>
      </c>
      <c r="C2328" s="822"/>
      <c r="D2328" s="100" t="s">
        <v>308</v>
      </c>
      <c r="E2328" s="100" t="s">
        <v>305</v>
      </c>
      <c r="F2328" s="101" t="s">
        <v>306</v>
      </c>
      <c r="G2328" s="108" t="s">
        <v>310</v>
      </c>
    </row>
    <row r="2329" spans="1:8">
      <c r="A2329" s="95"/>
      <c r="B2329" s="230"/>
      <c r="C2329" s="102"/>
      <c r="D2329" s="103"/>
      <c r="E2329" s="103" t="s">
        <v>309</v>
      </c>
      <c r="F2329" s="104" t="s">
        <v>307</v>
      </c>
      <c r="G2329" s="109"/>
    </row>
    <row r="2330" spans="1:8">
      <c r="A2330" s="127"/>
      <c r="B2330" s="823" t="str">
        <f>'MAQUINARIA Y EQUIPOS'!$C$28</f>
        <v>HERRAMIENTAS MENORES</v>
      </c>
      <c r="C2330" s="824"/>
      <c r="D2330" s="87">
        <v>1</v>
      </c>
      <c r="E2330" s="82">
        <f>ROUND(G2363*0.05,0)</f>
        <v>1734</v>
      </c>
      <c r="F2330" s="81">
        <v>1</v>
      </c>
      <c r="G2330" s="110">
        <f>ROUND(D2330*E2330/F2330,0)</f>
        <v>1734</v>
      </c>
    </row>
    <row r="2331" spans="1:8">
      <c r="A2331" s="127"/>
      <c r="B2331" s="835"/>
      <c r="C2331" s="836"/>
      <c r="D2331" s="37"/>
      <c r="E2331" s="82"/>
      <c r="F2331" s="83"/>
      <c r="G2331" s="111"/>
    </row>
    <row r="2332" spans="1:8">
      <c r="A2332" s="125"/>
      <c r="B2332" s="837"/>
      <c r="C2332" s="838"/>
      <c r="D2332" s="37"/>
      <c r="E2332" s="82"/>
      <c r="F2332" s="83"/>
      <c r="G2332" s="111"/>
    </row>
    <row r="2333" spans="1:8">
      <c r="A2333" s="95"/>
      <c r="B2333" s="835"/>
      <c r="C2333" s="836"/>
      <c r="D2333" s="89"/>
      <c r="E2333" s="82"/>
      <c r="F2333" s="83"/>
      <c r="G2333" s="111"/>
    </row>
    <row r="2334" spans="1:8">
      <c r="A2334" s="95"/>
      <c r="B2334" s="835" t="s">
        <v>841</v>
      </c>
      <c r="C2334" s="836"/>
      <c r="D2334" s="37"/>
      <c r="E2334" s="82"/>
      <c r="F2334" s="83"/>
      <c r="G2334" s="111"/>
    </row>
    <row r="2335" spans="1:8" ht="13.5" thickBot="1">
      <c r="A2335" s="95"/>
      <c r="B2335" s="839" t="s">
        <v>841</v>
      </c>
      <c r="C2335" s="840"/>
      <c r="D2335" s="77"/>
      <c r="E2335" s="106"/>
      <c r="F2335" s="86"/>
      <c r="G2335" s="112"/>
    </row>
    <row r="2336" spans="1:8" ht="14.25" thickTop="1" thickBot="1">
      <c r="A2336" s="95"/>
      <c r="B2336" s="808"/>
      <c r="C2336" s="808"/>
      <c r="D2336" s="808"/>
      <c r="E2336" s="809"/>
      <c r="F2336" s="119" t="s">
        <v>856</v>
      </c>
      <c r="G2336" s="118">
        <f>SUM(G2330:G2335)</f>
        <v>1734</v>
      </c>
    </row>
    <row r="2337" spans="1:8" ht="14.25" thickTop="1" thickBot="1">
      <c r="A2337" s="95"/>
      <c r="B2337" s="830"/>
      <c r="C2337" s="830"/>
      <c r="D2337" s="830"/>
      <c r="E2337" s="830"/>
      <c r="F2337" s="830"/>
      <c r="G2337" s="830"/>
    </row>
    <row r="2338" spans="1:8" ht="13.5" thickTop="1">
      <c r="A2338" s="95"/>
      <c r="B2338" s="811" t="s">
        <v>311</v>
      </c>
      <c r="C2338" s="812"/>
      <c r="D2338" s="812"/>
      <c r="E2338" s="812"/>
      <c r="F2338" s="812"/>
      <c r="G2338" s="825"/>
    </row>
    <row r="2339" spans="1:8">
      <c r="A2339" s="95"/>
      <c r="B2339" s="817" t="s">
        <v>838</v>
      </c>
      <c r="C2339" s="818"/>
      <c r="D2339" s="98" t="s">
        <v>842</v>
      </c>
      <c r="E2339" s="98" t="s">
        <v>853</v>
      </c>
      <c r="F2339" s="99" t="s">
        <v>1047</v>
      </c>
      <c r="G2339" s="107" t="s">
        <v>840</v>
      </c>
    </row>
    <row r="2340" spans="1:8">
      <c r="A2340" s="95"/>
      <c r="B2340" s="230"/>
      <c r="C2340" s="102"/>
      <c r="D2340" s="100"/>
      <c r="E2340" s="100" t="s">
        <v>312</v>
      </c>
      <c r="F2340" s="101" t="s">
        <v>313</v>
      </c>
      <c r="G2340" s="108" t="s">
        <v>314</v>
      </c>
    </row>
    <row r="2341" spans="1:8">
      <c r="A2341" s="125"/>
      <c r="B2341" s="875"/>
      <c r="C2341" s="876"/>
      <c r="D2341" s="87"/>
      <c r="E2341" s="10"/>
      <c r="F2341" s="80"/>
      <c r="G2341" s="110"/>
    </row>
    <row r="2342" spans="1:8">
      <c r="A2342" s="123"/>
      <c r="B2342" s="877"/>
      <c r="C2342" s="878"/>
      <c r="D2342" s="88"/>
      <c r="E2342" s="53"/>
      <c r="F2342" s="82"/>
      <c r="G2342" s="111"/>
    </row>
    <row r="2343" spans="1:8">
      <c r="A2343" s="95"/>
      <c r="B2343" s="835"/>
      <c r="C2343" s="836"/>
      <c r="D2343" s="37"/>
      <c r="E2343" s="55"/>
      <c r="F2343" s="82"/>
      <c r="G2343" s="111"/>
    </row>
    <row r="2344" spans="1:8">
      <c r="A2344" s="95"/>
      <c r="B2344" s="835"/>
      <c r="C2344" s="836"/>
      <c r="D2344" s="37"/>
      <c r="E2344" s="55"/>
      <c r="F2344" s="82"/>
      <c r="G2344" s="111"/>
    </row>
    <row r="2345" spans="1:8">
      <c r="A2345" s="95"/>
      <c r="B2345" s="837"/>
      <c r="C2345" s="838"/>
      <c r="D2345" s="37"/>
      <c r="E2345" s="55"/>
      <c r="F2345" s="82"/>
      <c r="G2345" s="111"/>
    </row>
    <row r="2346" spans="1:8">
      <c r="A2346" s="95"/>
      <c r="B2346" s="837"/>
      <c r="C2346" s="838"/>
      <c r="D2346" s="53" t="s">
        <v>841</v>
      </c>
      <c r="E2346" s="53"/>
      <c r="F2346" s="82"/>
      <c r="G2346" s="111"/>
    </row>
    <row r="2347" spans="1:8">
      <c r="A2347" s="95"/>
      <c r="B2347" s="837" t="s">
        <v>841</v>
      </c>
      <c r="C2347" s="838"/>
      <c r="D2347" s="53" t="s">
        <v>841</v>
      </c>
      <c r="E2347" s="53"/>
      <c r="F2347" s="82"/>
      <c r="G2347" s="111"/>
      <c r="H2347" s="505" t="s">
        <v>1670</v>
      </c>
    </row>
    <row r="2348" spans="1:8">
      <c r="A2348" s="95"/>
      <c r="B2348" s="837" t="s">
        <v>841</v>
      </c>
      <c r="C2348" s="838"/>
      <c r="D2348" s="53" t="s">
        <v>841</v>
      </c>
      <c r="E2348" s="53"/>
      <c r="F2348" s="82"/>
      <c r="G2348" s="111"/>
    </row>
    <row r="2349" spans="1:8" ht="13.5" thickBot="1">
      <c r="A2349" s="95"/>
      <c r="B2349" s="839" t="s">
        <v>841</v>
      </c>
      <c r="C2349" s="840"/>
      <c r="D2349" s="84" t="s">
        <v>841</v>
      </c>
      <c r="E2349" s="84"/>
      <c r="F2349" s="85"/>
      <c r="G2349" s="112"/>
    </row>
    <row r="2350" spans="1:8" ht="13.5" thickTop="1">
      <c r="A2350" s="95"/>
      <c r="B2350" s="808"/>
      <c r="C2350" s="809"/>
      <c r="D2350" s="801" t="s">
        <v>856</v>
      </c>
      <c r="E2350" s="802"/>
      <c r="F2350" s="9"/>
      <c r="G2350" s="113">
        <f>SUM(G2341:G2349)</f>
        <v>0</v>
      </c>
    </row>
    <row r="2351" spans="1:8">
      <c r="A2351" s="95"/>
      <c r="B2351" s="819"/>
      <c r="C2351" s="820"/>
      <c r="D2351" s="801" t="s">
        <v>857</v>
      </c>
      <c r="E2351" s="802"/>
      <c r="F2351" s="79">
        <f>'MANO DE OBRA'!$D$60</f>
        <v>0.05</v>
      </c>
      <c r="G2351" s="113">
        <f>ROUND(G2350*F2351,0)</f>
        <v>0</v>
      </c>
    </row>
    <row r="2352" spans="1:8" ht="13.5" thickBot="1">
      <c r="A2352" s="95"/>
      <c r="B2352" s="819"/>
      <c r="C2352" s="820"/>
      <c r="D2352" s="803" t="s">
        <v>320</v>
      </c>
      <c r="E2352" s="804"/>
      <c r="F2352" s="114"/>
      <c r="G2352" s="118">
        <f>+G2350+G2351</f>
        <v>0</v>
      </c>
    </row>
    <row r="2353" spans="1:7" ht="14.25" thickTop="1" thickBot="1">
      <c r="A2353" s="95"/>
      <c r="B2353" s="830"/>
      <c r="C2353" s="830"/>
      <c r="D2353" s="830"/>
      <c r="E2353" s="830"/>
      <c r="F2353" s="830"/>
      <c r="G2353" s="830"/>
    </row>
    <row r="2354" spans="1:7" ht="13.5" thickTop="1">
      <c r="A2354" s="95"/>
      <c r="B2354" s="811" t="s">
        <v>858</v>
      </c>
      <c r="C2354" s="812"/>
      <c r="D2354" s="812"/>
      <c r="E2354" s="812"/>
      <c r="F2354" s="812"/>
      <c r="G2354" s="825"/>
    </row>
    <row r="2355" spans="1:7">
      <c r="A2355" s="95"/>
      <c r="B2355" s="817"/>
      <c r="C2355" s="818"/>
      <c r="D2355" s="98" t="s">
        <v>301</v>
      </c>
      <c r="E2355" s="98" t="s">
        <v>859</v>
      </c>
      <c r="F2355" s="99" t="s">
        <v>839</v>
      </c>
      <c r="G2355" s="107" t="s">
        <v>840</v>
      </c>
    </row>
    <row r="2356" spans="1:7">
      <c r="A2356" s="95"/>
      <c r="B2356" s="821" t="s">
        <v>838</v>
      </c>
      <c r="C2356" s="822"/>
      <c r="D2356" s="100" t="s">
        <v>316</v>
      </c>
      <c r="E2356" s="100" t="s">
        <v>315</v>
      </c>
      <c r="F2356" s="101" t="s">
        <v>306</v>
      </c>
      <c r="G2356" s="108" t="s">
        <v>319</v>
      </c>
    </row>
    <row r="2357" spans="1:7">
      <c r="A2357" s="95"/>
      <c r="B2357" s="230"/>
      <c r="C2357" s="102"/>
      <c r="D2357" s="103"/>
      <c r="E2357" s="103" t="s">
        <v>317</v>
      </c>
      <c r="F2357" s="104" t="s">
        <v>318</v>
      </c>
      <c r="G2357" s="109"/>
    </row>
    <row r="2358" spans="1:7">
      <c r="A2358" s="95"/>
      <c r="B2358" s="823" t="str">
        <f>'MANO DE OBRA'!$B$10</f>
        <v>AYUDANTE CUAD. TIPO AA</v>
      </c>
      <c r="C2358" s="824"/>
      <c r="D2358" s="87">
        <v>1</v>
      </c>
      <c r="E2358" s="80">
        <f>'MANO DE OBRA'!$E$10</f>
        <v>34680</v>
      </c>
      <c r="F2358" s="81">
        <v>1</v>
      </c>
      <c r="G2358" s="110">
        <f>ROUND(D2358*E2358/F2358,0)</f>
        <v>34680</v>
      </c>
    </row>
    <row r="2359" spans="1:7">
      <c r="A2359" s="95"/>
      <c r="B2359" s="835"/>
      <c r="C2359" s="836"/>
      <c r="D2359" s="37"/>
      <c r="E2359" s="82"/>
      <c r="F2359" s="83"/>
      <c r="G2359" s="111"/>
    </row>
    <row r="2360" spans="1:7">
      <c r="A2360" s="95"/>
      <c r="B2360" s="835"/>
      <c r="C2360" s="836"/>
      <c r="D2360" s="89"/>
      <c r="E2360" s="82"/>
      <c r="F2360" s="83"/>
      <c r="G2360" s="111"/>
    </row>
    <row r="2361" spans="1:7">
      <c r="A2361" s="95"/>
      <c r="B2361" s="835" t="s">
        <v>841</v>
      </c>
      <c r="C2361" s="836"/>
      <c r="D2361" s="37"/>
      <c r="E2361" s="82"/>
      <c r="F2361" s="83"/>
      <c r="G2361" s="111"/>
    </row>
    <row r="2362" spans="1:7" ht="13.5" thickBot="1">
      <c r="A2362" s="95"/>
      <c r="B2362" s="828" t="s">
        <v>841</v>
      </c>
      <c r="C2362" s="829"/>
      <c r="D2362" s="77"/>
      <c r="E2362" s="82"/>
      <c r="F2362" s="86"/>
      <c r="G2362" s="112"/>
    </row>
    <row r="2363" spans="1:7" ht="14.25" thickTop="1" thickBot="1">
      <c r="A2363" s="95"/>
      <c r="B2363" s="808"/>
      <c r="C2363" s="808"/>
      <c r="D2363" s="808"/>
      <c r="E2363" s="809"/>
      <c r="F2363" s="120" t="s">
        <v>856</v>
      </c>
      <c r="G2363" s="118">
        <f>SUM(G2358:G2362)</f>
        <v>34680</v>
      </c>
    </row>
    <row r="2364" spans="1:7" ht="14.25" thickTop="1" thickBot="1">
      <c r="A2364" s="95"/>
      <c r="B2364" s="810"/>
      <c r="C2364" s="810"/>
      <c r="D2364" s="810"/>
      <c r="E2364" s="810"/>
      <c r="F2364" s="810"/>
      <c r="G2364" s="810"/>
    </row>
    <row r="2365" spans="1:7" ht="13.5" thickTop="1">
      <c r="A2365" s="95"/>
      <c r="B2365" s="811" t="s">
        <v>321</v>
      </c>
      <c r="C2365" s="812"/>
      <c r="D2365" s="812"/>
      <c r="E2365" s="812"/>
      <c r="F2365" s="812"/>
      <c r="G2365" s="825"/>
    </row>
    <row r="2366" spans="1:7">
      <c r="A2366" s="95"/>
      <c r="B2366" s="817" t="s">
        <v>838</v>
      </c>
      <c r="C2366" s="818"/>
      <c r="D2366" s="98" t="s">
        <v>301</v>
      </c>
      <c r="E2366" s="98" t="s">
        <v>297</v>
      </c>
      <c r="F2366" s="99" t="s">
        <v>839</v>
      </c>
      <c r="G2366" s="107" t="s">
        <v>840</v>
      </c>
    </row>
    <row r="2367" spans="1:7">
      <c r="A2367" s="95"/>
      <c r="B2367" s="230"/>
      <c r="C2367" s="102"/>
      <c r="D2367" s="103" t="s">
        <v>322</v>
      </c>
      <c r="E2367" s="103" t="s">
        <v>323</v>
      </c>
      <c r="F2367" s="104" t="s">
        <v>324</v>
      </c>
      <c r="G2367" s="109" t="s">
        <v>325</v>
      </c>
    </row>
    <row r="2368" spans="1:7">
      <c r="A2368" s="95"/>
      <c r="B2368" s="826"/>
      <c r="C2368" s="827"/>
      <c r="D2368" s="96"/>
      <c r="E2368" s="96"/>
      <c r="F2368" s="96"/>
      <c r="G2368" s="116"/>
    </row>
    <row r="2369" spans="1:8" ht="13.5" thickBot="1">
      <c r="A2369" s="95"/>
      <c r="B2369" s="828" t="s">
        <v>841</v>
      </c>
      <c r="C2369" s="829"/>
      <c r="D2369" s="77"/>
      <c r="E2369" s="82"/>
      <c r="F2369" s="86"/>
      <c r="G2369" s="112"/>
    </row>
    <row r="2370" spans="1:8" ht="14.25" thickTop="1" thickBot="1">
      <c r="A2370" s="95"/>
      <c r="B2370" s="808"/>
      <c r="C2370" s="808"/>
      <c r="D2370" s="808"/>
      <c r="E2370" s="809"/>
      <c r="F2370" s="120" t="s">
        <v>856</v>
      </c>
      <c r="G2370" s="118">
        <f>SUM(G2365:G2369)</f>
        <v>0</v>
      </c>
    </row>
    <row r="2371" spans="1:8" ht="14.25" thickTop="1" thickBot="1">
      <c r="A2371" s="95"/>
      <c r="B2371" s="810"/>
      <c r="C2371" s="810"/>
      <c r="D2371" s="810"/>
      <c r="E2371" s="810"/>
      <c r="F2371" s="810"/>
      <c r="G2371" s="834"/>
    </row>
    <row r="2372" spans="1:8" ht="13.5" thickTop="1">
      <c r="A2372" s="95"/>
      <c r="B2372" s="811" t="s">
        <v>326</v>
      </c>
      <c r="C2372" s="812"/>
      <c r="D2372" s="812"/>
      <c r="E2372" s="812"/>
      <c r="F2372" s="813"/>
      <c r="G2372" s="121">
        <f>+G2336+G2352+G2363</f>
        <v>36414</v>
      </c>
    </row>
    <row r="2373" spans="1:8">
      <c r="A2373" s="95"/>
      <c r="B2373" s="814" t="s">
        <v>861</v>
      </c>
      <c r="C2373" s="815"/>
      <c r="D2373" s="815"/>
      <c r="E2373" s="816"/>
      <c r="F2373" s="128">
        <f>'MANO DE OBRA'!D2111</f>
        <v>0</v>
      </c>
      <c r="G2373" s="122">
        <f>ROUND(G2372*F2373,0)</f>
        <v>0</v>
      </c>
    </row>
    <row r="2374" spans="1:8" ht="13.5" thickBot="1">
      <c r="A2374" s="95"/>
      <c r="B2374" s="805" t="s">
        <v>1049</v>
      </c>
      <c r="C2374" s="806"/>
      <c r="D2374" s="806"/>
      <c r="E2374" s="806"/>
      <c r="F2374" s="807"/>
      <c r="G2374" s="118">
        <f>ROUND(G2372+G2373,-2)</f>
        <v>36400</v>
      </c>
      <c r="H2374" s="505" t="s">
        <v>1670</v>
      </c>
    </row>
    <row r="2375" spans="1:8" ht="15" thickTop="1">
      <c r="A2375" s="95"/>
      <c r="B2375" s="225" t="s">
        <v>303</v>
      </c>
      <c r="C2375" s="843"/>
      <c r="D2375" s="843"/>
      <c r="E2375" s="843"/>
      <c r="F2375" s="92" t="s">
        <v>781</v>
      </c>
      <c r="G2375" s="93" t="s">
        <v>1066</v>
      </c>
    </row>
    <row r="2376" spans="1:8">
      <c r="A2376" s="95"/>
      <c r="B2376" s="226" t="s">
        <v>834</v>
      </c>
      <c r="C2376" s="844" t="s">
        <v>342</v>
      </c>
      <c r="D2376" s="844"/>
      <c r="E2376" s="844"/>
      <c r="F2376" s="15" t="s">
        <v>833</v>
      </c>
      <c r="G2376" s="165" t="str">
        <f>'MANO DE OBRA'!$D$61</f>
        <v>Agosto de 2010</v>
      </c>
    </row>
    <row r="2377" spans="1:8" ht="13.5" thickBot="1">
      <c r="A2377" s="236"/>
      <c r="B2377" s="240" t="s">
        <v>835</v>
      </c>
      <c r="C2377" s="934" t="s">
        <v>1348</v>
      </c>
      <c r="D2377" s="934"/>
      <c r="E2377" s="934"/>
      <c r="F2377" s="934"/>
      <c r="G2377" s="935"/>
    </row>
    <row r="2378" spans="1:8" ht="14.25" thickTop="1" thickBot="1">
      <c r="A2378" s="95"/>
      <c r="B2378" s="847"/>
      <c r="C2378" s="847"/>
      <c r="D2378" s="847"/>
      <c r="E2378" s="847"/>
      <c r="F2378" s="847"/>
      <c r="G2378" s="847"/>
    </row>
    <row r="2379" spans="1:8" ht="13.5" thickTop="1">
      <c r="A2379" s="95"/>
      <c r="B2379" s="811" t="s">
        <v>304</v>
      </c>
      <c r="C2379" s="812"/>
      <c r="D2379" s="812"/>
      <c r="E2379" s="812"/>
      <c r="F2379" s="812"/>
      <c r="G2379" s="825"/>
    </row>
    <row r="2380" spans="1:8">
      <c r="A2380" s="95"/>
      <c r="B2380" s="229"/>
      <c r="C2380" s="97"/>
      <c r="D2380" s="98" t="s">
        <v>301</v>
      </c>
      <c r="E2380" s="98" t="s">
        <v>1072</v>
      </c>
      <c r="F2380" s="99" t="s">
        <v>839</v>
      </c>
      <c r="G2380" s="107" t="s">
        <v>840</v>
      </c>
    </row>
    <row r="2381" spans="1:8">
      <c r="A2381" s="95"/>
      <c r="B2381" s="821" t="s">
        <v>838</v>
      </c>
      <c r="C2381" s="822"/>
      <c r="D2381" s="100" t="s">
        <v>308</v>
      </c>
      <c r="E2381" s="100" t="s">
        <v>305</v>
      </c>
      <c r="F2381" s="101" t="s">
        <v>306</v>
      </c>
      <c r="G2381" s="108" t="s">
        <v>310</v>
      </c>
    </row>
    <row r="2382" spans="1:8">
      <c r="A2382" s="95"/>
      <c r="B2382" s="230"/>
      <c r="C2382" s="102"/>
      <c r="D2382" s="103"/>
      <c r="E2382" s="103" t="s">
        <v>309</v>
      </c>
      <c r="F2382" s="104" t="s">
        <v>307</v>
      </c>
      <c r="G2382" s="109"/>
    </row>
    <row r="2383" spans="1:8">
      <c r="A2383" s="127"/>
      <c r="B2383" s="823" t="str">
        <f>'MAQUINARIA Y EQUIPOS'!$C$28</f>
        <v>HERRAMIENTAS MENORES</v>
      </c>
      <c r="C2383" s="824"/>
      <c r="D2383" s="87">
        <v>1</v>
      </c>
      <c r="E2383" s="82">
        <f>ROUND(G2416*0.05,0)</f>
        <v>2442</v>
      </c>
      <c r="F2383" s="81">
        <v>1</v>
      </c>
      <c r="G2383" s="110">
        <f>ROUND(D2383*E2383/F2383,0)</f>
        <v>2442</v>
      </c>
    </row>
    <row r="2384" spans="1:8">
      <c r="A2384" s="127"/>
      <c r="B2384" s="835"/>
      <c r="C2384" s="836"/>
      <c r="D2384" s="37"/>
      <c r="E2384" s="82"/>
      <c r="F2384" s="83"/>
      <c r="G2384" s="111"/>
    </row>
    <row r="2385" spans="1:7">
      <c r="A2385" s="125"/>
      <c r="B2385" s="837"/>
      <c r="C2385" s="838"/>
      <c r="D2385" s="37"/>
      <c r="E2385" s="82"/>
      <c r="F2385" s="83"/>
      <c r="G2385" s="111"/>
    </row>
    <row r="2386" spans="1:7">
      <c r="A2386" s="95"/>
      <c r="B2386" s="835"/>
      <c r="C2386" s="836"/>
      <c r="D2386" s="89"/>
      <c r="E2386" s="82"/>
      <c r="F2386" s="83"/>
      <c r="G2386" s="111"/>
    </row>
    <row r="2387" spans="1:7">
      <c r="A2387" s="95"/>
      <c r="B2387" s="835" t="s">
        <v>841</v>
      </c>
      <c r="C2387" s="836"/>
      <c r="D2387" s="37"/>
      <c r="E2387" s="82"/>
      <c r="F2387" s="83"/>
      <c r="G2387" s="111"/>
    </row>
    <row r="2388" spans="1:7" ht="13.5" thickBot="1">
      <c r="A2388" s="95"/>
      <c r="B2388" s="839" t="s">
        <v>841</v>
      </c>
      <c r="C2388" s="840"/>
      <c r="D2388" s="77"/>
      <c r="E2388" s="106"/>
      <c r="F2388" s="86"/>
      <c r="G2388" s="112"/>
    </row>
    <row r="2389" spans="1:7" ht="14.25" thickTop="1" thickBot="1">
      <c r="A2389" s="95"/>
      <c r="B2389" s="808"/>
      <c r="C2389" s="808"/>
      <c r="D2389" s="808"/>
      <c r="E2389" s="809"/>
      <c r="F2389" s="119" t="s">
        <v>856</v>
      </c>
      <c r="G2389" s="118">
        <f>SUM(G2383:G2388)</f>
        <v>2442</v>
      </c>
    </row>
    <row r="2390" spans="1:7" ht="14.25" thickTop="1" thickBot="1">
      <c r="A2390" s="95"/>
      <c r="B2390" s="830"/>
      <c r="C2390" s="830"/>
      <c r="D2390" s="830"/>
      <c r="E2390" s="830"/>
      <c r="F2390" s="830"/>
      <c r="G2390" s="830"/>
    </row>
    <row r="2391" spans="1:7" ht="13.5" thickTop="1">
      <c r="A2391" s="95"/>
      <c r="B2391" s="811" t="s">
        <v>311</v>
      </c>
      <c r="C2391" s="812"/>
      <c r="D2391" s="812"/>
      <c r="E2391" s="812"/>
      <c r="F2391" s="812"/>
      <c r="G2391" s="825"/>
    </row>
    <row r="2392" spans="1:7">
      <c r="A2392" s="95"/>
      <c r="B2392" s="817" t="s">
        <v>838</v>
      </c>
      <c r="C2392" s="818"/>
      <c r="D2392" s="98" t="s">
        <v>842</v>
      </c>
      <c r="E2392" s="98" t="s">
        <v>853</v>
      </c>
      <c r="F2392" s="99" t="s">
        <v>1047</v>
      </c>
      <c r="G2392" s="107" t="s">
        <v>840</v>
      </c>
    </row>
    <row r="2393" spans="1:7">
      <c r="A2393" s="95"/>
      <c r="B2393" s="230"/>
      <c r="C2393" s="102"/>
      <c r="D2393" s="100"/>
      <c r="E2393" s="100" t="s">
        <v>312</v>
      </c>
      <c r="F2393" s="101" t="s">
        <v>313</v>
      </c>
      <c r="G2393" s="108" t="s">
        <v>314</v>
      </c>
    </row>
    <row r="2394" spans="1:7">
      <c r="A2394" s="125"/>
      <c r="B2394" s="875"/>
      <c r="C2394" s="876"/>
      <c r="D2394" s="87"/>
      <c r="E2394" s="10"/>
      <c r="F2394" s="80"/>
      <c r="G2394" s="110"/>
    </row>
    <row r="2395" spans="1:7">
      <c r="A2395" s="123"/>
      <c r="B2395" s="877"/>
      <c r="C2395" s="878"/>
      <c r="D2395" s="88"/>
      <c r="E2395" s="53"/>
      <c r="F2395" s="82"/>
      <c r="G2395" s="111"/>
    </row>
    <row r="2396" spans="1:7">
      <c r="A2396" s="95"/>
      <c r="B2396" s="835"/>
      <c r="C2396" s="836"/>
      <c r="D2396" s="37"/>
      <c r="E2396" s="55"/>
      <c r="F2396" s="82"/>
      <c r="G2396" s="111"/>
    </row>
    <row r="2397" spans="1:7">
      <c r="A2397" s="95"/>
      <c r="B2397" s="835"/>
      <c r="C2397" s="836"/>
      <c r="D2397" s="37"/>
      <c r="E2397" s="55"/>
      <c r="F2397" s="82"/>
      <c r="G2397" s="111"/>
    </row>
    <row r="2398" spans="1:7">
      <c r="A2398" s="95"/>
      <c r="B2398" s="837"/>
      <c r="C2398" s="838"/>
      <c r="D2398" s="37"/>
      <c r="E2398" s="55"/>
      <c r="F2398" s="82"/>
      <c r="G2398" s="111"/>
    </row>
    <row r="2399" spans="1:7">
      <c r="A2399" s="95"/>
      <c r="B2399" s="837"/>
      <c r="C2399" s="838"/>
      <c r="D2399" s="53" t="s">
        <v>841</v>
      </c>
      <c r="E2399" s="53"/>
      <c r="F2399" s="82"/>
      <c r="G2399" s="111"/>
    </row>
    <row r="2400" spans="1:7">
      <c r="A2400" s="95"/>
      <c r="B2400" s="837" t="s">
        <v>841</v>
      </c>
      <c r="C2400" s="838"/>
      <c r="D2400" s="53" t="s">
        <v>841</v>
      </c>
      <c r="E2400" s="53"/>
      <c r="F2400" s="82"/>
      <c r="G2400" s="111"/>
    </row>
    <row r="2401" spans="1:8">
      <c r="A2401" s="95"/>
      <c r="B2401" s="837" t="s">
        <v>841</v>
      </c>
      <c r="C2401" s="838"/>
      <c r="D2401" s="53" t="s">
        <v>841</v>
      </c>
      <c r="E2401" s="53"/>
      <c r="F2401" s="82"/>
      <c r="G2401" s="111"/>
      <c r="H2401" s="505" t="s">
        <v>1670</v>
      </c>
    </row>
    <row r="2402" spans="1:8" ht="13.5" thickBot="1">
      <c r="A2402" s="95"/>
      <c r="B2402" s="839" t="s">
        <v>841</v>
      </c>
      <c r="C2402" s="840"/>
      <c r="D2402" s="84" t="s">
        <v>841</v>
      </c>
      <c r="E2402" s="84"/>
      <c r="F2402" s="85"/>
      <c r="G2402" s="112"/>
    </row>
    <row r="2403" spans="1:8" ht="13.5" thickTop="1">
      <c r="A2403" s="95"/>
      <c r="B2403" s="808"/>
      <c r="C2403" s="809"/>
      <c r="D2403" s="801" t="s">
        <v>856</v>
      </c>
      <c r="E2403" s="802"/>
      <c r="F2403" s="9"/>
      <c r="G2403" s="113">
        <f>SUM(G2394:G2402)</f>
        <v>0</v>
      </c>
    </row>
    <row r="2404" spans="1:8">
      <c r="A2404" s="95"/>
      <c r="B2404" s="819"/>
      <c r="C2404" s="820"/>
      <c r="D2404" s="801" t="s">
        <v>857</v>
      </c>
      <c r="E2404" s="802"/>
      <c r="F2404" s="79">
        <f>'MANO DE OBRA'!$D$60</f>
        <v>0.05</v>
      </c>
      <c r="G2404" s="113">
        <f>ROUND(G2403*F2404,0)</f>
        <v>0</v>
      </c>
    </row>
    <row r="2405" spans="1:8" ht="13.5" thickBot="1">
      <c r="A2405" s="95"/>
      <c r="B2405" s="819"/>
      <c r="C2405" s="820"/>
      <c r="D2405" s="803" t="s">
        <v>320</v>
      </c>
      <c r="E2405" s="804"/>
      <c r="F2405" s="114"/>
      <c r="G2405" s="118">
        <f>+G2403+G2404</f>
        <v>0</v>
      </c>
    </row>
    <row r="2406" spans="1:8" ht="14.25" thickTop="1" thickBot="1">
      <c r="A2406" s="95"/>
      <c r="B2406" s="830"/>
      <c r="C2406" s="830"/>
      <c r="D2406" s="830"/>
      <c r="E2406" s="830"/>
      <c r="F2406" s="830"/>
      <c r="G2406" s="830"/>
    </row>
    <row r="2407" spans="1:8" ht="13.5" thickTop="1">
      <c r="A2407" s="95"/>
      <c r="B2407" s="811" t="s">
        <v>858</v>
      </c>
      <c r="C2407" s="812"/>
      <c r="D2407" s="812"/>
      <c r="E2407" s="812"/>
      <c r="F2407" s="812"/>
      <c r="G2407" s="825"/>
    </row>
    <row r="2408" spans="1:8">
      <c r="A2408" s="95"/>
      <c r="B2408" s="817"/>
      <c r="C2408" s="818"/>
      <c r="D2408" s="98" t="s">
        <v>301</v>
      </c>
      <c r="E2408" s="98" t="s">
        <v>859</v>
      </c>
      <c r="F2408" s="99" t="s">
        <v>839</v>
      </c>
      <c r="G2408" s="107" t="s">
        <v>840</v>
      </c>
    </row>
    <row r="2409" spans="1:8">
      <c r="A2409" s="95"/>
      <c r="B2409" s="821" t="s">
        <v>838</v>
      </c>
      <c r="C2409" s="822"/>
      <c r="D2409" s="100" t="s">
        <v>316</v>
      </c>
      <c r="E2409" s="100" t="s">
        <v>315</v>
      </c>
      <c r="F2409" s="101" t="s">
        <v>306</v>
      </c>
      <c r="G2409" s="108" t="s">
        <v>319</v>
      </c>
    </row>
    <row r="2410" spans="1:8">
      <c r="A2410" s="95"/>
      <c r="B2410" s="230"/>
      <c r="C2410" s="102"/>
      <c r="D2410" s="103"/>
      <c r="E2410" s="103" t="s">
        <v>317</v>
      </c>
      <c r="F2410" s="104" t="s">
        <v>318</v>
      </c>
      <c r="G2410" s="109"/>
    </row>
    <row r="2411" spans="1:8">
      <c r="A2411" s="95"/>
      <c r="B2411" s="823" t="str">
        <f>'MANO DE OBRA'!$B$10</f>
        <v>AYUDANTE CUAD. TIPO AA</v>
      </c>
      <c r="C2411" s="824"/>
      <c r="D2411" s="87">
        <v>1</v>
      </c>
      <c r="E2411" s="80">
        <f>'MANO DE OBRA'!$E$10</f>
        <v>34680</v>
      </c>
      <c r="F2411" s="81">
        <v>0.71</v>
      </c>
      <c r="G2411" s="110">
        <f>ROUND(D2411*E2411/F2411,0)</f>
        <v>48845</v>
      </c>
    </row>
    <row r="2412" spans="1:8">
      <c r="A2412" s="95"/>
      <c r="B2412" s="835"/>
      <c r="C2412" s="836"/>
      <c r="D2412" s="37"/>
      <c r="E2412" s="82"/>
      <c r="F2412" s="83"/>
      <c r="G2412" s="111"/>
    </row>
    <row r="2413" spans="1:8">
      <c r="A2413" s="95"/>
      <c r="B2413" s="835"/>
      <c r="C2413" s="836"/>
      <c r="D2413" s="89"/>
      <c r="E2413" s="82"/>
      <c r="F2413" s="83"/>
      <c r="G2413" s="111"/>
    </row>
    <row r="2414" spans="1:8">
      <c r="A2414" s="95"/>
      <c r="B2414" s="835" t="s">
        <v>841</v>
      </c>
      <c r="C2414" s="836"/>
      <c r="D2414" s="37"/>
      <c r="E2414" s="82"/>
      <c r="F2414" s="83"/>
      <c r="G2414" s="111"/>
    </row>
    <row r="2415" spans="1:8" ht="13.5" thickBot="1">
      <c r="A2415" s="95"/>
      <c r="B2415" s="828" t="s">
        <v>841</v>
      </c>
      <c r="C2415" s="829"/>
      <c r="D2415" s="77"/>
      <c r="E2415" s="82"/>
      <c r="F2415" s="86"/>
      <c r="G2415" s="112"/>
    </row>
    <row r="2416" spans="1:8" ht="14.25" thickTop="1" thickBot="1">
      <c r="A2416" s="95"/>
      <c r="B2416" s="808"/>
      <c r="C2416" s="808"/>
      <c r="D2416" s="808"/>
      <c r="E2416" s="809"/>
      <c r="F2416" s="120" t="s">
        <v>856</v>
      </c>
      <c r="G2416" s="118">
        <f>SUM(G2411:G2415)</f>
        <v>48845</v>
      </c>
    </row>
    <row r="2417" spans="1:8" ht="14.25" thickTop="1" thickBot="1">
      <c r="A2417" s="95"/>
      <c r="B2417" s="810"/>
      <c r="C2417" s="810"/>
      <c r="D2417" s="810"/>
      <c r="E2417" s="810"/>
      <c r="F2417" s="810"/>
      <c r="G2417" s="810"/>
    </row>
    <row r="2418" spans="1:8" ht="13.5" thickTop="1">
      <c r="A2418" s="95"/>
      <c r="B2418" s="811" t="s">
        <v>321</v>
      </c>
      <c r="C2418" s="812"/>
      <c r="D2418" s="812"/>
      <c r="E2418" s="812"/>
      <c r="F2418" s="812"/>
      <c r="G2418" s="825"/>
    </row>
    <row r="2419" spans="1:8">
      <c r="A2419" s="95"/>
      <c r="B2419" s="817" t="s">
        <v>838</v>
      </c>
      <c r="C2419" s="818"/>
      <c r="D2419" s="98" t="s">
        <v>301</v>
      </c>
      <c r="E2419" s="98" t="s">
        <v>297</v>
      </c>
      <c r="F2419" s="99" t="s">
        <v>839</v>
      </c>
      <c r="G2419" s="107" t="s">
        <v>840</v>
      </c>
    </row>
    <row r="2420" spans="1:8">
      <c r="A2420" s="95"/>
      <c r="B2420" s="230"/>
      <c r="C2420" s="102"/>
      <c r="D2420" s="103" t="s">
        <v>322</v>
      </c>
      <c r="E2420" s="103" t="s">
        <v>323</v>
      </c>
      <c r="F2420" s="104" t="s">
        <v>324</v>
      </c>
      <c r="G2420" s="109" t="s">
        <v>325</v>
      </c>
    </row>
    <row r="2421" spans="1:8">
      <c r="A2421" s="95"/>
      <c r="B2421" s="826"/>
      <c r="C2421" s="827"/>
      <c r="D2421" s="96"/>
      <c r="E2421" s="96"/>
      <c r="F2421" s="96"/>
      <c r="G2421" s="116"/>
    </row>
    <row r="2422" spans="1:8" ht="13.5" thickBot="1">
      <c r="A2422" s="95"/>
      <c r="B2422" s="828" t="s">
        <v>841</v>
      </c>
      <c r="C2422" s="829"/>
      <c r="D2422" s="77"/>
      <c r="E2422" s="82"/>
      <c r="F2422" s="86"/>
      <c r="G2422" s="112"/>
    </row>
    <row r="2423" spans="1:8" ht="14.25" thickTop="1" thickBot="1">
      <c r="A2423" s="95"/>
      <c r="B2423" s="808"/>
      <c r="C2423" s="808"/>
      <c r="D2423" s="808"/>
      <c r="E2423" s="809"/>
      <c r="F2423" s="120" t="s">
        <v>856</v>
      </c>
      <c r="G2423" s="118">
        <f>SUM(G2418:G2422)</f>
        <v>0</v>
      </c>
    </row>
    <row r="2424" spans="1:8" ht="14.25" thickTop="1" thickBot="1">
      <c r="A2424" s="95"/>
      <c r="B2424" s="810"/>
      <c r="C2424" s="810"/>
      <c r="D2424" s="810"/>
      <c r="E2424" s="810"/>
      <c r="F2424" s="810"/>
      <c r="G2424" s="834"/>
    </row>
    <row r="2425" spans="1:8" ht="13.5" thickTop="1">
      <c r="A2425" s="95"/>
      <c r="B2425" s="811" t="s">
        <v>326</v>
      </c>
      <c r="C2425" s="812"/>
      <c r="D2425" s="812"/>
      <c r="E2425" s="812"/>
      <c r="F2425" s="813"/>
      <c r="G2425" s="121">
        <f>+G2389+G2405+G2416</f>
        <v>51287</v>
      </c>
    </row>
    <row r="2426" spans="1:8">
      <c r="A2426" s="95"/>
      <c r="B2426" s="814" t="s">
        <v>861</v>
      </c>
      <c r="C2426" s="815"/>
      <c r="D2426" s="815"/>
      <c r="E2426" s="816"/>
      <c r="F2426" s="128">
        <f>'MANO DE OBRA'!D2164</f>
        <v>0</v>
      </c>
      <c r="G2426" s="122">
        <f>ROUND(G2425*F2426,0)</f>
        <v>0</v>
      </c>
    </row>
    <row r="2427" spans="1:8" ht="13.5" thickBot="1">
      <c r="A2427" s="95"/>
      <c r="B2427" s="805" t="s">
        <v>1049</v>
      </c>
      <c r="C2427" s="806"/>
      <c r="D2427" s="806"/>
      <c r="E2427" s="806"/>
      <c r="F2427" s="807"/>
      <c r="G2427" s="118">
        <f>ROUND(G2425+G2426,-2)</f>
        <v>51300</v>
      </c>
      <c r="H2427" s="505" t="s">
        <v>1670</v>
      </c>
    </row>
    <row r="2428" spans="1:8" ht="15" thickTop="1">
      <c r="A2428" s="95"/>
      <c r="B2428" s="225" t="s">
        <v>303</v>
      </c>
      <c r="C2428" s="843"/>
      <c r="D2428" s="843"/>
      <c r="E2428" s="843"/>
      <c r="F2428" s="92" t="s">
        <v>781</v>
      </c>
      <c r="G2428" s="93" t="s">
        <v>1066</v>
      </c>
    </row>
    <row r="2429" spans="1:8">
      <c r="A2429" s="95"/>
      <c r="B2429" s="226" t="s">
        <v>834</v>
      </c>
      <c r="C2429" s="844" t="s">
        <v>342</v>
      </c>
      <c r="D2429" s="844"/>
      <c r="E2429" s="844"/>
      <c r="F2429" s="15" t="s">
        <v>833</v>
      </c>
      <c r="G2429" s="165" t="str">
        <f>'MANO DE OBRA'!D61</f>
        <v>Agosto de 2010</v>
      </c>
    </row>
    <row r="2430" spans="1:8" ht="13.5" thickBot="1">
      <c r="A2430" s="127"/>
      <c r="B2430" s="228" t="s">
        <v>835</v>
      </c>
      <c r="C2430" s="845" t="s">
        <v>350</v>
      </c>
      <c r="D2430" s="845"/>
      <c r="E2430" s="845"/>
      <c r="F2430" s="845"/>
      <c r="G2430" s="846"/>
    </row>
    <row r="2431" spans="1:8" ht="14.25" thickTop="1" thickBot="1">
      <c r="A2431" s="95"/>
      <c r="B2431" s="847"/>
      <c r="C2431" s="847"/>
      <c r="D2431" s="847"/>
      <c r="E2431" s="847"/>
      <c r="F2431" s="847"/>
      <c r="G2431" s="847"/>
    </row>
    <row r="2432" spans="1:8" ht="13.5" thickTop="1">
      <c r="A2432" s="95"/>
      <c r="B2432" s="811" t="s">
        <v>304</v>
      </c>
      <c r="C2432" s="812"/>
      <c r="D2432" s="812"/>
      <c r="E2432" s="812"/>
      <c r="F2432" s="812"/>
      <c r="G2432" s="825"/>
    </row>
    <row r="2433" spans="1:7">
      <c r="A2433" s="95"/>
      <c r="B2433" s="229"/>
      <c r="C2433" s="97"/>
      <c r="D2433" s="98" t="s">
        <v>301</v>
      </c>
      <c r="E2433" s="98" t="s">
        <v>1072</v>
      </c>
      <c r="F2433" s="99" t="s">
        <v>839</v>
      </c>
      <c r="G2433" s="107" t="s">
        <v>840</v>
      </c>
    </row>
    <row r="2434" spans="1:7">
      <c r="A2434" s="95"/>
      <c r="B2434" s="821" t="s">
        <v>838</v>
      </c>
      <c r="C2434" s="822"/>
      <c r="D2434" s="100" t="s">
        <v>308</v>
      </c>
      <c r="E2434" s="100" t="s">
        <v>305</v>
      </c>
      <c r="F2434" s="101" t="s">
        <v>306</v>
      </c>
      <c r="G2434" s="108" t="s">
        <v>310</v>
      </c>
    </row>
    <row r="2435" spans="1:7">
      <c r="A2435" s="95"/>
      <c r="B2435" s="230"/>
      <c r="C2435" s="102"/>
      <c r="D2435" s="103"/>
      <c r="E2435" s="103" t="s">
        <v>309</v>
      </c>
      <c r="F2435" s="104" t="s">
        <v>307</v>
      </c>
      <c r="G2435" s="109"/>
    </row>
    <row r="2436" spans="1:7">
      <c r="A2436" s="127"/>
      <c r="B2436" s="823" t="str">
        <f>'MAQUINARIA Y EQUIPOS'!C28</f>
        <v>HERRAMIENTAS MENORES</v>
      </c>
      <c r="C2436" s="824"/>
      <c r="D2436" s="87">
        <v>1</v>
      </c>
      <c r="E2436" s="82">
        <f>ROUND(G2469*0.05,0)</f>
        <v>434</v>
      </c>
      <c r="F2436" s="81">
        <v>1</v>
      </c>
      <c r="G2436" s="110">
        <f>ROUND(D2436*E2436/F2436,0)</f>
        <v>434</v>
      </c>
    </row>
    <row r="2437" spans="1:7">
      <c r="A2437" s="95"/>
      <c r="B2437" s="835" t="str">
        <f>'MAQUINARIA Y EQUIPOS'!C55</f>
        <v>VIBROCOMPACTADOR</v>
      </c>
      <c r="C2437" s="836"/>
      <c r="D2437" s="37">
        <v>1</v>
      </c>
      <c r="E2437" s="82">
        <f>'MAQUINARIA Y EQUIPOS'!D55</f>
        <v>63000</v>
      </c>
      <c r="F2437" s="83">
        <v>8</v>
      </c>
      <c r="G2437" s="111">
        <f>ROUND(D2437*E2437/F2437,0)</f>
        <v>7875</v>
      </c>
    </row>
    <row r="2438" spans="1:7">
      <c r="A2438" s="95"/>
      <c r="B2438" s="835"/>
      <c r="C2438" s="836"/>
      <c r="D2438" s="89"/>
      <c r="E2438" s="82"/>
      <c r="F2438" s="83"/>
      <c r="G2438" s="111"/>
    </row>
    <row r="2439" spans="1:7">
      <c r="A2439" s="95"/>
      <c r="B2439" s="835"/>
      <c r="C2439" s="836"/>
      <c r="D2439" s="89"/>
      <c r="E2439" s="82"/>
      <c r="F2439" s="83"/>
      <c r="G2439" s="111"/>
    </row>
    <row r="2440" spans="1:7">
      <c r="A2440" s="95"/>
      <c r="B2440" s="835" t="s">
        <v>841</v>
      </c>
      <c r="C2440" s="836"/>
      <c r="D2440" s="37"/>
      <c r="E2440" s="82"/>
      <c r="F2440" s="83"/>
      <c r="G2440" s="111"/>
    </row>
    <row r="2441" spans="1:7" ht="13.5" thickBot="1">
      <c r="A2441" s="95"/>
      <c r="B2441" s="839" t="s">
        <v>841</v>
      </c>
      <c r="C2441" s="840"/>
      <c r="D2441" s="77"/>
      <c r="E2441" s="106"/>
      <c r="F2441" s="86"/>
      <c r="G2441" s="112"/>
    </row>
    <row r="2442" spans="1:7" ht="14.25" thickTop="1" thickBot="1">
      <c r="A2442" s="95"/>
      <c r="B2442" s="808"/>
      <c r="C2442" s="808"/>
      <c r="D2442" s="808"/>
      <c r="E2442" s="809"/>
      <c r="F2442" s="119" t="s">
        <v>856</v>
      </c>
      <c r="G2442" s="118">
        <f>SUM(G2436:G2441)</f>
        <v>8309</v>
      </c>
    </row>
    <row r="2443" spans="1:7" ht="14.25" thickTop="1" thickBot="1">
      <c r="A2443" s="95"/>
      <c r="B2443" s="830"/>
      <c r="C2443" s="830"/>
      <c r="D2443" s="830"/>
      <c r="E2443" s="830"/>
      <c r="F2443" s="830"/>
      <c r="G2443" s="830"/>
    </row>
    <row r="2444" spans="1:7" ht="13.5" thickTop="1">
      <c r="A2444" s="95"/>
      <c r="B2444" s="811" t="s">
        <v>311</v>
      </c>
      <c r="C2444" s="812"/>
      <c r="D2444" s="812"/>
      <c r="E2444" s="812"/>
      <c r="F2444" s="812"/>
      <c r="G2444" s="825"/>
    </row>
    <row r="2445" spans="1:7">
      <c r="A2445" s="95"/>
      <c r="B2445" s="817" t="s">
        <v>838</v>
      </c>
      <c r="C2445" s="818"/>
      <c r="D2445" s="98" t="s">
        <v>842</v>
      </c>
      <c r="E2445" s="98" t="s">
        <v>853</v>
      </c>
      <c r="F2445" s="99" t="s">
        <v>1047</v>
      </c>
      <c r="G2445" s="107" t="s">
        <v>840</v>
      </c>
    </row>
    <row r="2446" spans="1:7">
      <c r="A2446" s="95"/>
      <c r="B2446" s="230"/>
      <c r="C2446" s="102"/>
      <c r="D2446" s="100"/>
      <c r="E2446" s="100" t="s">
        <v>312</v>
      </c>
      <c r="F2446" s="101" t="s">
        <v>313</v>
      </c>
      <c r="G2446" s="108" t="s">
        <v>314</v>
      </c>
    </row>
    <row r="2447" spans="1:7">
      <c r="A2447" s="125"/>
      <c r="B2447" s="875"/>
      <c r="C2447" s="876"/>
      <c r="D2447" s="87"/>
      <c r="E2447" s="10"/>
      <c r="F2447" s="80"/>
      <c r="G2447" s="110"/>
    </row>
    <row r="2448" spans="1:7">
      <c r="A2448" s="123"/>
      <c r="B2448" s="877"/>
      <c r="C2448" s="878"/>
      <c r="D2448" s="88"/>
      <c r="E2448" s="53"/>
      <c r="F2448" s="82"/>
      <c r="G2448" s="111"/>
    </row>
    <row r="2449" spans="1:8">
      <c r="A2449" s="95"/>
      <c r="B2449" s="835"/>
      <c r="C2449" s="836"/>
      <c r="D2449" s="37"/>
      <c r="E2449" s="55"/>
      <c r="F2449" s="82"/>
      <c r="G2449" s="111"/>
    </row>
    <row r="2450" spans="1:8">
      <c r="A2450" s="95"/>
      <c r="B2450" s="835"/>
      <c r="C2450" s="836"/>
      <c r="D2450" s="37"/>
      <c r="E2450" s="55"/>
      <c r="F2450" s="82"/>
      <c r="G2450" s="111"/>
    </row>
    <row r="2451" spans="1:8">
      <c r="A2451" s="95"/>
      <c r="B2451" s="837"/>
      <c r="C2451" s="838"/>
      <c r="D2451" s="37"/>
      <c r="E2451" s="55"/>
      <c r="F2451" s="82"/>
      <c r="G2451" s="111"/>
    </row>
    <row r="2452" spans="1:8">
      <c r="A2452" s="95"/>
      <c r="B2452" s="837"/>
      <c r="C2452" s="838"/>
      <c r="D2452" s="53" t="s">
        <v>841</v>
      </c>
      <c r="E2452" s="53"/>
      <c r="F2452" s="82"/>
      <c r="G2452" s="111"/>
    </row>
    <row r="2453" spans="1:8">
      <c r="A2453" s="95"/>
      <c r="B2453" s="837" t="s">
        <v>841</v>
      </c>
      <c r="C2453" s="838"/>
      <c r="D2453" s="53" t="s">
        <v>841</v>
      </c>
      <c r="E2453" s="53"/>
      <c r="F2453" s="82"/>
      <c r="G2453" s="111"/>
    </row>
    <row r="2454" spans="1:8">
      <c r="A2454" s="95"/>
      <c r="B2454" s="837" t="s">
        <v>841</v>
      </c>
      <c r="C2454" s="838"/>
      <c r="D2454" s="53" t="s">
        <v>841</v>
      </c>
      <c r="E2454" s="53"/>
      <c r="F2454" s="82"/>
      <c r="G2454" s="111"/>
      <c r="H2454" s="505" t="s">
        <v>1670</v>
      </c>
    </row>
    <row r="2455" spans="1:8" ht="13.5" thickBot="1">
      <c r="A2455" s="95"/>
      <c r="B2455" s="839" t="s">
        <v>841</v>
      </c>
      <c r="C2455" s="840"/>
      <c r="D2455" s="84" t="s">
        <v>841</v>
      </c>
      <c r="E2455" s="84"/>
      <c r="F2455" s="85"/>
      <c r="G2455" s="112"/>
    </row>
    <row r="2456" spans="1:8" ht="13.5" thickTop="1">
      <c r="A2456" s="95"/>
      <c r="B2456" s="808"/>
      <c r="C2456" s="809"/>
      <c r="D2456" s="801" t="s">
        <v>856</v>
      </c>
      <c r="E2456" s="802"/>
      <c r="F2456" s="9"/>
      <c r="G2456" s="113">
        <f>SUM(G2447:G2455)</f>
        <v>0</v>
      </c>
    </row>
    <row r="2457" spans="1:8">
      <c r="A2457" s="95"/>
      <c r="B2457" s="819"/>
      <c r="C2457" s="820"/>
      <c r="D2457" s="801" t="s">
        <v>857</v>
      </c>
      <c r="E2457" s="802"/>
      <c r="F2457" s="79">
        <f>'MANO DE OBRA'!D60</f>
        <v>0.05</v>
      </c>
      <c r="G2457" s="113">
        <f>ROUND(G2456*F2457,0)</f>
        <v>0</v>
      </c>
    </row>
    <row r="2458" spans="1:8" ht="13.5" thickBot="1">
      <c r="A2458" s="95"/>
      <c r="B2458" s="819"/>
      <c r="C2458" s="820"/>
      <c r="D2458" s="803" t="s">
        <v>320</v>
      </c>
      <c r="E2458" s="804"/>
      <c r="F2458" s="114"/>
      <c r="G2458" s="118">
        <f>+G2456+G2457</f>
        <v>0</v>
      </c>
    </row>
    <row r="2459" spans="1:8" ht="14.25" thickTop="1" thickBot="1">
      <c r="A2459" s="95"/>
      <c r="B2459" s="830"/>
      <c r="C2459" s="830"/>
      <c r="D2459" s="830"/>
      <c r="E2459" s="830"/>
      <c r="F2459" s="830"/>
      <c r="G2459" s="830"/>
    </row>
    <row r="2460" spans="1:8" ht="13.5" thickTop="1">
      <c r="A2460" s="95"/>
      <c r="B2460" s="811" t="s">
        <v>858</v>
      </c>
      <c r="C2460" s="812"/>
      <c r="D2460" s="812"/>
      <c r="E2460" s="812"/>
      <c r="F2460" s="812"/>
      <c r="G2460" s="825"/>
    </row>
    <row r="2461" spans="1:8">
      <c r="A2461" s="95"/>
      <c r="B2461" s="817"/>
      <c r="C2461" s="818"/>
      <c r="D2461" s="98" t="s">
        <v>301</v>
      </c>
      <c r="E2461" s="98" t="s">
        <v>859</v>
      </c>
      <c r="F2461" s="99" t="s">
        <v>839</v>
      </c>
      <c r="G2461" s="107" t="s">
        <v>840</v>
      </c>
    </row>
    <row r="2462" spans="1:8">
      <c r="A2462" s="95"/>
      <c r="B2462" s="821" t="s">
        <v>838</v>
      </c>
      <c r="C2462" s="822"/>
      <c r="D2462" s="100" t="s">
        <v>316</v>
      </c>
      <c r="E2462" s="100" t="s">
        <v>315</v>
      </c>
      <c r="F2462" s="101" t="s">
        <v>306</v>
      </c>
      <c r="G2462" s="108" t="s">
        <v>319</v>
      </c>
    </row>
    <row r="2463" spans="1:8">
      <c r="A2463" s="95"/>
      <c r="B2463" s="230"/>
      <c r="C2463" s="102"/>
      <c r="D2463" s="103"/>
      <c r="E2463" s="103" t="s">
        <v>317</v>
      </c>
      <c r="F2463" s="104" t="s">
        <v>318</v>
      </c>
      <c r="G2463" s="109"/>
    </row>
    <row r="2464" spans="1:8">
      <c r="A2464" s="95"/>
      <c r="B2464" s="823" t="str">
        <f>'MANO DE OBRA'!B10</f>
        <v>AYUDANTE CUAD. TIPO AA</v>
      </c>
      <c r="C2464" s="824"/>
      <c r="D2464" s="87">
        <v>2</v>
      </c>
      <c r="E2464" s="80">
        <f>'MANO DE OBRA'!E10</f>
        <v>34680</v>
      </c>
      <c r="F2464" s="81">
        <v>8</v>
      </c>
      <c r="G2464" s="110">
        <f>ROUND(D2464*E2464/F2464,0)</f>
        <v>8670</v>
      </c>
    </row>
    <row r="2465" spans="1:8">
      <c r="A2465" s="95"/>
      <c r="B2465" s="835"/>
      <c r="C2465" s="836"/>
      <c r="D2465" s="37"/>
      <c r="E2465" s="82"/>
      <c r="F2465" s="83"/>
      <c r="G2465" s="111"/>
    </row>
    <row r="2466" spans="1:8">
      <c r="A2466" s="95"/>
      <c r="B2466" s="835"/>
      <c r="C2466" s="836"/>
      <c r="D2466" s="89"/>
      <c r="E2466" s="82"/>
      <c r="F2466" s="83"/>
      <c r="G2466" s="111"/>
    </row>
    <row r="2467" spans="1:8">
      <c r="A2467" s="95"/>
      <c r="B2467" s="835" t="s">
        <v>841</v>
      </c>
      <c r="C2467" s="836"/>
      <c r="D2467" s="37"/>
      <c r="E2467" s="82"/>
      <c r="F2467" s="83"/>
      <c r="G2467" s="111"/>
    </row>
    <row r="2468" spans="1:8" ht="13.5" thickBot="1">
      <c r="A2468" s="95"/>
      <c r="B2468" s="828" t="s">
        <v>841</v>
      </c>
      <c r="C2468" s="829"/>
      <c r="D2468" s="77"/>
      <c r="E2468" s="82"/>
      <c r="F2468" s="86"/>
      <c r="G2468" s="112"/>
    </row>
    <row r="2469" spans="1:8" ht="14.25" thickTop="1" thickBot="1">
      <c r="A2469" s="95"/>
      <c r="B2469" s="808"/>
      <c r="C2469" s="808"/>
      <c r="D2469" s="808"/>
      <c r="E2469" s="809"/>
      <c r="F2469" s="120" t="s">
        <v>856</v>
      </c>
      <c r="G2469" s="118">
        <f>SUM(G2464:G2468)</f>
        <v>8670</v>
      </c>
    </row>
    <row r="2470" spans="1:8" ht="14.25" thickTop="1" thickBot="1">
      <c r="A2470" s="95"/>
      <c r="B2470" s="810"/>
      <c r="C2470" s="810"/>
      <c r="D2470" s="810"/>
      <c r="E2470" s="810"/>
      <c r="F2470" s="810"/>
      <c r="G2470" s="810"/>
    </row>
    <row r="2471" spans="1:8" ht="13.5" thickTop="1">
      <c r="A2471" s="95"/>
      <c r="B2471" s="811" t="s">
        <v>321</v>
      </c>
      <c r="C2471" s="812"/>
      <c r="D2471" s="812"/>
      <c r="E2471" s="812"/>
      <c r="F2471" s="812"/>
      <c r="G2471" s="825"/>
    </row>
    <row r="2472" spans="1:8">
      <c r="A2472" s="95"/>
      <c r="B2472" s="817" t="s">
        <v>838</v>
      </c>
      <c r="C2472" s="818"/>
      <c r="D2472" s="98" t="s">
        <v>301</v>
      </c>
      <c r="E2472" s="98" t="s">
        <v>297</v>
      </c>
      <c r="F2472" s="99" t="s">
        <v>839</v>
      </c>
      <c r="G2472" s="107" t="s">
        <v>840</v>
      </c>
    </row>
    <row r="2473" spans="1:8">
      <c r="A2473" s="95"/>
      <c r="B2473" s="230"/>
      <c r="C2473" s="102"/>
      <c r="D2473" s="103" t="s">
        <v>322</v>
      </c>
      <c r="E2473" s="103" t="s">
        <v>323</v>
      </c>
      <c r="F2473" s="104" t="s">
        <v>324</v>
      </c>
      <c r="G2473" s="109" t="s">
        <v>325</v>
      </c>
    </row>
    <row r="2474" spans="1:8">
      <c r="A2474" s="95"/>
      <c r="B2474" s="826"/>
      <c r="C2474" s="827"/>
      <c r="D2474" s="96"/>
      <c r="E2474" s="96"/>
      <c r="F2474" s="96"/>
      <c r="G2474" s="116"/>
    </row>
    <row r="2475" spans="1:8" ht="13.5" thickBot="1">
      <c r="A2475" s="95"/>
      <c r="B2475" s="828" t="s">
        <v>841</v>
      </c>
      <c r="C2475" s="829"/>
      <c r="D2475" s="77"/>
      <c r="E2475" s="82"/>
      <c r="F2475" s="86"/>
      <c r="G2475" s="112"/>
    </row>
    <row r="2476" spans="1:8" ht="14.25" thickTop="1" thickBot="1">
      <c r="A2476" s="95"/>
      <c r="B2476" s="808"/>
      <c r="C2476" s="808"/>
      <c r="D2476" s="808"/>
      <c r="E2476" s="809"/>
      <c r="F2476" s="120" t="s">
        <v>856</v>
      </c>
      <c r="G2476" s="118">
        <f>SUM(G2471:G2475)</f>
        <v>0</v>
      </c>
    </row>
    <row r="2477" spans="1:8" ht="14.25" thickTop="1" thickBot="1">
      <c r="A2477" s="95"/>
      <c r="B2477" s="810"/>
      <c r="C2477" s="810"/>
      <c r="D2477" s="810"/>
      <c r="E2477" s="810"/>
      <c r="F2477" s="810"/>
      <c r="G2477" s="834"/>
    </row>
    <row r="2478" spans="1:8" ht="13.5" thickTop="1">
      <c r="A2478" s="95"/>
      <c r="B2478" s="811" t="s">
        <v>326</v>
      </c>
      <c r="C2478" s="812"/>
      <c r="D2478" s="812"/>
      <c r="E2478" s="812"/>
      <c r="F2478" s="813"/>
      <c r="G2478" s="121">
        <f>+G2442+G2458+G2469</f>
        <v>16979</v>
      </c>
    </row>
    <row r="2479" spans="1:8">
      <c r="A2479" s="95"/>
      <c r="B2479" s="814" t="s">
        <v>861</v>
      </c>
      <c r="C2479" s="815"/>
      <c r="D2479" s="815"/>
      <c r="E2479" s="816"/>
      <c r="F2479" s="128">
        <f>'MANO DE OBRA'!D59</f>
        <v>0</v>
      </c>
      <c r="G2479" s="122">
        <f>ROUND(G2478*F2479,0)</f>
        <v>0</v>
      </c>
    </row>
    <row r="2480" spans="1:8" ht="13.5" thickBot="1">
      <c r="A2480" s="95"/>
      <c r="B2480" s="805" t="s">
        <v>1049</v>
      </c>
      <c r="C2480" s="806"/>
      <c r="D2480" s="806"/>
      <c r="E2480" s="806"/>
      <c r="F2480" s="807"/>
      <c r="G2480" s="118">
        <f>ROUND(G2478+G2479,-2)</f>
        <v>17000</v>
      </c>
      <c r="H2480" s="505" t="s">
        <v>1670</v>
      </c>
    </row>
    <row r="2481" spans="1:7" ht="15" thickTop="1">
      <c r="A2481" s="95"/>
      <c r="B2481" s="225" t="s">
        <v>303</v>
      </c>
      <c r="C2481" s="843"/>
      <c r="D2481" s="843"/>
      <c r="E2481" s="843"/>
      <c r="F2481" s="92" t="s">
        <v>781</v>
      </c>
      <c r="G2481" s="93" t="s">
        <v>1066</v>
      </c>
    </row>
    <row r="2482" spans="1:7">
      <c r="A2482" s="95"/>
      <c r="B2482" s="226" t="s">
        <v>834</v>
      </c>
      <c r="C2482" s="844" t="s">
        <v>342</v>
      </c>
      <c r="D2482" s="844"/>
      <c r="E2482" s="844"/>
      <c r="F2482" s="15" t="s">
        <v>833</v>
      </c>
      <c r="G2482" s="165" t="str">
        <f>'MANO DE OBRA'!D61</f>
        <v>Agosto de 2010</v>
      </c>
    </row>
    <row r="2483" spans="1:7" ht="13.5" thickBot="1">
      <c r="A2483" s="127"/>
      <c r="B2483" s="228" t="s">
        <v>835</v>
      </c>
      <c r="C2483" s="845" t="s">
        <v>351</v>
      </c>
      <c r="D2483" s="845"/>
      <c r="E2483" s="845"/>
      <c r="F2483" s="845"/>
      <c r="G2483" s="846"/>
    </row>
    <row r="2484" spans="1:7" ht="14.25" thickTop="1" thickBot="1">
      <c r="A2484" s="95"/>
      <c r="B2484" s="847"/>
      <c r="C2484" s="847"/>
      <c r="D2484" s="847"/>
      <c r="E2484" s="847"/>
      <c r="F2484" s="847"/>
      <c r="G2484" s="847"/>
    </row>
    <row r="2485" spans="1:7" ht="13.5" thickTop="1">
      <c r="A2485" s="95"/>
      <c r="B2485" s="811" t="s">
        <v>304</v>
      </c>
      <c r="C2485" s="812"/>
      <c r="D2485" s="812"/>
      <c r="E2485" s="812"/>
      <c r="F2485" s="812"/>
      <c r="G2485" s="825"/>
    </row>
    <row r="2486" spans="1:7">
      <c r="A2486" s="95"/>
      <c r="B2486" s="229"/>
      <c r="C2486" s="97"/>
      <c r="D2486" s="98" t="s">
        <v>301</v>
      </c>
      <c r="E2486" s="98" t="s">
        <v>1072</v>
      </c>
      <c r="F2486" s="99" t="s">
        <v>839</v>
      </c>
      <c r="G2486" s="107" t="s">
        <v>840</v>
      </c>
    </row>
    <row r="2487" spans="1:7">
      <c r="A2487" s="95"/>
      <c r="B2487" s="821" t="s">
        <v>838</v>
      </c>
      <c r="C2487" s="822"/>
      <c r="D2487" s="100" t="s">
        <v>308</v>
      </c>
      <c r="E2487" s="100" t="s">
        <v>305</v>
      </c>
      <c r="F2487" s="101" t="s">
        <v>306</v>
      </c>
      <c r="G2487" s="108" t="s">
        <v>310</v>
      </c>
    </row>
    <row r="2488" spans="1:7">
      <c r="A2488" s="95"/>
      <c r="B2488" s="230"/>
      <c r="C2488" s="102"/>
      <c r="D2488" s="103"/>
      <c r="E2488" s="103" t="s">
        <v>309</v>
      </c>
      <c r="F2488" s="104" t="s">
        <v>307</v>
      </c>
      <c r="G2488" s="109"/>
    </row>
    <row r="2489" spans="1:7">
      <c r="A2489" s="127"/>
      <c r="B2489" s="823" t="str">
        <f>'MAQUINARIA Y EQUIPOS'!C28</f>
        <v>HERRAMIENTAS MENORES</v>
      </c>
      <c r="C2489" s="824"/>
      <c r="D2489" s="87">
        <v>1</v>
      </c>
      <c r="E2489" s="82">
        <f>ROUND(G2522*0.05,0)</f>
        <v>267</v>
      </c>
      <c r="F2489" s="81">
        <v>1</v>
      </c>
      <c r="G2489" s="110">
        <f>ROUND(D2489*E2489/F2489,0)</f>
        <v>267</v>
      </c>
    </row>
    <row r="2490" spans="1:7">
      <c r="A2490" s="95"/>
      <c r="B2490" s="835" t="str">
        <f>'MAQUINARIA Y EQUIPOS'!C55</f>
        <v>VIBROCOMPACTADOR</v>
      </c>
      <c r="C2490" s="836"/>
      <c r="D2490" s="37">
        <v>1</v>
      </c>
      <c r="E2490" s="82">
        <f>'MAQUINARIA Y EQUIPOS'!D55</f>
        <v>63000</v>
      </c>
      <c r="F2490" s="83">
        <v>13</v>
      </c>
      <c r="G2490" s="111">
        <f>ROUND(D2490*E2490/F2490,0)</f>
        <v>4846</v>
      </c>
    </row>
    <row r="2491" spans="1:7">
      <c r="A2491" s="95"/>
      <c r="B2491" s="835"/>
      <c r="C2491" s="836"/>
      <c r="D2491" s="89"/>
      <c r="E2491" s="82"/>
      <c r="F2491" s="83"/>
      <c r="G2491" s="111"/>
    </row>
    <row r="2492" spans="1:7">
      <c r="A2492" s="95"/>
      <c r="B2492" s="835"/>
      <c r="C2492" s="836"/>
      <c r="D2492" s="89"/>
      <c r="E2492" s="82"/>
      <c r="F2492" s="83"/>
      <c r="G2492" s="111"/>
    </row>
    <row r="2493" spans="1:7">
      <c r="A2493" s="95"/>
      <c r="B2493" s="835" t="s">
        <v>841</v>
      </c>
      <c r="C2493" s="836"/>
      <c r="D2493" s="37"/>
      <c r="E2493" s="82"/>
      <c r="F2493" s="83"/>
      <c r="G2493" s="111"/>
    </row>
    <row r="2494" spans="1:7" ht="13.5" thickBot="1">
      <c r="A2494" s="95"/>
      <c r="B2494" s="839" t="s">
        <v>841</v>
      </c>
      <c r="C2494" s="840"/>
      <c r="D2494" s="77"/>
      <c r="E2494" s="106"/>
      <c r="F2494" s="86"/>
      <c r="G2494" s="112"/>
    </row>
    <row r="2495" spans="1:7" ht="14.25" thickTop="1" thickBot="1">
      <c r="A2495" s="95"/>
      <c r="B2495" s="808"/>
      <c r="C2495" s="808"/>
      <c r="D2495" s="808"/>
      <c r="E2495" s="809"/>
      <c r="F2495" s="119" t="s">
        <v>856</v>
      </c>
      <c r="G2495" s="118">
        <f>SUM(G2489:G2494)</f>
        <v>5113</v>
      </c>
    </row>
    <row r="2496" spans="1:7" ht="14.25" thickTop="1" thickBot="1">
      <c r="A2496" s="95"/>
      <c r="B2496" s="830"/>
      <c r="C2496" s="830"/>
      <c r="D2496" s="830"/>
      <c r="E2496" s="830"/>
      <c r="F2496" s="830"/>
      <c r="G2496" s="830"/>
    </row>
    <row r="2497" spans="1:8" ht="13.5" thickTop="1">
      <c r="A2497" s="95"/>
      <c r="B2497" s="811" t="s">
        <v>311</v>
      </c>
      <c r="C2497" s="812"/>
      <c r="D2497" s="812"/>
      <c r="E2497" s="812"/>
      <c r="F2497" s="812"/>
      <c r="G2497" s="825"/>
    </row>
    <row r="2498" spans="1:8">
      <c r="A2498" s="95"/>
      <c r="B2498" s="817" t="s">
        <v>838</v>
      </c>
      <c r="C2498" s="818"/>
      <c r="D2498" s="98" t="s">
        <v>842</v>
      </c>
      <c r="E2498" s="98" t="s">
        <v>853</v>
      </c>
      <c r="F2498" s="99" t="s">
        <v>1047</v>
      </c>
      <c r="G2498" s="107" t="s">
        <v>840</v>
      </c>
    </row>
    <row r="2499" spans="1:8">
      <c r="A2499" s="95"/>
      <c r="B2499" s="230"/>
      <c r="C2499" s="102"/>
      <c r="D2499" s="100"/>
      <c r="E2499" s="100" t="s">
        <v>312</v>
      </c>
      <c r="F2499" s="101" t="s">
        <v>313</v>
      </c>
      <c r="G2499" s="108" t="s">
        <v>314</v>
      </c>
    </row>
    <row r="2500" spans="1:8">
      <c r="A2500" s="125"/>
      <c r="B2500" s="841" t="str">
        <f>MATERIALES2!C23</f>
        <v>CASCAJILLO</v>
      </c>
      <c r="C2500" s="842"/>
      <c r="D2500" s="87" t="str">
        <f>MATERIALES2!D23</f>
        <v>M3</v>
      </c>
      <c r="E2500" s="81">
        <v>1.1000000000000001</v>
      </c>
      <c r="F2500" s="80">
        <f>MATERIALES2!E23</f>
        <v>35000</v>
      </c>
      <c r="G2500" s="110">
        <f>ROUND(E2500*F2500,0)</f>
        <v>38500</v>
      </c>
    </row>
    <row r="2501" spans="1:8">
      <c r="A2501" s="123"/>
      <c r="B2501" s="877"/>
      <c r="C2501" s="878"/>
      <c r="D2501" s="88"/>
      <c r="E2501" s="83"/>
      <c r="F2501" s="82"/>
      <c r="G2501" s="111"/>
    </row>
    <row r="2502" spans="1:8">
      <c r="A2502" s="95"/>
      <c r="B2502" s="835"/>
      <c r="C2502" s="836"/>
      <c r="D2502" s="37"/>
      <c r="E2502" s="136"/>
      <c r="F2502" s="82"/>
      <c r="G2502" s="111"/>
    </row>
    <row r="2503" spans="1:8">
      <c r="A2503" s="95"/>
      <c r="B2503" s="835"/>
      <c r="C2503" s="836"/>
      <c r="D2503" s="37"/>
      <c r="E2503" s="136"/>
      <c r="F2503" s="82"/>
      <c r="G2503" s="111"/>
    </row>
    <row r="2504" spans="1:8">
      <c r="A2504" s="95"/>
      <c r="B2504" s="837"/>
      <c r="C2504" s="838"/>
      <c r="D2504" s="37"/>
      <c r="E2504" s="136"/>
      <c r="F2504" s="82"/>
      <c r="G2504" s="111"/>
    </row>
    <row r="2505" spans="1:8">
      <c r="A2505" s="95"/>
      <c r="B2505" s="837"/>
      <c r="C2505" s="838"/>
      <c r="D2505" s="53" t="s">
        <v>841</v>
      </c>
      <c r="E2505" s="83"/>
      <c r="F2505" s="82"/>
      <c r="G2505" s="111"/>
    </row>
    <row r="2506" spans="1:8">
      <c r="A2506" s="95"/>
      <c r="B2506" s="837" t="s">
        <v>841</v>
      </c>
      <c r="C2506" s="838"/>
      <c r="D2506" s="53" t="s">
        <v>841</v>
      </c>
      <c r="E2506" s="83"/>
      <c r="F2506" s="82"/>
      <c r="G2506" s="111"/>
      <c r="H2506" s="505" t="s">
        <v>1670</v>
      </c>
    </row>
    <row r="2507" spans="1:8">
      <c r="A2507" s="95"/>
      <c r="B2507" s="837" t="s">
        <v>841</v>
      </c>
      <c r="C2507" s="838"/>
      <c r="D2507" s="53" t="s">
        <v>841</v>
      </c>
      <c r="E2507" s="83"/>
      <c r="F2507" s="82"/>
      <c r="G2507" s="111"/>
    </row>
    <row r="2508" spans="1:8" ht="13.5" thickBot="1">
      <c r="A2508" s="95"/>
      <c r="B2508" s="839" t="s">
        <v>841</v>
      </c>
      <c r="C2508" s="840"/>
      <c r="D2508" s="84" t="s">
        <v>841</v>
      </c>
      <c r="E2508" s="86"/>
      <c r="F2508" s="85"/>
      <c r="G2508" s="112"/>
    </row>
    <row r="2509" spans="1:8" ht="13.5" thickTop="1">
      <c r="A2509" s="95"/>
      <c r="B2509" s="808"/>
      <c r="C2509" s="809"/>
      <c r="D2509" s="801" t="s">
        <v>856</v>
      </c>
      <c r="E2509" s="802"/>
      <c r="F2509" s="9"/>
      <c r="G2509" s="113">
        <f>SUM(G2500:G2508)</f>
        <v>38500</v>
      </c>
    </row>
    <row r="2510" spans="1:8">
      <c r="A2510" s="95"/>
      <c r="B2510" s="819"/>
      <c r="C2510" s="820"/>
      <c r="D2510" s="801" t="s">
        <v>857</v>
      </c>
      <c r="E2510" s="802"/>
      <c r="F2510" s="79">
        <f>'MANO DE OBRA'!D60</f>
        <v>0.05</v>
      </c>
      <c r="G2510" s="113">
        <f>ROUND(G2509*F2510,0)</f>
        <v>1925</v>
      </c>
    </row>
    <row r="2511" spans="1:8" ht="13.5" thickBot="1">
      <c r="A2511" s="95"/>
      <c r="B2511" s="819"/>
      <c r="C2511" s="820"/>
      <c r="D2511" s="803" t="s">
        <v>320</v>
      </c>
      <c r="E2511" s="804"/>
      <c r="F2511" s="114"/>
      <c r="G2511" s="118">
        <f>+G2509+G2510</f>
        <v>40425</v>
      </c>
    </row>
    <row r="2512" spans="1:8" ht="14.25" thickTop="1" thickBot="1">
      <c r="A2512" s="95"/>
      <c r="B2512" s="830"/>
      <c r="C2512" s="830"/>
      <c r="D2512" s="830"/>
      <c r="E2512" s="830"/>
      <c r="F2512" s="830"/>
      <c r="G2512" s="830"/>
    </row>
    <row r="2513" spans="1:7" ht="13.5" thickTop="1">
      <c r="A2513" s="95"/>
      <c r="B2513" s="811" t="s">
        <v>858</v>
      </c>
      <c r="C2513" s="812"/>
      <c r="D2513" s="812"/>
      <c r="E2513" s="812"/>
      <c r="F2513" s="812"/>
      <c r="G2513" s="825"/>
    </row>
    <row r="2514" spans="1:7">
      <c r="A2514" s="95"/>
      <c r="B2514" s="817"/>
      <c r="C2514" s="818"/>
      <c r="D2514" s="98" t="s">
        <v>301</v>
      </c>
      <c r="E2514" s="98" t="s">
        <v>859</v>
      </c>
      <c r="F2514" s="99" t="s">
        <v>839</v>
      </c>
      <c r="G2514" s="107" t="s">
        <v>840</v>
      </c>
    </row>
    <row r="2515" spans="1:7">
      <c r="A2515" s="95"/>
      <c r="B2515" s="821" t="s">
        <v>838</v>
      </c>
      <c r="C2515" s="822"/>
      <c r="D2515" s="100" t="s">
        <v>316</v>
      </c>
      <c r="E2515" s="100" t="s">
        <v>315</v>
      </c>
      <c r="F2515" s="101" t="s">
        <v>306</v>
      </c>
      <c r="G2515" s="108" t="s">
        <v>319</v>
      </c>
    </row>
    <row r="2516" spans="1:7">
      <c r="A2516" s="95"/>
      <c r="B2516" s="230"/>
      <c r="C2516" s="102"/>
      <c r="D2516" s="103"/>
      <c r="E2516" s="103" t="s">
        <v>317</v>
      </c>
      <c r="F2516" s="104" t="s">
        <v>318</v>
      </c>
      <c r="G2516" s="109"/>
    </row>
    <row r="2517" spans="1:7">
      <c r="A2517" s="95"/>
      <c r="B2517" s="823" t="str">
        <f>'MANO DE OBRA'!B10</f>
        <v>AYUDANTE CUAD. TIPO AA</v>
      </c>
      <c r="C2517" s="824"/>
      <c r="D2517" s="87">
        <v>2</v>
      </c>
      <c r="E2517" s="80">
        <f>'MANO DE OBRA'!E10</f>
        <v>34680</v>
      </c>
      <c r="F2517" s="81">
        <v>13</v>
      </c>
      <c r="G2517" s="110">
        <f>ROUND(D2517*E2517/F2517,0)</f>
        <v>5335</v>
      </c>
    </row>
    <row r="2518" spans="1:7">
      <c r="A2518" s="95"/>
      <c r="B2518" s="835"/>
      <c r="C2518" s="836"/>
      <c r="D2518" s="37"/>
      <c r="E2518" s="82"/>
      <c r="F2518" s="83"/>
      <c r="G2518" s="111"/>
    </row>
    <row r="2519" spans="1:7">
      <c r="A2519" s="95"/>
      <c r="B2519" s="835"/>
      <c r="C2519" s="836"/>
      <c r="D2519" s="89"/>
      <c r="E2519" s="82"/>
      <c r="F2519" s="83"/>
      <c r="G2519" s="111"/>
    </row>
    <row r="2520" spans="1:7">
      <c r="A2520" s="95"/>
      <c r="B2520" s="835" t="s">
        <v>841</v>
      </c>
      <c r="C2520" s="836"/>
      <c r="D2520" s="37"/>
      <c r="E2520" s="82"/>
      <c r="F2520" s="83"/>
      <c r="G2520" s="111"/>
    </row>
    <row r="2521" spans="1:7" ht="13.5" thickBot="1">
      <c r="A2521" s="95"/>
      <c r="B2521" s="828" t="s">
        <v>841</v>
      </c>
      <c r="C2521" s="829"/>
      <c r="D2521" s="77"/>
      <c r="E2521" s="82"/>
      <c r="F2521" s="86"/>
      <c r="G2521" s="112"/>
    </row>
    <row r="2522" spans="1:7" ht="14.25" thickTop="1" thickBot="1">
      <c r="A2522" s="95"/>
      <c r="B2522" s="808"/>
      <c r="C2522" s="808"/>
      <c r="D2522" s="808"/>
      <c r="E2522" s="809"/>
      <c r="F2522" s="120" t="s">
        <v>856</v>
      </c>
      <c r="G2522" s="118">
        <f>SUM(G2517:G2521)</f>
        <v>5335</v>
      </c>
    </row>
    <row r="2523" spans="1:7" ht="14.25" thickTop="1" thickBot="1">
      <c r="A2523" s="95"/>
      <c r="B2523" s="810"/>
      <c r="C2523" s="810"/>
      <c r="D2523" s="810"/>
      <c r="E2523" s="810"/>
      <c r="F2523" s="810"/>
      <c r="G2523" s="810"/>
    </row>
    <row r="2524" spans="1:7" ht="13.5" thickTop="1">
      <c r="A2524" s="95"/>
      <c r="B2524" s="811" t="s">
        <v>321</v>
      </c>
      <c r="C2524" s="812"/>
      <c r="D2524" s="812"/>
      <c r="E2524" s="812"/>
      <c r="F2524" s="812"/>
      <c r="G2524" s="825"/>
    </row>
    <row r="2525" spans="1:7">
      <c r="A2525" s="95"/>
      <c r="B2525" s="817" t="s">
        <v>838</v>
      </c>
      <c r="C2525" s="818"/>
      <c r="D2525" s="98" t="s">
        <v>301</v>
      </c>
      <c r="E2525" s="98" t="s">
        <v>297</v>
      </c>
      <c r="F2525" s="99" t="s">
        <v>839</v>
      </c>
      <c r="G2525" s="107" t="s">
        <v>840</v>
      </c>
    </row>
    <row r="2526" spans="1:7">
      <c r="A2526" s="95"/>
      <c r="B2526" s="230"/>
      <c r="C2526" s="102"/>
      <c r="D2526" s="103" t="s">
        <v>322</v>
      </c>
      <c r="E2526" s="103" t="s">
        <v>323</v>
      </c>
      <c r="F2526" s="104" t="s">
        <v>324</v>
      </c>
      <c r="G2526" s="109" t="s">
        <v>325</v>
      </c>
    </row>
    <row r="2527" spans="1:7">
      <c r="A2527" s="95"/>
      <c r="B2527" s="826" t="s">
        <v>353</v>
      </c>
      <c r="C2527" s="827"/>
      <c r="D2527" s="96">
        <v>1</v>
      </c>
      <c r="E2527" s="138">
        <f>ROUND('MANO DE OBRA'!E10/16,0)</f>
        <v>2168</v>
      </c>
      <c r="F2527" s="96">
        <v>1</v>
      </c>
      <c r="G2527" s="116">
        <f>ROUND(D2527*E2527*F2527,0)</f>
        <v>2168</v>
      </c>
    </row>
    <row r="2528" spans="1:7" ht="13.5" thickBot="1">
      <c r="A2528" s="95"/>
      <c r="B2528" s="828" t="s">
        <v>841</v>
      </c>
      <c r="C2528" s="829"/>
      <c r="D2528" s="77"/>
      <c r="E2528" s="82"/>
      <c r="F2528" s="86"/>
      <c r="G2528" s="112"/>
    </row>
    <row r="2529" spans="1:8" ht="14.25" thickTop="1" thickBot="1">
      <c r="A2529" s="95"/>
      <c r="B2529" s="808"/>
      <c r="C2529" s="808"/>
      <c r="D2529" s="808"/>
      <c r="E2529" s="809"/>
      <c r="F2529" s="120" t="s">
        <v>856</v>
      </c>
      <c r="G2529" s="118">
        <f>SUM(G2524:G2528)</f>
        <v>2168</v>
      </c>
    </row>
    <row r="2530" spans="1:8" ht="14.25" thickTop="1" thickBot="1">
      <c r="A2530" s="95"/>
      <c r="B2530" s="810"/>
      <c r="C2530" s="810"/>
      <c r="D2530" s="810"/>
      <c r="E2530" s="810"/>
      <c r="F2530" s="810"/>
      <c r="G2530" s="834"/>
    </row>
    <row r="2531" spans="1:8" ht="13.5" thickTop="1">
      <c r="A2531" s="95"/>
      <c r="B2531" s="811" t="s">
        <v>326</v>
      </c>
      <c r="C2531" s="812"/>
      <c r="D2531" s="812"/>
      <c r="E2531" s="812"/>
      <c r="F2531" s="813"/>
      <c r="G2531" s="121">
        <f>+G2495+G2511+G2522</f>
        <v>50873</v>
      </c>
    </row>
    <row r="2532" spans="1:8">
      <c r="A2532" s="95"/>
      <c r="B2532" s="814" t="s">
        <v>861</v>
      </c>
      <c r="C2532" s="815"/>
      <c r="D2532" s="815"/>
      <c r="E2532" s="816"/>
      <c r="F2532" s="128">
        <f>'MANO DE OBRA'!D59</f>
        <v>0</v>
      </c>
      <c r="G2532" s="122">
        <f>ROUND(G2531*F2532,0)</f>
        <v>0</v>
      </c>
    </row>
    <row r="2533" spans="1:8" ht="13.5" thickBot="1">
      <c r="A2533" s="95"/>
      <c r="B2533" s="805" t="s">
        <v>1049</v>
      </c>
      <c r="C2533" s="806"/>
      <c r="D2533" s="806"/>
      <c r="E2533" s="806"/>
      <c r="F2533" s="807"/>
      <c r="G2533" s="118">
        <f>ROUND(G2531+G2532,-2)</f>
        <v>50900</v>
      </c>
      <c r="H2533" s="505" t="s">
        <v>1670</v>
      </c>
    </row>
    <row r="2534" spans="1:8" ht="15" thickTop="1">
      <c r="A2534" s="95"/>
      <c r="B2534" s="225" t="s">
        <v>303</v>
      </c>
      <c r="C2534" s="843"/>
      <c r="D2534" s="843"/>
      <c r="E2534" s="843"/>
      <c r="F2534" s="92" t="s">
        <v>781</v>
      </c>
      <c r="G2534" s="93" t="s">
        <v>1066</v>
      </c>
    </row>
    <row r="2535" spans="1:8">
      <c r="A2535" s="95"/>
      <c r="B2535" s="226" t="s">
        <v>834</v>
      </c>
      <c r="C2535" s="844" t="s">
        <v>1149</v>
      </c>
      <c r="D2535" s="844"/>
      <c r="E2535" s="844"/>
      <c r="F2535" s="15" t="s">
        <v>833</v>
      </c>
      <c r="G2535" s="165" t="str">
        <f>'MANO DE OBRA'!D61</f>
        <v>Agosto de 2010</v>
      </c>
    </row>
    <row r="2536" spans="1:8" ht="13.5" thickBot="1">
      <c r="A2536" s="127"/>
      <c r="B2536" s="228" t="s">
        <v>835</v>
      </c>
      <c r="C2536" s="845" t="s">
        <v>352</v>
      </c>
      <c r="D2536" s="845"/>
      <c r="E2536" s="845"/>
      <c r="F2536" s="845"/>
      <c r="G2536" s="846"/>
    </row>
    <row r="2537" spans="1:8" ht="14.25" thickTop="1" thickBot="1">
      <c r="A2537" s="95"/>
      <c r="B2537" s="847"/>
      <c r="C2537" s="847"/>
      <c r="D2537" s="847"/>
      <c r="E2537" s="847"/>
      <c r="F2537" s="847"/>
      <c r="G2537" s="847"/>
    </row>
    <row r="2538" spans="1:8" ht="13.5" thickTop="1">
      <c r="A2538" s="95"/>
      <c r="B2538" s="811" t="s">
        <v>304</v>
      </c>
      <c r="C2538" s="812"/>
      <c r="D2538" s="812"/>
      <c r="E2538" s="812"/>
      <c r="F2538" s="812"/>
      <c r="G2538" s="825"/>
    </row>
    <row r="2539" spans="1:8">
      <c r="A2539" s="95"/>
      <c r="B2539" s="229"/>
      <c r="C2539" s="97"/>
      <c r="D2539" s="98" t="s">
        <v>301</v>
      </c>
      <c r="E2539" s="98" t="s">
        <v>1072</v>
      </c>
      <c r="F2539" s="99" t="s">
        <v>839</v>
      </c>
      <c r="G2539" s="107" t="s">
        <v>840</v>
      </c>
    </row>
    <row r="2540" spans="1:8">
      <c r="A2540" s="95"/>
      <c r="B2540" s="821" t="s">
        <v>838</v>
      </c>
      <c r="C2540" s="822"/>
      <c r="D2540" s="100" t="s">
        <v>308</v>
      </c>
      <c r="E2540" s="100" t="s">
        <v>305</v>
      </c>
      <c r="F2540" s="101" t="s">
        <v>306</v>
      </c>
      <c r="G2540" s="108" t="s">
        <v>310</v>
      </c>
    </row>
    <row r="2541" spans="1:8">
      <c r="A2541" s="95"/>
      <c r="B2541" s="230"/>
      <c r="C2541" s="102"/>
      <c r="D2541" s="103"/>
      <c r="E2541" s="103" t="s">
        <v>309</v>
      </c>
      <c r="F2541" s="104" t="s">
        <v>307</v>
      </c>
      <c r="G2541" s="109"/>
    </row>
    <row r="2542" spans="1:8">
      <c r="A2542" s="127"/>
      <c r="B2542" s="823" t="str">
        <f>'MAQUINARIA Y EQUIPOS'!$C$28</f>
        <v>HERRAMIENTAS MENORES</v>
      </c>
      <c r="C2542" s="824"/>
      <c r="D2542" s="87">
        <v>1</v>
      </c>
      <c r="E2542" s="82">
        <f>ROUND(G2575*0.05,0)</f>
        <v>231</v>
      </c>
      <c r="F2542" s="81">
        <v>1</v>
      </c>
      <c r="G2542" s="110">
        <f>ROUND(D2542*E2542/F2542,0)</f>
        <v>231</v>
      </c>
    </row>
    <row r="2543" spans="1:8">
      <c r="A2543" s="95"/>
      <c r="B2543" s="835" t="str">
        <f>'MAQUINARIA Y EQUIPOS'!$C$55</f>
        <v>VIBROCOMPACTADOR</v>
      </c>
      <c r="C2543" s="836"/>
      <c r="D2543" s="37">
        <v>1</v>
      </c>
      <c r="E2543" s="82">
        <f>'MAQUINARIA Y EQUIPOS'!$D$55</f>
        <v>63000</v>
      </c>
      <c r="F2543" s="83">
        <v>13</v>
      </c>
      <c r="G2543" s="111">
        <f>ROUND(D2543*E2543/F2543,0)</f>
        <v>4846</v>
      </c>
    </row>
    <row r="2544" spans="1:8">
      <c r="A2544" s="95"/>
      <c r="B2544" s="835"/>
      <c r="C2544" s="836"/>
      <c r="D2544" s="89"/>
      <c r="E2544" s="82"/>
      <c r="F2544" s="83"/>
      <c r="G2544" s="111"/>
    </row>
    <row r="2545" spans="1:8">
      <c r="A2545" s="95"/>
      <c r="B2545" s="835"/>
      <c r="C2545" s="836"/>
      <c r="D2545" s="89"/>
      <c r="E2545" s="82"/>
      <c r="F2545" s="83"/>
      <c r="G2545" s="111"/>
    </row>
    <row r="2546" spans="1:8">
      <c r="A2546" s="95"/>
      <c r="B2546" s="835" t="s">
        <v>841</v>
      </c>
      <c r="C2546" s="836"/>
      <c r="D2546" s="37"/>
      <c r="E2546" s="82"/>
      <c r="F2546" s="83"/>
      <c r="G2546" s="111"/>
    </row>
    <row r="2547" spans="1:8" ht="13.5" thickBot="1">
      <c r="A2547" s="95"/>
      <c r="B2547" s="839" t="s">
        <v>841</v>
      </c>
      <c r="C2547" s="840"/>
      <c r="D2547" s="77"/>
      <c r="E2547" s="106"/>
      <c r="F2547" s="86"/>
      <c r="G2547" s="112"/>
    </row>
    <row r="2548" spans="1:8" ht="14.25" thickTop="1" thickBot="1">
      <c r="A2548" s="95"/>
      <c r="B2548" s="808"/>
      <c r="C2548" s="808"/>
      <c r="D2548" s="808"/>
      <c r="E2548" s="809"/>
      <c r="F2548" s="119" t="s">
        <v>856</v>
      </c>
      <c r="G2548" s="118">
        <f>SUM(G2542:G2547)</f>
        <v>5077</v>
      </c>
    </row>
    <row r="2549" spans="1:8" ht="14.25" thickTop="1" thickBot="1">
      <c r="A2549" s="95"/>
      <c r="B2549" s="830"/>
      <c r="C2549" s="830"/>
      <c r="D2549" s="830"/>
      <c r="E2549" s="830"/>
      <c r="F2549" s="830"/>
      <c r="G2549" s="830"/>
    </row>
    <row r="2550" spans="1:8" ht="13.5" thickTop="1">
      <c r="A2550" s="95"/>
      <c r="B2550" s="811" t="s">
        <v>311</v>
      </c>
      <c r="C2550" s="812"/>
      <c r="D2550" s="812"/>
      <c r="E2550" s="812"/>
      <c r="F2550" s="812"/>
      <c r="G2550" s="825"/>
    </row>
    <row r="2551" spans="1:8">
      <c r="A2551" s="95"/>
      <c r="B2551" s="817" t="s">
        <v>838</v>
      </c>
      <c r="C2551" s="818"/>
      <c r="D2551" s="98" t="s">
        <v>842</v>
      </c>
      <c r="E2551" s="98" t="s">
        <v>853</v>
      </c>
      <c r="F2551" s="99" t="s">
        <v>1047</v>
      </c>
      <c r="G2551" s="107" t="s">
        <v>840</v>
      </c>
    </row>
    <row r="2552" spans="1:8">
      <c r="A2552" s="95"/>
      <c r="B2552" s="230"/>
      <c r="C2552" s="102"/>
      <c r="D2552" s="100"/>
      <c r="E2552" s="100" t="s">
        <v>312</v>
      </c>
      <c r="F2552" s="101" t="s">
        <v>313</v>
      </c>
      <c r="G2552" s="108" t="s">
        <v>314</v>
      </c>
    </row>
    <row r="2553" spans="1:8">
      <c r="A2553" s="125"/>
      <c r="B2553" s="841" t="str">
        <f>MATERIALES2!$C$26</f>
        <v>RECEBO</v>
      </c>
      <c r="C2553" s="842"/>
      <c r="D2553" s="87" t="str">
        <f>MATERIALES2!D26</f>
        <v>M3</v>
      </c>
      <c r="E2553" s="81">
        <v>1.25</v>
      </c>
      <c r="F2553" s="80">
        <f>MATERIALES2!$E$26</f>
        <v>10440</v>
      </c>
      <c r="G2553" s="110">
        <f>ROUND(E2553*F2553,0)</f>
        <v>13050</v>
      </c>
    </row>
    <row r="2554" spans="1:8">
      <c r="A2554" s="123"/>
      <c r="B2554" s="873"/>
      <c r="C2554" s="874"/>
      <c r="D2554" s="88"/>
      <c r="E2554" s="83"/>
      <c r="F2554" s="82"/>
      <c r="G2554" s="111"/>
    </row>
    <row r="2555" spans="1:8">
      <c r="A2555" s="95"/>
      <c r="B2555" s="835"/>
      <c r="C2555" s="836"/>
      <c r="D2555" s="37"/>
      <c r="E2555" s="136"/>
      <c r="F2555" s="82"/>
      <c r="G2555" s="111"/>
    </row>
    <row r="2556" spans="1:8">
      <c r="A2556" s="95"/>
      <c r="B2556" s="835"/>
      <c r="C2556" s="836"/>
      <c r="D2556" s="37"/>
      <c r="E2556" s="136"/>
      <c r="F2556" s="82"/>
      <c r="G2556" s="111"/>
    </row>
    <row r="2557" spans="1:8">
      <c r="A2557" s="95"/>
      <c r="B2557" s="837"/>
      <c r="C2557" s="838"/>
      <c r="D2557" s="37"/>
      <c r="E2557" s="136"/>
      <c r="F2557" s="82"/>
      <c r="G2557" s="111"/>
    </row>
    <row r="2558" spans="1:8">
      <c r="A2558" s="95"/>
      <c r="B2558" s="837"/>
      <c r="C2558" s="838"/>
      <c r="D2558" s="53" t="s">
        <v>841</v>
      </c>
      <c r="E2558" s="83"/>
      <c r="F2558" s="82"/>
      <c r="G2558" s="111"/>
    </row>
    <row r="2559" spans="1:8">
      <c r="A2559" s="95"/>
      <c r="B2559" s="837" t="s">
        <v>841</v>
      </c>
      <c r="C2559" s="838"/>
      <c r="D2559" s="53" t="s">
        <v>841</v>
      </c>
      <c r="E2559" s="83"/>
      <c r="F2559" s="82"/>
      <c r="G2559" s="111"/>
    </row>
    <row r="2560" spans="1:8">
      <c r="A2560" s="95"/>
      <c r="B2560" s="837" t="s">
        <v>841</v>
      </c>
      <c r="C2560" s="838"/>
      <c r="D2560" s="53" t="s">
        <v>841</v>
      </c>
      <c r="E2560" s="83"/>
      <c r="F2560" s="82"/>
      <c r="G2560" s="111"/>
      <c r="H2560" s="505" t="s">
        <v>1670</v>
      </c>
    </row>
    <row r="2561" spans="1:7" ht="13.5" thickBot="1">
      <c r="A2561" s="95"/>
      <c r="B2561" s="839" t="s">
        <v>841</v>
      </c>
      <c r="C2561" s="840"/>
      <c r="D2561" s="84" t="s">
        <v>841</v>
      </c>
      <c r="E2561" s="86"/>
      <c r="F2561" s="85"/>
      <c r="G2561" s="112"/>
    </row>
    <row r="2562" spans="1:7" ht="13.5" thickTop="1">
      <c r="A2562" s="95"/>
      <c r="B2562" s="808"/>
      <c r="C2562" s="809"/>
      <c r="D2562" s="801" t="s">
        <v>856</v>
      </c>
      <c r="E2562" s="802"/>
      <c r="F2562" s="9"/>
      <c r="G2562" s="113">
        <f>SUM(G2553:G2561)</f>
        <v>13050</v>
      </c>
    </row>
    <row r="2563" spans="1:7">
      <c r="A2563" s="95"/>
      <c r="B2563" s="819"/>
      <c r="C2563" s="820"/>
      <c r="D2563" s="801" t="s">
        <v>857</v>
      </c>
      <c r="E2563" s="802"/>
      <c r="F2563" s="79">
        <f>'MANO DE OBRA'!D60</f>
        <v>0.05</v>
      </c>
      <c r="G2563" s="113">
        <f>ROUND(G2562*F2563,0)</f>
        <v>653</v>
      </c>
    </row>
    <row r="2564" spans="1:7" ht="13.5" thickBot="1">
      <c r="A2564" s="95"/>
      <c r="B2564" s="819"/>
      <c r="C2564" s="820"/>
      <c r="D2564" s="803" t="s">
        <v>320</v>
      </c>
      <c r="E2564" s="804"/>
      <c r="F2564" s="114"/>
      <c r="G2564" s="118">
        <f>+G2562+G2563</f>
        <v>13703</v>
      </c>
    </row>
    <row r="2565" spans="1:7" ht="14.25" thickTop="1" thickBot="1">
      <c r="A2565" s="95"/>
      <c r="B2565" s="830"/>
      <c r="C2565" s="830"/>
      <c r="D2565" s="830"/>
      <c r="E2565" s="830"/>
      <c r="F2565" s="830"/>
      <c r="G2565" s="830"/>
    </row>
    <row r="2566" spans="1:7" ht="13.5" thickTop="1">
      <c r="A2566" s="95"/>
      <c r="B2566" s="811" t="s">
        <v>858</v>
      </c>
      <c r="C2566" s="812"/>
      <c r="D2566" s="812"/>
      <c r="E2566" s="812"/>
      <c r="F2566" s="812"/>
      <c r="G2566" s="825"/>
    </row>
    <row r="2567" spans="1:7">
      <c r="A2567" s="95"/>
      <c r="B2567" s="817"/>
      <c r="C2567" s="818"/>
      <c r="D2567" s="98" t="s">
        <v>301</v>
      </c>
      <c r="E2567" s="98" t="s">
        <v>859</v>
      </c>
      <c r="F2567" s="99" t="s">
        <v>839</v>
      </c>
      <c r="G2567" s="107" t="s">
        <v>840</v>
      </c>
    </row>
    <row r="2568" spans="1:7">
      <c r="A2568" s="95"/>
      <c r="B2568" s="821" t="s">
        <v>838</v>
      </c>
      <c r="C2568" s="822"/>
      <c r="D2568" s="100" t="s">
        <v>316</v>
      </c>
      <c r="E2568" s="100" t="s">
        <v>315</v>
      </c>
      <c r="F2568" s="101" t="s">
        <v>306</v>
      </c>
      <c r="G2568" s="108" t="s">
        <v>319</v>
      </c>
    </row>
    <row r="2569" spans="1:7">
      <c r="A2569" s="95"/>
      <c r="B2569" s="230"/>
      <c r="C2569" s="102"/>
      <c r="D2569" s="103"/>
      <c r="E2569" s="103" t="s">
        <v>317</v>
      </c>
      <c r="F2569" s="104" t="s">
        <v>318</v>
      </c>
      <c r="G2569" s="109"/>
    </row>
    <row r="2570" spans="1:7">
      <c r="A2570" s="95"/>
      <c r="B2570" s="823" t="str">
        <f>'MANO DE OBRA'!$B$10</f>
        <v>AYUDANTE CUAD. TIPO AA</v>
      </c>
      <c r="C2570" s="824"/>
      <c r="D2570" s="87">
        <v>2</v>
      </c>
      <c r="E2570" s="80">
        <f>'MANO DE OBRA'!$E$10</f>
        <v>34680</v>
      </c>
      <c r="F2570" s="81">
        <v>15</v>
      </c>
      <c r="G2570" s="110">
        <f>ROUND(D2570*E2570/F2570,0)</f>
        <v>4624</v>
      </c>
    </row>
    <row r="2571" spans="1:7">
      <c r="A2571" s="95"/>
      <c r="B2571" s="835"/>
      <c r="C2571" s="836"/>
      <c r="D2571" s="37"/>
      <c r="E2571" s="82"/>
      <c r="F2571" s="83"/>
      <c r="G2571" s="111"/>
    </row>
    <row r="2572" spans="1:7">
      <c r="A2572" s="95"/>
      <c r="B2572" s="835"/>
      <c r="C2572" s="836"/>
      <c r="D2572" s="89"/>
      <c r="E2572" s="82"/>
      <c r="F2572" s="83"/>
      <c r="G2572" s="111"/>
    </row>
    <row r="2573" spans="1:7">
      <c r="A2573" s="95"/>
      <c r="B2573" s="835" t="s">
        <v>841</v>
      </c>
      <c r="C2573" s="836"/>
      <c r="D2573" s="37"/>
      <c r="E2573" s="82"/>
      <c r="F2573" s="83"/>
      <c r="G2573" s="111"/>
    </row>
    <row r="2574" spans="1:7" ht="13.5" thickBot="1">
      <c r="A2574" s="95"/>
      <c r="B2574" s="828" t="s">
        <v>841</v>
      </c>
      <c r="C2574" s="829"/>
      <c r="D2574" s="77"/>
      <c r="E2574" s="82"/>
      <c r="F2574" s="86"/>
      <c r="G2574" s="112"/>
    </row>
    <row r="2575" spans="1:7" ht="14.25" thickTop="1" thickBot="1">
      <c r="A2575" s="95"/>
      <c r="B2575" s="808"/>
      <c r="C2575" s="808"/>
      <c r="D2575" s="808"/>
      <c r="E2575" s="809"/>
      <c r="F2575" s="120" t="s">
        <v>856</v>
      </c>
      <c r="G2575" s="118">
        <f>SUM(G2570:G2574)</f>
        <v>4624</v>
      </c>
    </row>
    <row r="2576" spans="1:7" ht="14.25" thickTop="1" thickBot="1">
      <c r="A2576" s="95"/>
      <c r="B2576" s="810"/>
      <c r="C2576" s="810"/>
      <c r="D2576" s="810"/>
      <c r="E2576" s="810"/>
      <c r="F2576" s="810"/>
      <c r="G2576" s="810"/>
    </row>
    <row r="2577" spans="1:8" ht="13.5" thickTop="1">
      <c r="A2577" s="95"/>
      <c r="B2577" s="811" t="s">
        <v>321</v>
      </c>
      <c r="C2577" s="812"/>
      <c r="D2577" s="812"/>
      <c r="E2577" s="812"/>
      <c r="F2577" s="812"/>
      <c r="G2577" s="825"/>
    </row>
    <row r="2578" spans="1:8">
      <c r="A2578" s="95"/>
      <c r="B2578" s="817" t="s">
        <v>838</v>
      </c>
      <c r="C2578" s="818"/>
      <c r="D2578" s="98" t="s">
        <v>301</v>
      </c>
      <c r="E2578" s="98" t="s">
        <v>297</v>
      </c>
      <c r="F2578" s="99" t="s">
        <v>839</v>
      </c>
      <c r="G2578" s="107" t="s">
        <v>840</v>
      </c>
    </row>
    <row r="2579" spans="1:8">
      <c r="A2579" s="95"/>
      <c r="B2579" s="230"/>
      <c r="C2579" s="102"/>
      <c r="D2579" s="103" t="s">
        <v>322</v>
      </c>
      <c r="E2579" s="103" t="s">
        <v>323</v>
      </c>
      <c r="F2579" s="104" t="s">
        <v>324</v>
      </c>
      <c r="G2579" s="109" t="s">
        <v>325</v>
      </c>
    </row>
    <row r="2580" spans="1:8">
      <c r="A2580" s="95"/>
      <c r="B2580" s="826" t="s">
        <v>353</v>
      </c>
      <c r="C2580" s="827"/>
      <c r="D2580" s="96">
        <v>1</v>
      </c>
      <c r="E2580" s="138">
        <f>ROUND('MANO DE OBRA'!E10/16,0)</f>
        <v>2168</v>
      </c>
      <c r="F2580" s="96">
        <v>1</v>
      </c>
      <c r="G2580" s="137">
        <f>ROUND(D2580*E2580*F2580,0)</f>
        <v>2168</v>
      </c>
    </row>
    <row r="2581" spans="1:8" ht="13.5" thickBot="1">
      <c r="A2581" s="95"/>
      <c r="B2581" s="828" t="s">
        <v>841</v>
      </c>
      <c r="C2581" s="829"/>
      <c r="D2581" s="77"/>
      <c r="E2581" s="82"/>
      <c r="F2581" s="86"/>
      <c r="G2581" s="112"/>
    </row>
    <row r="2582" spans="1:8" ht="14.25" thickTop="1" thickBot="1">
      <c r="A2582" s="95"/>
      <c r="B2582" s="808"/>
      <c r="C2582" s="808"/>
      <c r="D2582" s="808"/>
      <c r="E2582" s="809"/>
      <c r="F2582" s="120" t="s">
        <v>856</v>
      </c>
      <c r="G2582" s="118">
        <f>SUM(G2577:G2581)</f>
        <v>2168</v>
      </c>
    </row>
    <row r="2583" spans="1:8" ht="14.25" thickTop="1" thickBot="1">
      <c r="A2583" s="95"/>
      <c r="B2583" s="810"/>
      <c r="C2583" s="810"/>
      <c r="D2583" s="810"/>
      <c r="E2583" s="810"/>
      <c r="F2583" s="810"/>
      <c r="G2583" s="834"/>
    </row>
    <row r="2584" spans="1:8" ht="13.5" thickTop="1">
      <c r="A2584" s="95"/>
      <c r="B2584" s="811" t="s">
        <v>326</v>
      </c>
      <c r="C2584" s="812"/>
      <c r="D2584" s="812"/>
      <c r="E2584" s="812"/>
      <c r="F2584" s="813"/>
      <c r="G2584" s="121">
        <f>+G2548+G2564+G2575</f>
        <v>23404</v>
      </c>
    </row>
    <row r="2585" spans="1:8">
      <c r="A2585" s="95"/>
      <c r="B2585" s="814" t="s">
        <v>861</v>
      </c>
      <c r="C2585" s="815"/>
      <c r="D2585" s="815"/>
      <c r="E2585" s="816"/>
      <c r="F2585" s="128">
        <f>'MANO DE OBRA'!D59</f>
        <v>0</v>
      </c>
      <c r="G2585" s="122">
        <f>ROUND(G2584*F2585,0)</f>
        <v>0</v>
      </c>
    </row>
    <row r="2586" spans="1:8" ht="13.5" thickBot="1">
      <c r="A2586" s="95"/>
      <c r="B2586" s="805" t="s">
        <v>1049</v>
      </c>
      <c r="C2586" s="806"/>
      <c r="D2586" s="806"/>
      <c r="E2586" s="806"/>
      <c r="F2586" s="807"/>
      <c r="G2586" s="118">
        <f>ROUND(G2584+G2585,-2)</f>
        <v>23400</v>
      </c>
      <c r="H2586" s="505" t="s">
        <v>1670</v>
      </c>
    </row>
    <row r="2587" spans="1:8" ht="15" thickTop="1">
      <c r="A2587" s="95"/>
      <c r="B2587" s="225" t="s">
        <v>303</v>
      </c>
      <c r="C2587" s="843"/>
      <c r="D2587" s="843"/>
      <c r="E2587" s="843"/>
      <c r="F2587" s="92" t="s">
        <v>781</v>
      </c>
      <c r="G2587" s="93" t="s">
        <v>1066</v>
      </c>
    </row>
    <row r="2588" spans="1:8">
      <c r="A2588" s="95"/>
      <c r="B2588" s="226" t="s">
        <v>834</v>
      </c>
      <c r="C2588" s="844" t="s">
        <v>342</v>
      </c>
      <c r="D2588" s="844"/>
      <c r="E2588" s="844"/>
      <c r="F2588" s="15" t="s">
        <v>833</v>
      </c>
      <c r="G2588" s="165" t="str">
        <f>'MANO DE OBRA'!D61</f>
        <v>Agosto de 2010</v>
      </c>
    </row>
    <row r="2589" spans="1:8" ht="13.5" thickBot="1">
      <c r="A2589" s="127"/>
      <c r="B2589" s="228" t="s">
        <v>835</v>
      </c>
      <c r="C2589" s="845" t="s">
        <v>354</v>
      </c>
      <c r="D2589" s="845"/>
      <c r="E2589" s="845"/>
      <c r="F2589" s="845"/>
      <c r="G2589" s="846"/>
    </row>
    <row r="2590" spans="1:8" ht="14.25" thickTop="1" thickBot="1">
      <c r="A2590" s="95"/>
      <c r="B2590" s="847"/>
      <c r="C2590" s="847"/>
      <c r="D2590" s="847"/>
      <c r="E2590" s="847"/>
      <c r="F2590" s="847"/>
      <c r="G2590" s="847"/>
    </row>
    <row r="2591" spans="1:8" ht="13.5" thickTop="1">
      <c r="A2591" s="95"/>
      <c r="B2591" s="811" t="s">
        <v>304</v>
      </c>
      <c r="C2591" s="812"/>
      <c r="D2591" s="812"/>
      <c r="E2591" s="812"/>
      <c r="F2591" s="812"/>
      <c r="G2591" s="825"/>
    </row>
    <row r="2592" spans="1:8">
      <c r="A2592" s="95"/>
      <c r="B2592" s="229"/>
      <c r="C2592" s="97"/>
      <c r="D2592" s="98" t="s">
        <v>301</v>
      </c>
      <c r="E2592" s="98" t="s">
        <v>1072</v>
      </c>
      <c r="F2592" s="99" t="s">
        <v>839</v>
      </c>
      <c r="G2592" s="107" t="s">
        <v>840</v>
      </c>
    </row>
    <row r="2593" spans="1:7">
      <c r="A2593" s="95"/>
      <c r="B2593" s="821" t="s">
        <v>838</v>
      </c>
      <c r="C2593" s="822"/>
      <c r="D2593" s="100" t="s">
        <v>308</v>
      </c>
      <c r="E2593" s="100" t="s">
        <v>305</v>
      </c>
      <c r="F2593" s="101" t="s">
        <v>306</v>
      </c>
      <c r="G2593" s="108" t="s">
        <v>310</v>
      </c>
    </row>
    <row r="2594" spans="1:7">
      <c r="A2594" s="95"/>
      <c r="B2594" s="230"/>
      <c r="C2594" s="102"/>
      <c r="D2594" s="103"/>
      <c r="E2594" s="103" t="s">
        <v>309</v>
      </c>
      <c r="F2594" s="104" t="s">
        <v>307</v>
      </c>
      <c r="G2594" s="109"/>
    </row>
    <row r="2595" spans="1:7">
      <c r="A2595" s="127"/>
      <c r="B2595" s="823" t="str">
        <f>'MAQUINARIA Y EQUIPOS'!C28</f>
        <v>HERRAMIENTAS MENORES</v>
      </c>
      <c r="C2595" s="824"/>
      <c r="D2595" s="87">
        <v>1</v>
      </c>
      <c r="E2595" s="82">
        <f>ROUND(G2628*0.05,0)</f>
        <v>267</v>
      </c>
      <c r="F2595" s="81">
        <v>1</v>
      </c>
      <c r="G2595" s="110">
        <f>ROUND(D2595*E2595/F2595,0)</f>
        <v>267</v>
      </c>
    </row>
    <row r="2596" spans="1:7">
      <c r="A2596" s="95"/>
      <c r="B2596" s="835" t="str">
        <f>'MAQUINARIA Y EQUIPOS'!C55</f>
        <v>VIBROCOMPACTADOR</v>
      </c>
      <c r="C2596" s="836"/>
      <c r="D2596" s="37">
        <v>1</v>
      </c>
      <c r="E2596" s="82">
        <f>'MAQUINARIA Y EQUIPOS'!D55</f>
        <v>63000</v>
      </c>
      <c r="F2596" s="83">
        <v>13</v>
      </c>
      <c r="G2596" s="111">
        <f>ROUND(D2596*E2596/F2596,0)</f>
        <v>4846</v>
      </c>
    </row>
    <row r="2597" spans="1:7">
      <c r="A2597" s="95"/>
      <c r="B2597" s="835"/>
      <c r="C2597" s="836"/>
      <c r="D2597" s="89"/>
      <c r="E2597" s="82"/>
      <c r="F2597" s="83"/>
      <c r="G2597" s="111"/>
    </row>
    <row r="2598" spans="1:7">
      <c r="A2598" s="95"/>
      <c r="B2598" s="835"/>
      <c r="C2598" s="836"/>
      <c r="D2598" s="89"/>
      <c r="E2598" s="82"/>
      <c r="F2598" s="83"/>
      <c r="G2598" s="111"/>
    </row>
    <row r="2599" spans="1:7">
      <c r="A2599" s="95"/>
      <c r="B2599" s="835" t="s">
        <v>841</v>
      </c>
      <c r="C2599" s="836"/>
      <c r="D2599" s="37"/>
      <c r="E2599" s="82"/>
      <c r="F2599" s="83"/>
      <c r="G2599" s="111"/>
    </row>
    <row r="2600" spans="1:7" ht="13.5" thickBot="1">
      <c r="A2600" s="95"/>
      <c r="B2600" s="839" t="s">
        <v>841</v>
      </c>
      <c r="C2600" s="840"/>
      <c r="D2600" s="77"/>
      <c r="E2600" s="106"/>
      <c r="F2600" s="86"/>
      <c r="G2600" s="112"/>
    </row>
    <row r="2601" spans="1:7" ht="14.25" thickTop="1" thickBot="1">
      <c r="A2601" s="95"/>
      <c r="B2601" s="808"/>
      <c r="C2601" s="808"/>
      <c r="D2601" s="808"/>
      <c r="E2601" s="809"/>
      <c r="F2601" s="119" t="s">
        <v>856</v>
      </c>
      <c r="G2601" s="118">
        <f>SUM(G2595:G2600)</f>
        <v>5113</v>
      </c>
    </row>
    <row r="2602" spans="1:7" ht="14.25" thickTop="1" thickBot="1">
      <c r="A2602" s="95"/>
      <c r="B2602" s="830"/>
      <c r="C2602" s="830"/>
      <c r="D2602" s="830"/>
      <c r="E2602" s="830"/>
      <c r="F2602" s="830"/>
      <c r="G2602" s="830"/>
    </row>
    <row r="2603" spans="1:7" ht="13.5" thickTop="1">
      <c r="A2603" s="95"/>
      <c r="B2603" s="811" t="s">
        <v>311</v>
      </c>
      <c r="C2603" s="812"/>
      <c r="D2603" s="812"/>
      <c r="E2603" s="812"/>
      <c r="F2603" s="812"/>
      <c r="G2603" s="825"/>
    </row>
    <row r="2604" spans="1:7">
      <c r="A2604" s="95"/>
      <c r="B2604" s="817" t="s">
        <v>838</v>
      </c>
      <c r="C2604" s="818"/>
      <c r="D2604" s="98" t="s">
        <v>842</v>
      </c>
      <c r="E2604" s="98" t="s">
        <v>853</v>
      </c>
      <c r="F2604" s="99" t="s">
        <v>1047</v>
      </c>
      <c r="G2604" s="107" t="s">
        <v>840</v>
      </c>
    </row>
    <row r="2605" spans="1:7">
      <c r="A2605" s="95"/>
      <c r="B2605" s="230"/>
      <c r="C2605" s="102"/>
      <c r="D2605" s="100"/>
      <c r="E2605" s="100" t="s">
        <v>312</v>
      </c>
      <c r="F2605" s="101" t="s">
        <v>313</v>
      </c>
      <c r="G2605" s="108" t="s">
        <v>314</v>
      </c>
    </row>
    <row r="2606" spans="1:7">
      <c r="A2606" s="125"/>
      <c r="B2606" s="841" t="str">
        <f>MATERIALES2!C20</f>
        <v xml:space="preserve">ARENA </v>
      </c>
      <c r="C2606" s="842"/>
      <c r="D2606" s="87" t="str">
        <f>MATERIALES2!D20</f>
        <v>M3</v>
      </c>
      <c r="E2606" s="81">
        <v>1.1000000000000001</v>
      </c>
      <c r="F2606" s="80">
        <f>MATERIALES2!E20</f>
        <v>35000</v>
      </c>
      <c r="G2606" s="110">
        <f>ROUND(E2606*F2606,0)</f>
        <v>38500</v>
      </c>
    </row>
    <row r="2607" spans="1:7">
      <c r="A2607" s="123"/>
      <c r="B2607" s="873"/>
      <c r="C2607" s="874"/>
      <c r="D2607" s="88"/>
      <c r="E2607" s="83"/>
      <c r="F2607" s="82"/>
      <c r="G2607" s="111"/>
    </row>
    <row r="2608" spans="1:7">
      <c r="A2608" s="95"/>
      <c r="B2608" s="835"/>
      <c r="C2608" s="836"/>
      <c r="D2608" s="37"/>
      <c r="E2608" s="136"/>
      <c r="F2608" s="82"/>
      <c r="G2608" s="111"/>
    </row>
    <row r="2609" spans="1:8">
      <c r="A2609" s="95"/>
      <c r="B2609" s="835"/>
      <c r="C2609" s="836"/>
      <c r="D2609" s="37"/>
      <c r="E2609" s="136"/>
      <c r="F2609" s="82"/>
      <c r="G2609" s="111"/>
    </row>
    <row r="2610" spans="1:8">
      <c r="A2610" s="95"/>
      <c r="B2610" s="837"/>
      <c r="C2610" s="838"/>
      <c r="D2610" s="37"/>
      <c r="E2610" s="136"/>
      <c r="F2610" s="82"/>
      <c r="G2610" s="111"/>
    </row>
    <row r="2611" spans="1:8">
      <c r="A2611" s="95"/>
      <c r="B2611" s="837"/>
      <c r="C2611" s="838"/>
      <c r="D2611" s="53" t="s">
        <v>841</v>
      </c>
      <c r="E2611" s="83"/>
      <c r="F2611" s="82"/>
      <c r="G2611" s="111"/>
    </row>
    <row r="2612" spans="1:8">
      <c r="A2612" s="95"/>
      <c r="B2612" s="837" t="s">
        <v>841</v>
      </c>
      <c r="C2612" s="838"/>
      <c r="D2612" s="53" t="s">
        <v>841</v>
      </c>
      <c r="E2612" s="83"/>
      <c r="F2612" s="82"/>
      <c r="G2612" s="111"/>
    </row>
    <row r="2613" spans="1:8">
      <c r="A2613" s="95"/>
      <c r="B2613" s="837" t="s">
        <v>841</v>
      </c>
      <c r="C2613" s="838"/>
      <c r="D2613" s="53" t="s">
        <v>841</v>
      </c>
      <c r="E2613" s="83"/>
      <c r="F2613" s="82"/>
      <c r="G2613" s="111"/>
      <c r="H2613" s="505" t="s">
        <v>1670</v>
      </c>
    </row>
    <row r="2614" spans="1:8" ht="13.5" thickBot="1">
      <c r="A2614" s="95"/>
      <c r="B2614" s="839" t="s">
        <v>841</v>
      </c>
      <c r="C2614" s="840"/>
      <c r="D2614" s="84" t="s">
        <v>841</v>
      </c>
      <c r="E2614" s="86"/>
      <c r="F2614" s="85"/>
      <c r="G2614" s="112"/>
    </row>
    <row r="2615" spans="1:8" ht="13.5" thickTop="1">
      <c r="A2615" s="95"/>
      <c r="B2615" s="808"/>
      <c r="C2615" s="809"/>
      <c r="D2615" s="801" t="s">
        <v>856</v>
      </c>
      <c r="E2615" s="802"/>
      <c r="F2615" s="9"/>
      <c r="G2615" s="113">
        <f>SUM(G2606:G2614)</f>
        <v>38500</v>
      </c>
    </row>
    <row r="2616" spans="1:8">
      <c r="A2616" s="95"/>
      <c r="B2616" s="819"/>
      <c r="C2616" s="820"/>
      <c r="D2616" s="801" t="s">
        <v>857</v>
      </c>
      <c r="E2616" s="802"/>
      <c r="F2616" s="79">
        <f>'MANO DE OBRA'!D60</f>
        <v>0.05</v>
      </c>
      <c r="G2616" s="113">
        <f>ROUND(G2615*F2616,0)</f>
        <v>1925</v>
      </c>
    </row>
    <row r="2617" spans="1:8" ht="13.5" thickBot="1">
      <c r="A2617" s="95"/>
      <c r="B2617" s="819"/>
      <c r="C2617" s="820"/>
      <c r="D2617" s="803" t="s">
        <v>320</v>
      </c>
      <c r="E2617" s="804"/>
      <c r="F2617" s="114"/>
      <c r="G2617" s="118">
        <f>+G2615+G2616</f>
        <v>40425</v>
      </c>
    </row>
    <row r="2618" spans="1:8" ht="14.25" thickTop="1" thickBot="1">
      <c r="A2618" s="95"/>
      <c r="B2618" s="830"/>
      <c r="C2618" s="830"/>
      <c r="D2618" s="830"/>
      <c r="E2618" s="830"/>
      <c r="F2618" s="830"/>
      <c r="G2618" s="830"/>
    </row>
    <row r="2619" spans="1:8" ht="13.5" thickTop="1">
      <c r="A2619" s="95"/>
      <c r="B2619" s="811" t="s">
        <v>858</v>
      </c>
      <c r="C2619" s="812"/>
      <c r="D2619" s="812"/>
      <c r="E2619" s="812"/>
      <c r="F2619" s="812"/>
      <c r="G2619" s="825"/>
    </row>
    <row r="2620" spans="1:8">
      <c r="A2620" s="95"/>
      <c r="B2620" s="817"/>
      <c r="C2620" s="818"/>
      <c r="D2620" s="98" t="s">
        <v>301</v>
      </c>
      <c r="E2620" s="98" t="s">
        <v>859</v>
      </c>
      <c r="F2620" s="99" t="s">
        <v>839</v>
      </c>
      <c r="G2620" s="107" t="s">
        <v>840</v>
      </c>
    </row>
    <row r="2621" spans="1:8">
      <c r="A2621" s="95"/>
      <c r="B2621" s="821" t="s">
        <v>838</v>
      </c>
      <c r="C2621" s="822"/>
      <c r="D2621" s="100" t="s">
        <v>316</v>
      </c>
      <c r="E2621" s="100" t="s">
        <v>315</v>
      </c>
      <c r="F2621" s="101" t="s">
        <v>306</v>
      </c>
      <c r="G2621" s="108" t="s">
        <v>319</v>
      </c>
    </row>
    <row r="2622" spans="1:8">
      <c r="A2622" s="95"/>
      <c r="B2622" s="230"/>
      <c r="C2622" s="102"/>
      <c r="D2622" s="103"/>
      <c r="E2622" s="103" t="s">
        <v>317</v>
      </c>
      <c r="F2622" s="104" t="s">
        <v>318</v>
      </c>
      <c r="G2622" s="109"/>
    </row>
    <row r="2623" spans="1:8">
      <c r="A2623" s="95"/>
      <c r="B2623" s="823" t="str">
        <f>'MANO DE OBRA'!B10</f>
        <v>AYUDANTE CUAD. TIPO AA</v>
      </c>
      <c r="C2623" s="824"/>
      <c r="D2623" s="87">
        <v>2</v>
      </c>
      <c r="E2623" s="80">
        <f>'MANO DE OBRA'!E10</f>
        <v>34680</v>
      </c>
      <c r="F2623" s="81">
        <v>13</v>
      </c>
      <c r="G2623" s="110">
        <f>ROUND(D2623*E2623/F2623,0)</f>
        <v>5335</v>
      </c>
    </row>
    <row r="2624" spans="1:8">
      <c r="A2624" s="95"/>
      <c r="B2624" s="835"/>
      <c r="C2624" s="836"/>
      <c r="D2624" s="37"/>
      <c r="E2624" s="82"/>
      <c r="F2624" s="83"/>
      <c r="G2624" s="111"/>
    </row>
    <row r="2625" spans="1:8">
      <c r="A2625" s="95"/>
      <c r="B2625" s="835"/>
      <c r="C2625" s="836"/>
      <c r="D2625" s="89"/>
      <c r="E2625" s="82"/>
      <c r="F2625" s="83"/>
      <c r="G2625" s="111"/>
    </row>
    <row r="2626" spans="1:8">
      <c r="A2626" s="95"/>
      <c r="B2626" s="835" t="s">
        <v>841</v>
      </c>
      <c r="C2626" s="836"/>
      <c r="D2626" s="37"/>
      <c r="E2626" s="82"/>
      <c r="F2626" s="83"/>
      <c r="G2626" s="111"/>
    </row>
    <row r="2627" spans="1:8" ht="13.5" thickBot="1">
      <c r="A2627" s="95"/>
      <c r="B2627" s="828" t="s">
        <v>841</v>
      </c>
      <c r="C2627" s="829"/>
      <c r="D2627" s="77"/>
      <c r="E2627" s="82"/>
      <c r="F2627" s="86"/>
      <c r="G2627" s="112"/>
    </row>
    <row r="2628" spans="1:8" ht="14.25" thickTop="1" thickBot="1">
      <c r="A2628" s="95"/>
      <c r="B2628" s="808"/>
      <c r="C2628" s="808"/>
      <c r="D2628" s="808"/>
      <c r="E2628" s="809"/>
      <c r="F2628" s="120" t="s">
        <v>856</v>
      </c>
      <c r="G2628" s="118">
        <f>SUM(G2623:G2627)</f>
        <v>5335</v>
      </c>
    </row>
    <row r="2629" spans="1:8" ht="14.25" thickTop="1" thickBot="1">
      <c r="A2629" s="95"/>
      <c r="B2629" s="810"/>
      <c r="C2629" s="810"/>
      <c r="D2629" s="810"/>
      <c r="E2629" s="810"/>
      <c r="F2629" s="810"/>
      <c r="G2629" s="810"/>
    </row>
    <row r="2630" spans="1:8" ht="13.5" thickTop="1">
      <c r="A2630" s="95"/>
      <c r="B2630" s="811" t="s">
        <v>321</v>
      </c>
      <c r="C2630" s="812"/>
      <c r="D2630" s="812"/>
      <c r="E2630" s="812"/>
      <c r="F2630" s="812"/>
      <c r="G2630" s="825"/>
    </row>
    <row r="2631" spans="1:8">
      <c r="A2631" s="95"/>
      <c r="B2631" s="817" t="s">
        <v>838</v>
      </c>
      <c r="C2631" s="818"/>
      <c r="D2631" s="98" t="s">
        <v>301</v>
      </c>
      <c r="E2631" s="98" t="s">
        <v>297</v>
      </c>
      <c r="F2631" s="99" t="s">
        <v>839</v>
      </c>
      <c r="G2631" s="107" t="s">
        <v>840</v>
      </c>
    </row>
    <row r="2632" spans="1:8">
      <c r="A2632" s="95"/>
      <c r="B2632" s="230"/>
      <c r="C2632" s="102"/>
      <c r="D2632" s="103" t="s">
        <v>322</v>
      </c>
      <c r="E2632" s="103" t="s">
        <v>323</v>
      </c>
      <c r="F2632" s="104" t="s">
        <v>324</v>
      </c>
      <c r="G2632" s="109" t="s">
        <v>325</v>
      </c>
    </row>
    <row r="2633" spans="1:8">
      <c r="A2633" s="95"/>
      <c r="B2633" s="826" t="s">
        <v>353</v>
      </c>
      <c r="C2633" s="827"/>
      <c r="D2633" s="96">
        <v>1</v>
      </c>
      <c r="E2633" s="138">
        <f>ROUND('MANO DE OBRA'!E10/16,0)</f>
        <v>2168</v>
      </c>
      <c r="F2633" s="96">
        <v>1</v>
      </c>
      <c r="G2633" s="137">
        <f>ROUND(D2633*E2633*F2633,0)</f>
        <v>2168</v>
      </c>
    </row>
    <row r="2634" spans="1:8" ht="13.5" thickBot="1">
      <c r="A2634" s="95"/>
      <c r="B2634" s="828" t="s">
        <v>841</v>
      </c>
      <c r="C2634" s="829"/>
      <c r="D2634" s="77"/>
      <c r="E2634" s="82"/>
      <c r="F2634" s="86"/>
      <c r="G2634" s="112"/>
    </row>
    <row r="2635" spans="1:8" ht="14.25" thickTop="1" thickBot="1">
      <c r="A2635" s="95"/>
      <c r="B2635" s="808"/>
      <c r="C2635" s="808"/>
      <c r="D2635" s="808"/>
      <c r="E2635" s="809"/>
      <c r="F2635" s="120" t="s">
        <v>856</v>
      </c>
      <c r="G2635" s="118">
        <f>SUM(G2630:G2634)</f>
        <v>2168</v>
      </c>
    </row>
    <row r="2636" spans="1:8" ht="14.25" thickTop="1" thickBot="1">
      <c r="A2636" s="95"/>
      <c r="B2636" s="810"/>
      <c r="C2636" s="810"/>
      <c r="D2636" s="810"/>
      <c r="E2636" s="810"/>
      <c r="F2636" s="810"/>
      <c r="G2636" s="834"/>
    </row>
    <row r="2637" spans="1:8" ht="13.5" thickTop="1">
      <c r="A2637" s="95"/>
      <c r="B2637" s="811" t="s">
        <v>326</v>
      </c>
      <c r="C2637" s="812"/>
      <c r="D2637" s="812"/>
      <c r="E2637" s="812"/>
      <c r="F2637" s="813"/>
      <c r="G2637" s="121">
        <f>+G2601+G2617+G2628</f>
        <v>50873</v>
      </c>
    </row>
    <row r="2638" spans="1:8">
      <c r="A2638" s="95"/>
      <c r="B2638" s="814" t="s">
        <v>861</v>
      </c>
      <c r="C2638" s="815"/>
      <c r="D2638" s="815"/>
      <c r="E2638" s="816"/>
      <c r="F2638" s="128">
        <f>'MANO DE OBRA'!D59</f>
        <v>0</v>
      </c>
      <c r="G2638" s="122">
        <f>ROUND(G2637*F2638,0)</f>
        <v>0</v>
      </c>
    </row>
    <row r="2639" spans="1:8" ht="13.5" thickBot="1">
      <c r="A2639" s="95"/>
      <c r="B2639" s="805" t="s">
        <v>1049</v>
      </c>
      <c r="C2639" s="806"/>
      <c r="D2639" s="806"/>
      <c r="E2639" s="806"/>
      <c r="F2639" s="807"/>
      <c r="G2639" s="118">
        <f>ROUND(G2637+G2638,-2)</f>
        <v>50900</v>
      </c>
      <c r="H2639" s="505" t="s">
        <v>1670</v>
      </c>
    </row>
    <row r="2640" spans="1:8" ht="13.5" thickTop="1">
      <c r="B2640" s="515" t="s">
        <v>303</v>
      </c>
      <c r="C2640" s="885"/>
      <c r="D2640" s="885"/>
      <c r="E2640" s="885"/>
      <c r="F2640" s="516" t="s">
        <v>781</v>
      </c>
      <c r="G2640" s="441" t="s">
        <v>669</v>
      </c>
    </row>
    <row r="2641" spans="2:7">
      <c r="B2641" s="517" t="s">
        <v>834</v>
      </c>
      <c r="C2641" s="886"/>
      <c r="D2641" s="886"/>
      <c r="E2641" s="886"/>
      <c r="F2641" s="518" t="s">
        <v>833</v>
      </c>
      <c r="G2641" s="165" t="str">
        <f>'MANO DE OBRA'!D61</f>
        <v>Agosto de 2010</v>
      </c>
    </row>
    <row r="2642" spans="2:7" ht="13.5" thickBot="1">
      <c r="B2642" s="519" t="s">
        <v>835</v>
      </c>
      <c r="C2642" s="887" t="s">
        <v>1685</v>
      </c>
      <c r="D2642" s="887"/>
      <c r="E2642" s="887"/>
      <c r="F2642" s="887"/>
      <c r="G2642" s="888"/>
    </row>
    <row r="2643" spans="2:7" ht="14.25" thickTop="1" thickBot="1">
      <c r="B2643" s="889"/>
      <c r="C2643" s="889"/>
      <c r="D2643" s="889"/>
      <c r="E2643" s="889"/>
      <c r="F2643" s="889"/>
      <c r="G2643" s="889"/>
    </row>
    <row r="2644" spans="2:7" ht="13.5" thickTop="1">
      <c r="B2644" s="890" t="s">
        <v>304</v>
      </c>
      <c r="C2644" s="891"/>
      <c r="D2644" s="891"/>
      <c r="E2644" s="891"/>
      <c r="F2644" s="891"/>
      <c r="G2644" s="892"/>
    </row>
    <row r="2645" spans="2:7">
      <c r="B2645" s="893" t="s">
        <v>838</v>
      </c>
      <c r="C2645" s="893"/>
      <c r="D2645" s="520" t="s">
        <v>301</v>
      </c>
      <c r="E2645" s="520" t="s">
        <v>1683</v>
      </c>
      <c r="F2645" s="521" t="s">
        <v>839</v>
      </c>
      <c r="G2645" s="522" t="s">
        <v>840</v>
      </c>
    </row>
    <row r="2646" spans="2:7">
      <c r="B2646" s="894" t="str">
        <f>'MAQUINARIA Y EQUIPOS'!C28</f>
        <v>HERRAMIENTAS MENORES</v>
      </c>
      <c r="C2646" s="895"/>
      <c r="D2646" s="523">
        <v>1</v>
      </c>
      <c r="E2646" s="524">
        <f>ROUND(G2677*0.05,0)</f>
        <v>439</v>
      </c>
      <c r="F2646" s="525">
        <v>1</v>
      </c>
      <c r="G2646" s="526">
        <f>ROUND(D2646*E2646/F2646,0)</f>
        <v>439</v>
      </c>
    </row>
    <row r="2647" spans="2:7">
      <c r="B2647" s="894" t="str">
        <f>'MAQUINARIA Y EQUIPOS'!C66</f>
        <v>RANA</v>
      </c>
      <c r="C2647" s="895"/>
      <c r="D2647" s="37">
        <v>1</v>
      </c>
      <c r="E2647" s="527">
        <f>'MAQUINARIA Y EQUIPOS'!D66/8</f>
        <v>9225</v>
      </c>
      <c r="F2647" s="528">
        <v>5</v>
      </c>
      <c r="G2647" s="530">
        <f>E2647/F2647</f>
        <v>1845</v>
      </c>
    </row>
    <row r="2648" spans="2:7">
      <c r="B2648" s="835"/>
      <c r="C2648" s="836"/>
      <c r="D2648" s="89"/>
      <c r="E2648" s="527"/>
      <c r="F2648" s="528"/>
      <c r="G2648" s="530"/>
    </row>
    <row r="2649" spans="2:7">
      <c r="B2649" s="835"/>
      <c r="C2649" s="836"/>
      <c r="D2649" s="89"/>
      <c r="E2649" s="527"/>
      <c r="F2649" s="528"/>
      <c r="G2649" s="530"/>
    </row>
    <row r="2650" spans="2:7">
      <c r="B2650" s="835" t="s">
        <v>841</v>
      </c>
      <c r="C2650" s="836"/>
      <c r="D2650" s="37"/>
      <c r="E2650" s="527"/>
      <c r="F2650" s="528"/>
      <c r="G2650" s="530"/>
    </row>
    <row r="2651" spans="2:7" ht="13.5" thickBot="1">
      <c r="B2651" s="839" t="s">
        <v>841</v>
      </c>
      <c r="C2651" s="840"/>
      <c r="D2651" s="77"/>
      <c r="E2651" s="531"/>
      <c r="F2651" s="532"/>
      <c r="G2651" s="533"/>
    </row>
    <row r="2652" spans="2:7" ht="14.25" thickTop="1" thickBot="1">
      <c r="B2652" s="808"/>
      <c r="C2652" s="808"/>
      <c r="D2652" s="808"/>
      <c r="E2652" s="809"/>
      <c r="F2652" s="534" t="s">
        <v>856</v>
      </c>
      <c r="G2652" s="535">
        <f>SUM(G2646:G2651)</f>
        <v>2284</v>
      </c>
    </row>
    <row r="2653" spans="2:7" ht="14.25" thickTop="1" thickBot="1">
      <c r="B2653" s="830"/>
      <c r="C2653" s="830"/>
      <c r="D2653" s="830"/>
      <c r="E2653" s="830"/>
      <c r="F2653" s="830"/>
      <c r="G2653" s="830"/>
    </row>
    <row r="2654" spans="2:7" ht="13.5" thickTop="1">
      <c r="B2654" s="890" t="s">
        <v>311</v>
      </c>
      <c r="C2654" s="891"/>
      <c r="D2654" s="891"/>
      <c r="E2654" s="891"/>
      <c r="F2654" s="891"/>
      <c r="G2654" s="892"/>
    </row>
    <row r="2655" spans="2:7">
      <c r="B2655" s="929" t="s">
        <v>838</v>
      </c>
      <c r="C2655" s="930"/>
      <c r="D2655" s="536" t="s">
        <v>842</v>
      </c>
      <c r="E2655" s="536" t="s">
        <v>853</v>
      </c>
      <c r="F2655" s="521" t="s">
        <v>1047</v>
      </c>
      <c r="G2655" s="522" t="s">
        <v>840</v>
      </c>
    </row>
    <row r="2656" spans="2:7">
      <c r="B2656" s="931" t="str">
        <f>MATERIALES2!C22</f>
        <v>BOLO DE RIO</v>
      </c>
      <c r="C2656" s="932"/>
      <c r="D2656" s="439" t="s">
        <v>669</v>
      </c>
      <c r="E2656" s="537">
        <v>1.25</v>
      </c>
      <c r="F2656" s="538">
        <f>MATERIALES2!E22</f>
        <v>77720</v>
      </c>
      <c r="G2656" s="526">
        <f>E2656*F2656</f>
        <v>97150</v>
      </c>
    </row>
    <row r="2657" spans="2:8">
      <c r="B2657" s="894"/>
      <c r="C2657" s="895"/>
      <c r="D2657" s="539"/>
      <c r="E2657" s="540"/>
      <c r="F2657" s="541"/>
      <c r="G2657" s="542"/>
    </row>
    <row r="2658" spans="2:8">
      <c r="B2658" s="835"/>
      <c r="C2658" s="836"/>
      <c r="D2658" s="37"/>
      <c r="E2658" s="55"/>
      <c r="F2658" s="527"/>
      <c r="G2658" s="530"/>
    </row>
    <row r="2659" spans="2:8">
      <c r="B2659" s="835"/>
      <c r="C2659" s="836"/>
      <c r="D2659" s="37"/>
      <c r="E2659" s="55"/>
      <c r="F2659" s="527"/>
      <c r="G2659" s="530"/>
    </row>
    <row r="2660" spans="2:8">
      <c r="B2660" s="837"/>
      <c r="C2660" s="838"/>
      <c r="D2660" s="37"/>
      <c r="E2660" s="55"/>
      <c r="F2660" s="527"/>
      <c r="G2660" s="530"/>
    </row>
    <row r="2661" spans="2:8">
      <c r="B2661" s="837"/>
      <c r="C2661" s="838"/>
      <c r="D2661" s="543" t="s">
        <v>841</v>
      </c>
      <c r="E2661" s="543"/>
      <c r="F2661" s="527"/>
      <c r="G2661" s="530"/>
    </row>
    <row r="2662" spans="2:8">
      <c r="B2662" s="837" t="s">
        <v>841</v>
      </c>
      <c r="C2662" s="838"/>
      <c r="D2662" s="543" t="s">
        <v>841</v>
      </c>
      <c r="E2662" s="543"/>
      <c r="F2662" s="527"/>
      <c r="G2662" s="530"/>
      <c r="H2662" s="505" t="s">
        <v>1670</v>
      </c>
    </row>
    <row r="2663" spans="2:8">
      <c r="B2663" s="837" t="s">
        <v>841</v>
      </c>
      <c r="C2663" s="838"/>
      <c r="D2663" s="543" t="s">
        <v>841</v>
      </c>
      <c r="E2663" s="543"/>
      <c r="F2663" s="527"/>
      <c r="G2663" s="530"/>
    </row>
    <row r="2664" spans="2:8" ht="13.5" thickBot="1">
      <c r="B2664" s="839" t="s">
        <v>841</v>
      </c>
      <c r="C2664" s="840"/>
      <c r="D2664" s="544" t="s">
        <v>841</v>
      </c>
      <c r="E2664" s="544"/>
      <c r="F2664" s="545"/>
      <c r="G2664" s="533"/>
    </row>
    <row r="2665" spans="2:8" ht="13.5" thickTop="1">
      <c r="B2665" s="808"/>
      <c r="C2665" s="809"/>
      <c r="D2665" s="801" t="s">
        <v>856</v>
      </c>
      <c r="E2665" s="802"/>
      <c r="F2665" s="546"/>
      <c r="G2665" s="547">
        <f>SUM(G2656:G2664)</f>
        <v>97150</v>
      </c>
    </row>
    <row r="2666" spans="2:8">
      <c r="B2666" s="819"/>
      <c r="C2666" s="820"/>
      <c r="D2666" s="801" t="s">
        <v>857</v>
      </c>
      <c r="E2666" s="802"/>
      <c r="F2666" s="548"/>
      <c r="G2666" s="547">
        <f>ROUND(G2665*F2666,0)</f>
        <v>0</v>
      </c>
    </row>
    <row r="2667" spans="2:8" ht="13.5" thickBot="1">
      <c r="B2667" s="819"/>
      <c r="C2667" s="820"/>
      <c r="D2667" s="917" t="s">
        <v>320</v>
      </c>
      <c r="E2667" s="918"/>
      <c r="F2667" s="549"/>
      <c r="G2667" s="535">
        <f>+G2665+G2666</f>
        <v>97150</v>
      </c>
    </row>
    <row r="2668" spans="2:8" ht="14.25" thickTop="1" thickBot="1">
      <c r="B2668" s="830"/>
      <c r="C2668" s="830"/>
      <c r="D2668" s="830"/>
      <c r="E2668" s="830"/>
      <c r="F2668" s="830"/>
      <c r="G2668" s="830"/>
    </row>
    <row r="2669" spans="2:8" ht="13.5" thickTop="1">
      <c r="B2669" s="811" t="s">
        <v>858</v>
      </c>
      <c r="C2669" s="812"/>
      <c r="D2669" s="812"/>
      <c r="E2669" s="812"/>
      <c r="F2669" s="812"/>
      <c r="G2669" s="825"/>
    </row>
    <row r="2670" spans="2:8">
      <c r="B2670" s="817"/>
      <c r="C2670" s="818"/>
      <c r="D2670" s="98" t="s">
        <v>301</v>
      </c>
      <c r="E2670" s="98" t="s">
        <v>1661</v>
      </c>
      <c r="F2670" s="99" t="s">
        <v>839</v>
      </c>
      <c r="G2670" s="107" t="s">
        <v>840</v>
      </c>
    </row>
    <row r="2671" spans="2:8">
      <c r="B2671" s="821" t="s">
        <v>838</v>
      </c>
      <c r="C2671" s="822"/>
      <c r="D2671" s="100"/>
      <c r="E2671" s="100"/>
      <c r="F2671" s="101"/>
      <c r="G2671" s="108"/>
    </row>
    <row r="2672" spans="2:8">
      <c r="B2672" s="230"/>
      <c r="C2672" s="102"/>
      <c r="D2672" s="103"/>
      <c r="E2672" s="103"/>
      <c r="F2672" s="104"/>
      <c r="G2672" s="109"/>
    </row>
    <row r="2673" spans="2:8">
      <c r="B2673" s="905" t="str">
        <f>'MANO DE OBRA'!$B$15</f>
        <v xml:space="preserve">OFICIAL CUAD. TIPO AA </v>
      </c>
      <c r="C2673" s="906"/>
      <c r="D2673" s="482">
        <v>1</v>
      </c>
      <c r="E2673" s="80">
        <f>'MANO DE OBRA'!$E$15</f>
        <v>71474</v>
      </c>
      <c r="F2673" s="483">
        <v>20</v>
      </c>
      <c r="G2673" s="465">
        <f>ROUND(D2673*E2673/F2673,0)</f>
        <v>3574</v>
      </c>
    </row>
    <row r="2674" spans="2:8">
      <c r="B2674" s="925" t="str">
        <f>'MANO DE OBRA'!$B$10</f>
        <v>AYUDANTE CUAD. TIPO AA</v>
      </c>
      <c r="C2674" s="926"/>
      <c r="D2674" s="484">
        <v>3</v>
      </c>
      <c r="E2674" s="82">
        <f>'MANO DE OBRA'!$E$10</f>
        <v>34680</v>
      </c>
      <c r="F2674" s="464">
        <v>20</v>
      </c>
      <c r="G2674" s="465">
        <f>ROUND(D2674*E2674/F2674,0)</f>
        <v>5202</v>
      </c>
    </row>
    <row r="2675" spans="2:8">
      <c r="B2675" s="925"/>
      <c r="C2675" s="926"/>
      <c r="D2675" s="484"/>
      <c r="E2675" s="484"/>
      <c r="F2675" s="464"/>
      <c r="G2675" s="465"/>
    </row>
    <row r="2676" spans="2:8" ht="13.5" thickBot="1">
      <c r="B2676" s="925"/>
      <c r="C2676" s="926"/>
      <c r="D2676" s="484"/>
      <c r="E2676" s="485"/>
      <c r="F2676" s="469"/>
      <c r="G2676" s="465"/>
    </row>
    <row r="2677" spans="2:8" ht="14.25" thickTop="1" thickBot="1">
      <c r="B2677" s="927"/>
      <c r="C2677" s="927"/>
      <c r="D2677" s="927"/>
      <c r="E2677" s="928"/>
      <c r="F2677" s="120" t="s">
        <v>856</v>
      </c>
      <c r="G2677" s="471">
        <f>+G2673+G2674+G2675</f>
        <v>8776</v>
      </c>
    </row>
    <row r="2678" spans="2:8" ht="14.25" thickTop="1" thickBot="1">
      <c r="B2678" s="168"/>
      <c r="C2678" s="168"/>
      <c r="D2678" s="168"/>
      <c r="E2678" s="168"/>
      <c r="F2678" s="486"/>
      <c r="G2678" s="562"/>
    </row>
    <row r="2679" spans="2:8" ht="13.5" thickTop="1">
      <c r="B2679" s="890" t="s">
        <v>321</v>
      </c>
      <c r="C2679" s="891"/>
      <c r="D2679" s="891"/>
      <c r="E2679" s="891"/>
      <c r="F2679" s="891"/>
      <c r="G2679" s="892"/>
    </row>
    <row r="2680" spans="2:8">
      <c r="B2680" s="550" t="s">
        <v>838</v>
      </c>
      <c r="C2680" s="520" t="s">
        <v>1687</v>
      </c>
      <c r="D2680" s="520" t="s">
        <v>1688</v>
      </c>
      <c r="E2680" s="520" t="s">
        <v>1689</v>
      </c>
      <c r="F2680" s="563" t="s">
        <v>297</v>
      </c>
      <c r="G2680" s="520" t="s">
        <v>1690</v>
      </c>
    </row>
    <row r="2681" spans="2:8">
      <c r="B2681" s="564"/>
      <c r="C2681" s="96"/>
      <c r="D2681" s="238"/>
      <c r="E2681" s="96"/>
      <c r="F2681" s="542"/>
      <c r="G2681" s="542"/>
    </row>
    <row r="2682" spans="2:8" ht="13.5" thickBot="1">
      <c r="B2682" s="551" t="s">
        <v>841</v>
      </c>
      <c r="C2682" s="552"/>
      <c r="D2682" s="77"/>
      <c r="E2682" s="527"/>
      <c r="F2682" s="532"/>
      <c r="G2682" s="533"/>
    </row>
    <row r="2683" spans="2:8" ht="14.25" thickTop="1" thickBot="1">
      <c r="B2683" s="808"/>
      <c r="C2683" s="808"/>
      <c r="D2683" s="808"/>
      <c r="E2683" s="809"/>
      <c r="F2683" s="553" t="s">
        <v>856</v>
      </c>
      <c r="G2683" s="535">
        <f>SUM(G2679:G2682)</f>
        <v>0</v>
      </c>
    </row>
    <row r="2684" spans="2:8" ht="14.25" thickTop="1" thickBot="1">
      <c r="B2684" s="810"/>
      <c r="C2684" s="810"/>
      <c r="D2684" s="810"/>
      <c r="E2684" s="810"/>
      <c r="F2684" s="810"/>
      <c r="G2684" s="834"/>
    </row>
    <row r="2685" spans="2:8" ht="13.5" thickTop="1">
      <c r="B2685" s="890" t="s">
        <v>326</v>
      </c>
      <c r="C2685" s="891"/>
      <c r="D2685" s="891"/>
      <c r="E2685" s="891"/>
      <c r="F2685" s="912"/>
      <c r="G2685" s="559">
        <f>+G2652+G2667+G2676+G2683</f>
        <v>99434</v>
      </c>
    </row>
    <row r="2686" spans="2:8">
      <c r="B2686" s="919" t="s">
        <v>861</v>
      </c>
      <c r="C2686" s="920"/>
      <c r="D2686" s="920"/>
      <c r="E2686" s="921"/>
      <c r="F2686" s="560">
        <f>'[1]MANO DE OBRA'!$D$59</f>
        <v>0</v>
      </c>
      <c r="G2686" s="561">
        <f>ROUND(G2685*F2686,0)</f>
        <v>0</v>
      </c>
    </row>
    <row r="2687" spans="2:8" ht="13.5" thickBot="1">
      <c r="B2687" s="922" t="s">
        <v>1049</v>
      </c>
      <c r="C2687" s="923"/>
      <c r="D2687" s="923"/>
      <c r="E2687" s="923"/>
      <c r="F2687" s="924"/>
      <c r="G2687" s="535">
        <f>ROUND(G2685+G2686,-2)</f>
        <v>99400</v>
      </c>
      <c r="H2687" s="505" t="s">
        <v>1670</v>
      </c>
    </row>
    <row r="2688" spans="2:8" ht="13.5" thickTop="1">
      <c r="B2688" s="515" t="s">
        <v>303</v>
      </c>
      <c r="C2688" s="885"/>
      <c r="D2688" s="885"/>
      <c r="E2688" s="885"/>
      <c r="F2688" s="516" t="s">
        <v>781</v>
      </c>
      <c r="G2688" s="441" t="s">
        <v>669</v>
      </c>
    </row>
    <row r="2689" spans="2:7">
      <c r="B2689" s="517" t="s">
        <v>834</v>
      </c>
      <c r="C2689" s="886"/>
      <c r="D2689" s="886"/>
      <c r="E2689" s="886"/>
      <c r="F2689" s="518" t="s">
        <v>833</v>
      </c>
      <c r="G2689" s="165" t="str">
        <f>'MANO DE OBRA'!D61</f>
        <v>Agosto de 2010</v>
      </c>
    </row>
    <row r="2690" spans="2:7" ht="13.5" thickBot="1">
      <c r="B2690" s="519" t="s">
        <v>835</v>
      </c>
      <c r="C2690" s="887" t="s">
        <v>1691</v>
      </c>
      <c r="D2690" s="887"/>
      <c r="E2690" s="887"/>
      <c r="F2690" s="887"/>
      <c r="G2690" s="888"/>
    </row>
    <row r="2691" spans="2:7" ht="14.25" thickTop="1" thickBot="1">
      <c r="B2691" s="889"/>
      <c r="C2691" s="889"/>
      <c r="D2691" s="889"/>
      <c r="E2691" s="889"/>
      <c r="F2691" s="889"/>
      <c r="G2691" s="889"/>
    </row>
    <row r="2692" spans="2:7" ht="13.5" thickTop="1">
      <c r="B2692" s="890" t="s">
        <v>304</v>
      </c>
      <c r="C2692" s="891"/>
      <c r="D2692" s="891"/>
      <c r="E2692" s="891"/>
      <c r="F2692" s="891"/>
      <c r="G2692" s="892"/>
    </row>
    <row r="2693" spans="2:7">
      <c r="B2693" s="893" t="s">
        <v>838</v>
      </c>
      <c r="C2693" s="893"/>
      <c r="D2693" s="520" t="s">
        <v>301</v>
      </c>
      <c r="E2693" s="520" t="s">
        <v>1683</v>
      </c>
      <c r="F2693" s="521" t="s">
        <v>839</v>
      </c>
      <c r="G2693" s="522" t="s">
        <v>840</v>
      </c>
    </row>
    <row r="2694" spans="2:7">
      <c r="B2694" s="894" t="str">
        <f>'MAQUINARIA Y EQUIPOS'!$C$28</f>
        <v>HERRAMIENTAS MENORES</v>
      </c>
      <c r="C2694" s="895"/>
      <c r="D2694" s="523">
        <v>1</v>
      </c>
      <c r="E2694" s="524">
        <f>ROUND(G2725*0.05,0)</f>
        <v>293</v>
      </c>
      <c r="F2694" s="525">
        <v>1</v>
      </c>
      <c r="G2694" s="526">
        <f>ROUND(D2694*E2694/F2694,0)</f>
        <v>293</v>
      </c>
    </row>
    <row r="2695" spans="2:7">
      <c r="B2695" s="894"/>
      <c r="C2695" s="895"/>
      <c r="D2695" s="37"/>
      <c r="E2695" s="527"/>
      <c r="F2695" s="528"/>
      <c r="G2695" s="530"/>
    </row>
    <row r="2696" spans="2:7">
      <c r="B2696" s="835"/>
      <c r="C2696" s="836"/>
      <c r="D2696" s="89"/>
      <c r="E2696" s="527"/>
      <c r="F2696" s="528"/>
      <c r="G2696" s="530"/>
    </row>
    <row r="2697" spans="2:7">
      <c r="B2697" s="835"/>
      <c r="C2697" s="836"/>
      <c r="D2697" s="89"/>
      <c r="E2697" s="527"/>
      <c r="F2697" s="528"/>
      <c r="G2697" s="530"/>
    </row>
    <row r="2698" spans="2:7">
      <c r="B2698" s="835" t="s">
        <v>841</v>
      </c>
      <c r="C2698" s="836"/>
      <c r="D2698" s="37"/>
      <c r="E2698" s="527"/>
      <c r="F2698" s="528"/>
      <c r="G2698" s="530"/>
    </row>
    <row r="2699" spans="2:7" ht="13.5" thickBot="1">
      <c r="B2699" s="839" t="s">
        <v>841</v>
      </c>
      <c r="C2699" s="840"/>
      <c r="D2699" s="77"/>
      <c r="E2699" s="531"/>
      <c r="F2699" s="532"/>
      <c r="G2699" s="533"/>
    </row>
    <row r="2700" spans="2:7" ht="14.25" thickTop="1" thickBot="1">
      <c r="B2700" s="808"/>
      <c r="C2700" s="808"/>
      <c r="D2700" s="808"/>
      <c r="E2700" s="809"/>
      <c r="F2700" s="534" t="s">
        <v>856</v>
      </c>
      <c r="G2700" s="535">
        <f>SUM(G2694:G2699)</f>
        <v>293</v>
      </c>
    </row>
    <row r="2701" spans="2:7" ht="14.25" thickTop="1" thickBot="1">
      <c r="B2701" s="830"/>
      <c r="C2701" s="830"/>
      <c r="D2701" s="830"/>
      <c r="E2701" s="830"/>
      <c r="F2701" s="830"/>
      <c r="G2701" s="830"/>
    </row>
    <row r="2702" spans="2:7" ht="13.5" thickTop="1">
      <c r="B2702" s="890" t="s">
        <v>311</v>
      </c>
      <c r="C2702" s="891"/>
      <c r="D2702" s="891"/>
      <c r="E2702" s="891"/>
      <c r="F2702" s="891"/>
      <c r="G2702" s="892"/>
    </row>
    <row r="2703" spans="2:7">
      <c r="B2703" s="929" t="s">
        <v>838</v>
      </c>
      <c r="C2703" s="930"/>
      <c r="D2703" s="536" t="s">
        <v>842</v>
      </c>
      <c r="E2703" s="536" t="s">
        <v>853</v>
      </c>
      <c r="F2703" s="521" t="s">
        <v>1047</v>
      </c>
      <c r="G2703" s="522" t="s">
        <v>840</v>
      </c>
    </row>
    <row r="2704" spans="2:7">
      <c r="B2704" s="931" t="str">
        <f>MATERIALES2!C27</f>
        <v>TRITURADO 3/4 "</v>
      </c>
      <c r="C2704" s="932"/>
      <c r="D2704" s="439" t="s">
        <v>669</v>
      </c>
      <c r="E2704" s="565">
        <v>1.25</v>
      </c>
      <c r="F2704" s="538">
        <f>MATERIALES2!E27</f>
        <v>78000</v>
      </c>
      <c r="G2704" s="526">
        <f>E2704*F2704</f>
        <v>97500</v>
      </c>
    </row>
    <row r="2705" spans="2:8">
      <c r="B2705" s="933"/>
      <c r="C2705" s="895"/>
      <c r="D2705" s="539"/>
      <c r="E2705" s="540"/>
      <c r="F2705" s="541"/>
      <c r="G2705" s="542"/>
    </row>
    <row r="2706" spans="2:8">
      <c r="B2706" s="835"/>
      <c r="C2706" s="836"/>
      <c r="D2706" s="37"/>
      <c r="E2706" s="55"/>
      <c r="F2706" s="527"/>
      <c r="G2706" s="530"/>
    </row>
    <row r="2707" spans="2:8">
      <c r="B2707" s="835"/>
      <c r="C2707" s="836"/>
      <c r="D2707" s="37"/>
      <c r="E2707" s="55"/>
      <c r="F2707" s="527"/>
      <c r="G2707" s="530"/>
    </row>
    <row r="2708" spans="2:8">
      <c r="B2708" s="837"/>
      <c r="C2708" s="838"/>
      <c r="D2708" s="37"/>
      <c r="E2708" s="55"/>
      <c r="F2708" s="527"/>
      <c r="G2708" s="530"/>
    </row>
    <row r="2709" spans="2:8">
      <c r="B2709" s="837"/>
      <c r="C2709" s="838"/>
      <c r="D2709" s="543" t="s">
        <v>841</v>
      </c>
      <c r="E2709" s="543"/>
      <c r="F2709" s="527"/>
      <c r="G2709" s="530"/>
    </row>
    <row r="2710" spans="2:8">
      <c r="B2710" s="837" t="s">
        <v>841</v>
      </c>
      <c r="C2710" s="838"/>
      <c r="D2710" s="543" t="s">
        <v>841</v>
      </c>
      <c r="E2710" s="543"/>
      <c r="F2710" s="527"/>
      <c r="G2710" s="530"/>
      <c r="H2710" s="505" t="s">
        <v>1670</v>
      </c>
    </row>
    <row r="2711" spans="2:8">
      <c r="B2711" s="837" t="s">
        <v>841</v>
      </c>
      <c r="C2711" s="838"/>
      <c r="D2711" s="543" t="s">
        <v>841</v>
      </c>
      <c r="E2711" s="543"/>
      <c r="F2711" s="527"/>
      <c r="G2711" s="530"/>
    </row>
    <row r="2712" spans="2:8" ht="13.5" thickBot="1">
      <c r="B2712" s="839" t="s">
        <v>841</v>
      </c>
      <c r="C2712" s="840"/>
      <c r="D2712" s="544" t="s">
        <v>841</v>
      </c>
      <c r="E2712" s="544"/>
      <c r="F2712" s="545"/>
      <c r="G2712" s="533"/>
    </row>
    <row r="2713" spans="2:8" ht="13.5" thickTop="1">
      <c r="B2713" s="808"/>
      <c r="C2713" s="809"/>
      <c r="D2713" s="801" t="s">
        <v>856</v>
      </c>
      <c r="E2713" s="802"/>
      <c r="F2713" s="546"/>
      <c r="G2713" s="547">
        <f>SUM(G2704:G2712)</f>
        <v>97500</v>
      </c>
    </row>
    <row r="2714" spans="2:8">
      <c r="B2714" s="819"/>
      <c r="C2714" s="820"/>
      <c r="D2714" s="801" t="s">
        <v>857</v>
      </c>
      <c r="E2714" s="802"/>
      <c r="F2714" s="548"/>
      <c r="G2714" s="547">
        <f>ROUND(G2713*F2714,0)</f>
        <v>0</v>
      </c>
    </row>
    <row r="2715" spans="2:8" ht="13.5" thickBot="1">
      <c r="B2715" s="819"/>
      <c r="C2715" s="820"/>
      <c r="D2715" s="917" t="s">
        <v>320</v>
      </c>
      <c r="E2715" s="918"/>
      <c r="F2715" s="549"/>
      <c r="G2715" s="535">
        <f>+G2713+G2714</f>
        <v>97500</v>
      </c>
    </row>
    <row r="2716" spans="2:8" ht="14.25" thickTop="1" thickBot="1">
      <c r="B2716" s="830"/>
      <c r="C2716" s="830"/>
      <c r="D2716" s="830"/>
      <c r="E2716" s="830"/>
      <c r="F2716" s="830"/>
      <c r="G2716" s="830"/>
    </row>
    <row r="2717" spans="2:8" ht="13.5" thickTop="1">
      <c r="B2717" s="811" t="s">
        <v>858</v>
      </c>
      <c r="C2717" s="812"/>
      <c r="D2717" s="812"/>
      <c r="E2717" s="812"/>
      <c r="F2717" s="812"/>
      <c r="G2717" s="825"/>
    </row>
    <row r="2718" spans="2:8">
      <c r="B2718" s="817"/>
      <c r="C2718" s="818"/>
      <c r="D2718" s="98" t="s">
        <v>301</v>
      </c>
      <c r="E2718" s="98" t="s">
        <v>1661</v>
      </c>
      <c r="F2718" s="99" t="s">
        <v>839</v>
      </c>
      <c r="G2718" s="107" t="s">
        <v>840</v>
      </c>
    </row>
    <row r="2719" spans="2:8">
      <c r="B2719" s="821" t="s">
        <v>838</v>
      </c>
      <c r="C2719" s="822"/>
      <c r="D2719" s="100"/>
      <c r="E2719" s="100"/>
      <c r="F2719" s="101"/>
      <c r="G2719" s="108"/>
    </row>
    <row r="2720" spans="2:8">
      <c r="B2720" s="230"/>
      <c r="C2720" s="102"/>
      <c r="D2720" s="103"/>
      <c r="E2720" s="103"/>
      <c r="F2720" s="104"/>
      <c r="G2720" s="109"/>
    </row>
    <row r="2721" spans="2:8">
      <c r="B2721" s="905" t="str">
        <f>'MANO DE OBRA'!$B$15</f>
        <v xml:space="preserve">OFICIAL CUAD. TIPO AA </v>
      </c>
      <c r="C2721" s="906"/>
      <c r="D2721" s="482">
        <v>1</v>
      </c>
      <c r="E2721" s="80">
        <f>'MANO DE OBRA'!$E$15</f>
        <v>71474</v>
      </c>
      <c r="F2721" s="483">
        <v>30</v>
      </c>
      <c r="G2721" s="465">
        <f>ROUND(D2721*E2721/F2721,0)</f>
        <v>2382</v>
      </c>
    </row>
    <row r="2722" spans="2:8">
      <c r="B2722" s="925" t="str">
        <f>'MANO DE OBRA'!$B$10</f>
        <v>AYUDANTE CUAD. TIPO AA</v>
      </c>
      <c r="C2722" s="926"/>
      <c r="D2722" s="484">
        <v>3</v>
      </c>
      <c r="E2722" s="82">
        <f>'MANO DE OBRA'!$E$10</f>
        <v>34680</v>
      </c>
      <c r="F2722" s="464">
        <v>30</v>
      </c>
      <c r="G2722" s="465">
        <f>ROUND(D2722*E2722/F2722,0)</f>
        <v>3468</v>
      </c>
    </row>
    <row r="2723" spans="2:8">
      <c r="B2723" s="925"/>
      <c r="C2723" s="926"/>
      <c r="D2723" s="484"/>
      <c r="E2723" s="484"/>
      <c r="F2723" s="464"/>
      <c r="G2723" s="465"/>
    </row>
    <row r="2724" spans="2:8" ht="13.5" thickBot="1">
      <c r="B2724" s="925"/>
      <c r="C2724" s="926"/>
      <c r="D2724" s="484"/>
      <c r="E2724" s="485"/>
      <c r="F2724" s="469"/>
      <c r="G2724" s="465"/>
    </row>
    <row r="2725" spans="2:8" ht="14.25" thickTop="1" thickBot="1">
      <c r="B2725" s="927"/>
      <c r="C2725" s="927"/>
      <c r="D2725" s="927"/>
      <c r="E2725" s="928"/>
      <c r="F2725" s="120" t="s">
        <v>856</v>
      </c>
      <c r="G2725" s="471">
        <f>+G2721+G2722+G2723</f>
        <v>5850</v>
      </c>
    </row>
    <row r="2726" spans="2:8" ht="14.25" thickTop="1" thickBot="1">
      <c r="B2726" s="810"/>
      <c r="C2726" s="810"/>
      <c r="D2726" s="810"/>
      <c r="E2726" s="810"/>
      <c r="F2726" s="810"/>
      <c r="G2726" s="810"/>
    </row>
    <row r="2727" spans="2:8" ht="13.5" thickTop="1">
      <c r="B2727" s="890" t="s">
        <v>321</v>
      </c>
      <c r="C2727" s="891"/>
      <c r="D2727" s="891"/>
      <c r="E2727" s="891"/>
      <c r="F2727" s="891"/>
      <c r="G2727" s="892"/>
    </row>
    <row r="2728" spans="2:8">
      <c r="B2728" s="550" t="s">
        <v>838</v>
      </c>
      <c r="C2728" s="520" t="s">
        <v>1687</v>
      </c>
      <c r="D2728" s="520" t="s">
        <v>1688</v>
      </c>
      <c r="E2728" s="520" t="s">
        <v>1689</v>
      </c>
      <c r="F2728" s="563" t="s">
        <v>297</v>
      </c>
      <c r="G2728" s="568" t="s">
        <v>1690</v>
      </c>
    </row>
    <row r="2729" spans="2:8">
      <c r="B2729" s="564"/>
      <c r="C2729" s="96"/>
      <c r="D2729" s="238"/>
      <c r="E2729" s="96"/>
      <c r="F2729" s="567"/>
      <c r="G2729" s="526"/>
    </row>
    <row r="2730" spans="2:8" ht="13.5" thickBot="1">
      <c r="B2730" s="551"/>
      <c r="C2730" s="552"/>
      <c r="D2730" s="77"/>
      <c r="E2730" s="527"/>
      <c r="F2730" s="532"/>
      <c r="G2730" s="533"/>
    </row>
    <row r="2731" spans="2:8" ht="14.25" thickTop="1" thickBot="1">
      <c r="B2731" s="808"/>
      <c r="C2731" s="808"/>
      <c r="D2731" s="808"/>
      <c r="E2731" s="809"/>
      <c r="F2731" s="553" t="s">
        <v>856</v>
      </c>
      <c r="G2731" s="535">
        <f>SUM(G2727:G2730)</f>
        <v>0</v>
      </c>
    </row>
    <row r="2732" spans="2:8" ht="14.25" thickTop="1" thickBot="1">
      <c r="B2732" s="810"/>
      <c r="C2732" s="810"/>
      <c r="D2732" s="810"/>
      <c r="E2732" s="810"/>
      <c r="F2732" s="810"/>
      <c r="G2732" s="834"/>
    </row>
    <row r="2733" spans="2:8" ht="13.5" thickTop="1">
      <c r="B2733" s="890" t="s">
        <v>326</v>
      </c>
      <c r="C2733" s="891"/>
      <c r="D2733" s="891"/>
      <c r="E2733" s="891"/>
      <c r="F2733" s="912"/>
      <c r="G2733" s="559">
        <f>+G2700+G2715+G2725+G2731</f>
        <v>103643</v>
      </c>
    </row>
    <row r="2734" spans="2:8">
      <c r="B2734" s="919" t="s">
        <v>861</v>
      </c>
      <c r="C2734" s="920"/>
      <c r="D2734" s="920"/>
      <c r="E2734" s="921"/>
      <c r="F2734" s="560">
        <f>'[1]MANO DE OBRA'!$D$59</f>
        <v>0</v>
      </c>
      <c r="G2734" s="561">
        <f>ROUND(G2733*F2734,0)</f>
        <v>0</v>
      </c>
    </row>
    <row r="2735" spans="2:8" ht="13.5" thickBot="1">
      <c r="B2735" s="922" t="s">
        <v>1049</v>
      </c>
      <c r="C2735" s="923"/>
      <c r="D2735" s="923"/>
      <c r="E2735" s="923"/>
      <c r="F2735" s="924"/>
      <c r="G2735" s="535">
        <f>ROUND(G2733+G2734,-2)</f>
        <v>103600</v>
      </c>
      <c r="H2735" s="505" t="s">
        <v>1670</v>
      </c>
    </row>
    <row r="2736" spans="2:8" ht="13.5" thickTop="1">
      <c r="B2736" s="515" t="s">
        <v>303</v>
      </c>
      <c r="C2736" s="885"/>
      <c r="D2736" s="885"/>
      <c r="E2736" s="885"/>
      <c r="F2736" s="516" t="s">
        <v>781</v>
      </c>
      <c r="G2736" s="441" t="s">
        <v>669</v>
      </c>
    </row>
    <row r="2737" spans="2:7">
      <c r="B2737" s="517" t="s">
        <v>834</v>
      </c>
      <c r="C2737" s="886"/>
      <c r="D2737" s="886"/>
      <c r="E2737" s="886"/>
      <c r="F2737" s="518" t="s">
        <v>833</v>
      </c>
      <c r="G2737" s="569" t="s">
        <v>1702</v>
      </c>
    </row>
    <row r="2738" spans="2:7" ht="13.5" thickBot="1">
      <c r="B2738" s="519" t="s">
        <v>835</v>
      </c>
      <c r="C2738" s="887" t="s">
        <v>1710</v>
      </c>
      <c r="D2738" s="887"/>
      <c r="E2738" s="887"/>
      <c r="F2738" s="887"/>
      <c r="G2738" s="888"/>
    </row>
    <row r="2739" spans="2:7" ht="14.25" thickTop="1" thickBot="1">
      <c r="B2739" s="889"/>
      <c r="C2739" s="889"/>
      <c r="D2739" s="889"/>
      <c r="E2739" s="889"/>
      <c r="F2739" s="889"/>
      <c r="G2739" s="889"/>
    </row>
    <row r="2740" spans="2:7" ht="13.5" thickTop="1">
      <c r="B2740" s="890" t="s">
        <v>304</v>
      </c>
      <c r="C2740" s="891"/>
      <c r="D2740" s="891"/>
      <c r="E2740" s="891"/>
      <c r="F2740" s="891"/>
      <c r="G2740" s="892"/>
    </row>
    <row r="2741" spans="2:7">
      <c r="B2741" s="893" t="s">
        <v>838</v>
      </c>
      <c r="C2741" s="893"/>
      <c r="D2741" s="520" t="s">
        <v>301</v>
      </c>
      <c r="E2741" s="520" t="s">
        <v>1683</v>
      </c>
      <c r="F2741" s="521" t="s">
        <v>839</v>
      </c>
      <c r="G2741" s="522" t="s">
        <v>840</v>
      </c>
    </row>
    <row r="2742" spans="2:7">
      <c r="B2742" s="894" t="str">
        <f>'MAQUINARIA Y EQUIPOS'!$C$28</f>
        <v>HERRAMIENTAS MENORES</v>
      </c>
      <c r="C2742" s="895"/>
      <c r="D2742" s="523">
        <v>1</v>
      </c>
      <c r="E2742" s="524">
        <f>'MAQUINARIA Y EQUIPOS'!D28</f>
        <v>406</v>
      </c>
      <c r="F2742" s="577">
        <v>1</v>
      </c>
      <c r="G2742" s="526">
        <f>ROUND(D2742*E2742/F2742,0)</f>
        <v>406</v>
      </c>
    </row>
    <row r="2743" spans="2:7" ht="14.25">
      <c r="B2743" s="896"/>
      <c r="C2743" s="897"/>
      <c r="D2743" s="578"/>
      <c r="E2743" s="579"/>
      <c r="F2743" s="580"/>
      <c r="G2743" s="581"/>
    </row>
    <row r="2744" spans="2:7" ht="14.25">
      <c r="B2744" s="896"/>
      <c r="C2744" s="897"/>
      <c r="D2744" s="578"/>
      <c r="E2744" s="579"/>
      <c r="F2744" s="580"/>
      <c r="G2744" s="581"/>
    </row>
    <row r="2745" spans="2:7" ht="14.25">
      <c r="B2745" s="896" t="s">
        <v>841</v>
      </c>
      <c r="C2745" s="897"/>
      <c r="D2745" s="582"/>
      <c r="E2745" s="579"/>
      <c r="F2745" s="580"/>
      <c r="G2745" s="581"/>
    </row>
    <row r="2746" spans="2:7" ht="15" thickBot="1">
      <c r="B2746" s="898" t="s">
        <v>841</v>
      </c>
      <c r="C2746" s="899"/>
      <c r="D2746" s="583"/>
      <c r="E2746" s="584"/>
      <c r="F2746" s="585"/>
      <c r="G2746" s="586"/>
    </row>
    <row r="2747" spans="2:7" ht="15.75" thickTop="1" thickBot="1">
      <c r="B2747" s="900"/>
      <c r="C2747" s="900"/>
      <c r="D2747" s="900"/>
      <c r="E2747" s="901"/>
      <c r="F2747" s="534" t="s">
        <v>856</v>
      </c>
      <c r="G2747" s="535">
        <f>SUM(G2742:G2746)</f>
        <v>406</v>
      </c>
    </row>
    <row r="2748" spans="2:7" ht="15.75" thickTop="1" thickBot="1">
      <c r="B2748" s="902"/>
      <c r="C2748" s="902"/>
      <c r="D2748" s="902"/>
      <c r="E2748" s="902"/>
      <c r="F2748" s="902"/>
      <c r="G2748" s="902"/>
    </row>
    <row r="2749" spans="2:7" ht="13.5" thickTop="1">
      <c r="B2749" s="890" t="s">
        <v>311</v>
      </c>
      <c r="C2749" s="891"/>
      <c r="D2749" s="891"/>
      <c r="E2749" s="891"/>
      <c r="F2749" s="891"/>
      <c r="G2749" s="892"/>
    </row>
    <row r="2750" spans="2:7">
      <c r="B2750" s="929" t="s">
        <v>838</v>
      </c>
      <c r="C2750" s="930"/>
      <c r="D2750" s="536" t="s">
        <v>842</v>
      </c>
      <c r="E2750" s="520" t="s">
        <v>853</v>
      </c>
      <c r="F2750" s="563" t="s">
        <v>1047</v>
      </c>
      <c r="G2750" s="522" t="s">
        <v>840</v>
      </c>
    </row>
    <row r="2751" spans="2:7">
      <c r="B2751" s="936" t="str">
        <f>MATERIALES2!C20</f>
        <v xml:space="preserve">ARENA </v>
      </c>
      <c r="C2751" s="937"/>
      <c r="D2751" s="439" t="s">
        <v>669</v>
      </c>
      <c r="E2751" s="523">
        <v>1.2</v>
      </c>
      <c r="F2751" s="538">
        <f>MATERIALES2!E20</f>
        <v>35000</v>
      </c>
      <c r="G2751" s="526">
        <f>+F2751*E2751</f>
        <v>42000</v>
      </c>
    </row>
    <row r="2752" spans="2:7">
      <c r="B2752" s="907"/>
      <c r="C2752" s="908"/>
      <c r="D2752" s="539"/>
      <c r="E2752" s="499"/>
      <c r="F2752" s="541"/>
      <c r="G2752" s="542"/>
    </row>
    <row r="2753" spans="2:8" ht="14.25">
      <c r="B2753" s="907"/>
      <c r="C2753" s="908"/>
      <c r="D2753" s="582"/>
      <c r="E2753" s="615"/>
      <c r="F2753" s="616"/>
      <c r="G2753" s="571"/>
    </row>
    <row r="2754" spans="2:8" ht="14.25">
      <c r="B2754" s="907"/>
      <c r="C2754" s="908"/>
      <c r="D2754" s="582"/>
      <c r="E2754" s="615"/>
      <c r="F2754" s="570"/>
      <c r="G2754" s="571"/>
    </row>
    <row r="2755" spans="2:8" ht="14.25">
      <c r="B2755" s="909"/>
      <c r="C2755" s="910"/>
      <c r="D2755" s="582"/>
      <c r="E2755" s="588"/>
      <c r="F2755" s="579"/>
      <c r="G2755" s="581"/>
    </row>
    <row r="2756" spans="2:8" ht="14.25">
      <c r="B2756" s="909"/>
      <c r="C2756" s="910"/>
      <c r="D2756" s="590" t="s">
        <v>841</v>
      </c>
      <c r="E2756" s="590"/>
      <c r="F2756" s="579"/>
      <c r="G2756" s="581"/>
    </row>
    <row r="2757" spans="2:8" ht="14.25">
      <c r="B2757" s="909" t="s">
        <v>841</v>
      </c>
      <c r="C2757" s="910"/>
      <c r="D2757" s="590" t="s">
        <v>841</v>
      </c>
      <c r="E2757" s="590"/>
      <c r="F2757" s="579"/>
      <c r="G2757" s="581"/>
    </row>
    <row r="2758" spans="2:8" ht="14.25">
      <c r="B2758" s="909" t="s">
        <v>841</v>
      </c>
      <c r="C2758" s="910"/>
      <c r="D2758" s="590" t="s">
        <v>841</v>
      </c>
      <c r="E2758" s="590"/>
      <c r="F2758" s="579"/>
      <c r="G2758" s="581"/>
      <c r="H2758" s="505" t="s">
        <v>1670</v>
      </c>
    </row>
    <row r="2759" spans="2:8" ht="15" thickBot="1">
      <c r="B2759" s="898" t="s">
        <v>841</v>
      </c>
      <c r="C2759" s="899"/>
      <c r="D2759" s="591" t="s">
        <v>841</v>
      </c>
      <c r="E2759" s="591"/>
      <c r="F2759" s="592"/>
      <c r="G2759" s="586"/>
    </row>
    <row r="2760" spans="2:8" ht="13.5" thickTop="1">
      <c r="B2760" s="900"/>
      <c r="C2760" s="901"/>
      <c r="D2760" s="915" t="s">
        <v>856</v>
      </c>
      <c r="E2760" s="916"/>
      <c r="F2760" s="593"/>
      <c r="G2760" s="594">
        <f>SUM(G2751:G2759)</f>
        <v>42000</v>
      </c>
    </row>
    <row r="2761" spans="2:8">
      <c r="B2761" s="913"/>
      <c r="C2761" s="914"/>
      <c r="D2761" s="915" t="s">
        <v>857</v>
      </c>
      <c r="E2761" s="916"/>
      <c r="F2761" s="595">
        <v>0.05</v>
      </c>
      <c r="G2761" s="594">
        <f>ROUND(G2760*F2761,0)</f>
        <v>2100</v>
      </c>
    </row>
    <row r="2762" spans="2:8" ht="13.5" thickBot="1">
      <c r="B2762" s="913"/>
      <c r="C2762" s="914"/>
      <c r="D2762" s="917" t="s">
        <v>320</v>
      </c>
      <c r="E2762" s="918"/>
      <c r="F2762" s="596"/>
      <c r="G2762" s="535">
        <f>+G2760+G2761</f>
        <v>44100</v>
      </c>
    </row>
    <row r="2763" spans="2:8" ht="15.75" thickTop="1" thickBot="1">
      <c r="B2763" s="902"/>
      <c r="C2763" s="902"/>
      <c r="D2763" s="902"/>
      <c r="E2763" s="902"/>
      <c r="F2763" s="902"/>
      <c r="G2763" s="902"/>
    </row>
    <row r="2764" spans="2:8" ht="13.5" thickTop="1">
      <c r="B2764" s="811" t="s">
        <v>858</v>
      </c>
      <c r="C2764" s="812"/>
      <c r="D2764" s="812"/>
      <c r="E2764" s="812"/>
      <c r="F2764" s="812"/>
      <c r="G2764" s="825"/>
    </row>
    <row r="2765" spans="2:8">
      <c r="B2765" s="817"/>
      <c r="C2765" s="818"/>
      <c r="D2765" s="98" t="s">
        <v>301</v>
      </c>
      <c r="E2765" s="98" t="s">
        <v>1661</v>
      </c>
      <c r="F2765" s="99" t="s">
        <v>839</v>
      </c>
      <c r="G2765" s="107" t="s">
        <v>840</v>
      </c>
    </row>
    <row r="2766" spans="2:8">
      <c r="B2766" s="821" t="s">
        <v>838</v>
      </c>
      <c r="C2766" s="822"/>
      <c r="D2766" s="100"/>
      <c r="E2766" s="100"/>
      <c r="F2766" s="101"/>
      <c r="G2766" s="108"/>
    </row>
    <row r="2767" spans="2:8">
      <c r="B2767" s="230"/>
      <c r="C2767" s="102"/>
      <c r="D2767" s="103"/>
      <c r="E2767" s="103"/>
      <c r="F2767" s="104"/>
      <c r="G2767" s="109"/>
    </row>
    <row r="2768" spans="2:8">
      <c r="B2768" s="905" t="str">
        <f>'MANO DE OBRA'!$B$15</f>
        <v xml:space="preserve">OFICIAL CUAD. TIPO AA </v>
      </c>
      <c r="C2768" s="906"/>
      <c r="D2768" s="482">
        <v>1</v>
      </c>
      <c r="E2768" s="80">
        <f>'MANO DE OBRA'!$E$15</f>
        <v>71474</v>
      </c>
      <c r="F2768" s="483">
        <v>15</v>
      </c>
      <c r="G2768" s="465">
        <f>ROUND(D2768*E2768/F2768,0)</f>
        <v>4765</v>
      </c>
    </row>
    <row r="2769" spans="2:8">
      <c r="B2769" s="925" t="str">
        <f>'MANO DE OBRA'!$B$10</f>
        <v>AYUDANTE CUAD. TIPO AA</v>
      </c>
      <c r="C2769" s="926"/>
      <c r="D2769" s="484">
        <v>2</v>
      </c>
      <c r="E2769" s="82">
        <f>'MANO DE OBRA'!$E$10</f>
        <v>34680</v>
      </c>
      <c r="F2769" s="464">
        <v>15</v>
      </c>
      <c r="G2769" s="465">
        <f>ROUND(D2769*E2769/F2769,0)</f>
        <v>4624</v>
      </c>
    </row>
    <row r="2770" spans="2:8">
      <c r="B2770" s="925"/>
      <c r="C2770" s="926"/>
      <c r="D2770" s="484"/>
      <c r="E2770" s="484"/>
      <c r="F2770" s="464"/>
      <c r="G2770" s="465"/>
    </row>
    <row r="2771" spans="2:8" ht="13.5" thickBot="1">
      <c r="B2771" s="925"/>
      <c r="C2771" s="926"/>
      <c r="D2771" s="484"/>
      <c r="E2771" s="485"/>
      <c r="F2771" s="469"/>
      <c r="G2771" s="465"/>
    </row>
    <row r="2772" spans="2:8" ht="14.25" thickTop="1" thickBot="1">
      <c r="B2772" s="927"/>
      <c r="C2772" s="927"/>
      <c r="D2772" s="927"/>
      <c r="E2772" s="928"/>
      <c r="F2772" s="120" t="s">
        <v>856</v>
      </c>
      <c r="G2772" s="471">
        <f>+G2768+G2769+G2770</f>
        <v>9389</v>
      </c>
    </row>
    <row r="2773" spans="2:8" ht="15.75" thickTop="1" thickBot="1">
      <c r="B2773" s="911"/>
      <c r="C2773" s="911"/>
      <c r="D2773" s="911"/>
      <c r="E2773" s="911"/>
      <c r="F2773" s="911"/>
      <c r="G2773" s="911"/>
    </row>
    <row r="2774" spans="2:8" ht="13.5" thickTop="1">
      <c r="B2774" s="890" t="s">
        <v>321</v>
      </c>
      <c r="C2774" s="891"/>
      <c r="D2774" s="891"/>
      <c r="E2774" s="891"/>
      <c r="F2774" s="891"/>
      <c r="G2774" s="892"/>
    </row>
    <row r="2775" spans="2:8">
      <c r="B2775" s="572" t="s">
        <v>838</v>
      </c>
      <c r="C2775" s="520" t="s">
        <v>1687</v>
      </c>
      <c r="D2775" s="520" t="s">
        <v>1688</v>
      </c>
      <c r="E2775" s="520" t="s">
        <v>1689</v>
      </c>
      <c r="F2775" s="563" t="s">
        <v>297</v>
      </c>
      <c r="G2775" s="568" t="s">
        <v>1690</v>
      </c>
    </row>
    <row r="2776" spans="2:8" ht="14.25">
      <c r="B2776" s="573"/>
      <c r="C2776" s="617"/>
      <c r="D2776" s="618"/>
      <c r="E2776" s="617"/>
      <c r="F2776" s="567"/>
      <c r="G2776" s="526"/>
    </row>
    <row r="2777" spans="2:8" ht="15" thickBot="1">
      <c r="B2777" s="573"/>
      <c r="C2777" s="583"/>
      <c r="D2777" s="583"/>
      <c r="E2777" s="617"/>
      <c r="F2777" s="567"/>
      <c r="G2777" s="574"/>
    </row>
    <row r="2778" spans="2:8" ht="15.75" thickTop="1" thickBot="1">
      <c r="B2778" s="900"/>
      <c r="C2778" s="900"/>
      <c r="D2778" s="900"/>
      <c r="E2778" s="901"/>
      <c r="F2778" s="553" t="s">
        <v>856</v>
      </c>
      <c r="G2778" s="535">
        <f>SUM(G2776:G2777)</f>
        <v>0</v>
      </c>
    </row>
    <row r="2779" spans="2:8" ht="15.75" thickTop="1" thickBot="1">
      <c r="B2779" s="911"/>
      <c r="C2779" s="911"/>
      <c r="D2779" s="911"/>
      <c r="E2779" s="911"/>
      <c r="F2779" s="911"/>
      <c r="G2779" s="911"/>
    </row>
    <row r="2780" spans="2:8" ht="13.5" thickTop="1">
      <c r="B2780" s="890" t="s">
        <v>326</v>
      </c>
      <c r="C2780" s="891"/>
      <c r="D2780" s="891"/>
      <c r="E2780" s="891"/>
      <c r="F2780" s="912"/>
      <c r="G2780" s="559">
        <f>+G2747+G2762+G2772+G2778</f>
        <v>53895</v>
      </c>
    </row>
    <row r="2781" spans="2:8">
      <c r="B2781" s="919" t="s">
        <v>861</v>
      </c>
      <c r="C2781" s="920"/>
      <c r="D2781" s="920"/>
      <c r="E2781" s="921"/>
      <c r="F2781" s="560">
        <f>'[1]MANO DE OBRA'!$D$59</f>
        <v>0</v>
      </c>
      <c r="G2781" s="561">
        <f>ROUND(G2780*F2781,0)</f>
        <v>0</v>
      </c>
    </row>
    <row r="2782" spans="2:8" ht="13.5" thickBot="1">
      <c r="B2782" s="922" t="s">
        <v>1049</v>
      </c>
      <c r="C2782" s="923"/>
      <c r="D2782" s="923"/>
      <c r="E2782" s="923"/>
      <c r="F2782" s="924"/>
      <c r="G2782" s="535">
        <f>G2780</f>
        <v>53895</v>
      </c>
      <c r="H2782" s="505" t="s">
        <v>1670</v>
      </c>
    </row>
    <row r="2783" spans="2:8" ht="13.5" thickTop="1"/>
  </sheetData>
  <mergeCells count="2572">
    <mergeCell ref="B2756:C2756"/>
    <mergeCell ref="B2757:C2757"/>
    <mergeCell ref="B2758:C2758"/>
    <mergeCell ref="B2759:C2759"/>
    <mergeCell ref="B2773:G2773"/>
    <mergeCell ref="B2774:G2774"/>
    <mergeCell ref="B2778:E2778"/>
    <mergeCell ref="B2779:G2779"/>
    <mergeCell ref="B2780:F2780"/>
    <mergeCell ref="B2760:C2762"/>
    <mergeCell ref="D2760:E2760"/>
    <mergeCell ref="D2761:E2761"/>
    <mergeCell ref="D2762:E2762"/>
    <mergeCell ref="B2763:G2763"/>
    <mergeCell ref="B2781:E2781"/>
    <mergeCell ref="B2782:F2782"/>
    <mergeCell ref="B2764:G2764"/>
    <mergeCell ref="B2765:C2765"/>
    <mergeCell ref="B2766:C2766"/>
    <mergeCell ref="B2768:C2768"/>
    <mergeCell ref="B2769:C2769"/>
    <mergeCell ref="B2770:C2770"/>
    <mergeCell ref="B2771:C2771"/>
    <mergeCell ref="B2772:E2772"/>
    <mergeCell ref="B2739:G2739"/>
    <mergeCell ref="B2740:G2740"/>
    <mergeCell ref="B2741:C2741"/>
    <mergeCell ref="B2742:C2742"/>
    <mergeCell ref="B2743:C2743"/>
    <mergeCell ref="B2744:C2744"/>
    <mergeCell ref="B2745:C2745"/>
    <mergeCell ref="B2746:C2746"/>
    <mergeCell ref="B2747:E2747"/>
    <mergeCell ref="B2748:G2748"/>
    <mergeCell ref="B2749:G2749"/>
    <mergeCell ref="B2750:C2750"/>
    <mergeCell ref="B2751:C2751"/>
    <mergeCell ref="B2752:C2752"/>
    <mergeCell ref="B2753:C2753"/>
    <mergeCell ref="B2754:C2754"/>
    <mergeCell ref="B2755:C2755"/>
    <mergeCell ref="B2417:G2417"/>
    <mergeCell ref="B2418:G2418"/>
    <mergeCell ref="B2411:C2411"/>
    <mergeCell ref="B2412:C2412"/>
    <mergeCell ref="B2413:C2413"/>
    <mergeCell ref="B2414:C2414"/>
    <mergeCell ref="B2426:E2426"/>
    <mergeCell ref="B2427:F2427"/>
    <mergeCell ref="B2419:C2419"/>
    <mergeCell ref="B2421:C2421"/>
    <mergeCell ref="B2422:C2422"/>
    <mergeCell ref="B2423:E2423"/>
    <mergeCell ref="B2424:G2424"/>
    <mergeCell ref="B2425:F2425"/>
    <mergeCell ref="C2736:E2736"/>
    <mergeCell ref="C2737:E2737"/>
    <mergeCell ref="C2738:G2738"/>
    <mergeCell ref="B2447:C2447"/>
    <mergeCell ref="B2448:C2448"/>
    <mergeCell ref="B2449:C2449"/>
    <mergeCell ref="B2450:C2450"/>
    <mergeCell ref="B2451:C2451"/>
    <mergeCell ref="B2452:C2452"/>
    <mergeCell ref="B2440:C2440"/>
    <mergeCell ref="B2441:C2441"/>
    <mergeCell ref="B2442:E2442"/>
    <mergeCell ref="B2443:G2443"/>
    <mergeCell ref="B2444:G2444"/>
    <mergeCell ref="B2445:C2445"/>
    <mergeCell ref="B2432:G2432"/>
    <mergeCell ref="B2434:C2434"/>
    <mergeCell ref="B2436:C2436"/>
    <mergeCell ref="B2400:C2400"/>
    <mergeCell ref="B2401:C2401"/>
    <mergeCell ref="B2394:C2394"/>
    <mergeCell ref="B2395:C2395"/>
    <mergeCell ref="B2396:C2396"/>
    <mergeCell ref="B2397:C2397"/>
    <mergeCell ref="B2406:G2406"/>
    <mergeCell ref="B2407:G2407"/>
    <mergeCell ref="B2408:C2408"/>
    <mergeCell ref="B2409:C2409"/>
    <mergeCell ref="B2402:C2402"/>
    <mergeCell ref="B2403:C2405"/>
    <mergeCell ref="D2403:E2403"/>
    <mergeCell ref="D2404:E2404"/>
    <mergeCell ref="D2405:E2405"/>
    <mergeCell ref="B2415:C2415"/>
    <mergeCell ref="B2416:E2416"/>
    <mergeCell ref="B2381:C2381"/>
    <mergeCell ref="B2383:C2383"/>
    <mergeCell ref="B2384:C2384"/>
    <mergeCell ref="C2375:E2375"/>
    <mergeCell ref="C2376:E2376"/>
    <mergeCell ref="C2377:G2377"/>
    <mergeCell ref="B2378:G2378"/>
    <mergeCell ref="B2389:E2389"/>
    <mergeCell ref="B2390:G2390"/>
    <mergeCell ref="B2391:G2391"/>
    <mergeCell ref="B2392:C2392"/>
    <mergeCell ref="B2385:C2385"/>
    <mergeCell ref="B2386:C2386"/>
    <mergeCell ref="B2387:C2387"/>
    <mergeCell ref="B2388:C2388"/>
    <mergeCell ref="B2398:C2398"/>
    <mergeCell ref="B2399:C2399"/>
    <mergeCell ref="B2362:C2362"/>
    <mergeCell ref="B2363:E2363"/>
    <mergeCell ref="B2364:G2364"/>
    <mergeCell ref="B2365:G2365"/>
    <mergeCell ref="B2358:C2358"/>
    <mergeCell ref="B2359:C2359"/>
    <mergeCell ref="B2360:C2360"/>
    <mergeCell ref="B2361:C2361"/>
    <mergeCell ref="B2371:G2371"/>
    <mergeCell ref="B2372:F2372"/>
    <mergeCell ref="B2373:E2373"/>
    <mergeCell ref="B2374:F2374"/>
    <mergeCell ref="B2366:C2366"/>
    <mergeCell ref="B2368:C2368"/>
    <mergeCell ref="B2369:C2369"/>
    <mergeCell ref="B2370:E2370"/>
    <mergeCell ref="B2379:G2379"/>
    <mergeCell ref="B2341:C2341"/>
    <mergeCell ref="B2333:C2333"/>
    <mergeCell ref="B2334:C2334"/>
    <mergeCell ref="B2335:C2335"/>
    <mergeCell ref="B2336:E2336"/>
    <mergeCell ref="B2346:C2346"/>
    <mergeCell ref="B2347:C2347"/>
    <mergeCell ref="B2348:C2348"/>
    <mergeCell ref="B2349:C2349"/>
    <mergeCell ref="B2342:C2342"/>
    <mergeCell ref="B2343:C2343"/>
    <mergeCell ref="B2344:C2344"/>
    <mergeCell ref="B2345:C2345"/>
    <mergeCell ref="B2353:G2353"/>
    <mergeCell ref="B2354:G2354"/>
    <mergeCell ref="B2355:C2355"/>
    <mergeCell ref="B2356:C2356"/>
    <mergeCell ref="B2350:C2352"/>
    <mergeCell ref="D2350:E2350"/>
    <mergeCell ref="D2351:E2351"/>
    <mergeCell ref="D2352:E2352"/>
    <mergeCell ref="B2321:F2321"/>
    <mergeCell ref="C2322:E2322"/>
    <mergeCell ref="B2315:C2315"/>
    <mergeCell ref="B2316:C2316"/>
    <mergeCell ref="B2317:E2317"/>
    <mergeCell ref="B2318:G2318"/>
    <mergeCell ref="B2328:C2328"/>
    <mergeCell ref="B2330:C2330"/>
    <mergeCell ref="B2331:C2331"/>
    <mergeCell ref="B2332:C2332"/>
    <mergeCell ref="C2323:E2323"/>
    <mergeCell ref="C2324:G2324"/>
    <mergeCell ref="B2325:G2325"/>
    <mergeCell ref="B2326:G2326"/>
    <mergeCell ref="B2337:G2337"/>
    <mergeCell ref="B2338:G2338"/>
    <mergeCell ref="B2339:C2339"/>
    <mergeCell ref="B2302:C2302"/>
    <mergeCell ref="B2303:C2303"/>
    <mergeCell ref="B2305:C2305"/>
    <mergeCell ref="D2297:E2297"/>
    <mergeCell ref="D2298:E2298"/>
    <mergeCell ref="D2299:E2299"/>
    <mergeCell ref="B2300:G2300"/>
    <mergeCell ref="B2310:E2310"/>
    <mergeCell ref="B2311:G2311"/>
    <mergeCell ref="B2312:G2312"/>
    <mergeCell ref="B2313:C2313"/>
    <mergeCell ref="B2306:C2306"/>
    <mergeCell ref="B2307:C2307"/>
    <mergeCell ref="B2308:C2308"/>
    <mergeCell ref="B2309:C2309"/>
    <mergeCell ref="B2319:F2319"/>
    <mergeCell ref="B2320:E2320"/>
    <mergeCell ref="B2285:G2285"/>
    <mergeCell ref="B2286:C2286"/>
    <mergeCell ref="B2288:C2288"/>
    <mergeCell ref="B2289:C2289"/>
    <mergeCell ref="B2281:C2281"/>
    <mergeCell ref="B2282:C2282"/>
    <mergeCell ref="B2283:E2283"/>
    <mergeCell ref="B2284:G2284"/>
    <mergeCell ref="B2294:C2294"/>
    <mergeCell ref="B2295:C2295"/>
    <mergeCell ref="B2296:C2296"/>
    <mergeCell ref="B2297:C2299"/>
    <mergeCell ref="B2290:C2290"/>
    <mergeCell ref="B2291:C2291"/>
    <mergeCell ref="B2292:C2292"/>
    <mergeCell ref="B2293:C2293"/>
    <mergeCell ref="B2301:G2301"/>
    <mergeCell ref="C2271:G2271"/>
    <mergeCell ref="B2272:G2272"/>
    <mergeCell ref="B2212:G2212"/>
    <mergeCell ref="B2213:F2213"/>
    <mergeCell ref="B2214:E2214"/>
    <mergeCell ref="B2215:F2215"/>
    <mergeCell ref="B2220:G2220"/>
    <mergeCell ref="C2216:E2216"/>
    <mergeCell ref="C2217:E2217"/>
    <mergeCell ref="B2264:E2264"/>
    <mergeCell ref="B2277:C2277"/>
    <mergeCell ref="B2278:C2278"/>
    <mergeCell ref="B2279:C2279"/>
    <mergeCell ref="B2280:C2280"/>
    <mergeCell ref="B2265:G2265"/>
    <mergeCell ref="B2266:F2266"/>
    <mergeCell ref="B2273:G2273"/>
    <mergeCell ref="B2275:C2275"/>
    <mergeCell ref="C2269:E2269"/>
    <mergeCell ref="C2270:E2270"/>
    <mergeCell ref="B2252:C2252"/>
    <mergeCell ref="B2253:C2253"/>
    <mergeCell ref="B2254:C2254"/>
    <mergeCell ref="B2255:C2255"/>
    <mergeCell ref="B2247:G2247"/>
    <mergeCell ref="B2248:G2248"/>
    <mergeCell ref="B2249:C2249"/>
    <mergeCell ref="B2250:C2250"/>
    <mergeCell ref="B2267:E2267"/>
    <mergeCell ref="B2268:F2268"/>
    <mergeCell ref="B2256:C2256"/>
    <mergeCell ref="B2257:E2257"/>
    <mergeCell ref="C2163:E2163"/>
    <mergeCell ref="C2164:E2164"/>
    <mergeCell ref="C2165:G2165"/>
    <mergeCell ref="B2172:C2172"/>
    <mergeCell ref="B2173:C2173"/>
    <mergeCell ref="B2176:C2176"/>
    <mergeCell ref="B2174:C2174"/>
    <mergeCell ref="B2175:C2175"/>
    <mergeCell ref="D2192:E2192"/>
    <mergeCell ref="D2193:E2193"/>
    <mergeCell ref="B2187:C2187"/>
    <mergeCell ref="B2188:C2188"/>
    <mergeCell ref="B2189:C2189"/>
    <mergeCell ref="B2190:C2190"/>
    <mergeCell ref="B2199:C2199"/>
    <mergeCell ref="B2200:C2200"/>
    <mergeCell ref="B2201:C2201"/>
    <mergeCell ref="B2194:G2194"/>
    <mergeCell ref="B2195:G2195"/>
    <mergeCell ref="B2196:C2196"/>
    <mergeCell ref="B2197:C2197"/>
    <mergeCell ref="B2258:G2258"/>
    <mergeCell ref="B2259:G2259"/>
    <mergeCell ref="B2260:C2260"/>
    <mergeCell ref="B2262:C2262"/>
    <mergeCell ref="B2263:C2263"/>
    <mergeCell ref="B2236:C2236"/>
    <mergeCell ref="B2237:C2237"/>
    <mergeCell ref="B2238:C2238"/>
    <mergeCell ref="B2185:C2185"/>
    <mergeCell ref="B2186:C2186"/>
    <mergeCell ref="B2191:C2193"/>
    <mergeCell ref="D2191:E2191"/>
    <mergeCell ref="B2239:C2239"/>
    <mergeCell ref="B2231:G2231"/>
    <mergeCell ref="B2232:G2232"/>
    <mergeCell ref="B2233:C2233"/>
    <mergeCell ref="B2235:C2235"/>
    <mergeCell ref="B2244:C2246"/>
    <mergeCell ref="D2244:E2244"/>
    <mergeCell ref="D2245:E2245"/>
    <mergeCell ref="D2246:E2246"/>
    <mergeCell ref="B2240:C2240"/>
    <mergeCell ref="B2241:C2241"/>
    <mergeCell ref="B2242:C2242"/>
    <mergeCell ref="B2243:C2243"/>
    <mergeCell ref="B2202:C2202"/>
    <mergeCell ref="B2207:C2207"/>
    <mergeCell ref="B2209:C2209"/>
    <mergeCell ref="B2210:C2210"/>
    <mergeCell ref="B2211:E2211"/>
    <mergeCell ref="B2203:C2203"/>
    <mergeCell ref="B2204:E2204"/>
    <mergeCell ref="B2205:G2205"/>
    <mergeCell ref="B2206:G2206"/>
    <mergeCell ref="B2228:C2228"/>
    <mergeCell ref="B2229:C2229"/>
    <mergeCell ref="B2230:E2230"/>
    <mergeCell ref="C2218:G2218"/>
    <mergeCell ref="B2219:G2219"/>
    <mergeCell ref="B2226:C2226"/>
    <mergeCell ref="B2225:C2225"/>
    <mergeCell ref="B2177:E2177"/>
    <mergeCell ref="B2183:C2183"/>
    <mergeCell ref="B2184:C2184"/>
    <mergeCell ref="B2166:G2166"/>
    <mergeCell ref="B2167:G2167"/>
    <mergeCell ref="B2227:C2227"/>
    <mergeCell ref="B2169:C2169"/>
    <mergeCell ref="B2171:C2171"/>
    <mergeCell ref="B2222:C2222"/>
    <mergeCell ref="B2224:C2224"/>
    <mergeCell ref="B2178:G2178"/>
    <mergeCell ref="B2179:G2179"/>
    <mergeCell ref="B2180:C2180"/>
    <mergeCell ref="B2182:C2182"/>
    <mergeCell ref="B2149:C2149"/>
    <mergeCell ref="B2141:G2141"/>
    <mergeCell ref="B2142:G2142"/>
    <mergeCell ref="B2143:C2143"/>
    <mergeCell ref="B2144:C2144"/>
    <mergeCell ref="B2161:E2161"/>
    <mergeCell ref="B2162:F2162"/>
    <mergeCell ref="B2150:C2150"/>
    <mergeCell ref="B2151:E2151"/>
    <mergeCell ref="B2152:G2152"/>
    <mergeCell ref="B2153:G2153"/>
    <mergeCell ref="B2154:C2154"/>
    <mergeCell ref="B2156:C2156"/>
    <mergeCell ref="B2157:C2157"/>
    <mergeCell ref="B2158:E2158"/>
    <mergeCell ref="B2159:G2159"/>
    <mergeCell ref="B2160:F2160"/>
    <mergeCell ref="B2132:C2132"/>
    <mergeCell ref="B2133:C2133"/>
    <mergeCell ref="B2125:G2125"/>
    <mergeCell ref="B2126:G2126"/>
    <mergeCell ref="B2127:C2127"/>
    <mergeCell ref="B2129:C2129"/>
    <mergeCell ref="B2138:C2140"/>
    <mergeCell ref="D2138:E2138"/>
    <mergeCell ref="D2139:E2139"/>
    <mergeCell ref="D2140:E2140"/>
    <mergeCell ref="B2134:C2134"/>
    <mergeCell ref="B2135:C2135"/>
    <mergeCell ref="B2136:C2136"/>
    <mergeCell ref="B2137:C2137"/>
    <mergeCell ref="B2146:C2146"/>
    <mergeCell ref="B2147:C2147"/>
    <mergeCell ref="B2148:C2148"/>
    <mergeCell ref="C2112:E2112"/>
    <mergeCell ref="C2113:G2113"/>
    <mergeCell ref="B2114:G2114"/>
    <mergeCell ref="B2107:G2107"/>
    <mergeCell ref="B2108:F2108"/>
    <mergeCell ref="B2109:E2109"/>
    <mergeCell ref="B2110:F2110"/>
    <mergeCell ref="B2121:C2121"/>
    <mergeCell ref="B2122:C2122"/>
    <mergeCell ref="B2123:C2123"/>
    <mergeCell ref="B2124:E2124"/>
    <mergeCell ref="B2115:G2115"/>
    <mergeCell ref="B2117:C2117"/>
    <mergeCell ref="B2119:C2119"/>
    <mergeCell ref="B2120:C2120"/>
    <mergeCell ref="B2130:C2130"/>
    <mergeCell ref="B2131:C2131"/>
    <mergeCell ref="B2094:C2094"/>
    <mergeCell ref="B2095:C2095"/>
    <mergeCell ref="B2096:C2096"/>
    <mergeCell ref="B2097:C2097"/>
    <mergeCell ref="B2089:G2089"/>
    <mergeCell ref="B2090:G2090"/>
    <mergeCell ref="B2091:C2091"/>
    <mergeCell ref="B2092:C2092"/>
    <mergeCell ref="B2102:C2102"/>
    <mergeCell ref="B2104:C2104"/>
    <mergeCell ref="B2105:C2105"/>
    <mergeCell ref="B2106:E2106"/>
    <mergeCell ref="B2098:C2098"/>
    <mergeCell ref="B2099:E2099"/>
    <mergeCell ref="B2100:G2100"/>
    <mergeCell ref="B2101:G2101"/>
    <mergeCell ref="C2111:E2111"/>
    <mergeCell ref="B2069:C2069"/>
    <mergeCell ref="B2070:C2070"/>
    <mergeCell ref="B2071:C2071"/>
    <mergeCell ref="B2072:E2072"/>
    <mergeCell ref="B2063:G2063"/>
    <mergeCell ref="B2065:C2065"/>
    <mergeCell ref="B2067:C2067"/>
    <mergeCell ref="B2068:C2068"/>
    <mergeCell ref="B2078:C2078"/>
    <mergeCell ref="B2079:C2079"/>
    <mergeCell ref="B2080:C2080"/>
    <mergeCell ref="B2081:C2081"/>
    <mergeCell ref="B2073:G2073"/>
    <mergeCell ref="B2074:G2074"/>
    <mergeCell ref="B2075:C2075"/>
    <mergeCell ref="B2077:C2077"/>
    <mergeCell ref="B2086:C2088"/>
    <mergeCell ref="D2086:E2086"/>
    <mergeCell ref="D2087:E2087"/>
    <mergeCell ref="D2088:E2088"/>
    <mergeCell ref="B2082:C2082"/>
    <mergeCell ref="B2083:C2083"/>
    <mergeCell ref="B2084:C2084"/>
    <mergeCell ref="B2085:C2085"/>
    <mergeCell ref="B2045:C2045"/>
    <mergeCell ref="B2037:G2037"/>
    <mergeCell ref="B2038:G2038"/>
    <mergeCell ref="B2039:C2039"/>
    <mergeCell ref="B2040:C2040"/>
    <mergeCell ref="B2050:C2050"/>
    <mergeCell ref="B2052:C2052"/>
    <mergeCell ref="B2053:C2053"/>
    <mergeCell ref="B2054:E2054"/>
    <mergeCell ref="B2046:C2046"/>
    <mergeCell ref="B2047:E2047"/>
    <mergeCell ref="B2048:G2048"/>
    <mergeCell ref="B2049:G2049"/>
    <mergeCell ref="C2059:E2059"/>
    <mergeCell ref="C2060:E2060"/>
    <mergeCell ref="C2061:G2061"/>
    <mergeCell ref="B2062:G2062"/>
    <mergeCell ref="B2055:G2055"/>
    <mergeCell ref="B2056:F2056"/>
    <mergeCell ref="B2057:E2057"/>
    <mergeCell ref="B2058:F2058"/>
    <mergeCell ref="B2028:C2028"/>
    <mergeCell ref="B2029:C2029"/>
    <mergeCell ref="B2021:G2021"/>
    <mergeCell ref="B2022:G2022"/>
    <mergeCell ref="B2023:C2023"/>
    <mergeCell ref="B2025:C2025"/>
    <mergeCell ref="B2034:C2036"/>
    <mergeCell ref="D2034:E2034"/>
    <mergeCell ref="D2035:E2035"/>
    <mergeCell ref="D2036:E2036"/>
    <mergeCell ref="B2030:C2030"/>
    <mergeCell ref="B2031:C2031"/>
    <mergeCell ref="B2032:C2032"/>
    <mergeCell ref="B2033:C2033"/>
    <mergeCell ref="B2042:C2042"/>
    <mergeCell ref="B2043:C2043"/>
    <mergeCell ref="B2044:C2044"/>
    <mergeCell ref="C2008:E2008"/>
    <mergeCell ref="C2009:G2009"/>
    <mergeCell ref="B2010:G2010"/>
    <mergeCell ref="B2003:G2003"/>
    <mergeCell ref="B2004:F2004"/>
    <mergeCell ref="B2005:E2005"/>
    <mergeCell ref="B2006:F2006"/>
    <mergeCell ref="B2017:C2017"/>
    <mergeCell ref="B2018:C2018"/>
    <mergeCell ref="B2019:C2019"/>
    <mergeCell ref="B2020:E2020"/>
    <mergeCell ref="B2011:G2011"/>
    <mergeCell ref="B2013:C2013"/>
    <mergeCell ref="B2015:C2015"/>
    <mergeCell ref="B2016:C2016"/>
    <mergeCell ref="B2026:C2026"/>
    <mergeCell ref="B2027:C2027"/>
    <mergeCell ref="B1990:C1990"/>
    <mergeCell ref="B1991:C1991"/>
    <mergeCell ref="B1992:C1992"/>
    <mergeCell ref="B1993:C1993"/>
    <mergeCell ref="B1985:G1985"/>
    <mergeCell ref="B1986:G1986"/>
    <mergeCell ref="B1987:C1987"/>
    <mergeCell ref="B1988:C1988"/>
    <mergeCell ref="B1998:C1998"/>
    <mergeCell ref="B2000:C2000"/>
    <mergeCell ref="B2001:C2001"/>
    <mergeCell ref="B2002:E2002"/>
    <mergeCell ref="B1994:C1994"/>
    <mergeCell ref="B1995:E1995"/>
    <mergeCell ref="B1996:G1996"/>
    <mergeCell ref="B1997:G1997"/>
    <mergeCell ref="C2007:E2007"/>
    <mergeCell ref="B1965:C1965"/>
    <mergeCell ref="B1966:C1966"/>
    <mergeCell ref="B1967:C1967"/>
    <mergeCell ref="B1968:E1968"/>
    <mergeCell ref="B1959:G1959"/>
    <mergeCell ref="B1961:C1961"/>
    <mergeCell ref="B1963:C1963"/>
    <mergeCell ref="B1964:C1964"/>
    <mergeCell ref="B1974:C1974"/>
    <mergeCell ref="B1975:C1975"/>
    <mergeCell ref="B1976:C1976"/>
    <mergeCell ref="B1977:C1977"/>
    <mergeCell ref="B1969:G1969"/>
    <mergeCell ref="B1970:G1970"/>
    <mergeCell ref="B1971:C1971"/>
    <mergeCell ref="B1973:C1973"/>
    <mergeCell ref="B1982:C1984"/>
    <mergeCell ref="D1982:E1982"/>
    <mergeCell ref="D1983:E1983"/>
    <mergeCell ref="D1984:E1984"/>
    <mergeCell ref="B1978:C1978"/>
    <mergeCell ref="B1979:C1979"/>
    <mergeCell ref="B1980:C1980"/>
    <mergeCell ref="B1981:C1981"/>
    <mergeCell ref="B1941:C1941"/>
    <mergeCell ref="B1933:G1933"/>
    <mergeCell ref="B1934:G1934"/>
    <mergeCell ref="B1935:C1935"/>
    <mergeCell ref="B1936:C1936"/>
    <mergeCell ref="B1946:C1946"/>
    <mergeCell ref="B1948:C1948"/>
    <mergeCell ref="B1949:C1949"/>
    <mergeCell ref="B1950:E1950"/>
    <mergeCell ref="B1942:C1942"/>
    <mergeCell ref="B1943:E1943"/>
    <mergeCell ref="B1944:G1944"/>
    <mergeCell ref="B1945:G1945"/>
    <mergeCell ref="C1955:E1955"/>
    <mergeCell ref="C1956:E1956"/>
    <mergeCell ref="C1957:G1957"/>
    <mergeCell ref="B1958:G1958"/>
    <mergeCell ref="B1951:G1951"/>
    <mergeCell ref="B1952:F1952"/>
    <mergeCell ref="B1953:E1953"/>
    <mergeCell ref="B1954:F1954"/>
    <mergeCell ref="B1924:C1924"/>
    <mergeCell ref="B1925:C1925"/>
    <mergeCell ref="B1917:G1917"/>
    <mergeCell ref="B1918:G1918"/>
    <mergeCell ref="B1919:C1919"/>
    <mergeCell ref="B1921:C1921"/>
    <mergeCell ref="B1930:C1932"/>
    <mergeCell ref="D1930:E1930"/>
    <mergeCell ref="D1931:E1931"/>
    <mergeCell ref="D1932:E1932"/>
    <mergeCell ref="B1926:C1926"/>
    <mergeCell ref="B1927:C1927"/>
    <mergeCell ref="B1928:C1928"/>
    <mergeCell ref="B1929:C1929"/>
    <mergeCell ref="B1938:C1938"/>
    <mergeCell ref="B1939:C1939"/>
    <mergeCell ref="B1940:C1940"/>
    <mergeCell ref="C1904:E1904"/>
    <mergeCell ref="C1905:G1905"/>
    <mergeCell ref="B1906:G1906"/>
    <mergeCell ref="B1899:G1899"/>
    <mergeCell ref="B1900:F1900"/>
    <mergeCell ref="B1901:E1901"/>
    <mergeCell ref="B1902:F1902"/>
    <mergeCell ref="B1913:C1913"/>
    <mergeCell ref="B1914:C1914"/>
    <mergeCell ref="B1915:C1915"/>
    <mergeCell ref="B1916:E1916"/>
    <mergeCell ref="B1907:G1907"/>
    <mergeCell ref="B1909:C1909"/>
    <mergeCell ref="B1911:C1911"/>
    <mergeCell ref="B1912:C1912"/>
    <mergeCell ref="B1922:C1922"/>
    <mergeCell ref="B1923:C1923"/>
    <mergeCell ref="B1886:C1886"/>
    <mergeCell ref="B1887:C1887"/>
    <mergeCell ref="B1888:C1888"/>
    <mergeCell ref="B1889:C1889"/>
    <mergeCell ref="B1881:G1881"/>
    <mergeCell ref="B1882:G1882"/>
    <mergeCell ref="B1883:C1883"/>
    <mergeCell ref="B1884:C1884"/>
    <mergeCell ref="B1894:C1894"/>
    <mergeCell ref="B1896:C1896"/>
    <mergeCell ref="B1897:C1897"/>
    <mergeCell ref="B1898:E1898"/>
    <mergeCell ref="B1890:C1890"/>
    <mergeCell ref="B1891:E1891"/>
    <mergeCell ref="B1892:G1892"/>
    <mergeCell ref="B1893:G1893"/>
    <mergeCell ref="C1903:E1903"/>
    <mergeCell ref="B1861:C1861"/>
    <mergeCell ref="B1862:C1862"/>
    <mergeCell ref="B1863:C1863"/>
    <mergeCell ref="B1864:E1864"/>
    <mergeCell ref="B1855:G1855"/>
    <mergeCell ref="B1857:C1857"/>
    <mergeCell ref="B1859:C1859"/>
    <mergeCell ref="B1860:C1860"/>
    <mergeCell ref="B1870:C1870"/>
    <mergeCell ref="B1871:C1871"/>
    <mergeCell ref="B1872:C1872"/>
    <mergeCell ref="B1873:C1873"/>
    <mergeCell ref="B1865:G1865"/>
    <mergeCell ref="B1866:G1866"/>
    <mergeCell ref="B1867:C1867"/>
    <mergeCell ref="B1869:C1869"/>
    <mergeCell ref="B1878:C1880"/>
    <mergeCell ref="D1878:E1878"/>
    <mergeCell ref="D1879:E1879"/>
    <mergeCell ref="D1880:E1880"/>
    <mergeCell ref="B1874:C1874"/>
    <mergeCell ref="B1875:C1875"/>
    <mergeCell ref="B1876:C1876"/>
    <mergeCell ref="B1877:C1877"/>
    <mergeCell ref="B1837:C1837"/>
    <mergeCell ref="B1829:G1829"/>
    <mergeCell ref="B1830:G1830"/>
    <mergeCell ref="B1831:C1831"/>
    <mergeCell ref="B1832:C1832"/>
    <mergeCell ref="B1842:C1842"/>
    <mergeCell ref="B1844:C1844"/>
    <mergeCell ref="B1845:C1845"/>
    <mergeCell ref="B1846:E1846"/>
    <mergeCell ref="B1838:C1838"/>
    <mergeCell ref="B1839:E1839"/>
    <mergeCell ref="B1840:G1840"/>
    <mergeCell ref="B1841:G1841"/>
    <mergeCell ref="C1851:E1851"/>
    <mergeCell ref="C1852:E1852"/>
    <mergeCell ref="C1853:G1853"/>
    <mergeCell ref="B1854:G1854"/>
    <mergeCell ref="B1847:G1847"/>
    <mergeCell ref="B1848:F1848"/>
    <mergeCell ref="B1849:E1849"/>
    <mergeCell ref="B1850:F1850"/>
    <mergeCell ref="B1820:C1820"/>
    <mergeCell ref="B1821:C1821"/>
    <mergeCell ref="B1813:G1813"/>
    <mergeCell ref="B1814:G1814"/>
    <mergeCell ref="B1815:C1815"/>
    <mergeCell ref="B1817:C1817"/>
    <mergeCell ref="B1826:C1828"/>
    <mergeCell ref="D1826:E1826"/>
    <mergeCell ref="D1827:E1827"/>
    <mergeCell ref="D1828:E1828"/>
    <mergeCell ref="B1822:C1822"/>
    <mergeCell ref="B1823:C1823"/>
    <mergeCell ref="B1824:C1824"/>
    <mergeCell ref="B1825:C1825"/>
    <mergeCell ref="B1834:C1834"/>
    <mergeCell ref="B1835:C1835"/>
    <mergeCell ref="B1836:C1836"/>
    <mergeCell ref="C1800:E1800"/>
    <mergeCell ref="C1801:G1801"/>
    <mergeCell ref="B1802:G1802"/>
    <mergeCell ref="B1795:G1795"/>
    <mergeCell ref="B1796:F1796"/>
    <mergeCell ref="B1797:E1797"/>
    <mergeCell ref="B1798:F1798"/>
    <mergeCell ref="B1809:C1809"/>
    <mergeCell ref="B1810:C1810"/>
    <mergeCell ref="B1811:C1811"/>
    <mergeCell ref="B1812:E1812"/>
    <mergeCell ref="B1803:G1803"/>
    <mergeCell ref="B1805:C1805"/>
    <mergeCell ref="B1807:C1807"/>
    <mergeCell ref="B1808:C1808"/>
    <mergeCell ref="B1818:C1818"/>
    <mergeCell ref="B1819:C1819"/>
    <mergeCell ref="B1782:C1782"/>
    <mergeCell ref="B1783:C1783"/>
    <mergeCell ref="B1784:C1784"/>
    <mergeCell ref="B1785:C1785"/>
    <mergeCell ref="B1777:G1777"/>
    <mergeCell ref="B1778:G1778"/>
    <mergeCell ref="B1779:C1779"/>
    <mergeCell ref="B1780:C1780"/>
    <mergeCell ref="B1790:C1790"/>
    <mergeCell ref="B1792:C1792"/>
    <mergeCell ref="B1793:C1793"/>
    <mergeCell ref="B1794:E1794"/>
    <mergeCell ref="B1786:C1786"/>
    <mergeCell ref="B1787:E1787"/>
    <mergeCell ref="B1788:G1788"/>
    <mergeCell ref="B1789:G1789"/>
    <mergeCell ref="C1799:E1799"/>
    <mergeCell ref="B1757:C1757"/>
    <mergeCell ref="B1758:C1758"/>
    <mergeCell ref="B1759:C1759"/>
    <mergeCell ref="B1760:E1760"/>
    <mergeCell ref="B1751:G1751"/>
    <mergeCell ref="B1753:C1753"/>
    <mergeCell ref="B1755:C1755"/>
    <mergeCell ref="B1756:C1756"/>
    <mergeCell ref="B1766:C1766"/>
    <mergeCell ref="B1767:C1767"/>
    <mergeCell ref="B1768:C1768"/>
    <mergeCell ref="B1769:C1769"/>
    <mergeCell ref="B1761:G1761"/>
    <mergeCell ref="B1762:G1762"/>
    <mergeCell ref="B1763:C1763"/>
    <mergeCell ref="B1765:C1765"/>
    <mergeCell ref="B1774:C1776"/>
    <mergeCell ref="D1774:E1774"/>
    <mergeCell ref="D1775:E1775"/>
    <mergeCell ref="D1776:E1776"/>
    <mergeCell ref="B1770:C1770"/>
    <mergeCell ref="B1771:C1771"/>
    <mergeCell ref="B1772:C1772"/>
    <mergeCell ref="B1773:C1773"/>
    <mergeCell ref="B1733:C1733"/>
    <mergeCell ref="B1725:G1725"/>
    <mergeCell ref="B1726:G1726"/>
    <mergeCell ref="B1727:C1727"/>
    <mergeCell ref="B1728:C1728"/>
    <mergeCell ref="B1738:C1738"/>
    <mergeCell ref="B1740:C1740"/>
    <mergeCell ref="B1741:C1741"/>
    <mergeCell ref="B1742:E1742"/>
    <mergeCell ref="B1734:C1734"/>
    <mergeCell ref="B1735:E1735"/>
    <mergeCell ref="B1736:G1736"/>
    <mergeCell ref="B1737:G1737"/>
    <mergeCell ref="C1747:E1747"/>
    <mergeCell ref="C1748:E1748"/>
    <mergeCell ref="C1749:G1749"/>
    <mergeCell ref="B1750:G1750"/>
    <mergeCell ref="B1743:G1743"/>
    <mergeCell ref="B1744:F1744"/>
    <mergeCell ref="B1745:E1745"/>
    <mergeCell ref="B1746:F1746"/>
    <mergeCell ref="B1716:C1716"/>
    <mergeCell ref="B1717:C1717"/>
    <mergeCell ref="B1709:G1709"/>
    <mergeCell ref="B1710:G1710"/>
    <mergeCell ref="B1711:C1711"/>
    <mergeCell ref="B1713:C1713"/>
    <mergeCell ref="B1722:C1724"/>
    <mergeCell ref="D1722:E1722"/>
    <mergeCell ref="D1723:E1723"/>
    <mergeCell ref="D1724:E1724"/>
    <mergeCell ref="B1718:C1718"/>
    <mergeCell ref="B1719:C1719"/>
    <mergeCell ref="B1720:C1720"/>
    <mergeCell ref="B1721:C1721"/>
    <mergeCell ref="B1730:C1730"/>
    <mergeCell ref="B1731:C1731"/>
    <mergeCell ref="B1732:C1732"/>
    <mergeCell ref="C1696:E1696"/>
    <mergeCell ref="C1697:G1697"/>
    <mergeCell ref="B1698:G1698"/>
    <mergeCell ref="B1691:G1691"/>
    <mergeCell ref="B1692:F1692"/>
    <mergeCell ref="B1693:E1693"/>
    <mergeCell ref="B1694:F1694"/>
    <mergeCell ref="B1705:C1705"/>
    <mergeCell ref="B1706:C1706"/>
    <mergeCell ref="B1707:C1707"/>
    <mergeCell ref="B1708:E1708"/>
    <mergeCell ref="B1699:G1699"/>
    <mergeCell ref="B1701:C1701"/>
    <mergeCell ref="B1703:C1703"/>
    <mergeCell ref="B1704:C1704"/>
    <mergeCell ref="B1714:C1714"/>
    <mergeCell ref="B1715:C1715"/>
    <mergeCell ref="B1678:C1678"/>
    <mergeCell ref="B1679:C1679"/>
    <mergeCell ref="B1680:C1680"/>
    <mergeCell ref="B1681:C1681"/>
    <mergeCell ref="B1673:G1673"/>
    <mergeCell ref="B1674:G1674"/>
    <mergeCell ref="B1675:C1675"/>
    <mergeCell ref="B1676:C1676"/>
    <mergeCell ref="B1686:C1686"/>
    <mergeCell ref="B1688:C1688"/>
    <mergeCell ref="B1689:C1689"/>
    <mergeCell ref="B1690:E1690"/>
    <mergeCell ref="B1682:C1682"/>
    <mergeCell ref="B1683:E1683"/>
    <mergeCell ref="B1684:G1684"/>
    <mergeCell ref="B1685:G1685"/>
    <mergeCell ref="C1695:E1695"/>
    <mergeCell ref="B1654:C1654"/>
    <mergeCell ref="B1655:C1655"/>
    <mergeCell ref="B1656:E1656"/>
    <mergeCell ref="B1647:G1647"/>
    <mergeCell ref="B1649:C1649"/>
    <mergeCell ref="B1651:C1651"/>
    <mergeCell ref="B1652:C1652"/>
    <mergeCell ref="B1662:C1662"/>
    <mergeCell ref="B1663:C1663"/>
    <mergeCell ref="B1664:C1664"/>
    <mergeCell ref="B1665:C1665"/>
    <mergeCell ref="B1657:G1657"/>
    <mergeCell ref="B1658:G1658"/>
    <mergeCell ref="B1659:C1659"/>
    <mergeCell ref="B1661:C1661"/>
    <mergeCell ref="B1670:C1672"/>
    <mergeCell ref="D1670:E1670"/>
    <mergeCell ref="D1671:E1671"/>
    <mergeCell ref="D1672:E1672"/>
    <mergeCell ref="B1666:C1666"/>
    <mergeCell ref="B1667:C1667"/>
    <mergeCell ref="B1668:C1668"/>
    <mergeCell ref="B1669:C1669"/>
    <mergeCell ref="B1634:C1634"/>
    <mergeCell ref="B1636:C1636"/>
    <mergeCell ref="B1637:C1637"/>
    <mergeCell ref="B1638:E1638"/>
    <mergeCell ref="B1630:C1630"/>
    <mergeCell ref="B1631:E1631"/>
    <mergeCell ref="B1632:G1632"/>
    <mergeCell ref="B1633:G1633"/>
    <mergeCell ref="C1643:E1643"/>
    <mergeCell ref="C1644:E1644"/>
    <mergeCell ref="C1645:G1645"/>
    <mergeCell ref="B1646:G1646"/>
    <mergeCell ref="B1639:G1639"/>
    <mergeCell ref="B1640:F1640"/>
    <mergeCell ref="B1641:E1641"/>
    <mergeCell ref="B1642:F1642"/>
    <mergeCell ref="B1653:C1653"/>
    <mergeCell ref="B1617:C1617"/>
    <mergeCell ref="B1618:C1620"/>
    <mergeCell ref="D1618:E1618"/>
    <mergeCell ref="D1619:E1619"/>
    <mergeCell ref="D1620:E1620"/>
    <mergeCell ref="B1613:C1613"/>
    <mergeCell ref="B1614:C1614"/>
    <mergeCell ref="B1615:C1615"/>
    <mergeCell ref="B1616:C1616"/>
    <mergeCell ref="B1626:C1626"/>
    <mergeCell ref="B1627:C1627"/>
    <mergeCell ref="B1628:C1628"/>
    <mergeCell ref="B1629:C1629"/>
    <mergeCell ref="B1621:G1621"/>
    <mergeCell ref="B1622:G1622"/>
    <mergeCell ref="B1623:C1623"/>
    <mergeCell ref="B1624:C1624"/>
    <mergeCell ref="B1601:C1601"/>
    <mergeCell ref="B1602:C1602"/>
    <mergeCell ref="B1603:C1603"/>
    <mergeCell ref="B1595:G1595"/>
    <mergeCell ref="B1597:C1597"/>
    <mergeCell ref="B1599:C1599"/>
    <mergeCell ref="B1600:C1600"/>
    <mergeCell ref="B1589:E1589"/>
    <mergeCell ref="C1593:G1593"/>
    <mergeCell ref="B1609:C1609"/>
    <mergeCell ref="B1610:C1610"/>
    <mergeCell ref="B1611:C1611"/>
    <mergeCell ref="B1612:C1612"/>
    <mergeCell ref="B1604:E1604"/>
    <mergeCell ref="B1605:G1605"/>
    <mergeCell ref="B1606:G1606"/>
    <mergeCell ref="B1607:C1607"/>
    <mergeCell ref="B1588:F1588"/>
    <mergeCell ref="C1591:E1591"/>
    <mergeCell ref="C1592:E1592"/>
    <mergeCell ref="B1572:C1572"/>
    <mergeCell ref="B1574:C1574"/>
    <mergeCell ref="B1575:C1575"/>
    <mergeCell ref="B1576:C1576"/>
    <mergeCell ref="B1578:C1578"/>
    <mergeCell ref="B1577:C1577"/>
    <mergeCell ref="B1579:E1579"/>
    <mergeCell ref="B1594:G1594"/>
    <mergeCell ref="B1590:F1590"/>
    <mergeCell ref="B1470:C1470"/>
    <mergeCell ref="B1471:C1471"/>
    <mergeCell ref="B1472:C1472"/>
    <mergeCell ref="B1473:C1473"/>
    <mergeCell ref="B1522:C1522"/>
    <mergeCell ref="B1569:G1569"/>
    <mergeCell ref="B1585:C1585"/>
    <mergeCell ref="B1587:G1587"/>
    <mergeCell ref="B1586:E1586"/>
    <mergeCell ref="B1555:C1555"/>
    <mergeCell ref="B1549:C1549"/>
    <mergeCell ref="B1550:C1550"/>
    <mergeCell ref="B1551:C1551"/>
    <mergeCell ref="B1557:C1557"/>
    <mergeCell ref="B1558:C1558"/>
    <mergeCell ref="B1559:C1559"/>
    <mergeCell ref="B1560:C1560"/>
    <mergeCell ref="B1570:G1570"/>
    <mergeCell ref="B1571:C1571"/>
    <mergeCell ref="B1561:C1561"/>
    <mergeCell ref="B1562:C1562"/>
    <mergeCell ref="B1563:C1563"/>
    <mergeCell ref="B1564:C1564"/>
    <mergeCell ref="B1580:G1580"/>
    <mergeCell ref="B1581:G1581"/>
    <mergeCell ref="B1584:C1584"/>
    <mergeCell ref="B1565:C1565"/>
    <mergeCell ref="B1566:C1568"/>
    <mergeCell ref="D1566:E1566"/>
    <mergeCell ref="D1567:E1567"/>
    <mergeCell ref="D1568:E1568"/>
    <mergeCell ref="B1582:C1582"/>
    <mergeCell ref="B1537:E1537"/>
    <mergeCell ref="B1538:F1538"/>
    <mergeCell ref="B1533:C1533"/>
    <mergeCell ref="B1532:C1532"/>
    <mergeCell ref="B1534:E1534"/>
    <mergeCell ref="B1535:G1535"/>
    <mergeCell ref="B1543:G1543"/>
    <mergeCell ref="B1545:C1545"/>
    <mergeCell ref="B1547:C1547"/>
    <mergeCell ref="B1548:C1548"/>
    <mergeCell ref="C1539:E1539"/>
    <mergeCell ref="C1540:E1540"/>
    <mergeCell ref="C1541:G1541"/>
    <mergeCell ref="B1542:G1542"/>
    <mergeCell ref="B1552:E1552"/>
    <mergeCell ref="B1553:G1553"/>
    <mergeCell ref="B1554:G1554"/>
    <mergeCell ref="B1525:C1525"/>
    <mergeCell ref="D1515:E1515"/>
    <mergeCell ref="D1516:E1516"/>
    <mergeCell ref="B1514:C1516"/>
    <mergeCell ref="D1514:E1514"/>
    <mergeCell ref="B1517:G1517"/>
    <mergeCell ref="B1529:G1529"/>
    <mergeCell ref="B1527:E1527"/>
    <mergeCell ref="B1528:G1528"/>
    <mergeCell ref="B1530:C1530"/>
    <mergeCell ref="B1526:C1526"/>
    <mergeCell ref="B1518:G1518"/>
    <mergeCell ref="B1520:C1520"/>
    <mergeCell ref="B1519:C1519"/>
    <mergeCell ref="B1523:C1523"/>
    <mergeCell ref="B1524:C1524"/>
    <mergeCell ref="B1536:F1536"/>
    <mergeCell ref="B1499:C1499"/>
    <mergeCell ref="B1500:E1500"/>
    <mergeCell ref="B1491:G1491"/>
    <mergeCell ref="B1493:C1493"/>
    <mergeCell ref="B1495:C1495"/>
    <mergeCell ref="B1496:C1496"/>
    <mergeCell ref="B1501:G1501"/>
    <mergeCell ref="B1503:C1503"/>
    <mergeCell ref="B1505:C1505"/>
    <mergeCell ref="B1506:C1506"/>
    <mergeCell ref="B1507:C1507"/>
    <mergeCell ref="B1508:C1508"/>
    <mergeCell ref="B1510:C1510"/>
    <mergeCell ref="B1511:C1511"/>
    <mergeCell ref="B1512:C1512"/>
    <mergeCell ref="B1513:C1513"/>
    <mergeCell ref="B1509:C1509"/>
    <mergeCell ref="B1502:G1502"/>
    <mergeCell ref="B1481:C1481"/>
    <mergeCell ref="B1480:C1480"/>
    <mergeCell ref="B1482:E1482"/>
    <mergeCell ref="B1483:G1483"/>
    <mergeCell ref="B1477:G1477"/>
    <mergeCell ref="B1475:E1475"/>
    <mergeCell ref="B1476:G1476"/>
    <mergeCell ref="B1478:C1478"/>
    <mergeCell ref="C1487:E1487"/>
    <mergeCell ref="C1488:E1488"/>
    <mergeCell ref="C1489:G1489"/>
    <mergeCell ref="B1490:G1490"/>
    <mergeCell ref="B1484:F1484"/>
    <mergeCell ref="B1485:E1485"/>
    <mergeCell ref="B1486:F1486"/>
    <mergeCell ref="B1497:C1497"/>
    <mergeCell ref="B1498:C1498"/>
    <mergeCell ref="B1449:G1449"/>
    <mergeCell ref="B1451:C1451"/>
    <mergeCell ref="B1453:C1453"/>
    <mergeCell ref="B1454:C1454"/>
    <mergeCell ref="B1455:C1455"/>
    <mergeCell ref="B1456:C1456"/>
    <mergeCell ref="B1458:C1458"/>
    <mergeCell ref="B1459:C1459"/>
    <mergeCell ref="B1460:C1460"/>
    <mergeCell ref="B1461:C1461"/>
    <mergeCell ref="B1457:C1457"/>
    <mergeCell ref="B1450:G1450"/>
    <mergeCell ref="B1474:C1474"/>
    <mergeCell ref="B1466:G1466"/>
    <mergeCell ref="B1468:C1468"/>
    <mergeCell ref="B1467:C1467"/>
    <mergeCell ref="D1463:E1463"/>
    <mergeCell ref="D1464:E1464"/>
    <mergeCell ref="B1462:C1464"/>
    <mergeCell ref="D1462:E1462"/>
    <mergeCell ref="B1465:G1465"/>
    <mergeCell ref="B1430:E1430"/>
    <mergeCell ref="B1431:G1431"/>
    <mergeCell ref="B1425:G1425"/>
    <mergeCell ref="B1423:E1423"/>
    <mergeCell ref="B1424:G1424"/>
    <mergeCell ref="B1426:C1426"/>
    <mergeCell ref="C1435:E1435"/>
    <mergeCell ref="C1436:E1436"/>
    <mergeCell ref="C1437:G1437"/>
    <mergeCell ref="B1438:G1438"/>
    <mergeCell ref="B1432:F1432"/>
    <mergeCell ref="B1433:E1433"/>
    <mergeCell ref="B1434:F1434"/>
    <mergeCell ref="B1445:C1445"/>
    <mergeCell ref="B1446:C1446"/>
    <mergeCell ref="B1447:C1447"/>
    <mergeCell ref="B1448:E1448"/>
    <mergeCell ref="B1439:G1439"/>
    <mergeCell ref="B1441:C1441"/>
    <mergeCell ref="B1443:C1443"/>
    <mergeCell ref="B1444:C1444"/>
    <mergeCell ref="D1412:E1412"/>
    <mergeCell ref="B1410:C1412"/>
    <mergeCell ref="D1410:E1410"/>
    <mergeCell ref="B1413:G1413"/>
    <mergeCell ref="B1406:C1406"/>
    <mergeCell ref="B1407:C1407"/>
    <mergeCell ref="B1408:C1408"/>
    <mergeCell ref="B1409:C1409"/>
    <mergeCell ref="B1419:C1419"/>
    <mergeCell ref="B1420:C1420"/>
    <mergeCell ref="B1421:C1421"/>
    <mergeCell ref="B1422:C1422"/>
    <mergeCell ref="B1414:G1414"/>
    <mergeCell ref="B1416:C1416"/>
    <mergeCell ref="B1415:C1415"/>
    <mergeCell ref="B1418:C1418"/>
    <mergeCell ref="B1429:C1429"/>
    <mergeCell ref="B1428:C1428"/>
    <mergeCell ref="B1393:C1393"/>
    <mergeCell ref="B1394:C1394"/>
    <mergeCell ref="B1395:C1395"/>
    <mergeCell ref="B1396:E1396"/>
    <mergeCell ref="B1387:G1387"/>
    <mergeCell ref="B1389:C1389"/>
    <mergeCell ref="B1391:C1391"/>
    <mergeCell ref="B1392:C1392"/>
    <mergeCell ref="B1402:C1402"/>
    <mergeCell ref="B1403:C1403"/>
    <mergeCell ref="B1404:C1404"/>
    <mergeCell ref="B1405:C1405"/>
    <mergeCell ref="B1398:G1398"/>
    <mergeCell ref="B1397:G1397"/>
    <mergeCell ref="B1399:C1399"/>
    <mergeCell ref="B1401:C1401"/>
    <mergeCell ref="D1411:E1411"/>
    <mergeCell ref="B1369:C1369"/>
    <mergeCell ref="B1361:G1361"/>
    <mergeCell ref="B1362:G1362"/>
    <mergeCell ref="B1363:C1363"/>
    <mergeCell ref="B1364:C1364"/>
    <mergeCell ref="B1374:C1374"/>
    <mergeCell ref="B1376:C1376"/>
    <mergeCell ref="B1377:C1377"/>
    <mergeCell ref="B1378:E1378"/>
    <mergeCell ref="B1370:C1370"/>
    <mergeCell ref="B1371:E1371"/>
    <mergeCell ref="B1372:G1372"/>
    <mergeCell ref="B1373:G1373"/>
    <mergeCell ref="C1383:E1383"/>
    <mergeCell ref="C1384:E1384"/>
    <mergeCell ref="C1385:G1385"/>
    <mergeCell ref="B1386:G1386"/>
    <mergeCell ref="B1379:G1379"/>
    <mergeCell ref="B1380:F1380"/>
    <mergeCell ref="B1381:E1381"/>
    <mergeCell ref="B1382:F1382"/>
    <mergeCell ref="B1352:C1352"/>
    <mergeCell ref="B1344:E1344"/>
    <mergeCell ref="B1345:G1345"/>
    <mergeCell ref="B1346:G1346"/>
    <mergeCell ref="B1347:C1347"/>
    <mergeCell ref="B1357:C1357"/>
    <mergeCell ref="B1358:C1360"/>
    <mergeCell ref="D1358:E1358"/>
    <mergeCell ref="D1359:E1359"/>
    <mergeCell ref="D1360:E1360"/>
    <mergeCell ref="B1353:C1353"/>
    <mergeCell ref="B1354:C1354"/>
    <mergeCell ref="B1355:C1355"/>
    <mergeCell ref="B1356:C1356"/>
    <mergeCell ref="B1366:C1366"/>
    <mergeCell ref="B1367:C1367"/>
    <mergeCell ref="B1368:C1368"/>
    <mergeCell ref="B1328:F1328"/>
    <mergeCell ref="C1332:E1332"/>
    <mergeCell ref="B1341:C1341"/>
    <mergeCell ref="B1342:C1342"/>
    <mergeCell ref="B1329:E1329"/>
    <mergeCell ref="B1330:F1330"/>
    <mergeCell ref="C1331:E1331"/>
    <mergeCell ref="B1343:C1343"/>
    <mergeCell ref="B1335:G1335"/>
    <mergeCell ref="B1337:C1337"/>
    <mergeCell ref="B1339:C1339"/>
    <mergeCell ref="B1340:C1340"/>
    <mergeCell ref="C1333:G1333"/>
    <mergeCell ref="B1334:G1334"/>
    <mergeCell ref="B1349:C1349"/>
    <mergeCell ref="B1350:C1350"/>
    <mergeCell ref="B1351:C1351"/>
    <mergeCell ref="B1314:C1314"/>
    <mergeCell ref="B1309:G1309"/>
    <mergeCell ref="B1310:G1310"/>
    <mergeCell ref="B1311:C1311"/>
    <mergeCell ref="B1312:C1312"/>
    <mergeCell ref="B1319:E1319"/>
    <mergeCell ref="B1320:G1320"/>
    <mergeCell ref="B1318:C1318"/>
    <mergeCell ref="B1315:C1315"/>
    <mergeCell ref="B1316:C1316"/>
    <mergeCell ref="B1317:C1317"/>
    <mergeCell ref="B1321:G1321"/>
    <mergeCell ref="B1322:C1322"/>
    <mergeCell ref="B1324:C1324"/>
    <mergeCell ref="B1326:E1326"/>
    <mergeCell ref="B1325:C1325"/>
    <mergeCell ref="B1327:G1327"/>
    <mergeCell ref="B1295:C1295"/>
    <mergeCell ref="B1288:C1288"/>
    <mergeCell ref="B1289:C1289"/>
    <mergeCell ref="B1290:C1290"/>
    <mergeCell ref="B1291:C1291"/>
    <mergeCell ref="B1301:C1301"/>
    <mergeCell ref="B1302:C1302"/>
    <mergeCell ref="B1303:C1303"/>
    <mergeCell ref="B1304:C1304"/>
    <mergeCell ref="B1297:C1297"/>
    <mergeCell ref="B1298:C1298"/>
    <mergeCell ref="B1299:C1299"/>
    <mergeCell ref="B1300:C1300"/>
    <mergeCell ref="B1305:C1305"/>
    <mergeCell ref="B1306:C1308"/>
    <mergeCell ref="D1306:E1306"/>
    <mergeCell ref="D1307:E1307"/>
    <mergeCell ref="D1308:E1308"/>
    <mergeCell ref="B1276:E1276"/>
    <mergeCell ref="B1277:F1277"/>
    <mergeCell ref="B1269:C1269"/>
    <mergeCell ref="B1271:C1271"/>
    <mergeCell ref="B1272:C1272"/>
    <mergeCell ref="B1273:E1273"/>
    <mergeCell ref="B1282:G1282"/>
    <mergeCell ref="B1284:C1284"/>
    <mergeCell ref="B1286:C1286"/>
    <mergeCell ref="B1287:C1287"/>
    <mergeCell ref="C1278:E1278"/>
    <mergeCell ref="C1279:E1279"/>
    <mergeCell ref="C1280:G1280"/>
    <mergeCell ref="B1281:G1281"/>
    <mergeCell ref="B1292:E1292"/>
    <mergeCell ref="B1293:G1293"/>
    <mergeCell ref="B1294:G1294"/>
    <mergeCell ref="B1258:C1258"/>
    <mergeCell ref="B1259:C1259"/>
    <mergeCell ref="B1252:C1252"/>
    <mergeCell ref="B1253:C1255"/>
    <mergeCell ref="D1253:E1253"/>
    <mergeCell ref="D1254:E1254"/>
    <mergeCell ref="D1255:E1255"/>
    <mergeCell ref="B1265:C1265"/>
    <mergeCell ref="B1266:E1266"/>
    <mergeCell ref="B1267:G1267"/>
    <mergeCell ref="B1268:G1268"/>
    <mergeCell ref="B1261:C1261"/>
    <mergeCell ref="B1262:C1262"/>
    <mergeCell ref="B1263:C1263"/>
    <mergeCell ref="B1264:C1264"/>
    <mergeCell ref="B1274:G1274"/>
    <mergeCell ref="B1275:F1275"/>
    <mergeCell ref="B1240:G1240"/>
    <mergeCell ref="B1241:G1241"/>
    <mergeCell ref="B1242:C1242"/>
    <mergeCell ref="B1235:C1235"/>
    <mergeCell ref="B1236:C1236"/>
    <mergeCell ref="B1237:C1237"/>
    <mergeCell ref="B1238:C1238"/>
    <mergeCell ref="B1248:C1248"/>
    <mergeCell ref="B1249:C1249"/>
    <mergeCell ref="B1250:C1250"/>
    <mergeCell ref="B1251:C1251"/>
    <mergeCell ref="B1244:C1244"/>
    <mergeCell ref="B1245:C1245"/>
    <mergeCell ref="B1246:C1246"/>
    <mergeCell ref="B1247:C1247"/>
    <mergeCell ref="B1256:G1256"/>
    <mergeCell ref="B1257:G1257"/>
    <mergeCell ref="B1221:G1221"/>
    <mergeCell ref="B1222:F1222"/>
    <mergeCell ref="B1223:E1223"/>
    <mergeCell ref="B1224:F1224"/>
    <mergeCell ref="B1216:C1216"/>
    <mergeCell ref="B1218:C1218"/>
    <mergeCell ref="B1219:C1219"/>
    <mergeCell ref="B1220:E1220"/>
    <mergeCell ref="B1229:G1229"/>
    <mergeCell ref="B1231:C1231"/>
    <mergeCell ref="B1233:C1233"/>
    <mergeCell ref="B1234:C1234"/>
    <mergeCell ref="C1225:E1225"/>
    <mergeCell ref="C1226:E1226"/>
    <mergeCell ref="C1227:G1227"/>
    <mergeCell ref="B1228:G1228"/>
    <mergeCell ref="B1239:E1239"/>
    <mergeCell ref="B1203:G1203"/>
    <mergeCell ref="B1204:G1204"/>
    <mergeCell ref="B1205:C1205"/>
    <mergeCell ref="B1206:C1206"/>
    <mergeCell ref="B1199:C1199"/>
    <mergeCell ref="B1200:C1202"/>
    <mergeCell ref="D1200:E1200"/>
    <mergeCell ref="D1201:E1201"/>
    <mergeCell ref="D1202:E1202"/>
    <mergeCell ref="B1212:C1212"/>
    <mergeCell ref="B1213:E1213"/>
    <mergeCell ref="B1214:G1214"/>
    <mergeCell ref="B1215:G1215"/>
    <mergeCell ref="B1208:C1208"/>
    <mergeCell ref="B1209:C1209"/>
    <mergeCell ref="B1210:C1210"/>
    <mergeCell ref="B1211:C1211"/>
    <mergeCell ref="B1181:C1181"/>
    <mergeCell ref="C1172:E1172"/>
    <mergeCell ref="C1173:E1173"/>
    <mergeCell ref="C1174:G1174"/>
    <mergeCell ref="B1175:G1175"/>
    <mergeCell ref="B1186:E1186"/>
    <mergeCell ref="B1187:G1187"/>
    <mergeCell ref="B1188:G1188"/>
    <mergeCell ref="B1189:C1189"/>
    <mergeCell ref="B1182:C1182"/>
    <mergeCell ref="B1183:C1183"/>
    <mergeCell ref="B1184:C1184"/>
    <mergeCell ref="B1185:C1185"/>
    <mergeCell ref="B1195:C1195"/>
    <mergeCell ref="B1196:C1196"/>
    <mergeCell ref="B1197:C1197"/>
    <mergeCell ref="B1198:C1198"/>
    <mergeCell ref="B1191:C1191"/>
    <mergeCell ref="B1192:C1192"/>
    <mergeCell ref="B1193:C1193"/>
    <mergeCell ref="B1194:C1194"/>
    <mergeCell ref="B1161:G1161"/>
    <mergeCell ref="B1162:G1162"/>
    <mergeCell ref="B1155:C1155"/>
    <mergeCell ref="B1156:C1156"/>
    <mergeCell ref="B1157:C1157"/>
    <mergeCell ref="B1158:C1158"/>
    <mergeCell ref="B1168:G1168"/>
    <mergeCell ref="B1169:F1169"/>
    <mergeCell ref="B1170:E1170"/>
    <mergeCell ref="B1171:F1171"/>
    <mergeCell ref="B1163:C1163"/>
    <mergeCell ref="B1165:C1165"/>
    <mergeCell ref="B1166:C1166"/>
    <mergeCell ref="B1167:E1167"/>
    <mergeCell ref="B1176:G1176"/>
    <mergeCell ref="B1178:C1178"/>
    <mergeCell ref="B1180:C1180"/>
    <mergeCell ref="B1144:C1144"/>
    <mergeCell ref="B1145:C1145"/>
    <mergeCell ref="B1138:C1138"/>
    <mergeCell ref="B1139:C1139"/>
    <mergeCell ref="B1140:C1140"/>
    <mergeCell ref="B1141:C1141"/>
    <mergeCell ref="B1150:G1150"/>
    <mergeCell ref="B1151:G1151"/>
    <mergeCell ref="B1152:C1152"/>
    <mergeCell ref="B1153:C1153"/>
    <mergeCell ref="B1146:C1146"/>
    <mergeCell ref="B1147:C1149"/>
    <mergeCell ref="D1147:E1147"/>
    <mergeCell ref="D1148:E1148"/>
    <mergeCell ref="D1149:E1149"/>
    <mergeCell ref="B1159:C1159"/>
    <mergeCell ref="B1160:E1160"/>
    <mergeCell ref="B1125:C1125"/>
    <mergeCell ref="B1127:C1127"/>
    <mergeCell ref="B1128:C1128"/>
    <mergeCell ref="C1119:E1119"/>
    <mergeCell ref="C1120:E1120"/>
    <mergeCell ref="C1121:G1121"/>
    <mergeCell ref="B1122:G1122"/>
    <mergeCell ref="B1133:E1133"/>
    <mergeCell ref="B1134:G1134"/>
    <mergeCell ref="B1135:G1135"/>
    <mergeCell ref="B1136:C1136"/>
    <mergeCell ref="B1129:C1129"/>
    <mergeCell ref="B1130:C1130"/>
    <mergeCell ref="B1131:C1131"/>
    <mergeCell ref="B1132:C1132"/>
    <mergeCell ref="B1142:C1142"/>
    <mergeCell ref="B1143:C1143"/>
    <mergeCell ref="B1106:C1106"/>
    <mergeCell ref="B1107:E1107"/>
    <mergeCell ref="B1108:G1108"/>
    <mergeCell ref="B1109:G1109"/>
    <mergeCell ref="B1102:C1102"/>
    <mergeCell ref="B1103:C1103"/>
    <mergeCell ref="B1104:C1104"/>
    <mergeCell ref="B1105:C1105"/>
    <mergeCell ref="B1115:G1115"/>
    <mergeCell ref="B1116:F1116"/>
    <mergeCell ref="B1117:E1117"/>
    <mergeCell ref="B1118:F1118"/>
    <mergeCell ref="B1110:C1110"/>
    <mergeCell ref="B1112:C1112"/>
    <mergeCell ref="B1113:C1113"/>
    <mergeCell ref="B1114:E1114"/>
    <mergeCell ref="B1123:G1123"/>
    <mergeCell ref="B1083:C1083"/>
    <mergeCell ref="B1076:C1076"/>
    <mergeCell ref="B1077:C1077"/>
    <mergeCell ref="B1078:C1078"/>
    <mergeCell ref="B1079:C1079"/>
    <mergeCell ref="B1089:C1089"/>
    <mergeCell ref="B1090:C1090"/>
    <mergeCell ref="B1091:C1091"/>
    <mergeCell ref="B1092:C1092"/>
    <mergeCell ref="B1085:C1085"/>
    <mergeCell ref="B1086:C1086"/>
    <mergeCell ref="B1087:C1087"/>
    <mergeCell ref="B1088:C1088"/>
    <mergeCell ref="B1097:G1097"/>
    <mergeCell ref="B1098:G1098"/>
    <mergeCell ref="B1099:C1099"/>
    <mergeCell ref="B1100:C1100"/>
    <mergeCell ref="B1093:C1093"/>
    <mergeCell ref="B1094:C1096"/>
    <mergeCell ref="D1094:E1094"/>
    <mergeCell ref="D1095:E1095"/>
    <mergeCell ref="D1096:E1096"/>
    <mergeCell ref="B1064:E1064"/>
    <mergeCell ref="B1065:F1065"/>
    <mergeCell ref="B1057:C1057"/>
    <mergeCell ref="B1059:C1059"/>
    <mergeCell ref="B1060:C1060"/>
    <mergeCell ref="B1061:E1061"/>
    <mergeCell ref="B1070:G1070"/>
    <mergeCell ref="B1072:C1072"/>
    <mergeCell ref="B1074:C1074"/>
    <mergeCell ref="B1075:C1075"/>
    <mergeCell ref="C1066:E1066"/>
    <mergeCell ref="C1067:E1067"/>
    <mergeCell ref="C1068:G1068"/>
    <mergeCell ref="B1069:G1069"/>
    <mergeCell ref="B1080:E1080"/>
    <mergeCell ref="B1081:G1081"/>
    <mergeCell ref="B1082:G1082"/>
    <mergeCell ref="B1046:C1046"/>
    <mergeCell ref="B1047:C1047"/>
    <mergeCell ref="B1040:C1040"/>
    <mergeCell ref="B1041:C1043"/>
    <mergeCell ref="D1041:E1041"/>
    <mergeCell ref="D1042:E1042"/>
    <mergeCell ref="D1043:E1043"/>
    <mergeCell ref="B1053:C1053"/>
    <mergeCell ref="B1054:E1054"/>
    <mergeCell ref="B1055:G1055"/>
    <mergeCell ref="B1056:G1056"/>
    <mergeCell ref="B1049:C1049"/>
    <mergeCell ref="B1050:C1050"/>
    <mergeCell ref="B1051:C1051"/>
    <mergeCell ref="B1052:C1052"/>
    <mergeCell ref="B1062:G1062"/>
    <mergeCell ref="B1063:F1063"/>
    <mergeCell ref="B1028:G1028"/>
    <mergeCell ref="B1029:G1029"/>
    <mergeCell ref="B1030:C1030"/>
    <mergeCell ref="B1023:C1023"/>
    <mergeCell ref="B1024:C1024"/>
    <mergeCell ref="B1025:C1025"/>
    <mergeCell ref="B1026:C1026"/>
    <mergeCell ref="B1036:C1036"/>
    <mergeCell ref="B1037:C1037"/>
    <mergeCell ref="B1038:C1038"/>
    <mergeCell ref="B1039:C1039"/>
    <mergeCell ref="B1032:C1032"/>
    <mergeCell ref="B1033:C1033"/>
    <mergeCell ref="B1034:C1034"/>
    <mergeCell ref="B1035:C1035"/>
    <mergeCell ref="B1044:G1044"/>
    <mergeCell ref="B1045:G1045"/>
    <mergeCell ref="B1009:G1009"/>
    <mergeCell ref="B1010:F1010"/>
    <mergeCell ref="B1011:E1011"/>
    <mergeCell ref="B1012:F1012"/>
    <mergeCell ref="B1004:C1004"/>
    <mergeCell ref="B1006:C1006"/>
    <mergeCell ref="B1007:C1007"/>
    <mergeCell ref="B1008:E1008"/>
    <mergeCell ref="B1017:G1017"/>
    <mergeCell ref="B1019:C1019"/>
    <mergeCell ref="B1021:C1021"/>
    <mergeCell ref="B1022:C1022"/>
    <mergeCell ref="C1013:E1013"/>
    <mergeCell ref="C1014:E1014"/>
    <mergeCell ref="C1015:G1015"/>
    <mergeCell ref="B1016:G1016"/>
    <mergeCell ref="B1027:E1027"/>
    <mergeCell ref="B991:G991"/>
    <mergeCell ref="B992:G992"/>
    <mergeCell ref="B993:C993"/>
    <mergeCell ref="B994:C994"/>
    <mergeCell ref="B987:C987"/>
    <mergeCell ref="B988:C990"/>
    <mergeCell ref="D988:E988"/>
    <mergeCell ref="D989:E989"/>
    <mergeCell ref="D990:E990"/>
    <mergeCell ref="B1000:C1000"/>
    <mergeCell ref="B1001:E1001"/>
    <mergeCell ref="B1002:G1002"/>
    <mergeCell ref="B1003:G1003"/>
    <mergeCell ref="B996:C996"/>
    <mergeCell ref="B997:C997"/>
    <mergeCell ref="B998:C998"/>
    <mergeCell ref="B999:C999"/>
    <mergeCell ref="B969:C969"/>
    <mergeCell ref="C960:E960"/>
    <mergeCell ref="C961:E961"/>
    <mergeCell ref="C962:G962"/>
    <mergeCell ref="B963:G963"/>
    <mergeCell ref="B974:E974"/>
    <mergeCell ref="B975:G975"/>
    <mergeCell ref="B976:G976"/>
    <mergeCell ref="B977:C977"/>
    <mergeCell ref="B970:C970"/>
    <mergeCell ref="B971:C971"/>
    <mergeCell ref="B972:C972"/>
    <mergeCell ref="B973:C973"/>
    <mergeCell ref="B983:C983"/>
    <mergeCell ref="B984:C984"/>
    <mergeCell ref="B985:C985"/>
    <mergeCell ref="B986:C986"/>
    <mergeCell ref="B979:C979"/>
    <mergeCell ref="B980:C980"/>
    <mergeCell ref="B981:C981"/>
    <mergeCell ref="B982:C982"/>
    <mergeCell ref="B949:G949"/>
    <mergeCell ref="B950:G950"/>
    <mergeCell ref="B943:C943"/>
    <mergeCell ref="B944:C944"/>
    <mergeCell ref="B945:C945"/>
    <mergeCell ref="B946:C946"/>
    <mergeCell ref="B956:G956"/>
    <mergeCell ref="B957:F957"/>
    <mergeCell ref="B958:E958"/>
    <mergeCell ref="B959:F959"/>
    <mergeCell ref="B951:C951"/>
    <mergeCell ref="B953:C953"/>
    <mergeCell ref="B954:C954"/>
    <mergeCell ref="B955:E955"/>
    <mergeCell ref="B964:G964"/>
    <mergeCell ref="B966:C966"/>
    <mergeCell ref="B968:C968"/>
    <mergeCell ref="B932:C932"/>
    <mergeCell ref="B933:C933"/>
    <mergeCell ref="B926:C926"/>
    <mergeCell ref="B927:C927"/>
    <mergeCell ref="B928:C928"/>
    <mergeCell ref="B929:C929"/>
    <mergeCell ref="B938:G938"/>
    <mergeCell ref="B939:G939"/>
    <mergeCell ref="B940:C940"/>
    <mergeCell ref="B941:C941"/>
    <mergeCell ref="B934:C934"/>
    <mergeCell ref="B935:C937"/>
    <mergeCell ref="D935:E935"/>
    <mergeCell ref="D936:E936"/>
    <mergeCell ref="D937:E937"/>
    <mergeCell ref="B947:C947"/>
    <mergeCell ref="B948:E948"/>
    <mergeCell ref="B913:C913"/>
    <mergeCell ref="B915:C915"/>
    <mergeCell ref="B916:C916"/>
    <mergeCell ref="C907:E907"/>
    <mergeCell ref="C908:E908"/>
    <mergeCell ref="C909:G909"/>
    <mergeCell ref="B910:G910"/>
    <mergeCell ref="B921:E921"/>
    <mergeCell ref="B922:G922"/>
    <mergeCell ref="B923:G923"/>
    <mergeCell ref="B924:C924"/>
    <mergeCell ref="B917:C917"/>
    <mergeCell ref="B918:C918"/>
    <mergeCell ref="B919:C919"/>
    <mergeCell ref="B920:C920"/>
    <mergeCell ref="B930:C930"/>
    <mergeCell ref="B931:C931"/>
    <mergeCell ref="B894:C894"/>
    <mergeCell ref="B895:E895"/>
    <mergeCell ref="B896:G896"/>
    <mergeCell ref="B897:G897"/>
    <mergeCell ref="B890:C890"/>
    <mergeCell ref="B891:C891"/>
    <mergeCell ref="B892:C892"/>
    <mergeCell ref="B893:C893"/>
    <mergeCell ref="B903:G903"/>
    <mergeCell ref="B904:F904"/>
    <mergeCell ref="B905:E905"/>
    <mergeCell ref="B906:F906"/>
    <mergeCell ref="B898:C898"/>
    <mergeCell ref="B900:C900"/>
    <mergeCell ref="B901:C901"/>
    <mergeCell ref="B902:E902"/>
    <mergeCell ref="B911:G911"/>
    <mergeCell ref="B871:C871"/>
    <mergeCell ref="B864:C864"/>
    <mergeCell ref="B865:C865"/>
    <mergeCell ref="B866:C866"/>
    <mergeCell ref="B867:C867"/>
    <mergeCell ref="B877:C877"/>
    <mergeCell ref="B878:C878"/>
    <mergeCell ref="B879:C879"/>
    <mergeCell ref="B880:C880"/>
    <mergeCell ref="B873:C873"/>
    <mergeCell ref="B874:C874"/>
    <mergeCell ref="B875:C875"/>
    <mergeCell ref="B876:C876"/>
    <mergeCell ref="B885:G885"/>
    <mergeCell ref="B886:G886"/>
    <mergeCell ref="B887:C887"/>
    <mergeCell ref="B888:C888"/>
    <mergeCell ref="B881:C881"/>
    <mergeCell ref="B882:C884"/>
    <mergeCell ref="D882:E882"/>
    <mergeCell ref="D883:E883"/>
    <mergeCell ref="D884:E884"/>
    <mergeCell ref="B852:E852"/>
    <mergeCell ref="B853:F853"/>
    <mergeCell ref="B845:C845"/>
    <mergeCell ref="B847:C847"/>
    <mergeCell ref="B848:C848"/>
    <mergeCell ref="B849:E849"/>
    <mergeCell ref="B858:G858"/>
    <mergeCell ref="B860:C860"/>
    <mergeCell ref="B862:C862"/>
    <mergeCell ref="B863:C863"/>
    <mergeCell ref="C854:E854"/>
    <mergeCell ref="C855:E855"/>
    <mergeCell ref="C856:G856"/>
    <mergeCell ref="B857:G857"/>
    <mergeCell ref="B868:E868"/>
    <mergeCell ref="B869:G869"/>
    <mergeCell ref="B870:G870"/>
    <mergeCell ref="B834:C834"/>
    <mergeCell ref="B835:C835"/>
    <mergeCell ref="B828:C828"/>
    <mergeCell ref="B829:C831"/>
    <mergeCell ref="D829:E829"/>
    <mergeCell ref="D830:E830"/>
    <mergeCell ref="D831:E831"/>
    <mergeCell ref="B841:C841"/>
    <mergeCell ref="B842:E842"/>
    <mergeCell ref="B843:G843"/>
    <mergeCell ref="B844:G844"/>
    <mergeCell ref="B837:C837"/>
    <mergeCell ref="B838:C838"/>
    <mergeCell ref="B839:C839"/>
    <mergeCell ref="B840:C840"/>
    <mergeCell ref="B850:G850"/>
    <mergeCell ref="B851:F851"/>
    <mergeCell ref="B816:G816"/>
    <mergeCell ref="B817:G817"/>
    <mergeCell ref="B818:C818"/>
    <mergeCell ref="B811:C811"/>
    <mergeCell ref="B812:C812"/>
    <mergeCell ref="B813:C813"/>
    <mergeCell ref="B814:C814"/>
    <mergeCell ref="B824:C824"/>
    <mergeCell ref="B825:C825"/>
    <mergeCell ref="B826:C826"/>
    <mergeCell ref="B827:C827"/>
    <mergeCell ref="B820:C820"/>
    <mergeCell ref="B821:C821"/>
    <mergeCell ref="B822:C822"/>
    <mergeCell ref="B823:C823"/>
    <mergeCell ref="B832:G832"/>
    <mergeCell ref="B833:G833"/>
    <mergeCell ref="B797:G797"/>
    <mergeCell ref="B798:F798"/>
    <mergeCell ref="B799:E799"/>
    <mergeCell ref="B800:F800"/>
    <mergeCell ref="B792:C792"/>
    <mergeCell ref="B794:C794"/>
    <mergeCell ref="B795:C795"/>
    <mergeCell ref="B796:E796"/>
    <mergeCell ref="B805:G805"/>
    <mergeCell ref="B807:C807"/>
    <mergeCell ref="B809:C809"/>
    <mergeCell ref="B810:C810"/>
    <mergeCell ref="C801:E801"/>
    <mergeCell ref="C802:E802"/>
    <mergeCell ref="C803:G803"/>
    <mergeCell ref="B804:G804"/>
    <mergeCell ref="B815:E815"/>
    <mergeCell ref="B779:G779"/>
    <mergeCell ref="B780:G780"/>
    <mergeCell ref="B781:C781"/>
    <mergeCell ref="B782:C782"/>
    <mergeCell ref="B775:C775"/>
    <mergeCell ref="B776:C778"/>
    <mergeCell ref="D776:E776"/>
    <mergeCell ref="D777:E777"/>
    <mergeCell ref="D778:E778"/>
    <mergeCell ref="B788:C788"/>
    <mergeCell ref="B789:E789"/>
    <mergeCell ref="B790:G790"/>
    <mergeCell ref="B791:G791"/>
    <mergeCell ref="B784:C784"/>
    <mergeCell ref="B785:C785"/>
    <mergeCell ref="B786:C786"/>
    <mergeCell ref="B787:C787"/>
    <mergeCell ref="B757:C757"/>
    <mergeCell ref="C748:E748"/>
    <mergeCell ref="C749:E749"/>
    <mergeCell ref="C750:G750"/>
    <mergeCell ref="B751:G751"/>
    <mergeCell ref="B762:E762"/>
    <mergeCell ref="B763:G763"/>
    <mergeCell ref="B764:G764"/>
    <mergeCell ref="B765:C765"/>
    <mergeCell ref="B758:C758"/>
    <mergeCell ref="B759:C759"/>
    <mergeCell ref="B760:C760"/>
    <mergeCell ref="B761:C761"/>
    <mergeCell ref="B771:C771"/>
    <mergeCell ref="B772:C772"/>
    <mergeCell ref="B773:C773"/>
    <mergeCell ref="B774:C774"/>
    <mergeCell ref="B767:C767"/>
    <mergeCell ref="B768:C768"/>
    <mergeCell ref="B769:C769"/>
    <mergeCell ref="B770:C770"/>
    <mergeCell ref="B737:G737"/>
    <mergeCell ref="B738:G738"/>
    <mergeCell ref="B731:C731"/>
    <mergeCell ref="B732:C732"/>
    <mergeCell ref="B733:C733"/>
    <mergeCell ref="B734:C734"/>
    <mergeCell ref="B744:G744"/>
    <mergeCell ref="B745:F745"/>
    <mergeCell ref="B746:E746"/>
    <mergeCell ref="B747:F747"/>
    <mergeCell ref="B739:C739"/>
    <mergeCell ref="B741:C741"/>
    <mergeCell ref="B742:C742"/>
    <mergeCell ref="B743:E743"/>
    <mergeCell ref="B752:G752"/>
    <mergeCell ref="B754:C754"/>
    <mergeCell ref="B756:C756"/>
    <mergeCell ref="B720:C720"/>
    <mergeCell ref="B721:C721"/>
    <mergeCell ref="B714:C714"/>
    <mergeCell ref="B715:C715"/>
    <mergeCell ref="B716:C716"/>
    <mergeCell ref="B717:C717"/>
    <mergeCell ref="B726:G726"/>
    <mergeCell ref="B727:G727"/>
    <mergeCell ref="B728:C728"/>
    <mergeCell ref="B729:C729"/>
    <mergeCell ref="B722:C722"/>
    <mergeCell ref="B723:C725"/>
    <mergeCell ref="D723:E723"/>
    <mergeCell ref="D724:E724"/>
    <mergeCell ref="D725:E725"/>
    <mergeCell ref="B735:C735"/>
    <mergeCell ref="B736:E736"/>
    <mergeCell ref="B701:C701"/>
    <mergeCell ref="B703:C703"/>
    <mergeCell ref="B704:C704"/>
    <mergeCell ref="C695:E695"/>
    <mergeCell ref="C696:E696"/>
    <mergeCell ref="C697:G697"/>
    <mergeCell ref="B698:G698"/>
    <mergeCell ref="B709:E709"/>
    <mergeCell ref="B710:G710"/>
    <mergeCell ref="B711:G711"/>
    <mergeCell ref="B712:C712"/>
    <mergeCell ref="B705:C705"/>
    <mergeCell ref="B706:C706"/>
    <mergeCell ref="B707:C707"/>
    <mergeCell ref="B708:C708"/>
    <mergeCell ref="B718:C718"/>
    <mergeCell ref="B719:C719"/>
    <mergeCell ref="B682:C682"/>
    <mergeCell ref="B683:E683"/>
    <mergeCell ref="B684:G684"/>
    <mergeCell ref="B685:G685"/>
    <mergeCell ref="B678:C678"/>
    <mergeCell ref="B679:C679"/>
    <mergeCell ref="B680:C680"/>
    <mergeCell ref="B681:C681"/>
    <mergeCell ref="B691:G691"/>
    <mergeCell ref="B692:F692"/>
    <mergeCell ref="B693:E693"/>
    <mergeCell ref="B694:F694"/>
    <mergeCell ref="B686:C686"/>
    <mergeCell ref="B688:C688"/>
    <mergeCell ref="B689:C689"/>
    <mergeCell ref="B690:E690"/>
    <mergeCell ref="B699:G699"/>
    <mergeCell ref="B659:C659"/>
    <mergeCell ref="B652:C652"/>
    <mergeCell ref="B653:C653"/>
    <mergeCell ref="B654:C654"/>
    <mergeCell ref="B655:C655"/>
    <mergeCell ref="B665:C665"/>
    <mergeCell ref="B666:C666"/>
    <mergeCell ref="B667:C667"/>
    <mergeCell ref="B668:C668"/>
    <mergeCell ref="B661:C661"/>
    <mergeCell ref="B662:C662"/>
    <mergeCell ref="B663:C663"/>
    <mergeCell ref="B664:C664"/>
    <mergeCell ref="B673:G673"/>
    <mergeCell ref="B674:G674"/>
    <mergeCell ref="B675:C675"/>
    <mergeCell ref="B676:C676"/>
    <mergeCell ref="B669:C669"/>
    <mergeCell ref="B670:C672"/>
    <mergeCell ref="D670:E670"/>
    <mergeCell ref="D671:E671"/>
    <mergeCell ref="D672:E672"/>
    <mergeCell ref="B640:E640"/>
    <mergeCell ref="B641:F641"/>
    <mergeCell ref="B633:C633"/>
    <mergeCell ref="B635:C635"/>
    <mergeCell ref="B636:C636"/>
    <mergeCell ref="B637:E637"/>
    <mergeCell ref="B646:G646"/>
    <mergeCell ref="B648:C648"/>
    <mergeCell ref="B650:C650"/>
    <mergeCell ref="B651:C651"/>
    <mergeCell ref="C642:E642"/>
    <mergeCell ref="C643:E643"/>
    <mergeCell ref="C644:G644"/>
    <mergeCell ref="B645:G645"/>
    <mergeCell ref="B656:E656"/>
    <mergeCell ref="B657:G657"/>
    <mergeCell ref="B658:G658"/>
    <mergeCell ref="B622:C622"/>
    <mergeCell ref="B623:C623"/>
    <mergeCell ref="B616:C616"/>
    <mergeCell ref="B617:C619"/>
    <mergeCell ref="D617:E617"/>
    <mergeCell ref="D618:E618"/>
    <mergeCell ref="D619:E619"/>
    <mergeCell ref="B629:C629"/>
    <mergeCell ref="B630:E630"/>
    <mergeCell ref="B631:G631"/>
    <mergeCell ref="B632:G632"/>
    <mergeCell ref="B625:C625"/>
    <mergeCell ref="B626:C626"/>
    <mergeCell ref="B627:C627"/>
    <mergeCell ref="B628:C628"/>
    <mergeCell ref="B638:G638"/>
    <mergeCell ref="B639:F639"/>
    <mergeCell ref="B604:G604"/>
    <mergeCell ref="B605:G605"/>
    <mergeCell ref="B606:C606"/>
    <mergeCell ref="B599:C599"/>
    <mergeCell ref="B600:C600"/>
    <mergeCell ref="B601:C601"/>
    <mergeCell ref="B602:C602"/>
    <mergeCell ref="B612:C612"/>
    <mergeCell ref="B613:C613"/>
    <mergeCell ref="B614:C614"/>
    <mergeCell ref="B615:C615"/>
    <mergeCell ref="B608:C608"/>
    <mergeCell ref="B609:C609"/>
    <mergeCell ref="B610:C610"/>
    <mergeCell ref="B611:C611"/>
    <mergeCell ref="B620:G620"/>
    <mergeCell ref="B621:G621"/>
    <mergeCell ref="B585:G585"/>
    <mergeCell ref="B586:F586"/>
    <mergeCell ref="B587:E587"/>
    <mergeCell ref="B588:F588"/>
    <mergeCell ref="B580:C580"/>
    <mergeCell ref="B582:C582"/>
    <mergeCell ref="B583:C583"/>
    <mergeCell ref="B584:E584"/>
    <mergeCell ref="B593:G593"/>
    <mergeCell ref="B595:C595"/>
    <mergeCell ref="B597:C597"/>
    <mergeCell ref="B598:C598"/>
    <mergeCell ref="C589:E589"/>
    <mergeCell ref="C590:E590"/>
    <mergeCell ref="C591:G591"/>
    <mergeCell ref="B592:G592"/>
    <mergeCell ref="B603:E603"/>
    <mergeCell ref="B567:G567"/>
    <mergeCell ref="B568:G568"/>
    <mergeCell ref="B569:C569"/>
    <mergeCell ref="B570:C570"/>
    <mergeCell ref="B563:C563"/>
    <mergeCell ref="B564:C566"/>
    <mergeCell ref="D564:E564"/>
    <mergeCell ref="D565:E565"/>
    <mergeCell ref="D566:E566"/>
    <mergeCell ref="B576:C576"/>
    <mergeCell ref="B577:E577"/>
    <mergeCell ref="B578:G578"/>
    <mergeCell ref="B579:G579"/>
    <mergeCell ref="B572:C572"/>
    <mergeCell ref="B573:C573"/>
    <mergeCell ref="B574:C574"/>
    <mergeCell ref="B575:C575"/>
    <mergeCell ref="B545:C545"/>
    <mergeCell ref="C536:E536"/>
    <mergeCell ref="C537:E537"/>
    <mergeCell ref="C538:G538"/>
    <mergeCell ref="B539:G539"/>
    <mergeCell ref="B550:E550"/>
    <mergeCell ref="B551:G551"/>
    <mergeCell ref="B552:G552"/>
    <mergeCell ref="B553:C553"/>
    <mergeCell ref="B546:C546"/>
    <mergeCell ref="B547:C547"/>
    <mergeCell ref="B548:C548"/>
    <mergeCell ref="B549:C549"/>
    <mergeCell ref="B559:C559"/>
    <mergeCell ref="B560:C560"/>
    <mergeCell ref="B561:C561"/>
    <mergeCell ref="B562:C562"/>
    <mergeCell ref="B555:C555"/>
    <mergeCell ref="B556:C556"/>
    <mergeCell ref="B557:C557"/>
    <mergeCell ref="B558:C558"/>
    <mergeCell ref="B525:G525"/>
    <mergeCell ref="B526:G526"/>
    <mergeCell ref="B519:C519"/>
    <mergeCell ref="B520:C520"/>
    <mergeCell ref="B521:C521"/>
    <mergeCell ref="B522:C522"/>
    <mergeCell ref="B532:G532"/>
    <mergeCell ref="B533:F533"/>
    <mergeCell ref="B534:E534"/>
    <mergeCell ref="B535:F535"/>
    <mergeCell ref="B527:C527"/>
    <mergeCell ref="B529:C529"/>
    <mergeCell ref="B530:C530"/>
    <mergeCell ref="B531:E531"/>
    <mergeCell ref="B540:G540"/>
    <mergeCell ref="B542:C542"/>
    <mergeCell ref="B544:C544"/>
    <mergeCell ref="B508:C508"/>
    <mergeCell ref="B509:C509"/>
    <mergeCell ref="B502:C502"/>
    <mergeCell ref="B503:C503"/>
    <mergeCell ref="B504:C504"/>
    <mergeCell ref="B505:C505"/>
    <mergeCell ref="B514:G514"/>
    <mergeCell ref="B515:G515"/>
    <mergeCell ref="B516:C516"/>
    <mergeCell ref="B517:C517"/>
    <mergeCell ref="B510:C510"/>
    <mergeCell ref="B511:C513"/>
    <mergeCell ref="D511:E511"/>
    <mergeCell ref="D512:E512"/>
    <mergeCell ref="D513:E513"/>
    <mergeCell ref="B523:C523"/>
    <mergeCell ref="B524:E524"/>
    <mergeCell ref="B489:C489"/>
    <mergeCell ref="B491:C491"/>
    <mergeCell ref="B492:C492"/>
    <mergeCell ref="C483:E483"/>
    <mergeCell ref="C484:E484"/>
    <mergeCell ref="C485:G485"/>
    <mergeCell ref="B486:G486"/>
    <mergeCell ref="B497:E497"/>
    <mergeCell ref="B498:G498"/>
    <mergeCell ref="B499:G499"/>
    <mergeCell ref="B500:C500"/>
    <mergeCell ref="B493:C493"/>
    <mergeCell ref="B494:C494"/>
    <mergeCell ref="B495:C495"/>
    <mergeCell ref="B496:C496"/>
    <mergeCell ref="B506:C506"/>
    <mergeCell ref="B507:C507"/>
    <mergeCell ref="B470:C470"/>
    <mergeCell ref="B471:E471"/>
    <mergeCell ref="B472:G472"/>
    <mergeCell ref="B473:G473"/>
    <mergeCell ref="B466:C466"/>
    <mergeCell ref="B467:C467"/>
    <mergeCell ref="B468:C468"/>
    <mergeCell ref="B469:C469"/>
    <mergeCell ref="B479:G479"/>
    <mergeCell ref="B480:F480"/>
    <mergeCell ref="B481:E481"/>
    <mergeCell ref="B482:F482"/>
    <mergeCell ref="B474:C474"/>
    <mergeCell ref="B476:C476"/>
    <mergeCell ref="B477:C477"/>
    <mergeCell ref="B478:E478"/>
    <mergeCell ref="B487:G487"/>
    <mergeCell ref="B447:C447"/>
    <mergeCell ref="B440:C440"/>
    <mergeCell ref="B441:C441"/>
    <mergeCell ref="B442:C442"/>
    <mergeCell ref="B443:C443"/>
    <mergeCell ref="B453:C453"/>
    <mergeCell ref="B454:C454"/>
    <mergeCell ref="B455:C455"/>
    <mergeCell ref="B456:C456"/>
    <mergeCell ref="B449:C449"/>
    <mergeCell ref="B450:C450"/>
    <mergeCell ref="B451:C451"/>
    <mergeCell ref="B452:C452"/>
    <mergeCell ref="B461:G461"/>
    <mergeCell ref="B462:G462"/>
    <mergeCell ref="B463:C463"/>
    <mergeCell ref="B464:C464"/>
    <mergeCell ref="B457:C457"/>
    <mergeCell ref="B458:C460"/>
    <mergeCell ref="D458:E458"/>
    <mergeCell ref="D459:E459"/>
    <mergeCell ref="D460:E460"/>
    <mergeCell ref="B428:E428"/>
    <mergeCell ref="B429:F429"/>
    <mergeCell ref="B421:C421"/>
    <mergeCell ref="B423:C423"/>
    <mergeCell ref="B424:C424"/>
    <mergeCell ref="B425:E425"/>
    <mergeCell ref="B434:G434"/>
    <mergeCell ref="B436:C436"/>
    <mergeCell ref="B438:C438"/>
    <mergeCell ref="B439:C439"/>
    <mergeCell ref="C430:E430"/>
    <mergeCell ref="C431:E431"/>
    <mergeCell ref="C432:G432"/>
    <mergeCell ref="B433:G433"/>
    <mergeCell ref="B444:E444"/>
    <mergeCell ref="B445:G445"/>
    <mergeCell ref="B446:G446"/>
    <mergeCell ref="B409:G409"/>
    <mergeCell ref="B410:C410"/>
    <mergeCell ref="B411:C411"/>
    <mergeCell ref="B405:C407"/>
    <mergeCell ref="D405:E405"/>
    <mergeCell ref="D406:E406"/>
    <mergeCell ref="D407:E407"/>
    <mergeCell ref="B417:C417"/>
    <mergeCell ref="B418:E418"/>
    <mergeCell ref="B419:G419"/>
    <mergeCell ref="B420:G420"/>
    <mergeCell ref="B413:C413"/>
    <mergeCell ref="B414:C414"/>
    <mergeCell ref="B415:C415"/>
    <mergeCell ref="B416:C416"/>
    <mergeCell ref="B426:G426"/>
    <mergeCell ref="B427:F427"/>
    <mergeCell ref="B392:G392"/>
    <mergeCell ref="B393:G393"/>
    <mergeCell ref="B394:C394"/>
    <mergeCell ref="B396:C396"/>
    <mergeCell ref="B388:C388"/>
    <mergeCell ref="B389:C389"/>
    <mergeCell ref="B390:C390"/>
    <mergeCell ref="B391:E391"/>
    <mergeCell ref="B401:C401"/>
    <mergeCell ref="B402:C402"/>
    <mergeCell ref="B403:C403"/>
    <mergeCell ref="B404:C404"/>
    <mergeCell ref="B397:C397"/>
    <mergeCell ref="B398:C398"/>
    <mergeCell ref="B399:C399"/>
    <mergeCell ref="B400:C400"/>
    <mergeCell ref="B408:G408"/>
    <mergeCell ref="B368:C368"/>
    <mergeCell ref="B361:C361"/>
    <mergeCell ref="B362:C362"/>
    <mergeCell ref="B363:C363"/>
    <mergeCell ref="B364:C364"/>
    <mergeCell ref="B374:F374"/>
    <mergeCell ref="B375:E375"/>
    <mergeCell ref="B376:F376"/>
    <mergeCell ref="C377:E377"/>
    <mergeCell ref="B370:C370"/>
    <mergeCell ref="B371:C371"/>
    <mergeCell ref="B372:E372"/>
    <mergeCell ref="B373:G373"/>
    <mergeCell ref="B383:C383"/>
    <mergeCell ref="B385:C385"/>
    <mergeCell ref="B386:C386"/>
    <mergeCell ref="B387:C387"/>
    <mergeCell ref="C378:E378"/>
    <mergeCell ref="C379:G379"/>
    <mergeCell ref="B380:G380"/>
    <mergeCell ref="B381:G381"/>
    <mergeCell ref="B351:C351"/>
    <mergeCell ref="B352:C354"/>
    <mergeCell ref="B345:C345"/>
    <mergeCell ref="B346:C346"/>
    <mergeCell ref="B347:C347"/>
    <mergeCell ref="B348:C348"/>
    <mergeCell ref="B356:G356"/>
    <mergeCell ref="B357:C357"/>
    <mergeCell ref="B358:C358"/>
    <mergeCell ref="B360:C360"/>
    <mergeCell ref="D352:E352"/>
    <mergeCell ref="D353:E353"/>
    <mergeCell ref="D354:E354"/>
    <mergeCell ref="B355:G355"/>
    <mergeCell ref="B365:E365"/>
    <mergeCell ref="B366:G366"/>
    <mergeCell ref="B367:G367"/>
    <mergeCell ref="B332:C332"/>
    <mergeCell ref="B333:C333"/>
    <mergeCell ref="C326:G326"/>
    <mergeCell ref="B327:G327"/>
    <mergeCell ref="B328:G328"/>
    <mergeCell ref="B330:C330"/>
    <mergeCell ref="B106:C106"/>
    <mergeCell ref="B98:C98"/>
    <mergeCell ref="B99:C99"/>
    <mergeCell ref="B100:E100"/>
    <mergeCell ref="B101:G101"/>
    <mergeCell ref="C112:E112"/>
    <mergeCell ref="B83:C83"/>
    <mergeCell ref="B80:C80"/>
    <mergeCell ref="B81:C81"/>
    <mergeCell ref="B86:C86"/>
    <mergeCell ref="B95:C95"/>
    <mergeCell ref="B96:C96"/>
    <mergeCell ref="B84:C84"/>
    <mergeCell ref="B85:C85"/>
    <mergeCell ref="B90:G90"/>
    <mergeCell ref="B91:G91"/>
    <mergeCell ref="B127:G127"/>
    <mergeCell ref="B128:G128"/>
    <mergeCell ref="B129:C129"/>
    <mergeCell ref="B131:C131"/>
    <mergeCell ref="B132:C132"/>
    <mergeCell ref="B133:C133"/>
    <mergeCell ref="B121:C121"/>
    <mergeCell ref="B122:C122"/>
    <mergeCell ref="B123:C123"/>
    <mergeCell ref="B124:C124"/>
    <mergeCell ref="B15:C15"/>
    <mergeCell ref="B16:C16"/>
    <mergeCell ref="B17:C17"/>
    <mergeCell ref="B18:C18"/>
    <mergeCell ref="B19:C19"/>
    <mergeCell ref="B20:E20"/>
    <mergeCell ref="C7:E7"/>
    <mergeCell ref="C8:G8"/>
    <mergeCell ref="B9:G9"/>
    <mergeCell ref="B10:G10"/>
    <mergeCell ref="B12:C12"/>
    <mergeCell ref="B14:C14"/>
    <mergeCell ref="C3:G3"/>
    <mergeCell ref="B4:G4"/>
    <mergeCell ref="C1:G1"/>
    <mergeCell ref="C2:G2"/>
    <mergeCell ref="C5:G5"/>
    <mergeCell ref="C6:E6"/>
    <mergeCell ref="B37:G37"/>
    <mergeCell ref="B38:G38"/>
    <mergeCell ref="B39:C39"/>
    <mergeCell ref="B40:C40"/>
    <mergeCell ref="B42:C42"/>
    <mergeCell ref="B43:C43"/>
    <mergeCell ref="B30:C30"/>
    <mergeCell ref="B31:C31"/>
    <mergeCell ref="B32:C32"/>
    <mergeCell ref="B33:C33"/>
    <mergeCell ref="B34:C36"/>
    <mergeCell ref="D34:E34"/>
    <mergeCell ref="D35:E35"/>
    <mergeCell ref="D36:E36"/>
    <mergeCell ref="B21:G21"/>
    <mergeCell ref="B22:G22"/>
    <mergeCell ref="B23:C23"/>
    <mergeCell ref="B27:C27"/>
    <mergeCell ref="B28:C28"/>
    <mergeCell ref="B29:C29"/>
    <mergeCell ref="B25:C25"/>
    <mergeCell ref="B26:C26"/>
    <mergeCell ref="B57:E57"/>
    <mergeCell ref="B58:F58"/>
    <mergeCell ref="C59:E59"/>
    <mergeCell ref="C60:E60"/>
    <mergeCell ref="C61:G61"/>
    <mergeCell ref="B62:G62"/>
    <mergeCell ref="B50:C50"/>
    <mergeCell ref="B52:C52"/>
    <mergeCell ref="B53:C53"/>
    <mergeCell ref="B54:E54"/>
    <mergeCell ref="B55:G55"/>
    <mergeCell ref="B56:F56"/>
    <mergeCell ref="B44:C44"/>
    <mergeCell ref="B45:C45"/>
    <mergeCell ref="B46:C46"/>
    <mergeCell ref="B47:E47"/>
    <mergeCell ref="B48:G48"/>
    <mergeCell ref="B49:G49"/>
    <mergeCell ref="B63:G63"/>
    <mergeCell ref="B65:C65"/>
    <mergeCell ref="B67:C67"/>
    <mergeCell ref="B68:C68"/>
    <mergeCell ref="B93:C93"/>
    <mergeCell ref="B69:C69"/>
    <mergeCell ref="B70:C70"/>
    <mergeCell ref="B71:C71"/>
    <mergeCell ref="B72:C72"/>
    <mergeCell ref="B82:C82"/>
    <mergeCell ref="D89:E89"/>
    <mergeCell ref="B110:E110"/>
    <mergeCell ref="B111:F111"/>
    <mergeCell ref="B102:G102"/>
    <mergeCell ref="B103:C103"/>
    <mergeCell ref="B105:C105"/>
    <mergeCell ref="B107:E107"/>
    <mergeCell ref="B108:G108"/>
    <mergeCell ref="B109:F109"/>
    <mergeCell ref="B97:C97"/>
    <mergeCell ref="B73:E73"/>
    <mergeCell ref="B74:G74"/>
    <mergeCell ref="B75:G75"/>
    <mergeCell ref="B76:C76"/>
    <mergeCell ref="B78:C78"/>
    <mergeCell ref="B79:C79"/>
    <mergeCell ref="B92:C92"/>
    <mergeCell ref="B87:C89"/>
    <mergeCell ref="D87:E87"/>
    <mergeCell ref="D88:E88"/>
    <mergeCell ref="B125:C125"/>
    <mergeCell ref="B126:E126"/>
    <mergeCell ref="C113:E113"/>
    <mergeCell ref="C114:G114"/>
    <mergeCell ref="B115:G115"/>
    <mergeCell ref="B116:G116"/>
    <mergeCell ref="B118:C118"/>
    <mergeCell ref="B120:C120"/>
    <mergeCell ref="B145:C145"/>
    <mergeCell ref="B146:C146"/>
    <mergeCell ref="B148:C148"/>
    <mergeCell ref="B149:C149"/>
    <mergeCell ref="B150:C150"/>
    <mergeCell ref="B151:C151"/>
    <mergeCell ref="B140:C142"/>
    <mergeCell ref="D140:E140"/>
    <mergeCell ref="D141:E141"/>
    <mergeCell ref="D142:E142"/>
    <mergeCell ref="B143:G143"/>
    <mergeCell ref="B144:G144"/>
    <mergeCell ref="B134:C134"/>
    <mergeCell ref="B135:C135"/>
    <mergeCell ref="B136:C136"/>
    <mergeCell ref="B137:C137"/>
    <mergeCell ref="B138:C138"/>
    <mergeCell ref="B139:C139"/>
    <mergeCell ref="C165:E165"/>
    <mergeCell ref="C166:E166"/>
    <mergeCell ref="C167:G167"/>
    <mergeCell ref="B168:G168"/>
    <mergeCell ref="B169:G169"/>
    <mergeCell ref="B171:C171"/>
    <mergeCell ref="B159:C159"/>
    <mergeCell ref="B160:E160"/>
    <mergeCell ref="B161:G161"/>
    <mergeCell ref="B162:F162"/>
    <mergeCell ref="B163:E163"/>
    <mergeCell ref="B164:F164"/>
    <mergeCell ref="B152:C152"/>
    <mergeCell ref="B153:E153"/>
    <mergeCell ref="B154:G154"/>
    <mergeCell ref="B155:G155"/>
    <mergeCell ref="B156:C156"/>
    <mergeCell ref="B158:C158"/>
    <mergeCell ref="B186:C186"/>
    <mergeCell ref="B187:C187"/>
    <mergeCell ref="B188:C188"/>
    <mergeCell ref="B189:C189"/>
    <mergeCell ref="B190:C190"/>
    <mergeCell ref="B191:C191"/>
    <mergeCell ref="B179:E179"/>
    <mergeCell ref="B180:G180"/>
    <mergeCell ref="B181:G181"/>
    <mergeCell ref="B182:C182"/>
    <mergeCell ref="B184:C184"/>
    <mergeCell ref="B185:C185"/>
    <mergeCell ref="B173:C173"/>
    <mergeCell ref="B174:C174"/>
    <mergeCell ref="B175:C175"/>
    <mergeCell ref="B176:C176"/>
    <mergeCell ref="B177:C177"/>
    <mergeCell ref="B178:C178"/>
    <mergeCell ref="B204:C204"/>
    <mergeCell ref="B205:C205"/>
    <mergeCell ref="B206:E206"/>
    <mergeCell ref="B207:G207"/>
    <mergeCell ref="B208:G208"/>
    <mergeCell ref="B209:C209"/>
    <mergeCell ref="B197:G197"/>
    <mergeCell ref="B198:C198"/>
    <mergeCell ref="B199:C199"/>
    <mergeCell ref="B201:C201"/>
    <mergeCell ref="B202:C202"/>
    <mergeCell ref="B203:C203"/>
    <mergeCell ref="B192:C192"/>
    <mergeCell ref="B193:C195"/>
    <mergeCell ref="D193:E193"/>
    <mergeCell ref="D194:E194"/>
    <mergeCell ref="D195:E195"/>
    <mergeCell ref="B196:G196"/>
    <mergeCell ref="B224:C224"/>
    <mergeCell ref="B226:C226"/>
    <mergeCell ref="B227:C227"/>
    <mergeCell ref="B228:C228"/>
    <mergeCell ref="B229:C229"/>
    <mergeCell ref="B230:C230"/>
    <mergeCell ref="B217:F217"/>
    <mergeCell ref="C218:E218"/>
    <mergeCell ref="C219:E219"/>
    <mergeCell ref="C220:G220"/>
    <mergeCell ref="B221:G221"/>
    <mergeCell ref="B222:G222"/>
    <mergeCell ref="B211:C211"/>
    <mergeCell ref="B212:C212"/>
    <mergeCell ref="B213:E213"/>
    <mergeCell ref="B214:G214"/>
    <mergeCell ref="B215:F215"/>
    <mergeCell ref="B216:E216"/>
    <mergeCell ref="B244:C244"/>
    <mergeCell ref="B245:C245"/>
    <mergeCell ref="B246:C248"/>
    <mergeCell ref="D246:E246"/>
    <mergeCell ref="D247:E247"/>
    <mergeCell ref="D248:E248"/>
    <mergeCell ref="B238:C238"/>
    <mergeCell ref="B239:C239"/>
    <mergeCell ref="B240:C240"/>
    <mergeCell ref="B241:C241"/>
    <mergeCell ref="B242:C242"/>
    <mergeCell ref="B243:C243"/>
    <mergeCell ref="B231:C231"/>
    <mergeCell ref="B232:E232"/>
    <mergeCell ref="B233:G233"/>
    <mergeCell ref="B234:G234"/>
    <mergeCell ref="B235:C235"/>
    <mergeCell ref="B237:C237"/>
    <mergeCell ref="B262:C262"/>
    <mergeCell ref="B264:C264"/>
    <mergeCell ref="B265:C265"/>
    <mergeCell ref="B266:E266"/>
    <mergeCell ref="B267:G267"/>
    <mergeCell ref="B268:F268"/>
    <mergeCell ref="B256:C256"/>
    <mergeCell ref="B257:C257"/>
    <mergeCell ref="B258:C258"/>
    <mergeCell ref="B259:E259"/>
    <mergeCell ref="B260:G260"/>
    <mergeCell ref="B261:G261"/>
    <mergeCell ref="B249:G249"/>
    <mergeCell ref="B250:G250"/>
    <mergeCell ref="B251:C251"/>
    <mergeCell ref="B252:C252"/>
    <mergeCell ref="B254:C254"/>
    <mergeCell ref="B255:C255"/>
    <mergeCell ref="B283:C283"/>
    <mergeCell ref="B284:C284"/>
    <mergeCell ref="B285:E285"/>
    <mergeCell ref="B286:G286"/>
    <mergeCell ref="B287:G287"/>
    <mergeCell ref="B288:C288"/>
    <mergeCell ref="B275:G275"/>
    <mergeCell ref="B277:C277"/>
    <mergeCell ref="B279:C279"/>
    <mergeCell ref="B280:C280"/>
    <mergeCell ref="B281:C281"/>
    <mergeCell ref="B282:C282"/>
    <mergeCell ref="B269:E269"/>
    <mergeCell ref="B270:F270"/>
    <mergeCell ref="C271:E271"/>
    <mergeCell ref="C272:E272"/>
    <mergeCell ref="C273:G273"/>
    <mergeCell ref="B274:G274"/>
    <mergeCell ref="B302:G302"/>
    <mergeCell ref="B303:G303"/>
    <mergeCell ref="B304:C304"/>
    <mergeCell ref="B305:C305"/>
    <mergeCell ref="B307:C307"/>
    <mergeCell ref="B308:C308"/>
    <mergeCell ref="B296:C296"/>
    <mergeCell ref="B297:C297"/>
    <mergeCell ref="B298:C298"/>
    <mergeCell ref="B299:C301"/>
    <mergeCell ref="D299:E299"/>
    <mergeCell ref="D300:E300"/>
    <mergeCell ref="D301:E301"/>
    <mergeCell ref="B290:C290"/>
    <mergeCell ref="B291:C291"/>
    <mergeCell ref="B292:C292"/>
    <mergeCell ref="B293:C293"/>
    <mergeCell ref="B294:C294"/>
    <mergeCell ref="B295:C295"/>
    <mergeCell ref="B322:E322"/>
    <mergeCell ref="B323:F323"/>
    <mergeCell ref="C2428:E2428"/>
    <mergeCell ref="C2429:E2429"/>
    <mergeCell ref="C2430:G2430"/>
    <mergeCell ref="B2431:G2431"/>
    <mergeCell ref="C324:E324"/>
    <mergeCell ref="C325:E325"/>
    <mergeCell ref="B334:C334"/>
    <mergeCell ref="B335:C335"/>
    <mergeCell ref="B315:C315"/>
    <mergeCell ref="B317:C317"/>
    <mergeCell ref="B318:C318"/>
    <mergeCell ref="B319:E319"/>
    <mergeCell ref="B320:G320"/>
    <mergeCell ref="B321:F321"/>
    <mergeCell ref="B309:C309"/>
    <mergeCell ref="B310:C310"/>
    <mergeCell ref="B311:C311"/>
    <mergeCell ref="B312:E312"/>
    <mergeCell ref="B313:G313"/>
    <mergeCell ref="B314:G314"/>
    <mergeCell ref="B340:G340"/>
    <mergeCell ref="B341:C341"/>
    <mergeCell ref="B343:C343"/>
    <mergeCell ref="B344:C344"/>
    <mergeCell ref="B336:C336"/>
    <mergeCell ref="B337:C337"/>
    <mergeCell ref="B338:E338"/>
    <mergeCell ref="B339:G339"/>
    <mergeCell ref="B349:C349"/>
    <mergeCell ref="B350:C350"/>
    <mergeCell ref="B2437:C2437"/>
    <mergeCell ref="B2438:C2438"/>
    <mergeCell ref="B2439:C2439"/>
    <mergeCell ref="B2466:C2466"/>
    <mergeCell ref="B2467:C2467"/>
    <mergeCell ref="B2468:C2468"/>
    <mergeCell ref="B2469:E2469"/>
    <mergeCell ref="B2470:G2470"/>
    <mergeCell ref="B2471:G2471"/>
    <mergeCell ref="B2459:G2459"/>
    <mergeCell ref="B2460:G2460"/>
    <mergeCell ref="B2461:C2461"/>
    <mergeCell ref="B2462:C2462"/>
    <mergeCell ref="B2464:C2464"/>
    <mergeCell ref="B2465:C2465"/>
    <mergeCell ref="B2453:C2453"/>
    <mergeCell ref="B2454:C2454"/>
    <mergeCell ref="B2455:C2455"/>
    <mergeCell ref="B2456:C2458"/>
    <mergeCell ref="D2456:E2456"/>
    <mergeCell ref="D2457:E2457"/>
    <mergeCell ref="D2458:E2458"/>
    <mergeCell ref="B2485:G2485"/>
    <mergeCell ref="B2487:C2487"/>
    <mergeCell ref="B2489:C2489"/>
    <mergeCell ref="B2490:C2490"/>
    <mergeCell ref="B2491:C2491"/>
    <mergeCell ref="B2492:C2492"/>
    <mergeCell ref="B2479:E2479"/>
    <mergeCell ref="B2480:F2480"/>
    <mergeCell ref="C2481:E2481"/>
    <mergeCell ref="C2482:E2482"/>
    <mergeCell ref="C2483:G2483"/>
    <mergeCell ref="B2484:G2484"/>
    <mergeCell ref="B2472:C2472"/>
    <mergeCell ref="B2474:C2474"/>
    <mergeCell ref="B2475:C2475"/>
    <mergeCell ref="B2476:E2476"/>
    <mergeCell ref="B2477:G2477"/>
    <mergeCell ref="B2478:F2478"/>
    <mergeCell ref="B2506:C2506"/>
    <mergeCell ref="B2507:C2507"/>
    <mergeCell ref="B2508:C2508"/>
    <mergeCell ref="B2509:C2511"/>
    <mergeCell ref="D2509:E2509"/>
    <mergeCell ref="D2510:E2510"/>
    <mergeCell ref="D2511:E2511"/>
    <mergeCell ref="B2500:C2500"/>
    <mergeCell ref="B2501:C2501"/>
    <mergeCell ref="B2502:C2502"/>
    <mergeCell ref="B2503:C2503"/>
    <mergeCell ref="B2504:C2504"/>
    <mergeCell ref="B2505:C2505"/>
    <mergeCell ref="B2493:C2493"/>
    <mergeCell ref="B2494:C2494"/>
    <mergeCell ref="B2495:E2495"/>
    <mergeCell ref="B2496:G2496"/>
    <mergeCell ref="B2497:G2497"/>
    <mergeCell ref="B2498:C2498"/>
    <mergeCell ref="B2525:C2525"/>
    <mergeCell ref="B2527:C2527"/>
    <mergeCell ref="B2528:C2528"/>
    <mergeCell ref="B2529:E2529"/>
    <mergeCell ref="B2530:G2530"/>
    <mergeCell ref="B2531:F2531"/>
    <mergeCell ref="B2519:C2519"/>
    <mergeCell ref="B2520:C2520"/>
    <mergeCell ref="B2521:C2521"/>
    <mergeCell ref="B2522:E2522"/>
    <mergeCell ref="B2523:G2523"/>
    <mergeCell ref="B2524:G2524"/>
    <mergeCell ref="B2512:G2512"/>
    <mergeCell ref="B2513:G2513"/>
    <mergeCell ref="B2514:C2514"/>
    <mergeCell ref="B2515:C2515"/>
    <mergeCell ref="B2517:C2517"/>
    <mergeCell ref="B2518:C2518"/>
    <mergeCell ref="B2546:C2546"/>
    <mergeCell ref="B2547:C2547"/>
    <mergeCell ref="B2548:E2548"/>
    <mergeCell ref="B2549:G2549"/>
    <mergeCell ref="B2550:G2550"/>
    <mergeCell ref="B2551:C2551"/>
    <mergeCell ref="B2538:G2538"/>
    <mergeCell ref="B2540:C2540"/>
    <mergeCell ref="B2542:C2542"/>
    <mergeCell ref="B2543:C2543"/>
    <mergeCell ref="B2544:C2544"/>
    <mergeCell ref="B2545:C2545"/>
    <mergeCell ref="B2532:E2532"/>
    <mergeCell ref="B2533:F2533"/>
    <mergeCell ref="C2534:E2534"/>
    <mergeCell ref="C2535:E2535"/>
    <mergeCell ref="C2536:G2536"/>
    <mergeCell ref="B2537:G2537"/>
    <mergeCell ref="B2565:G2565"/>
    <mergeCell ref="B2566:G2566"/>
    <mergeCell ref="B2567:C2567"/>
    <mergeCell ref="B2568:C2568"/>
    <mergeCell ref="B2570:C2570"/>
    <mergeCell ref="B2571:C2571"/>
    <mergeCell ref="B2559:C2559"/>
    <mergeCell ref="B2560:C2560"/>
    <mergeCell ref="B2561:C2561"/>
    <mergeCell ref="B2562:C2564"/>
    <mergeCell ref="D2562:E2562"/>
    <mergeCell ref="D2563:E2563"/>
    <mergeCell ref="D2564:E2564"/>
    <mergeCell ref="B2553:C2553"/>
    <mergeCell ref="B2554:C2554"/>
    <mergeCell ref="B2555:C2555"/>
    <mergeCell ref="B2556:C2556"/>
    <mergeCell ref="B2557:C2557"/>
    <mergeCell ref="B2558:C2558"/>
    <mergeCell ref="B2585:E2585"/>
    <mergeCell ref="B2586:F2586"/>
    <mergeCell ref="C2587:E2587"/>
    <mergeCell ref="C2588:E2588"/>
    <mergeCell ref="C2589:G2589"/>
    <mergeCell ref="B2590:G2590"/>
    <mergeCell ref="B2578:C2578"/>
    <mergeCell ref="B2580:C2580"/>
    <mergeCell ref="B2581:C2581"/>
    <mergeCell ref="B2582:E2582"/>
    <mergeCell ref="B2583:G2583"/>
    <mergeCell ref="B2584:F2584"/>
    <mergeCell ref="B2572:C2572"/>
    <mergeCell ref="B2573:C2573"/>
    <mergeCell ref="B2574:C2574"/>
    <mergeCell ref="B2575:E2575"/>
    <mergeCell ref="B2576:G2576"/>
    <mergeCell ref="B2577:G2577"/>
    <mergeCell ref="B2606:C2606"/>
    <mergeCell ref="B2607:C2607"/>
    <mergeCell ref="B2608:C2608"/>
    <mergeCell ref="B2609:C2609"/>
    <mergeCell ref="B2610:C2610"/>
    <mergeCell ref="B2611:C2611"/>
    <mergeCell ref="B2599:C2599"/>
    <mergeCell ref="B2600:C2600"/>
    <mergeCell ref="B2601:E2601"/>
    <mergeCell ref="B2602:G2602"/>
    <mergeCell ref="B2603:G2603"/>
    <mergeCell ref="B2604:C2604"/>
    <mergeCell ref="B2591:G2591"/>
    <mergeCell ref="B2593:C2593"/>
    <mergeCell ref="B2595:C2595"/>
    <mergeCell ref="B2596:C2596"/>
    <mergeCell ref="B2597:C2597"/>
    <mergeCell ref="B2598:C2598"/>
    <mergeCell ref="B2625:C2625"/>
    <mergeCell ref="B2626:C2626"/>
    <mergeCell ref="B2627:C2627"/>
    <mergeCell ref="B2628:E2628"/>
    <mergeCell ref="B2629:G2629"/>
    <mergeCell ref="B2630:G2630"/>
    <mergeCell ref="B2618:G2618"/>
    <mergeCell ref="B2619:G2619"/>
    <mergeCell ref="B2620:C2620"/>
    <mergeCell ref="B2621:C2621"/>
    <mergeCell ref="B2623:C2623"/>
    <mergeCell ref="B2624:C2624"/>
    <mergeCell ref="B2612:C2612"/>
    <mergeCell ref="B2613:C2613"/>
    <mergeCell ref="B2614:C2614"/>
    <mergeCell ref="B2615:C2617"/>
    <mergeCell ref="D2615:E2615"/>
    <mergeCell ref="D2616:E2616"/>
    <mergeCell ref="D2617:E2617"/>
    <mergeCell ref="B2646:C2646"/>
    <mergeCell ref="B2647:C2647"/>
    <mergeCell ref="B2648:C2648"/>
    <mergeCell ref="B2649:C2649"/>
    <mergeCell ref="B2650:C2650"/>
    <mergeCell ref="B2651:C2651"/>
    <mergeCell ref="C2640:E2640"/>
    <mergeCell ref="C2641:E2641"/>
    <mergeCell ref="C2642:G2642"/>
    <mergeCell ref="B2643:G2643"/>
    <mergeCell ref="B2644:G2644"/>
    <mergeCell ref="B2645:C2645"/>
    <mergeCell ref="B2638:E2638"/>
    <mergeCell ref="B2639:F2639"/>
    <mergeCell ref="B2631:C2631"/>
    <mergeCell ref="B2633:C2633"/>
    <mergeCell ref="B2634:C2634"/>
    <mergeCell ref="B2635:E2635"/>
    <mergeCell ref="B2636:G2636"/>
    <mergeCell ref="B2637:F2637"/>
    <mergeCell ref="B2664:C2664"/>
    <mergeCell ref="B2665:C2667"/>
    <mergeCell ref="D2665:E2665"/>
    <mergeCell ref="D2666:E2666"/>
    <mergeCell ref="D2667:E2667"/>
    <mergeCell ref="B2668:G2668"/>
    <mergeCell ref="B2658:C2658"/>
    <mergeCell ref="B2659:C2659"/>
    <mergeCell ref="B2660:C2660"/>
    <mergeCell ref="B2661:C2661"/>
    <mergeCell ref="B2662:C2662"/>
    <mergeCell ref="B2663:C2663"/>
    <mergeCell ref="B2652:E2652"/>
    <mergeCell ref="B2653:G2653"/>
    <mergeCell ref="B2654:G2654"/>
    <mergeCell ref="B2655:C2655"/>
    <mergeCell ref="B2656:C2656"/>
    <mergeCell ref="B2657:C2657"/>
    <mergeCell ref="C2690:G2690"/>
    <mergeCell ref="B2691:G2691"/>
    <mergeCell ref="B2692:G2692"/>
    <mergeCell ref="B2693:C2693"/>
    <mergeCell ref="B2694:C2694"/>
    <mergeCell ref="B2695:C2695"/>
    <mergeCell ref="B2671:C2671"/>
    <mergeCell ref="B2673:C2673"/>
    <mergeCell ref="B2674:C2674"/>
    <mergeCell ref="B2675:C2675"/>
    <mergeCell ref="B2676:C2676"/>
    <mergeCell ref="B2677:E2677"/>
    <mergeCell ref="B2669:G2669"/>
    <mergeCell ref="B2679:G2679"/>
    <mergeCell ref="B2683:E2683"/>
    <mergeCell ref="B2684:G2684"/>
    <mergeCell ref="C2688:E2688"/>
    <mergeCell ref="C2689:E2689"/>
    <mergeCell ref="B2685:F2685"/>
    <mergeCell ref="B2686:E2686"/>
    <mergeCell ref="B2687:F2687"/>
    <mergeCell ref="B2670:C2670"/>
    <mergeCell ref="B2708:C2708"/>
    <mergeCell ref="B2709:C2709"/>
    <mergeCell ref="B2710:C2710"/>
    <mergeCell ref="B2711:C2711"/>
    <mergeCell ref="B2712:C2712"/>
    <mergeCell ref="B2713:C2715"/>
    <mergeCell ref="B2702:G2702"/>
    <mergeCell ref="B2703:C2703"/>
    <mergeCell ref="B2704:C2704"/>
    <mergeCell ref="B2705:C2705"/>
    <mergeCell ref="B2706:C2706"/>
    <mergeCell ref="B2707:C2707"/>
    <mergeCell ref="B2696:C2696"/>
    <mergeCell ref="B2697:C2697"/>
    <mergeCell ref="B2698:C2698"/>
    <mergeCell ref="B2699:C2699"/>
    <mergeCell ref="B2700:E2700"/>
    <mergeCell ref="B2701:G2701"/>
    <mergeCell ref="B2723:C2723"/>
    <mergeCell ref="B2724:C2724"/>
    <mergeCell ref="B2725:E2725"/>
    <mergeCell ref="B2735:F2735"/>
    <mergeCell ref="B2726:G2726"/>
    <mergeCell ref="B2727:G2727"/>
    <mergeCell ref="B2731:E2731"/>
    <mergeCell ref="B2732:G2732"/>
    <mergeCell ref="B2733:F2733"/>
    <mergeCell ref="B2734:E2734"/>
    <mergeCell ref="D2713:E2713"/>
    <mergeCell ref="D2714:E2714"/>
    <mergeCell ref="D2715:E2715"/>
    <mergeCell ref="B2716:G2716"/>
    <mergeCell ref="B2717:G2717"/>
    <mergeCell ref="B2718:C2718"/>
    <mergeCell ref="B2719:C2719"/>
    <mergeCell ref="B2721:C2721"/>
    <mergeCell ref="B2722:C2722"/>
  </mergeCells>
  <phoneticPr fontId="0" type="noConversion"/>
  <hyperlinks>
    <hyperlink ref="H6" location="'ITEMS RESUMEN'!MOVIMIENTOS_DE_TIERRA" display="volver"/>
    <hyperlink ref="H31" location="'ITEMS RESUMEN'!MOVIMIENTOS_DE_TIERRA" display="volver"/>
    <hyperlink ref="H58" location="'ITEMS RESUMEN'!MOVIMIENTOS_DE_TIERRA" display="volver"/>
    <hyperlink ref="H84" location="'ITEMS RESUMEN'!MOVIMIENTOS_DE_TIERRA" display="volver"/>
    <hyperlink ref="H111" location="'ITEMS RESUMEN'!MOVIMIENTOS_DE_TIERRA" display="volver"/>
    <hyperlink ref="H138" location="'ITEMS RESUMEN'!MOVIMIENTOS_DE_TIERRA" display="volver"/>
    <hyperlink ref="H164" location="'ITEMS RESUMEN'!MOVIMIENTOS_DE_TIERRA" display="volver"/>
    <hyperlink ref="H190" location="'ITEMS RESUMEN'!MOVIMIENTOS_DE_TIERRA" display="volver"/>
    <hyperlink ref="H217" location="'ITEMS RESUMEN'!MOVIMIENTOS_DE_TIERRA" display="volver"/>
    <hyperlink ref="H243" location="'ITEMS RESUMEN'!MOVIMIENTOS_DE_TIERRA" display="volver"/>
    <hyperlink ref="H270" location="'ITEMS RESUMEN'!MOVIMIENTOS_DE_TIERRA" display="volver"/>
    <hyperlink ref="H296" location="'ITEMS RESUMEN'!MOVIMIENTOS_DE_TIERRA" display="volver"/>
    <hyperlink ref="H323" location="'ITEMS RESUMEN'!MOVIMIENTOS_DE_TIERRA" display="volver"/>
    <hyperlink ref="H349" location="'ITEMS RESUMEN'!MOVIMIENTOS_DE_TIERRA" display="volver"/>
    <hyperlink ref="H376" location="'ITEMS RESUMEN'!MOVIMIENTOS_DE_TIERRA" display="volver"/>
    <hyperlink ref="H402" location="'ITEMS RESUMEN'!MOVIMIENTOS_DE_TIERRA" display="volver"/>
    <hyperlink ref="H429" location="'ITEMS RESUMEN'!MOVIMIENTOS_DE_TIERRA" display="volver"/>
    <hyperlink ref="H453" location="'ITEMS RESUMEN'!MOVIMIENTOS_DE_TIERRA" display="volver"/>
    <hyperlink ref="H482" location="'ITEMS RESUMEN'!MOVIMIENTOS_DE_TIERRA" display="volver"/>
    <hyperlink ref="H509" location="'ITEMS RESUMEN'!MOVIMIENTOS_DE_TIERRA" display="volver"/>
    <hyperlink ref="H535" location="'ITEMS RESUMEN'!MOVIMIENTOS_DE_TIERRA" display="volver"/>
    <hyperlink ref="H562" location="'ITEMS RESUMEN'!MOVIMIENTOS_DE_TIERRA" display="volver"/>
    <hyperlink ref="H588" location="'ITEMS RESUMEN'!MOVIMIENTOS_DE_TIERRA" display="volver"/>
    <hyperlink ref="H615" location="'ITEMS RESUMEN'!MOVIMIENTOS_DE_TIERRA" display="volver"/>
    <hyperlink ref="H641" location="'ITEMS RESUMEN'!MOVIMIENTOS_DE_TIERRA" display="volver"/>
    <hyperlink ref="H668" location="'ITEMS RESUMEN'!MOVIMIENTOS_DE_TIERRA" display="volver"/>
    <hyperlink ref="H694" location="'ITEMS RESUMEN'!MOVIMIENTOS_DE_TIERRA" display="volver"/>
    <hyperlink ref="H721" location="'ITEMS RESUMEN'!MOVIMIENTOS_DE_TIERRA" display="volver"/>
    <hyperlink ref="H747" location="'ITEMS RESUMEN'!MOVIMIENTOS_DE_TIERRA" display="volver"/>
    <hyperlink ref="H1330" location="'ITEMS RESUMEN'!MOVIMIENTOS_DE_TIERRA" display="volver"/>
    <hyperlink ref="H1304" location="'ITEMS RESUMEN'!MOVIMIENTOS_DE_TIERRA" display="volver"/>
    <hyperlink ref="H1277" location="'ITEMS RESUMEN'!MOVIMIENTOS_DE_TIERRA" display="volver"/>
    <hyperlink ref="H1251" location="'ITEMS RESUMEN'!MOVIMIENTOS_DE_TIERRA" display="volver"/>
    <hyperlink ref="H1224" location="'ITEMS RESUMEN'!MOVIMIENTOS_DE_TIERRA" display="volver"/>
    <hyperlink ref="H1197" location="'ITEMS RESUMEN'!MOVIMIENTOS_DE_TIERRA" display="volver"/>
    <hyperlink ref="H1171" location="'ITEMS RESUMEN'!MOVIMIENTOS_DE_TIERRA" display="volver"/>
    <hyperlink ref="H1145" location="'ITEMS RESUMEN'!MOVIMIENTOS_DE_TIERRA" display="volver"/>
    <hyperlink ref="H1118" location="'ITEMS RESUMEN'!MOVIMIENTOS_DE_TIERRA" display="volver"/>
    <hyperlink ref="H1092" location="'ITEMS RESUMEN'!MOVIMIENTOS_DE_TIERRA" display="volver"/>
    <hyperlink ref="H1065" location="'ITEMS RESUMEN'!MOVIMIENTOS_DE_TIERRA" display="volver"/>
    <hyperlink ref="H1039" location="'ITEMS RESUMEN'!MOVIMIENTOS_DE_TIERRA" display="volver"/>
    <hyperlink ref="H1012" location="'ITEMS RESUMEN'!MOVIMIENTOS_DE_TIERRA" display="volver"/>
    <hyperlink ref="H986" location="'ITEMS RESUMEN'!MOVIMIENTOS_DE_TIERRA" display="volver"/>
    <hyperlink ref="H959" location="'ITEMS RESUMEN'!MOVIMIENTOS_DE_TIERRA" display="volver"/>
    <hyperlink ref="H933" location="'ITEMS RESUMEN'!MOVIMIENTOS_DE_TIERRA" display="volver"/>
    <hyperlink ref="H906" location="'ITEMS RESUMEN'!MOVIMIENTOS_DE_TIERRA" display="volver"/>
    <hyperlink ref="H880" location="'ITEMS RESUMEN'!MOVIMIENTOS_DE_TIERRA" display="volver"/>
    <hyperlink ref="H853" location="'ITEMS RESUMEN'!MOVIMIENTOS_DE_TIERRA" display="volver"/>
    <hyperlink ref="H827" location="'ITEMS RESUMEN'!MOVIMIENTOS_DE_TIERRA" display="volver"/>
    <hyperlink ref="H800" location="'ITEMS RESUMEN'!MOVIMIENTOS_DE_TIERRA" display="volver"/>
    <hyperlink ref="H773" location="'ITEMS RESUMEN'!MOVIMIENTOS_DE_TIERRA" display="volver"/>
    <hyperlink ref="H1355" location="'ITEMS RESUMEN'!MOVIMIENTO_TIERRA1" display="volver"/>
    <hyperlink ref="H1382" location="'ITEMS RESUMEN'!MOVIMIENTO_TIERRA1" display="volver"/>
    <hyperlink ref="H1408" location="'ITEMS RESUMEN'!MOVIMIENTO_TIERRA1" display="volver"/>
    <hyperlink ref="H1434" location="'ITEMS RESUMEN'!MOVIMIENTO_TIERRA1" display="volver"/>
    <hyperlink ref="H1460" location="'ITEMS RESUMEN'!MOVIMIENTO_TIERRA1" display="volver"/>
    <hyperlink ref="H1486" location="'ITEMS RESUMEN'!MOVIMIENTO_TIERRA1" display="volver"/>
    <hyperlink ref="H1512" location="'ITEMS RESUMEN'!MOVIMIENTO_TIERRA1" display="volver"/>
    <hyperlink ref="H1538" location="'ITEMS RESUMEN'!MOVIMIENTO_TIERRA1" display="volver"/>
    <hyperlink ref="H1564" location="'ITEMS RESUMEN'!MOVIMIENTO_TIERRA1" display="volver"/>
    <hyperlink ref="H1590" location="'ITEMS RESUMEN'!MOVIMIENTO_TIERRA1" display="volver"/>
    <hyperlink ref="H1616" location="'ITEMS RESUMEN'!MOVIMIENTO_TIERRA1" display="volver"/>
    <hyperlink ref="H1642" location="'ITEMS RESUMEN'!MOVIMIENTO_TIERRA1" display="volver"/>
    <hyperlink ref="H1668" location="'ITEMS RESUMEN'!MOVIMIENTO_TIERRA1" display="volver"/>
    <hyperlink ref="H1694" location="'ITEMS RESUMEN'!MOVIMIENTO_TIERRA1" display="volver"/>
    <hyperlink ref="H1720" location="'ITEMS RESUMEN'!MOVIMIENTO_TIERRA1" display="volver"/>
    <hyperlink ref="H1746" location="'ITEMS RESUMEN'!MOVIMIENTO_TIERRA1" display="volver"/>
    <hyperlink ref="H1772" location="'ITEMS RESUMEN'!MOVIMIENTO_TIERRA1" display="volver"/>
    <hyperlink ref="H1798" location="'ITEMS RESUMEN'!MOVIMIENTO_TIERRA1" display="volver"/>
    <hyperlink ref="H1824" location="'ITEMS RESUMEN'!MOVIMIENTO_TIERRA1" display="volver"/>
    <hyperlink ref="H1850" location="'ITEMS RESUMEN'!MOVIMIENTO_TIERRA1" display="volver"/>
    <hyperlink ref="H1876" location="'ITEMS RESUMEN'!MOVIMIENTO_TIERRA1" display="volver"/>
    <hyperlink ref="H1902" location="'ITEMS RESUMEN'!MOVIMIENTO_TIERRA1" display="volver"/>
    <hyperlink ref="H1928" location="'ITEMS RESUMEN'!MOVIMIENTO_TIERRA1" display="volver"/>
    <hyperlink ref="H1954" location="'ITEMS RESUMEN'!MOVIMIENTO_TIERRA1" display="volver"/>
    <hyperlink ref="H1980" location="'ITEMS RESUMEN'!MOVIMIENTO_TIERRA1" display="volver"/>
    <hyperlink ref="H2006" location="'ITEMS RESUMEN'!MOVIMIENTO_TIERRA1" display="volver"/>
    <hyperlink ref="H2032" location="'ITEMS RESUMEN'!MOVIMIENTO_TIERRA1" display="volver"/>
    <hyperlink ref="H2058" location="'ITEMS RESUMEN'!MOVIMIENTO_TIERRA1" display="volver"/>
    <hyperlink ref="H2084" location="'ITEMS RESUMEN'!MOVIMIENTO_TIERRA1" display="volver"/>
    <hyperlink ref="H2110" location="'ITEMS RESUMEN'!MOVIMIENTO_TIERRA1" display="volver"/>
    <hyperlink ref="H2136" location="'ITEMS RESUMEN'!MOVIMIENTO_TIERRA1" display="volver"/>
    <hyperlink ref="H2162" location="'ITEMS RESUMEN'!MOVIMIENTO_TIERRA1" display="volver"/>
    <hyperlink ref="H2189" location="'ITEMS RESUMEN'!MOVIMIENTO_TIERRA1" display="volver"/>
    <hyperlink ref="H2215" location="'ITEMS RESUMEN'!MOVIMIENTO_TIERRA1" display="volver"/>
    <hyperlink ref="H2242" location="'ITEMS RESUMEN'!MOVIMIENTO_TIERRA1" display="volver"/>
    <hyperlink ref="H2268" location="'ITEMS RESUMEN'!MOVIMIENTO_TIERRA1" display="volver"/>
    <hyperlink ref="H2295" location="'ITEMS RESUMEN'!MOVIMIENTO_TIERRA1" display="volver"/>
    <hyperlink ref="H2321" location="'ITEMS RESUMEN'!MOVIMIENTO_TIERRA1" display="volver"/>
    <hyperlink ref="H2347" location="'ITEMS RESUMEN'!MOVIMIENTO_TIERRA1" display="volver"/>
    <hyperlink ref="H2374" location="'ITEMS RESUMEN'!MOVIMIENTO_TIERRA1" display="volver"/>
    <hyperlink ref="H2401" location="'ITEMS RESUMEN'!MOVIMIENTO_TIERRA1" display="volver"/>
    <hyperlink ref="H2427" location="'ITEMS RESUMEN'!MOVIMIENTO_TIERRA1" display="volver"/>
    <hyperlink ref="H2454" location="'ITEMS RESUMEN'!MOVIMIENTO_TIERRA1" display="volver"/>
    <hyperlink ref="H2480" location="'ITEMS RESUMEN'!MOVIMIENTO_TIERRA1" display="volver"/>
    <hyperlink ref="H2506" location="'ITEMS RESUMEN'!MOVIMIENTO_TIERRA1" display="volver"/>
    <hyperlink ref="H2533" location="'ITEMS RESUMEN'!MOVIMIENTO_TIERRA1" display="volver"/>
    <hyperlink ref="H2560" location="'ITEMS RESUMEN'!MOVIMIENTO_TIERRA1" display="volver"/>
    <hyperlink ref="H2586" location="'ITEMS RESUMEN'!MOVIMIENTO_TIERRA1" display="volver"/>
    <hyperlink ref="H2613" location="'ITEMS RESUMEN'!MOVIMIENTO_TIERRA1" display="volver"/>
    <hyperlink ref="H2639" location="'ITEMS RESUMEN'!MOVIMIENTO_TIERRA1" display="volver"/>
    <hyperlink ref="H2662" location="'ITEMS RESUMEN'!MOVIMIENTO_TIERRA1" display="volver"/>
    <hyperlink ref="H2687" location="'ITEMS RESUMEN'!MOVIMIENTO_TIERRA1" display="volver"/>
    <hyperlink ref="H2710" location="'ITEMS RESUMEN'!MOVIMIENTO_TIERRA1" display="volver"/>
    <hyperlink ref="H2735" location="'ITEMS RESUMEN'!MOVIMIENTO_TIERRA1" display="volver"/>
    <hyperlink ref="H2758" location="'ITEMS RESUMEN'!MOVIMIENTO_TIERRA1" display="volver"/>
    <hyperlink ref="H2782" location="'ITEMS RESUMEN'!MOVIMIENTO_TIERRA1" display="volver"/>
  </hyperlinks>
  <pageMargins left="0.98425196850393704" right="0.78740157480314965" top="0.59055118110236227" bottom="0.59055118110236227" header="0" footer="0"/>
  <pageSetup scale="59" orientation="portrait" r:id="rId1"/>
  <headerFooter alignWithMargins="0"/>
  <rowBreaks count="49" manualBreakCount="49">
    <brk id="58" max="16383" man="1"/>
    <brk id="111" max="16383" man="1"/>
    <brk id="164" max="16383" man="1"/>
    <brk id="217" max="16383" man="1"/>
    <brk id="270" max="16383" man="1"/>
    <brk id="323" min="1" max="6" man="1"/>
    <brk id="376" min="1" max="6" man="1"/>
    <brk id="429" min="1" max="6" man="1"/>
    <brk id="482" min="1" max="6" man="1"/>
    <brk id="535" min="1" max="6" man="1"/>
    <brk id="588" min="1" max="6" man="1"/>
    <brk id="641" min="1" max="6" man="1"/>
    <brk id="694" min="1" max="6" man="1"/>
    <brk id="747" min="1" max="6" man="1"/>
    <brk id="800" min="1" max="6" man="1"/>
    <brk id="853" min="1" max="6" man="1"/>
    <brk id="906" min="1" max="6" man="1"/>
    <brk id="959" min="1" max="6" man="1"/>
    <brk id="1012" min="1" max="6" man="1"/>
    <brk id="1065" min="1" max="6" man="1"/>
    <brk id="1118" min="1" max="6" man="1"/>
    <brk id="1171" min="1" max="6" man="1"/>
    <brk id="1224" min="1" max="6" man="1"/>
    <brk id="1277" min="1" max="6" man="1"/>
    <brk id="1330" min="1" max="6" man="1"/>
    <brk id="1382" min="1" max="6" man="1"/>
    <brk id="1434" min="1" max="6" man="1"/>
    <brk id="1486" min="1" max="6" man="1"/>
    <brk id="1538" min="1" max="6" man="1"/>
    <brk id="1590" min="1" max="6" man="1"/>
    <brk id="1642" min="1" max="6" man="1"/>
    <brk id="1694" min="1" max="6" man="1"/>
    <brk id="1746" min="1" max="6" man="1"/>
    <brk id="1798" min="1" max="6" man="1"/>
    <brk id="1850" min="1" max="6" man="1"/>
    <brk id="1902" min="1" max="6" man="1"/>
    <brk id="1954" min="1" max="6" man="1"/>
    <brk id="2006" min="1" max="6" man="1"/>
    <brk id="2058" min="1" max="6" man="1"/>
    <brk id="2110" min="1" max="6" man="1"/>
    <brk id="2162" min="1" max="6" man="1"/>
    <brk id="2215" min="1" max="6" man="1"/>
    <brk id="2268" min="1" max="6" man="1"/>
    <brk id="2321" min="1" max="6" man="1"/>
    <brk id="2374" min="1" max="6" man="1"/>
    <brk id="2427" max="16383" man="1"/>
    <brk id="2480" min="1" max="6" man="1"/>
    <brk id="2533" min="1" max="6" man="1"/>
    <brk id="2586" min="1" max="6" man="1"/>
  </rowBreaks>
  <colBreaks count="1" manualBreakCount="1">
    <brk id="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0" enableFormatConditionsCalculation="0">
    <tabColor indexed="53"/>
  </sheetPr>
  <dimension ref="A1:I1010"/>
  <sheetViews>
    <sheetView topLeftCell="A166" zoomScale="85" zoomScaleNormal="85" zoomScaleSheetLayoutView="100" workbookViewId="0">
      <selection activeCell="H190" sqref="H190"/>
    </sheetView>
  </sheetViews>
  <sheetFormatPr baseColWidth="10" defaultRowHeight="12.75"/>
  <cols>
    <col min="2" max="2" width="12.7109375" customWidth="1"/>
    <col min="3" max="3" width="25.7109375" customWidth="1"/>
    <col min="4" max="4" width="12.7109375" customWidth="1"/>
    <col min="5" max="5" width="13.7109375" customWidth="1"/>
    <col min="6" max="6" width="14.7109375" customWidth="1"/>
    <col min="7" max="7" width="16.7109375" customWidth="1"/>
  </cols>
  <sheetData>
    <row r="1" spans="1:8" ht="19.5" thickTop="1">
      <c r="A1" s="95"/>
      <c r="B1" s="225"/>
      <c r="C1" s="848" t="s">
        <v>1054</v>
      </c>
      <c r="D1" s="848"/>
      <c r="E1" s="848"/>
      <c r="F1" s="848"/>
      <c r="G1" s="849"/>
    </row>
    <row r="2" spans="1:8" ht="18.75">
      <c r="A2" s="95"/>
      <c r="B2" s="226"/>
      <c r="C2" s="780" t="s">
        <v>1381</v>
      </c>
      <c r="D2" s="780"/>
      <c r="E2" s="780"/>
      <c r="F2" s="780"/>
      <c r="G2" s="850"/>
    </row>
    <row r="3" spans="1:8" ht="18.75">
      <c r="A3" s="95"/>
      <c r="B3" s="226"/>
      <c r="C3" s="781"/>
      <c r="D3" s="781"/>
      <c r="E3" s="781"/>
      <c r="F3" s="781"/>
      <c r="G3" s="851"/>
    </row>
    <row r="4" spans="1:8" ht="15.75">
      <c r="A4" s="95"/>
      <c r="B4" s="881" t="s">
        <v>780</v>
      </c>
      <c r="C4" s="852"/>
      <c r="D4" s="852"/>
      <c r="E4" s="852"/>
      <c r="F4" s="852"/>
      <c r="G4" s="853"/>
    </row>
    <row r="5" spans="1:8" ht="15.75" thickBot="1">
      <c r="A5" s="95"/>
      <c r="B5" s="227"/>
      <c r="C5" s="856"/>
      <c r="D5" s="856"/>
      <c r="E5" s="856"/>
      <c r="F5" s="856"/>
      <c r="G5" s="857"/>
    </row>
    <row r="6" spans="1:8" ht="15" thickTop="1">
      <c r="A6" s="95"/>
      <c r="B6" s="90" t="s">
        <v>303</v>
      </c>
      <c r="C6" s="843"/>
      <c r="D6" s="843"/>
      <c r="E6" s="843"/>
      <c r="F6" s="92" t="s">
        <v>781</v>
      </c>
      <c r="G6" s="93" t="s">
        <v>1067</v>
      </c>
      <c r="H6" s="505" t="s">
        <v>1670</v>
      </c>
    </row>
    <row r="7" spans="1:8">
      <c r="A7" s="95"/>
      <c r="B7" s="91" t="s">
        <v>834</v>
      </c>
      <c r="C7" s="844" t="s">
        <v>367</v>
      </c>
      <c r="D7" s="844"/>
      <c r="E7" s="844"/>
      <c r="F7" s="15" t="s">
        <v>833</v>
      </c>
      <c r="G7" s="165" t="str">
        <f>'MANO DE OBRA'!D61</f>
        <v>Agosto de 2010</v>
      </c>
    </row>
    <row r="8" spans="1:8" ht="13.5" thickBot="1">
      <c r="A8" s="127"/>
      <c r="B8" s="94" t="s">
        <v>835</v>
      </c>
      <c r="C8" s="845" t="s">
        <v>670</v>
      </c>
      <c r="D8" s="845"/>
      <c r="E8" s="845"/>
      <c r="F8" s="845"/>
      <c r="G8" s="846"/>
    </row>
    <row r="9" spans="1:8" ht="14.25" thickTop="1" thickBot="1">
      <c r="A9" s="95"/>
      <c r="B9" s="847"/>
      <c r="C9" s="847"/>
      <c r="D9" s="847"/>
      <c r="E9" s="847"/>
      <c r="F9" s="847"/>
      <c r="G9" s="847"/>
    </row>
    <row r="10" spans="1:8" ht="13.5" thickTop="1">
      <c r="A10" s="95"/>
      <c r="B10" s="811" t="s">
        <v>304</v>
      </c>
      <c r="C10" s="812"/>
      <c r="D10" s="812"/>
      <c r="E10" s="812"/>
      <c r="F10" s="812"/>
      <c r="G10" s="825"/>
    </row>
    <row r="11" spans="1:8">
      <c r="A11" s="95"/>
      <c r="B11" s="105"/>
      <c r="C11" s="97"/>
      <c r="D11" s="98" t="s">
        <v>301</v>
      </c>
      <c r="E11" s="98" t="s">
        <v>1072</v>
      </c>
      <c r="F11" s="99" t="s">
        <v>839</v>
      </c>
      <c r="G11" s="107" t="s">
        <v>840</v>
      </c>
    </row>
    <row r="12" spans="1:8">
      <c r="A12" s="95"/>
      <c r="B12" s="821" t="s">
        <v>838</v>
      </c>
      <c r="C12" s="822"/>
      <c r="D12" s="100" t="s">
        <v>308</v>
      </c>
      <c r="E12" s="100" t="s">
        <v>305</v>
      </c>
      <c r="F12" s="101" t="s">
        <v>306</v>
      </c>
      <c r="G12" s="108" t="s">
        <v>310</v>
      </c>
    </row>
    <row r="13" spans="1:8">
      <c r="A13" s="95"/>
      <c r="B13" s="115"/>
      <c r="C13" s="102"/>
      <c r="D13" s="103"/>
      <c r="E13" s="103" t="s">
        <v>309</v>
      </c>
      <c r="F13" s="104" t="s">
        <v>307</v>
      </c>
      <c r="G13" s="109"/>
    </row>
    <row r="14" spans="1:8">
      <c r="A14" s="127"/>
      <c r="B14" s="823" t="str">
        <f>'MAQUINARIA Y EQUIPOS'!C28</f>
        <v>HERRAMIENTAS MENORES</v>
      </c>
      <c r="C14" s="824"/>
      <c r="D14" s="87">
        <v>1</v>
      </c>
      <c r="E14" s="82">
        <f>ROUND(G47*0.05,0)</f>
        <v>344</v>
      </c>
      <c r="F14" s="81">
        <v>1</v>
      </c>
      <c r="G14" s="110">
        <f>ROUND(D14*E14/F14,0)</f>
        <v>344</v>
      </c>
    </row>
    <row r="15" spans="1:8">
      <c r="A15" s="95"/>
      <c r="B15" s="835"/>
      <c r="C15" s="836"/>
      <c r="D15" s="37"/>
      <c r="E15" s="82"/>
      <c r="F15" s="83"/>
      <c r="G15" s="111"/>
    </row>
    <row r="16" spans="1:8">
      <c r="A16" s="95"/>
      <c r="B16" s="835"/>
      <c r="C16" s="836"/>
      <c r="D16" s="89"/>
      <c r="E16" s="82"/>
      <c r="F16" s="83"/>
      <c r="G16" s="111"/>
    </row>
    <row r="17" spans="1:8">
      <c r="A17" s="95"/>
      <c r="B17" s="835"/>
      <c r="C17" s="836"/>
      <c r="D17" s="89"/>
      <c r="E17" s="82"/>
      <c r="F17" s="83"/>
      <c r="G17" s="111"/>
    </row>
    <row r="18" spans="1:8">
      <c r="A18" s="95"/>
      <c r="B18" s="835" t="s">
        <v>841</v>
      </c>
      <c r="C18" s="836"/>
      <c r="D18" s="37"/>
      <c r="E18" s="82"/>
      <c r="F18" s="83"/>
      <c r="G18" s="111"/>
    </row>
    <row r="19" spans="1:8" ht="13.5" thickBot="1">
      <c r="A19" s="95"/>
      <c r="B19" s="839" t="s">
        <v>841</v>
      </c>
      <c r="C19" s="840"/>
      <c r="D19" s="77"/>
      <c r="E19" s="106"/>
      <c r="F19" s="86"/>
      <c r="G19" s="112"/>
    </row>
    <row r="20" spans="1:8" ht="14.25" thickTop="1" thickBot="1">
      <c r="A20" s="95"/>
      <c r="B20" s="808"/>
      <c r="C20" s="808"/>
      <c r="D20" s="808"/>
      <c r="E20" s="809"/>
      <c r="F20" s="119" t="s">
        <v>856</v>
      </c>
      <c r="G20" s="118">
        <f>SUM(G14:G19)</f>
        <v>344</v>
      </c>
    </row>
    <row r="21" spans="1:8" ht="14.25" thickTop="1" thickBot="1">
      <c r="A21" s="95"/>
      <c r="B21" s="830"/>
      <c r="C21" s="830"/>
      <c r="D21" s="830"/>
      <c r="E21" s="830"/>
      <c r="F21" s="830"/>
      <c r="G21" s="830"/>
    </row>
    <row r="22" spans="1:8" ht="13.5" thickTop="1">
      <c r="A22" s="95"/>
      <c r="B22" s="811" t="s">
        <v>311</v>
      </c>
      <c r="C22" s="812"/>
      <c r="D22" s="812"/>
      <c r="E22" s="812"/>
      <c r="F22" s="812"/>
      <c r="G22" s="825"/>
    </row>
    <row r="23" spans="1:8">
      <c r="A23" s="95"/>
      <c r="B23" s="817" t="s">
        <v>838</v>
      </c>
      <c r="C23" s="818"/>
      <c r="D23" s="98" t="s">
        <v>842</v>
      </c>
      <c r="E23" s="98" t="s">
        <v>853</v>
      </c>
      <c r="F23" s="99" t="s">
        <v>1047</v>
      </c>
      <c r="G23" s="107" t="s">
        <v>840</v>
      </c>
    </row>
    <row r="24" spans="1:8">
      <c r="A24" s="95"/>
      <c r="B24" s="115"/>
      <c r="C24" s="102"/>
      <c r="D24" s="100"/>
      <c r="E24" s="100" t="s">
        <v>312</v>
      </c>
      <c r="F24" s="101" t="s">
        <v>313</v>
      </c>
      <c r="G24" s="108" t="s">
        <v>314</v>
      </c>
    </row>
    <row r="25" spans="1:8" ht="14.25">
      <c r="A25" s="125"/>
      <c r="B25" s="841" t="str">
        <f>MATERIALES2!C41</f>
        <v>CONCRETO 1:3:5-2000 PSI(MATERIALES)</v>
      </c>
      <c r="C25" s="842"/>
      <c r="D25" s="87" t="s">
        <v>1066</v>
      </c>
      <c r="E25" s="10">
        <v>7.4999999999999997E-2</v>
      </c>
      <c r="F25" s="80">
        <f>MATERIALES2!E41</f>
        <v>319200</v>
      </c>
      <c r="G25" s="110">
        <f>ROUND(E25*F25,0)</f>
        <v>23940</v>
      </c>
    </row>
    <row r="26" spans="1:8">
      <c r="A26" s="123"/>
      <c r="B26" s="854"/>
      <c r="C26" s="855"/>
      <c r="D26" s="88"/>
      <c r="E26" s="83"/>
      <c r="F26" s="82"/>
      <c r="G26" s="111"/>
    </row>
    <row r="27" spans="1:8">
      <c r="A27" s="95"/>
      <c r="B27" s="854"/>
      <c r="C27" s="855"/>
      <c r="D27" s="37"/>
      <c r="E27" s="55"/>
      <c r="F27" s="82"/>
      <c r="G27" s="111"/>
    </row>
    <row r="28" spans="1:8">
      <c r="A28" s="95"/>
      <c r="B28" s="854"/>
      <c r="C28" s="855"/>
      <c r="D28" s="37"/>
      <c r="E28" s="55"/>
      <c r="F28" s="82"/>
      <c r="G28" s="111"/>
    </row>
    <row r="29" spans="1:8">
      <c r="A29" s="95"/>
      <c r="B29" s="938"/>
      <c r="C29" s="939"/>
      <c r="D29" s="37"/>
      <c r="E29" s="55"/>
      <c r="F29" s="82"/>
      <c r="G29" s="111"/>
    </row>
    <row r="30" spans="1:8">
      <c r="A30" s="95"/>
      <c r="B30" s="938"/>
      <c r="C30" s="939"/>
      <c r="D30" s="53" t="s">
        <v>841</v>
      </c>
      <c r="E30" s="53"/>
      <c r="F30" s="82"/>
      <c r="G30" s="111"/>
    </row>
    <row r="31" spans="1:8">
      <c r="A31" s="95"/>
      <c r="B31" s="837" t="s">
        <v>841</v>
      </c>
      <c r="C31" s="838"/>
      <c r="D31" s="53" t="s">
        <v>841</v>
      </c>
      <c r="E31" s="53"/>
      <c r="F31" s="82"/>
      <c r="G31" s="111"/>
    </row>
    <row r="32" spans="1:8">
      <c r="A32" s="95"/>
      <c r="B32" s="837" t="s">
        <v>841</v>
      </c>
      <c r="C32" s="838"/>
      <c r="D32" s="53" t="s">
        <v>841</v>
      </c>
      <c r="E32" s="53"/>
      <c r="F32" s="82"/>
      <c r="G32" s="111"/>
      <c r="H32" s="505" t="s">
        <v>1670</v>
      </c>
    </row>
    <row r="33" spans="1:7" ht="13.5" thickBot="1">
      <c r="A33" s="95"/>
      <c r="B33" s="839" t="s">
        <v>841</v>
      </c>
      <c r="C33" s="840"/>
      <c r="D33" s="84" t="s">
        <v>841</v>
      </c>
      <c r="E33" s="84"/>
      <c r="F33" s="85"/>
      <c r="G33" s="112"/>
    </row>
    <row r="34" spans="1:7" ht="13.5" thickTop="1">
      <c r="A34" s="95"/>
      <c r="B34" s="808"/>
      <c r="C34" s="809"/>
      <c r="D34" s="801" t="s">
        <v>856</v>
      </c>
      <c r="E34" s="802"/>
      <c r="F34" s="9"/>
      <c r="G34" s="113">
        <f>SUM(G25:G33)</f>
        <v>23940</v>
      </c>
    </row>
    <row r="35" spans="1:7">
      <c r="A35" s="95"/>
      <c r="B35" s="819"/>
      <c r="C35" s="820"/>
      <c r="D35" s="801" t="s">
        <v>857</v>
      </c>
      <c r="E35" s="802"/>
      <c r="F35" s="79">
        <f>'MANO DE OBRA'!D60</f>
        <v>0.05</v>
      </c>
      <c r="G35" s="113">
        <f>ROUND(G34*F35,0)</f>
        <v>1197</v>
      </c>
    </row>
    <row r="36" spans="1:7" ht="13.5" thickBot="1">
      <c r="A36" s="95"/>
      <c r="B36" s="819"/>
      <c r="C36" s="820"/>
      <c r="D36" s="803" t="s">
        <v>320</v>
      </c>
      <c r="E36" s="804"/>
      <c r="F36" s="114"/>
      <c r="G36" s="118">
        <f>+G34+G35</f>
        <v>25137</v>
      </c>
    </row>
    <row r="37" spans="1:7" ht="14.25" thickTop="1" thickBot="1">
      <c r="A37" s="95"/>
      <c r="B37" s="830"/>
      <c r="C37" s="830"/>
      <c r="D37" s="830"/>
      <c r="E37" s="830"/>
      <c r="F37" s="830"/>
      <c r="G37" s="830"/>
    </row>
    <row r="38" spans="1:7" ht="13.5" thickTop="1">
      <c r="A38" s="95"/>
      <c r="B38" s="811" t="s">
        <v>858</v>
      </c>
      <c r="C38" s="812"/>
      <c r="D38" s="812"/>
      <c r="E38" s="812"/>
      <c r="F38" s="812"/>
      <c r="G38" s="825"/>
    </row>
    <row r="39" spans="1:7">
      <c r="A39" s="95"/>
      <c r="B39" s="817"/>
      <c r="C39" s="818"/>
      <c r="D39" s="98" t="s">
        <v>301</v>
      </c>
      <c r="E39" s="98" t="s">
        <v>859</v>
      </c>
      <c r="F39" s="99" t="s">
        <v>839</v>
      </c>
      <c r="G39" s="107" t="s">
        <v>840</v>
      </c>
    </row>
    <row r="40" spans="1:7">
      <c r="A40" s="95"/>
      <c r="B40" s="821" t="s">
        <v>838</v>
      </c>
      <c r="C40" s="822"/>
      <c r="D40" s="100" t="s">
        <v>316</v>
      </c>
      <c r="E40" s="100" t="s">
        <v>315</v>
      </c>
      <c r="F40" s="101" t="s">
        <v>306</v>
      </c>
      <c r="G40" s="108" t="s">
        <v>319</v>
      </c>
    </row>
    <row r="41" spans="1:7">
      <c r="A41" s="95"/>
      <c r="B41" s="115"/>
      <c r="C41" s="102"/>
      <c r="D41" s="103"/>
      <c r="E41" s="103" t="s">
        <v>317</v>
      </c>
      <c r="F41" s="104" t="s">
        <v>318</v>
      </c>
      <c r="G41" s="109"/>
    </row>
    <row r="42" spans="1:7">
      <c r="A42" s="95"/>
      <c r="B42" s="823" t="str">
        <f>'MANO DE OBRA'!B10</f>
        <v>AYUDANTE CUAD. TIPO AA</v>
      </c>
      <c r="C42" s="824"/>
      <c r="D42" s="87">
        <v>1</v>
      </c>
      <c r="E42" s="80">
        <f>'MANO DE OBRA'!E10</f>
        <v>34680</v>
      </c>
      <c r="F42" s="81">
        <v>6.5</v>
      </c>
      <c r="G42" s="110">
        <f>ROUND(D42*E42/F42,0)</f>
        <v>5335</v>
      </c>
    </row>
    <row r="43" spans="1:7">
      <c r="A43" s="95"/>
      <c r="B43" s="835" t="str">
        <f>'MANO DE OBRA'!B15</f>
        <v xml:space="preserve">OFICIAL CUAD. TIPO AA </v>
      </c>
      <c r="C43" s="836"/>
      <c r="D43" s="37">
        <v>1</v>
      </c>
      <c r="E43" s="82">
        <f>'MANO DE OBRA'!E15</f>
        <v>71474</v>
      </c>
      <c r="F43" s="83">
        <v>46</v>
      </c>
      <c r="G43" s="111">
        <f>ROUND(D43*E43/F43,0)</f>
        <v>1554</v>
      </c>
    </row>
    <row r="44" spans="1:7">
      <c r="A44" s="95"/>
      <c r="B44" s="835"/>
      <c r="C44" s="836"/>
      <c r="D44" s="89"/>
      <c r="E44" s="82"/>
      <c r="F44" s="83"/>
      <c r="G44" s="111"/>
    </row>
    <row r="45" spans="1:7">
      <c r="A45" s="95"/>
      <c r="B45" s="835" t="s">
        <v>841</v>
      </c>
      <c r="C45" s="836"/>
      <c r="D45" s="37"/>
      <c r="E45" s="82"/>
      <c r="F45" s="83"/>
      <c r="G45" s="111"/>
    </row>
    <row r="46" spans="1:7" ht="13.5" thickBot="1">
      <c r="A46" s="95"/>
      <c r="B46" s="828" t="s">
        <v>841</v>
      </c>
      <c r="C46" s="829"/>
      <c r="D46" s="77"/>
      <c r="E46" s="82"/>
      <c r="F46" s="86"/>
      <c r="G46" s="112"/>
    </row>
    <row r="47" spans="1:7" ht="14.25" thickTop="1" thickBot="1">
      <c r="A47" s="95"/>
      <c r="B47" s="808"/>
      <c r="C47" s="808"/>
      <c r="D47" s="808"/>
      <c r="E47" s="809"/>
      <c r="F47" s="120" t="s">
        <v>856</v>
      </c>
      <c r="G47" s="118">
        <f>SUM(G42:G46)</f>
        <v>6889</v>
      </c>
    </row>
    <row r="48" spans="1:7" ht="14.25" thickTop="1" thickBot="1">
      <c r="A48" s="95"/>
      <c r="B48" s="810"/>
      <c r="C48" s="810"/>
      <c r="D48" s="810"/>
      <c r="E48" s="810"/>
      <c r="F48" s="810"/>
      <c r="G48" s="810"/>
    </row>
    <row r="49" spans="1:8" ht="13.5" thickTop="1">
      <c r="A49" s="95"/>
      <c r="B49" s="811" t="s">
        <v>321</v>
      </c>
      <c r="C49" s="812"/>
      <c r="D49" s="812"/>
      <c r="E49" s="812"/>
      <c r="F49" s="812"/>
      <c r="G49" s="825"/>
    </row>
    <row r="50" spans="1:8">
      <c r="A50" s="95"/>
      <c r="B50" s="817" t="s">
        <v>838</v>
      </c>
      <c r="C50" s="818"/>
      <c r="D50" s="98" t="s">
        <v>301</v>
      </c>
      <c r="E50" s="98" t="s">
        <v>297</v>
      </c>
      <c r="F50" s="99" t="s">
        <v>839</v>
      </c>
      <c r="G50" s="107" t="s">
        <v>840</v>
      </c>
    </row>
    <row r="51" spans="1:8">
      <c r="A51" s="95"/>
      <c r="B51" s="115"/>
      <c r="C51" s="102"/>
      <c r="D51" s="103" t="s">
        <v>322</v>
      </c>
      <c r="E51" s="103" t="s">
        <v>323</v>
      </c>
      <c r="F51" s="104" t="s">
        <v>324</v>
      </c>
      <c r="G51" s="109" t="s">
        <v>325</v>
      </c>
    </row>
    <row r="52" spans="1:8">
      <c r="A52" s="95"/>
      <c r="B52" s="826"/>
      <c r="C52" s="827"/>
      <c r="D52" s="96"/>
      <c r="E52" s="96"/>
      <c r="F52" s="96"/>
      <c r="G52" s="116"/>
    </row>
    <row r="53" spans="1:8" ht="13.5" thickBot="1">
      <c r="A53" s="95"/>
      <c r="B53" s="828" t="s">
        <v>841</v>
      </c>
      <c r="C53" s="829"/>
      <c r="D53" s="77"/>
      <c r="E53" s="82"/>
      <c r="F53" s="86"/>
      <c r="G53" s="112"/>
    </row>
    <row r="54" spans="1:8" ht="14.25" thickTop="1" thickBot="1">
      <c r="A54" s="95"/>
      <c r="B54" s="808"/>
      <c r="C54" s="808"/>
      <c r="D54" s="808"/>
      <c r="E54" s="809"/>
      <c r="F54" s="120" t="s">
        <v>856</v>
      </c>
      <c r="G54" s="118">
        <f>SUM(G49:G53)</f>
        <v>0</v>
      </c>
    </row>
    <row r="55" spans="1:8" ht="14.25" thickTop="1" thickBot="1">
      <c r="A55" s="95"/>
      <c r="B55" s="810"/>
      <c r="C55" s="810"/>
      <c r="D55" s="810"/>
      <c r="E55" s="810"/>
      <c r="F55" s="810"/>
      <c r="G55" s="834"/>
    </row>
    <row r="56" spans="1:8" ht="13.5" thickTop="1">
      <c r="A56" s="95"/>
      <c r="B56" s="811" t="s">
        <v>326</v>
      </c>
      <c r="C56" s="812"/>
      <c r="D56" s="812"/>
      <c r="E56" s="812"/>
      <c r="F56" s="813"/>
      <c r="G56" s="121">
        <f>+G20+G36+G47</f>
        <v>32370</v>
      </c>
    </row>
    <row r="57" spans="1:8">
      <c r="A57" s="95"/>
      <c r="B57" s="814" t="s">
        <v>861</v>
      </c>
      <c r="C57" s="815"/>
      <c r="D57" s="815"/>
      <c r="E57" s="816"/>
      <c r="F57" s="128">
        <f>'MANO DE OBRA'!D59</f>
        <v>0</v>
      </c>
      <c r="G57" s="122">
        <f>ROUND(G56*F57,0)</f>
        <v>0</v>
      </c>
    </row>
    <row r="58" spans="1:8" ht="13.5" thickBot="1">
      <c r="A58" s="95"/>
      <c r="B58" s="805" t="s">
        <v>1049</v>
      </c>
      <c r="C58" s="806"/>
      <c r="D58" s="806"/>
      <c r="E58" s="806"/>
      <c r="F58" s="807"/>
      <c r="G58" s="118">
        <f>ROUND(G56+G57,-2)</f>
        <v>32400</v>
      </c>
      <c r="H58" s="505" t="s">
        <v>1670</v>
      </c>
    </row>
    <row r="59" spans="1:8" ht="13.5" thickTop="1">
      <c r="A59" s="95"/>
      <c r="B59" s="90" t="s">
        <v>303</v>
      </c>
      <c r="C59" s="843"/>
      <c r="D59" s="843"/>
      <c r="E59" s="843"/>
      <c r="F59" s="92" t="s">
        <v>781</v>
      </c>
      <c r="G59" s="93" t="s">
        <v>831</v>
      </c>
    </row>
    <row r="60" spans="1:8">
      <c r="A60" s="95"/>
      <c r="B60" s="91" t="s">
        <v>834</v>
      </c>
      <c r="C60" s="844" t="s">
        <v>367</v>
      </c>
      <c r="D60" s="844"/>
      <c r="E60" s="844"/>
      <c r="F60" s="15" t="s">
        <v>833</v>
      </c>
      <c r="G60" s="165" t="str">
        <f>'MANO DE OBRA'!D61</f>
        <v>Agosto de 2010</v>
      </c>
    </row>
    <row r="61" spans="1:8" ht="13.5" thickBot="1">
      <c r="A61" s="127"/>
      <c r="B61" s="94" t="s">
        <v>835</v>
      </c>
      <c r="C61" s="845" t="s">
        <v>672</v>
      </c>
      <c r="D61" s="845"/>
      <c r="E61" s="845"/>
      <c r="F61" s="845"/>
      <c r="G61" s="846"/>
    </row>
    <row r="62" spans="1:8" ht="14.25" thickTop="1" thickBot="1">
      <c r="A62" s="95"/>
      <c r="B62" s="847"/>
      <c r="C62" s="847"/>
      <c r="D62" s="847"/>
      <c r="E62" s="847"/>
      <c r="F62" s="847"/>
      <c r="G62" s="847"/>
    </row>
    <row r="63" spans="1:8" ht="13.5" thickTop="1">
      <c r="A63" s="95"/>
      <c r="B63" s="811" t="s">
        <v>304</v>
      </c>
      <c r="C63" s="812"/>
      <c r="D63" s="812"/>
      <c r="E63" s="812"/>
      <c r="F63" s="812"/>
      <c r="G63" s="825"/>
    </row>
    <row r="64" spans="1:8">
      <c r="A64" s="95"/>
      <c r="B64" s="105"/>
      <c r="C64" s="97"/>
      <c r="D64" s="98" t="s">
        <v>301</v>
      </c>
      <c r="E64" s="98" t="s">
        <v>1072</v>
      </c>
      <c r="F64" s="99" t="s">
        <v>839</v>
      </c>
      <c r="G64" s="107" t="s">
        <v>840</v>
      </c>
    </row>
    <row r="65" spans="1:7">
      <c r="A65" s="95"/>
      <c r="B65" s="821" t="s">
        <v>838</v>
      </c>
      <c r="C65" s="822"/>
      <c r="D65" s="100" t="s">
        <v>308</v>
      </c>
      <c r="E65" s="100" t="s">
        <v>305</v>
      </c>
      <c r="F65" s="101" t="s">
        <v>306</v>
      </c>
      <c r="G65" s="108" t="s">
        <v>310</v>
      </c>
    </row>
    <row r="66" spans="1:7">
      <c r="A66" s="95"/>
      <c r="B66" s="115"/>
      <c r="C66" s="102"/>
      <c r="D66" s="103"/>
      <c r="E66" s="103" t="s">
        <v>309</v>
      </c>
      <c r="F66" s="104" t="s">
        <v>307</v>
      </c>
      <c r="G66" s="109"/>
    </row>
    <row r="67" spans="1:7">
      <c r="A67" s="127"/>
      <c r="B67" s="823" t="str">
        <f>'MAQUINARIA Y EQUIPOS'!C28</f>
        <v>HERRAMIENTAS MENORES</v>
      </c>
      <c r="C67" s="824"/>
      <c r="D67" s="87">
        <v>1</v>
      </c>
      <c r="E67" s="82">
        <f>ROUND(G100*0.05,0)</f>
        <v>393</v>
      </c>
      <c r="F67" s="81">
        <v>1</v>
      </c>
      <c r="G67" s="110">
        <f>ROUND(D67*E67/F67,0)</f>
        <v>393</v>
      </c>
    </row>
    <row r="68" spans="1:7">
      <c r="A68" s="95"/>
      <c r="B68" s="835"/>
      <c r="C68" s="836"/>
      <c r="D68" s="37"/>
      <c r="E68" s="82"/>
      <c r="F68" s="83"/>
      <c r="G68" s="111"/>
    </row>
    <row r="69" spans="1:7">
      <c r="A69" s="95"/>
      <c r="B69" s="835"/>
      <c r="C69" s="836"/>
      <c r="D69" s="89"/>
      <c r="E69" s="82"/>
      <c r="F69" s="83"/>
      <c r="G69" s="111"/>
    </row>
    <row r="70" spans="1:7">
      <c r="A70" s="95"/>
      <c r="B70" s="835"/>
      <c r="C70" s="836"/>
      <c r="D70" s="89"/>
      <c r="E70" s="82"/>
      <c r="F70" s="83"/>
      <c r="G70" s="111"/>
    </row>
    <row r="71" spans="1:7">
      <c r="A71" s="95"/>
      <c r="B71" s="835" t="s">
        <v>841</v>
      </c>
      <c r="C71" s="836"/>
      <c r="D71" s="37"/>
      <c r="E71" s="82"/>
      <c r="F71" s="83"/>
      <c r="G71" s="111"/>
    </row>
    <row r="72" spans="1:7" ht="13.5" thickBot="1">
      <c r="A72" s="95"/>
      <c r="B72" s="839" t="s">
        <v>841</v>
      </c>
      <c r="C72" s="840"/>
      <c r="D72" s="77"/>
      <c r="E72" s="106"/>
      <c r="F72" s="86"/>
      <c r="G72" s="112"/>
    </row>
    <row r="73" spans="1:7" ht="14.25" thickTop="1" thickBot="1">
      <c r="A73" s="95"/>
      <c r="B73" s="808"/>
      <c r="C73" s="808"/>
      <c r="D73" s="808"/>
      <c r="E73" s="809"/>
      <c r="F73" s="119" t="s">
        <v>856</v>
      </c>
      <c r="G73" s="118">
        <f>SUM(G67:G72)</f>
        <v>393</v>
      </c>
    </row>
    <row r="74" spans="1:7" ht="14.25" thickTop="1" thickBot="1">
      <c r="A74" s="95"/>
      <c r="B74" s="830"/>
      <c r="C74" s="830"/>
      <c r="D74" s="830"/>
      <c r="E74" s="830"/>
      <c r="F74" s="830"/>
      <c r="G74" s="830"/>
    </row>
    <row r="75" spans="1:7" ht="13.5" thickTop="1">
      <c r="A75" s="95"/>
      <c r="B75" s="811" t="s">
        <v>311</v>
      </c>
      <c r="C75" s="812"/>
      <c r="D75" s="812"/>
      <c r="E75" s="812"/>
      <c r="F75" s="812"/>
      <c r="G75" s="825"/>
    </row>
    <row r="76" spans="1:7">
      <c r="A76" s="95"/>
      <c r="B76" s="817" t="s">
        <v>838</v>
      </c>
      <c r="C76" s="818"/>
      <c r="D76" s="98" t="s">
        <v>842</v>
      </c>
      <c r="E76" s="98" t="s">
        <v>853</v>
      </c>
      <c r="F76" s="99" t="s">
        <v>1047</v>
      </c>
      <c r="G76" s="107" t="s">
        <v>840</v>
      </c>
    </row>
    <row r="77" spans="1:7">
      <c r="A77" s="95"/>
      <c r="B77" s="115"/>
      <c r="C77" s="102"/>
      <c r="D77" s="100"/>
      <c r="E77" s="100" t="s">
        <v>312</v>
      </c>
      <c r="F77" s="101" t="s">
        <v>313</v>
      </c>
      <c r="G77" s="108" t="s">
        <v>314</v>
      </c>
    </row>
    <row r="78" spans="1:7" ht="14.25">
      <c r="A78" s="125"/>
      <c r="B78" s="841" t="str">
        <f>MATERIALES2!C35</f>
        <v>CONCRETO 1:2:3-3000 psi(MATERIALES)</v>
      </c>
      <c r="C78" s="842"/>
      <c r="D78" s="87" t="s">
        <v>1066</v>
      </c>
      <c r="E78" s="140">
        <v>7.1999999999999995E-2</v>
      </c>
      <c r="F78" s="80">
        <f>MATERIALES2!E35</f>
        <v>367600</v>
      </c>
      <c r="G78" s="110">
        <f>ROUND(E78*F78,0)</f>
        <v>26467</v>
      </c>
    </row>
    <row r="79" spans="1:7" ht="14.25">
      <c r="A79" s="123"/>
      <c r="B79" s="854" t="str">
        <f>MATERIALES2!C22</f>
        <v>BOLO DE RIO</v>
      </c>
      <c r="C79" s="855"/>
      <c r="D79" s="37" t="s">
        <v>1066</v>
      </c>
      <c r="E79" s="141">
        <v>4.8000000000000001E-2</v>
      </c>
      <c r="F79" s="82">
        <f>MATERIALES2!E22</f>
        <v>77720</v>
      </c>
      <c r="G79" s="111">
        <f>ROUND(E79*F79,0)</f>
        <v>3731</v>
      </c>
    </row>
    <row r="80" spans="1:7">
      <c r="A80" s="123"/>
      <c r="B80" s="854" t="str">
        <f>MATERIALES2!C163</f>
        <v>TABLON 2x12x10</v>
      </c>
      <c r="C80" s="855"/>
      <c r="D80" s="37" t="s">
        <v>865</v>
      </c>
      <c r="E80" s="132">
        <v>0.17</v>
      </c>
      <c r="F80" s="82">
        <f>MATERIALES2!E23</f>
        <v>35000</v>
      </c>
      <c r="G80" s="111">
        <f>ROUND(E80*F80,0)</f>
        <v>5950</v>
      </c>
    </row>
    <row r="81" spans="1:8">
      <c r="A81" s="95"/>
      <c r="B81" s="854"/>
      <c r="C81" s="855"/>
      <c r="D81" s="37"/>
      <c r="E81" s="55"/>
      <c r="F81" s="82"/>
      <c r="G81" s="111"/>
    </row>
    <row r="82" spans="1:8">
      <c r="A82" s="95"/>
      <c r="B82" s="938"/>
      <c r="C82" s="939"/>
      <c r="D82" s="37"/>
      <c r="E82" s="55"/>
      <c r="F82" s="82"/>
      <c r="G82" s="111"/>
    </row>
    <row r="83" spans="1:8">
      <c r="A83" s="95"/>
      <c r="B83" s="837"/>
      <c r="C83" s="838"/>
      <c r="D83" s="53" t="s">
        <v>841</v>
      </c>
      <c r="E83" s="53"/>
      <c r="F83" s="82"/>
      <c r="G83" s="111"/>
    </row>
    <row r="84" spans="1:8">
      <c r="A84" s="95"/>
      <c r="B84" s="837" t="s">
        <v>841</v>
      </c>
      <c r="C84" s="838"/>
      <c r="D84" s="53" t="s">
        <v>841</v>
      </c>
      <c r="E84" s="53"/>
      <c r="F84" s="82"/>
      <c r="G84" s="111"/>
    </row>
    <row r="85" spans="1:8">
      <c r="A85" s="95"/>
      <c r="B85" s="837" t="s">
        <v>841</v>
      </c>
      <c r="C85" s="838"/>
      <c r="D85" s="53" t="s">
        <v>841</v>
      </c>
      <c r="E85" s="53"/>
      <c r="F85" s="82"/>
      <c r="G85" s="111"/>
      <c r="H85" s="505" t="s">
        <v>1670</v>
      </c>
    </row>
    <row r="86" spans="1:8" ht="13.5" thickBot="1">
      <c r="A86" s="95"/>
      <c r="B86" s="839" t="s">
        <v>841</v>
      </c>
      <c r="C86" s="840"/>
      <c r="D86" s="84" t="s">
        <v>841</v>
      </c>
      <c r="E86" s="84"/>
      <c r="F86" s="85"/>
      <c r="G86" s="112"/>
    </row>
    <row r="87" spans="1:8" ht="13.5" thickTop="1">
      <c r="A87" s="95"/>
      <c r="B87" s="808"/>
      <c r="C87" s="809"/>
      <c r="D87" s="801" t="s">
        <v>856</v>
      </c>
      <c r="E87" s="802"/>
      <c r="F87" s="9"/>
      <c r="G87" s="113">
        <f>SUM(G78:G86)</f>
        <v>36148</v>
      </c>
    </row>
    <row r="88" spans="1:8">
      <c r="A88" s="95"/>
      <c r="B88" s="819"/>
      <c r="C88" s="820"/>
      <c r="D88" s="801" t="s">
        <v>857</v>
      </c>
      <c r="E88" s="802"/>
      <c r="F88" s="79">
        <f>'MANO DE OBRA'!D60</f>
        <v>0.05</v>
      </c>
      <c r="G88" s="113">
        <f>ROUND(G87*F88,0)</f>
        <v>1807</v>
      </c>
    </row>
    <row r="89" spans="1:8" ht="13.5" thickBot="1">
      <c r="A89" s="95"/>
      <c r="B89" s="819"/>
      <c r="C89" s="820"/>
      <c r="D89" s="803" t="s">
        <v>320</v>
      </c>
      <c r="E89" s="804"/>
      <c r="F89" s="114"/>
      <c r="G89" s="118">
        <f>+G87+G88</f>
        <v>37955</v>
      </c>
    </row>
    <row r="90" spans="1:8" ht="14.25" thickTop="1" thickBot="1">
      <c r="A90" s="95"/>
      <c r="B90" s="830"/>
      <c r="C90" s="830"/>
      <c r="D90" s="830"/>
      <c r="E90" s="830"/>
      <c r="F90" s="830"/>
      <c r="G90" s="830"/>
    </row>
    <row r="91" spans="1:8" ht="13.5" thickTop="1">
      <c r="A91" s="95"/>
      <c r="B91" s="811" t="s">
        <v>858</v>
      </c>
      <c r="C91" s="812"/>
      <c r="D91" s="812"/>
      <c r="E91" s="812"/>
      <c r="F91" s="812"/>
      <c r="G91" s="825"/>
    </row>
    <row r="92" spans="1:8">
      <c r="A92" s="95"/>
      <c r="B92" s="817"/>
      <c r="C92" s="818"/>
      <c r="D92" s="98" t="s">
        <v>301</v>
      </c>
      <c r="E92" s="98" t="s">
        <v>859</v>
      </c>
      <c r="F92" s="99" t="s">
        <v>839</v>
      </c>
      <c r="G92" s="107" t="s">
        <v>840</v>
      </c>
    </row>
    <row r="93" spans="1:8">
      <c r="A93" s="95"/>
      <c r="B93" s="821" t="s">
        <v>838</v>
      </c>
      <c r="C93" s="822"/>
      <c r="D93" s="100" t="s">
        <v>316</v>
      </c>
      <c r="E93" s="100" t="s">
        <v>315</v>
      </c>
      <c r="F93" s="101" t="s">
        <v>306</v>
      </c>
      <c r="G93" s="108" t="s">
        <v>319</v>
      </c>
    </row>
    <row r="94" spans="1:8">
      <c r="A94" s="95"/>
      <c r="B94" s="115"/>
      <c r="C94" s="102"/>
      <c r="D94" s="103"/>
      <c r="E94" s="103" t="s">
        <v>317</v>
      </c>
      <c r="F94" s="104" t="s">
        <v>318</v>
      </c>
      <c r="G94" s="109"/>
    </row>
    <row r="95" spans="1:8">
      <c r="A95" s="95"/>
      <c r="B95" s="823" t="str">
        <f>'MANO DE OBRA'!B10</f>
        <v>AYUDANTE CUAD. TIPO AA</v>
      </c>
      <c r="C95" s="824"/>
      <c r="D95" s="87">
        <v>1</v>
      </c>
      <c r="E95" s="80">
        <f>'MANO DE OBRA'!E10</f>
        <v>34680</v>
      </c>
      <c r="F95" s="81">
        <v>6.06</v>
      </c>
      <c r="G95" s="110">
        <f>ROUND(D95*E95/F95,0)</f>
        <v>5723</v>
      </c>
    </row>
    <row r="96" spans="1:8">
      <c r="A96" s="95"/>
      <c r="B96" s="835" t="str">
        <f>'MANO DE OBRA'!B15</f>
        <v xml:space="preserve">OFICIAL CUAD. TIPO AA </v>
      </c>
      <c r="C96" s="836"/>
      <c r="D96" s="37">
        <v>1</v>
      </c>
      <c r="E96" s="82">
        <f>'MANO DE OBRA'!E15</f>
        <v>71474</v>
      </c>
      <c r="F96" s="83">
        <v>33.33</v>
      </c>
      <c r="G96" s="111">
        <f>ROUND(D96*E96/F96,0)</f>
        <v>2144</v>
      </c>
    </row>
    <row r="97" spans="1:8">
      <c r="A97" s="95"/>
      <c r="B97" s="835"/>
      <c r="C97" s="836"/>
      <c r="D97" s="89"/>
      <c r="E97" s="82"/>
      <c r="F97" s="83"/>
      <c r="G97" s="111"/>
    </row>
    <row r="98" spans="1:8">
      <c r="A98" s="95"/>
      <c r="B98" s="835" t="s">
        <v>841</v>
      </c>
      <c r="C98" s="836"/>
      <c r="D98" s="37"/>
      <c r="E98" s="82"/>
      <c r="F98" s="83"/>
      <c r="G98" s="111"/>
    </row>
    <row r="99" spans="1:8" ht="13.5" thickBot="1">
      <c r="A99" s="95"/>
      <c r="B99" s="828" t="s">
        <v>841</v>
      </c>
      <c r="C99" s="829"/>
      <c r="D99" s="77"/>
      <c r="E99" s="82"/>
      <c r="F99" s="86"/>
      <c r="G99" s="112"/>
    </row>
    <row r="100" spans="1:8" ht="14.25" thickTop="1" thickBot="1">
      <c r="A100" s="95"/>
      <c r="B100" s="808"/>
      <c r="C100" s="808"/>
      <c r="D100" s="808"/>
      <c r="E100" s="809"/>
      <c r="F100" s="120" t="s">
        <v>856</v>
      </c>
      <c r="G100" s="118">
        <f>SUM(G95:G99)</f>
        <v>7867</v>
      </c>
    </row>
    <row r="101" spans="1:8" ht="14.25" thickTop="1" thickBot="1">
      <c r="A101" s="95"/>
      <c r="B101" s="810"/>
      <c r="C101" s="810"/>
      <c r="D101" s="810"/>
      <c r="E101" s="810"/>
      <c r="F101" s="810"/>
      <c r="G101" s="810"/>
    </row>
    <row r="102" spans="1:8" ht="13.5" thickTop="1">
      <c r="A102" s="95"/>
      <c r="B102" s="811" t="s">
        <v>321</v>
      </c>
      <c r="C102" s="812"/>
      <c r="D102" s="812"/>
      <c r="E102" s="812"/>
      <c r="F102" s="812"/>
      <c r="G102" s="825"/>
    </row>
    <row r="103" spans="1:8">
      <c r="A103" s="95"/>
      <c r="B103" s="817" t="s">
        <v>838</v>
      </c>
      <c r="C103" s="818"/>
      <c r="D103" s="98" t="s">
        <v>301</v>
      </c>
      <c r="E103" s="98" t="s">
        <v>297</v>
      </c>
      <c r="F103" s="99" t="s">
        <v>839</v>
      </c>
      <c r="G103" s="107" t="s">
        <v>840</v>
      </c>
    </row>
    <row r="104" spans="1:8">
      <c r="A104" s="95"/>
      <c r="B104" s="115"/>
      <c r="C104" s="102"/>
      <c r="D104" s="103" t="s">
        <v>322</v>
      </c>
      <c r="E104" s="103" t="s">
        <v>323</v>
      </c>
      <c r="F104" s="104" t="s">
        <v>324</v>
      </c>
      <c r="G104" s="109" t="s">
        <v>325</v>
      </c>
    </row>
    <row r="105" spans="1:8">
      <c r="A105" s="95"/>
      <c r="B105" s="826"/>
      <c r="C105" s="827"/>
      <c r="D105" s="96"/>
      <c r="E105" s="96"/>
      <c r="F105" s="96"/>
      <c r="G105" s="116"/>
    </row>
    <row r="106" spans="1:8" ht="13.5" thickBot="1">
      <c r="A106" s="95"/>
      <c r="B106" s="828" t="s">
        <v>841</v>
      </c>
      <c r="C106" s="829"/>
      <c r="D106" s="77"/>
      <c r="E106" s="82"/>
      <c r="F106" s="86"/>
      <c r="G106" s="112"/>
    </row>
    <row r="107" spans="1:8" ht="14.25" thickTop="1" thickBot="1">
      <c r="A107" s="95"/>
      <c r="B107" s="808"/>
      <c r="C107" s="808"/>
      <c r="D107" s="808"/>
      <c r="E107" s="809"/>
      <c r="F107" s="120" t="s">
        <v>856</v>
      </c>
      <c r="G107" s="118">
        <f>SUM(G102:G106)</f>
        <v>0</v>
      </c>
    </row>
    <row r="108" spans="1:8" ht="14.25" thickTop="1" thickBot="1">
      <c r="A108" s="95"/>
      <c r="B108" s="810"/>
      <c r="C108" s="810"/>
      <c r="D108" s="810"/>
      <c r="E108" s="810"/>
      <c r="F108" s="810"/>
      <c r="G108" s="834"/>
    </row>
    <row r="109" spans="1:8" ht="13.5" thickTop="1">
      <c r="A109" s="95"/>
      <c r="B109" s="811" t="s">
        <v>326</v>
      </c>
      <c r="C109" s="812"/>
      <c r="D109" s="812"/>
      <c r="E109" s="812"/>
      <c r="F109" s="813"/>
      <c r="G109" s="121">
        <f>+G73+G89+G100</f>
        <v>46215</v>
      </c>
    </row>
    <row r="110" spans="1:8">
      <c r="A110" s="95"/>
      <c r="B110" s="814" t="s">
        <v>861</v>
      </c>
      <c r="C110" s="815"/>
      <c r="D110" s="815"/>
      <c r="E110" s="816"/>
      <c r="F110" s="128">
        <f>'MANO DE OBRA'!D59</f>
        <v>0</v>
      </c>
      <c r="G110" s="122">
        <f>ROUND(G109*F110,0)</f>
        <v>0</v>
      </c>
    </row>
    <row r="111" spans="1:8" ht="13.5" thickBot="1">
      <c r="A111" s="95"/>
      <c r="B111" s="805" t="s">
        <v>1049</v>
      </c>
      <c r="C111" s="806"/>
      <c r="D111" s="806"/>
      <c r="E111" s="806"/>
      <c r="F111" s="807"/>
      <c r="G111" s="118">
        <f>ROUND(G109+G110,-2)</f>
        <v>46200</v>
      </c>
      <c r="H111" s="505" t="s">
        <v>1670</v>
      </c>
    </row>
    <row r="112" spans="1:8" ht="13.5" thickTop="1">
      <c r="A112" s="95"/>
      <c r="B112" s="90" t="s">
        <v>303</v>
      </c>
      <c r="C112" s="843"/>
      <c r="D112" s="843"/>
      <c r="E112" s="843"/>
      <c r="F112" s="92" t="s">
        <v>781</v>
      </c>
      <c r="G112" s="93" t="s">
        <v>831</v>
      </c>
    </row>
    <row r="113" spans="1:7">
      <c r="A113" s="95"/>
      <c r="B113" s="91" t="s">
        <v>834</v>
      </c>
      <c r="C113" s="844" t="s">
        <v>1151</v>
      </c>
      <c r="D113" s="844"/>
      <c r="E113" s="844"/>
      <c r="F113" s="15" t="s">
        <v>833</v>
      </c>
      <c r="G113" s="165" t="str">
        <f>'MANO DE OBRA'!D61</f>
        <v>Agosto de 2010</v>
      </c>
    </row>
    <row r="114" spans="1:7" ht="33.75" customHeight="1" thickBot="1">
      <c r="A114" s="127"/>
      <c r="B114" s="94" t="s">
        <v>835</v>
      </c>
      <c r="C114" s="940" t="s">
        <v>1150</v>
      </c>
      <c r="D114" s="940"/>
      <c r="E114" s="940"/>
      <c r="F114" s="940"/>
      <c r="G114" s="941"/>
    </row>
    <row r="115" spans="1:7" ht="14.25" thickTop="1" thickBot="1">
      <c r="A115" s="95"/>
      <c r="B115" s="847"/>
      <c r="C115" s="847"/>
      <c r="D115" s="847"/>
      <c r="E115" s="847"/>
      <c r="F115" s="847"/>
      <c r="G115" s="847"/>
    </row>
    <row r="116" spans="1:7" ht="13.5" thickTop="1">
      <c r="A116" s="95"/>
      <c r="B116" s="811" t="s">
        <v>304</v>
      </c>
      <c r="C116" s="812"/>
      <c r="D116" s="812"/>
      <c r="E116" s="812"/>
      <c r="F116" s="812"/>
      <c r="G116" s="825"/>
    </row>
    <row r="117" spans="1:7">
      <c r="A117" s="95"/>
      <c r="B117" s="105"/>
      <c r="C117" s="97"/>
      <c r="D117" s="98" t="s">
        <v>301</v>
      </c>
      <c r="E117" s="98" t="s">
        <v>1072</v>
      </c>
      <c r="F117" s="99" t="s">
        <v>839</v>
      </c>
      <c r="G117" s="107" t="s">
        <v>840</v>
      </c>
    </row>
    <row r="118" spans="1:7">
      <c r="A118" s="95"/>
      <c r="B118" s="821" t="s">
        <v>838</v>
      </c>
      <c r="C118" s="822"/>
      <c r="D118" s="100" t="s">
        <v>308</v>
      </c>
      <c r="E118" s="100" t="s">
        <v>305</v>
      </c>
      <c r="F118" s="101" t="s">
        <v>306</v>
      </c>
      <c r="G118" s="108" t="s">
        <v>310</v>
      </c>
    </row>
    <row r="119" spans="1:7">
      <c r="A119" s="95"/>
      <c r="B119" s="115"/>
      <c r="C119" s="102"/>
      <c r="D119" s="103"/>
      <c r="E119" s="103" t="s">
        <v>309</v>
      </c>
      <c r="F119" s="104" t="s">
        <v>307</v>
      </c>
      <c r="G119" s="109"/>
    </row>
    <row r="120" spans="1:7">
      <c r="A120" s="127"/>
      <c r="B120" s="823" t="str">
        <f>'MAQUINARIA Y EQUIPOS'!$C$28</f>
        <v>HERRAMIENTAS MENORES</v>
      </c>
      <c r="C120" s="824"/>
      <c r="D120" s="87">
        <v>1</v>
      </c>
      <c r="E120" s="82">
        <f>ROUND(G153*0.05,0)</f>
        <v>590</v>
      </c>
      <c r="F120" s="81">
        <v>1</v>
      </c>
      <c r="G120" s="110">
        <f>ROUND(D120*E120/F120,0)</f>
        <v>590</v>
      </c>
    </row>
    <row r="121" spans="1:7">
      <c r="A121" s="95"/>
      <c r="B121" s="835" t="str">
        <f>'MAQUINARIA Y EQUIPOS'!$C$53</f>
        <v>VIBRADOR A GASOLINA</v>
      </c>
      <c r="C121" s="836"/>
      <c r="D121" s="37">
        <v>1</v>
      </c>
      <c r="E121" s="82">
        <f>'MAQUINARIA Y EQUIPOS'!$D$53</f>
        <v>51040</v>
      </c>
      <c r="F121" s="83">
        <v>25</v>
      </c>
      <c r="G121" s="111">
        <f>ROUND(D121*E121/F121,0)</f>
        <v>2042</v>
      </c>
    </row>
    <row r="122" spans="1:7">
      <c r="A122" s="95"/>
      <c r="B122" s="835"/>
      <c r="C122" s="836"/>
      <c r="D122" s="89"/>
      <c r="E122" s="82"/>
      <c r="F122" s="83"/>
      <c r="G122" s="111"/>
    </row>
    <row r="123" spans="1:7">
      <c r="A123" s="95"/>
      <c r="B123" s="835"/>
      <c r="C123" s="836"/>
      <c r="D123" s="89"/>
      <c r="E123" s="82"/>
      <c r="F123" s="83"/>
      <c r="G123" s="111"/>
    </row>
    <row r="124" spans="1:7">
      <c r="A124" s="95"/>
      <c r="B124" s="835" t="s">
        <v>841</v>
      </c>
      <c r="C124" s="836"/>
      <c r="D124" s="37"/>
      <c r="E124" s="82"/>
      <c r="F124" s="83"/>
      <c r="G124" s="111"/>
    </row>
    <row r="125" spans="1:7" ht="13.5" thickBot="1">
      <c r="A125" s="95"/>
      <c r="B125" s="839" t="s">
        <v>841</v>
      </c>
      <c r="C125" s="840"/>
      <c r="D125" s="77"/>
      <c r="E125" s="106"/>
      <c r="F125" s="86"/>
      <c r="G125" s="112"/>
    </row>
    <row r="126" spans="1:7" ht="14.25" thickTop="1" thickBot="1">
      <c r="A126" s="95"/>
      <c r="B126" s="808"/>
      <c r="C126" s="808"/>
      <c r="D126" s="808"/>
      <c r="E126" s="809"/>
      <c r="F126" s="119" t="s">
        <v>856</v>
      </c>
      <c r="G126" s="118">
        <f>SUM(G120:G125)</f>
        <v>2632</v>
      </c>
    </row>
    <row r="127" spans="1:7" ht="14.25" thickTop="1" thickBot="1">
      <c r="A127" s="95"/>
      <c r="B127" s="830"/>
      <c r="C127" s="830"/>
      <c r="D127" s="830"/>
      <c r="E127" s="830"/>
      <c r="F127" s="830"/>
      <c r="G127" s="830"/>
    </row>
    <row r="128" spans="1:7" ht="13.5" thickTop="1">
      <c r="A128" s="95"/>
      <c r="B128" s="811" t="s">
        <v>311</v>
      </c>
      <c r="C128" s="812"/>
      <c r="D128" s="812"/>
      <c r="E128" s="812"/>
      <c r="F128" s="812"/>
      <c r="G128" s="825"/>
    </row>
    <row r="129" spans="1:8">
      <c r="A129" s="95"/>
      <c r="B129" s="817" t="s">
        <v>838</v>
      </c>
      <c r="C129" s="818"/>
      <c r="D129" s="98" t="s">
        <v>842</v>
      </c>
      <c r="E129" s="98" t="s">
        <v>853</v>
      </c>
      <c r="F129" s="99" t="s">
        <v>1047</v>
      </c>
      <c r="G129" s="107" t="s">
        <v>840</v>
      </c>
    </row>
    <row r="130" spans="1:8">
      <c r="A130" s="95"/>
      <c r="B130" s="115"/>
      <c r="C130" s="102"/>
      <c r="D130" s="100"/>
      <c r="E130" s="100" t="s">
        <v>312</v>
      </c>
      <c r="F130" s="101" t="s">
        <v>313</v>
      </c>
      <c r="G130" s="108" t="s">
        <v>314</v>
      </c>
    </row>
    <row r="131" spans="1:8" ht="14.25">
      <c r="A131" s="125"/>
      <c r="B131" s="841" t="str">
        <f>MATERIALES2!$C$35</f>
        <v>CONCRETO 1:2:3-3000 psi(MATERIALES)</v>
      </c>
      <c r="C131" s="842"/>
      <c r="D131" s="87" t="s">
        <v>1066</v>
      </c>
      <c r="E131" s="140">
        <f>0.2*0.2</f>
        <v>4.0000000000000008E-2</v>
      </c>
      <c r="F131" s="80">
        <f>MATERIALES2!$E$35</f>
        <v>367600</v>
      </c>
      <c r="G131" s="110">
        <f t="shared" ref="G131:G138" si="0">ROUND(E131*F131,0)</f>
        <v>14704</v>
      </c>
    </row>
    <row r="132" spans="1:8">
      <c r="A132" s="123"/>
      <c r="B132" s="854" t="str">
        <f>MATERIALES2!$C$158</f>
        <v>TABLA 1X8X10</v>
      </c>
      <c r="C132" s="855"/>
      <c r="D132" s="37" t="s">
        <v>865</v>
      </c>
      <c r="E132" s="141">
        <v>0.17</v>
      </c>
      <c r="F132" s="82">
        <f>MATERIALES2!$E$158</f>
        <v>6700</v>
      </c>
      <c r="G132" s="111">
        <f t="shared" si="0"/>
        <v>1139</v>
      </c>
    </row>
    <row r="133" spans="1:8">
      <c r="A133" s="95"/>
      <c r="B133" s="854" t="str">
        <f>MATERIALES2!$C$918</f>
        <v>PUNTILLAS DE 2"</v>
      </c>
      <c r="C133" s="855"/>
      <c r="D133" s="37" t="s">
        <v>922</v>
      </c>
      <c r="E133" s="141">
        <v>0.15</v>
      </c>
      <c r="F133" s="82">
        <f>MATERIALES2!$E$918</f>
        <v>1500</v>
      </c>
      <c r="G133" s="111">
        <f t="shared" si="0"/>
        <v>225</v>
      </c>
    </row>
    <row r="134" spans="1:8">
      <c r="A134" s="95"/>
      <c r="B134" s="854" t="str">
        <f>MATERIALES2!$C$151</f>
        <v>ABARCO DE 2X2X4,50</v>
      </c>
      <c r="C134" s="855"/>
      <c r="D134" s="37" t="s">
        <v>865</v>
      </c>
      <c r="E134" s="141">
        <v>0.246</v>
      </c>
      <c r="F134" s="82">
        <f>MATERIALES2!$E$151</f>
        <v>5000</v>
      </c>
      <c r="G134" s="111">
        <f t="shared" si="0"/>
        <v>1230</v>
      </c>
    </row>
    <row r="135" spans="1:8">
      <c r="A135" s="95"/>
      <c r="B135" s="854" t="str">
        <f>MATERIALES2!$C$41</f>
        <v>CONCRETO 1:3:5-2000 PSI(MATERIALES)</v>
      </c>
      <c r="C135" s="855"/>
      <c r="D135" s="37" t="s">
        <v>669</v>
      </c>
      <c r="E135" s="141">
        <v>1.4999999999999999E-2</v>
      </c>
      <c r="F135" s="82">
        <f>MATERIALES2!$E$41</f>
        <v>319200</v>
      </c>
      <c r="G135" s="111">
        <f t="shared" si="0"/>
        <v>4788</v>
      </c>
    </row>
    <row r="136" spans="1:8">
      <c r="A136" s="95"/>
      <c r="B136" s="854" t="str">
        <f>MATERIALES2!$C$62</f>
        <v>HIERRO CHIPA 3/8"</v>
      </c>
      <c r="C136" s="855"/>
      <c r="D136" s="37" t="s">
        <v>925</v>
      </c>
      <c r="E136" s="141">
        <v>6.7</v>
      </c>
      <c r="F136" s="82">
        <f>MATERIALES2!$E$62</f>
        <v>2100</v>
      </c>
      <c r="G136" s="111">
        <f t="shared" si="0"/>
        <v>14070</v>
      </c>
    </row>
    <row r="137" spans="1:8">
      <c r="A137" s="95"/>
      <c r="B137" s="854" t="str">
        <f>MATERIALES2!$C$70</f>
        <v>VARILLA CORRUGADA ½" x 6.0 M</v>
      </c>
      <c r="C137" s="855"/>
      <c r="D137" s="37" t="s">
        <v>865</v>
      </c>
      <c r="E137" s="141">
        <v>0.7</v>
      </c>
      <c r="F137" s="82">
        <f>MATERIALES2!$E$70</f>
        <v>9300</v>
      </c>
      <c r="G137" s="111">
        <f t="shared" si="0"/>
        <v>6510</v>
      </c>
      <c r="H137" s="505" t="s">
        <v>1670</v>
      </c>
    </row>
    <row r="138" spans="1:8">
      <c r="A138" s="95"/>
      <c r="B138" s="854" t="str">
        <f>MATERIALES2!$C$65</f>
        <v>ALAMBRE NEGRO</v>
      </c>
      <c r="C138" s="855"/>
      <c r="D138" s="37" t="s">
        <v>925</v>
      </c>
      <c r="E138" s="141">
        <f>ROUND(11*4*0.4/105.26,3)</f>
        <v>0.16700000000000001</v>
      </c>
      <c r="F138" s="82">
        <f>MATERIALES2!$E$65</f>
        <v>2100</v>
      </c>
      <c r="G138" s="111">
        <f t="shared" si="0"/>
        <v>351</v>
      </c>
    </row>
    <row r="139" spans="1:8" ht="13.5" thickBot="1">
      <c r="A139" s="95"/>
      <c r="B139" s="942" t="s">
        <v>841</v>
      </c>
      <c r="C139" s="943"/>
      <c r="D139" s="84" t="s">
        <v>841</v>
      </c>
      <c r="E139" s="84"/>
      <c r="F139" s="85"/>
      <c r="G139" s="112"/>
    </row>
    <row r="140" spans="1:8" ht="13.5" thickTop="1">
      <c r="A140" s="95"/>
      <c r="B140" s="808"/>
      <c r="C140" s="809"/>
      <c r="D140" s="801" t="s">
        <v>856</v>
      </c>
      <c r="E140" s="802"/>
      <c r="F140" s="9"/>
      <c r="G140" s="113">
        <f>SUM(G131:G139)</f>
        <v>43017</v>
      </c>
    </row>
    <row r="141" spans="1:8">
      <c r="A141" s="95"/>
      <c r="B141" s="819"/>
      <c r="C141" s="820"/>
      <c r="D141" s="801" t="s">
        <v>857</v>
      </c>
      <c r="E141" s="802"/>
      <c r="F141" s="79">
        <f>'MANO DE OBRA'!$D$60</f>
        <v>0.05</v>
      </c>
      <c r="G141" s="113">
        <f>ROUND(G140*F141,0)</f>
        <v>2151</v>
      </c>
    </row>
    <row r="142" spans="1:8" ht="13.5" thickBot="1">
      <c r="A142" s="95"/>
      <c r="B142" s="819"/>
      <c r="C142" s="820"/>
      <c r="D142" s="803" t="s">
        <v>320</v>
      </c>
      <c r="E142" s="804"/>
      <c r="F142" s="114"/>
      <c r="G142" s="118">
        <f>+G140+G141</f>
        <v>45168</v>
      </c>
    </row>
    <row r="143" spans="1:8" ht="14.25" thickTop="1" thickBot="1">
      <c r="A143" s="95"/>
      <c r="B143" s="830"/>
      <c r="C143" s="830"/>
      <c r="D143" s="830"/>
      <c r="E143" s="830"/>
      <c r="F143" s="830"/>
      <c r="G143" s="830"/>
    </row>
    <row r="144" spans="1:8" ht="13.5" thickTop="1">
      <c r="A144" s="95"/>
      <c r="B144" s="811" t="s">
        <v>858</v>
      </c>
      <c r="C144" s="812"/>
      <c r="D144" s="812"/>
      <c r="E144" s="812"/>
      <c r="F144" s="812"/>
      <c r="G144" s="825"/>
    </row>
    <row r="145" spans="1:7">
      <c r="A145" s="95"/>
      <c r="B145" s="817"/>
      <c r="C145" s="818"/>
      <c r="D145" s="98" t="s">
        <v>301</v>
      </c>
      <c r="E145" s="98" t="s">
        <v>859</v>
      </c>
      <c r="F145" s="99" t="s">
        <v>839</v>
      </c>
      <c r="G145" s="107" t="s">
        <v>840</v>
      </c>
    </row>
    <row r="146" spans="1:7">
      <c r="A146" s="95"/>
      <c r="B146" s="821" t="s">
        <v>838</v>
      </c>
      <c r="C146" s="822"/>
      <c r="D146" s="100" t="s">
        <v>316</v>
      </c>
      <c r="E146" s="100" t="s">
        <v>315</v>
      </c>
      <c r="F146" s="101" t="s">
        <v>306</v>
      </c>
      <c r="G146" s="108" t="s">
        <v>319</v>
      </c>
    </row>
    <row r="147" spans="1:7">
      <c r="A147" s="95"/>
      <c r="B147" s="115"/>
      <c r="C147" s="102"/>
      <c r="D147" s="103"/>
      <c r="E147" s="103" t="s">
        <v>317</v>
      </c>
      <c r="F147" s="104" t="s">
        <v>318</v>
      </c>
      <c r="G147" s="109"/>
    </row>
    <row r="148" spans="1:7">
      <c r="A148" s="95"/>
      <c r="B148" s="823" t="str">
        <f>'MANO DE OBRA'!$B$10</f>
        <v>AYUDANTE CUAD. TIPO AA</v>
      </c>
      <c r="C148" s="824"/>
      <c r="D148" s="87">
        <v>1</v>
      </c>
      <c r="E148" s="80">
        <f>'MANO DE OBRA'!$E$10</f>
        <v>34680</v>
      </c>
      <c r="F148" s="81">
        <v>9</v>
      </c>
      <c r="G148" s="110">
        <f>ROUND(D148*E148/F148,0)</f>
        <v>3853</v>
      </c>
    </row>
    <row r="149" spans="1:7">
      <c r="A149" s="95"/>
      <c r="B149" s="835" t="str">
        <f>'MANO DE OBRA'!$B$15</f>
        <v xml:space="preserve">OFICIAL CUAD. TIPO AA </v>
      </c>
      <c r="C149" s="836"/>
      <c r="D149" s="37">
        <v>1</v>
      </c>
      <c r="E149" s="82">
        <f>'MANO DE OBRA'!$E$15</f>
        <v>71474</v>
      </c>
      <c r="F149" s="83">
        <v>9</v>
      </c>
      <c r="G149" s="111">
        <f>ROUND(D149*E149/F149,0)</f>
        <v>7942</v>
      </c>
    </row>
    <row r="150" spans="1:7">
      <c r="A150" s="95"/>
      <c r="B150" s="835"/>
      <c r="C150" s="836"/>
      <c r="D150" s="89"/>
      <c r="E150" s="82"/>
      <c r="F150" s="83"/>
      <c r="G150" s="111"/>
    </row>
    <row r="151" spans="1:7">
      <c r="A151" s="95"/>
      <c r="B151" s="835" t="s">
        <v>841</v>
      </c>
      <c r="C151" s="836"/>
      <c r="D151" s="37"/>
      <c r="E151" s="82"/>
      <c r="F151" s="83"/>
      <c r="G151" s="111"/>
    </row>
    <row r="152" spans="1:7" ht="13.5" thickBot="1">
      <c r="A152" s="95"/>
      <c r="B152" s="828" t="s">
        <v>841</v>
      </c>
      <c r="C152" s="829"/>
      <c r="D152" s="77"/>
      <c r="E152" s="82"/>
      <c r="F152" s="86"/>
      <c r="G152" s="112"/>
    </row>
    <row r="153" spans="1:7" ht="14.25" thickTop="1" thickBot="1">
      <c r="A153" s="95"/>
      <c r="B153" s="808"/>
      <c r="C153" s="808"/>
      <c r="D153" s="808"/>
      <c r="E153" s="809"/>
      <c r="F153" s="120" t="s">
        <v>856</v>
      </c>
      <c r="G153" s="118">
        <f>SUM(G148:G152)</f>
        <v>11795</v>
      </c>
    </row>
    <row r="154" spans="1:7" ht="14.25" thickTop="1" thickBot="1">
      <c r="A154" s="95"/>
      <c r="B154" s="810"/>
      <c r="C154" s="810"/>
      <c r="D154" s="810"/>
      <c r="E154" s="810"/>
      <c r="F154" s="810"/>
      <c r="G154" s="810"/>
    </row>
    <row r="155" spans="1:7" ht="13.5" thickTop="1">
      <c r="A155" s="95"/>
      <c r="B155" s="811" t="s">
        <v>321</v>
      </c>
      <c r="C155" s="812"/>
      <c r="D155" s="812"/>
      <c r="E155" s="812"/>
      <c r="F155" s="812"/>
      <c r="G155" s="825"/>
    </row>
    <row r="156" spans="1:7">
      <c r="A156" s="95"/>
      <c r="B156" s="817" t="s">
        <v>838</v>
      </c>
      <c r="C156" s="818"/>
      <c r="D156" s="98" t="s">
        <v>301</v>
      </c>
      <c r="E156" s="98" t="s">
        <v>297</v>
      </c>
      <c r="F156" s="99" t="s">
        <v>839</v>
      </c>
      <c r="G156" s="107" t="s">
        <v>840</v>
      </c>
    </row>
    <row r="157" spans="1:7">
      <c r="A157" s="95"/>
      <c r="B157" s="115"/>
      <c r="C157" s="102"/>
      <c r="D157" s="103" t="s">
        <v>322</v>
      </c>
      <c r="E157" s="103" t="s">
        <v>323</v>
      </c>
      <c r="F157" s="104" t="s">
        <v>324</v>
      </c>
      <c r="G157" s="109" t="s">
        <v>325</v>
      </c>
    </row>
    <row r="158" spans="1:7">
      <c r="A158" s="95"/>
      <c r="B158" s="826"/>
      <c r="C158" s="827"/>
      <c r="D158" s="96"/>
      <c r="E158" s="96"/>
      <c r="F158" s="96"/>
      <c r="G158" s="116"/>
    </row>
    <row r="159" spans="1:7" ht="13.5" thickBot="1">
      <c r="A159" s="95"/>
      <c r="B159" s="828" t="s">
        <v>841</v>
      </c>
      <c r="C159" s="829"/>
      <c r="D159" s="77"/>
      <c r="E159" s="82"/>
      <c r="F159" s="86"/>
      <c r="G159" s="112"/>
    </row>
    <row r="160" spans="1:7" ht="14.25" thickTop="1" thickBot="1">
      <c r="A160" s="95"/>
      <c r="B160" s="808"/>
      <c r="C160" s="808"/>
      <c r="D160" s="808"/>
      <c r="E160" s="809"/>
      <c r="F160" s="120" t="s">
        <v>856</v>
      </c>
      <c r="G160" s="118">
        <f>SUM(G155:G159)</f>
        <v>0</v>
      </c>
    </row>
    <row r="161" spans="1:8" ht="14.25" thickTop="1" thickBot="1">
      <c r="A161" s="95"/>
      <c r="B161" s="810"/>
      <c r="C161" s="810"/>
      <c r="D161" s="810"/>
      <c r="E161" s="810"/>
      <c r="F161" s="810"/>
      <c r="G161" s="834"/>
    </row>
    <row r="162" spans="1:8" ht="13.5" thickTop="1">
      <c r="A162" s="95"/>
      <c r="B162" s="811" t="s">
        <v>326</v>
      </c>
      <c r="C162" s="812"/>
      <c r="D162" s="812"/>
      <c r="E162" s="812"/>
      <c r="F162" s="813"/>
      <c r="G162" s="121">
        <f>+G126+G142+G153</f>
        <v>59595</v>
      </c>
    </row>
    <row r="163" spans="1:8">
      <c r="A163" s="95"/>
      <c r="B163" s="814" t="s">
        <v>861</v>
      </c>
      <c r="C163" s="815"/>
      <c r="D163" s="815"/>
      <c r="E163" s="816"/>
      <c r="F163" s="128">
        <f>'MANO DE OBRA'!$D$59</f>
        <v>0</v>
      </c>
      <c r="G163" s="122">
        <f>ROUND(G162*F163,0)</f>
        <v>0</v>
      </c>
    </row>
    <row r="164" spans="1:8" ht="13.5" thickBot="1">
      <c r="A164" s="95"/>
      <c r="B164" s="805" t="s">
        <v>1049</v>
      </c>
      <c r="C164" s="806"/>
      <c r="D164" s="806"/>
      <c r="E164" s="806"/>
      <c r="F164" s="807"/>
      <c r="G164" s="118">
        <f>ROUND(G162+G163,-2)</f>
        <v>59600</v>
      </c>
      <c r="H164" s="505" t="s">
        <v>1670</v>
      </c>
    </row>
    <row r="165" spans="1:8" ht="13.5" thickTop="1">
      <c r="A165" s="95"/>
      <c r="B165" s="90" t="s">
        <v>303</v>
      </c>
      <c r="C165" s="843"/>
      <c r="D165" s="843"/>
      <c r="E165" s="843"/>
      <c r="F165" s="92" t="s">
        <v>781</v>
      </c>
      <c r="G165" s="93" t="s">
        <v>831</v>
      </c>
    </row>
    <row r="166" spans="1:8">
      <c r="A166" s="95"/>
      <c r="B166" s="91" t="s">
        <v>834</v>
      </c>
      <c r="C166" s="844" t="s">
        <v>367</v>
      </c>
      <c r="D166" s="844"/>
      <c r="E166" s="844"/>
      <c r="F166" s="15" t="s">
        <v>833</v>
      </c>
      <c r="G166" s="165" t="str">
        <f>'MANO DE OBRA'!D61</f>
        <v>Agosto de 2010</v>
      </c>
    </row>
    <row r="167" spans="1:8" ht="27.75" customHeight="1" thickBot="1">
      <c r="A167" s="127"/>
      <c r="B167" s="94" t="s">
        <v>835</v>
      </c>
      <c r="C167" s="934" t="s">
        <v>673</v>
      </c>
      <c r="D167" s="934"/>
      <c r="E167" s="934"/>
      <c r="F167" s="934"/>
      <c r="G167" s="935"/>
    </row>
    <row r="168" spans="1:8" ht="14.25" thickTop="1" thickBot="1">
      <c r="A168" s="95"/>
      <c r="B168" s="847"/>
      <c r="C168" s="847"/>
      <c r="D168" s="847"/>
      <c r="E168" s="847"/>
      <c r="F168" s="847"/>
      <c r="G168" s="847"/>
    </row>
    <row r="169" spans="1:8" ht="13.5" thickTop="1">
      <c r="A169" s="95"/>
      <c r="B169" s="811" t="s">
        <v>304</v>
      </c>
      <c r="C169" s="812"/>
      <c r="D169" s="812"/>
      <c r="E169" s="812"/>
      <c r="F169" s="812"/>
      <c r="G169" s="825"/>
    </row>
    <row r="170" spans="1:8">
      <c r="A170" s="95"/>
      <c r="B170" s="105"/>
      <c r="C170" s="97"/>
      <c r="D170" s="98" t="s">
        <v>301</v>
      </c>
      <c r="E170" s="98" t="s">
        <v>1072</v>
      </c>
      <c r="F170" s="99" t="s">
        <v>839</v>
      </c>
      <c r="G170" s="107" t="s">
        <v>840</v>
      </c>
    </row>
    <row r="171" spans="1:8">
      <c r="A171" s="95"/>
      <c r="B171" s="821" t="s">
        <v>838</v>
      </c>
      <c r="C171" s="822"/>
      <c r="D171" s="100" t="s">
        <v>308</v>
      </c>
      <c r="E171" s="100" t="s">
        <v>305</v>
      </c>
      <c r="F171" s="101" t="s">
        <v>306</v>
      </c>
      <c r="G171" s="108" t="s">
        <v>310</v>
      </c>
    </row>
    <row r="172" spans="1:8">
      <c r="A172" s="95"/>
      <c r="B172" s="115"/>
      <c r="C172" s="102"/>
      <c r="D172" s="103"/>
      <c r="E172" s="103" t="s">
        <v>309</v>
      </c>
      <c r="F172" s="104" t="s">
        <v>307</v>
      </c>
      <c r="G172" s="109"/>
    </row>
    <row r="173" spans="1:8">
      <c r="A173" s="127"/>
      <c r="B173" s="823" t="str">
        <f>'MAQUINARIA Y EQUIPOS'!C28</f>
        <v>HERRAMIENTAS MENORES</v>
      </c>
      <c r="C173" s="824"/>
      <c r="D173" s="87">
        <v>1</v>
      </c>
      <c r="E173" s="82">
        <f>ROUND(G205*0.05,0)</f>
        <v>758</v>
      </c>
      <c r="F173" s="81">
        <v>1</v>
      </c>
      <c r="G173" s="110">
        <f>ROUND(D173*E173/F173,0)</f>
        <v>758</v>
      </c>
    </row>
    <row r="174" spans="1:8">
      <c r="A174" s="95"/>
      <c r="B174" s="835" t="str">
        <f>'MAQUINARIA Y EQUIPOS'!C53</f>
        <v>VIBRADOR A GASOLINA</v>
      </c>
      <c r="C174" s="836"/>
      <c r="D174" s="37">
        <v>1</v>
      </c>
      <c r="E174" s="82">
        <f>'MAQUINARIA Y EQUIPOS'!D53</f>
        <v>51040</v>
      </c>
      <c r="F174" s="83">
        <v>25</v>
      </c>
      <c r="G174" s="111">
        <f>ROUND(D174*E174/F174,0)</f>
        <v>2042</v>
      </c>
    </row>
    <row r="175" spans="1:8">
      <c r="A175" s="95"/>
      <c r="B175" s="835"/>
      <c r="C175" s="836"/>
      <c r="D175" s="89"/>
      <c r="E175" s="82"/>
      <c r="F175" s="83"/>
      <c r="G175" s="111"/>
    </row>
    <row r="176" spans="1:8">
      <c r="A176" s="95"/>
      <c r="B176" s="835" t="s">
        <v>841</v>
      </c>
      <c r="C176" s="836"/>
      <c r="D176" s="37"/>
      <c r="E176" s="82"/>
      <c r="F176" s="83"/>
      <c r="G176" s="111"/>
    </row>
    <row r="177" spans="1:8" ht="13.5" thickBot="1">
      <c r="A177" s="95"/>
      <c r="B177" s="839" t="s">
        <v>841</v>
      </c>
      <c r="C177" s="840"/>
      <c r="D177" s="77"/>
      <c r="E177" s="106"/>
      <c r="F177" s="86"/>
      <c r="G177" s="112"/>
    </row>
    <row r="178" spans="1:8" ht="14.25" thickTop="1" thickBot="1">
      <c r="A178" s="95"/>
      <c r="B178" s="808"/>
      <c r="C178" s="808"/>
      <c r="D178" s="808"/>
      <c r="E178" s="809"/>
      <c r="F178" s="119" t="s">
        <v>856</v>
      </c>
      <c r="G178" s="118">
        <f>SUM(G173:G177)</f>
        <v>2800</v>
      </c>
    </row>
    <row r="179" spans="1:8" ht="14.25" thickTop="1" thickBot="1">
      <c r="A179" s="95"/>
      <c r="B179" s="830"/>
      <c r="C179" s="830"/>
      <c r="D179" s="830"/>
      <c r="E179" s="830"/>
      <c r="F179" s="830"/>
      <c r="G179" s="830"/>
    </row>
    <row r="180" spans="1:8" ht="13.5" thickTop="1">
      <c r="A180" s="95"/>
      <c r="B180" s="811" t="s">
        <v>311</v>
      </c>
      <c r="C180" s="812"/>
      <c r="D180" s="812"/>
      <c r="E180" s="812"/>
      <c r="F180" s="812"/>
      <c r="G180" s="825"/>
    </row>
    <row r="181" spans="1:8">
      <c r="A181" s="95"/>
      <c r="B181" s="817" t="s">
        <v>838</v>
      </c>
      <c r="C181" s="818"/>
      <c r="D181" s="98" t="s">
        <v>842</v>
      </c>
      <c r="E181" s="98" t="s">
        <v>853</v>
      </c>
      <c r="F181" s="99" t="s">
        <v>1047</v>
      </c>
      <c r="G181" s="107" t="s">
        <v>840</v>
      </c>
    </row>
    <row r="182" spans="1:8">
      <c r="A182" s="95"/>
      <c r="B182" s="115"/>
      <c r="C182" s="102"/>
      <c r="D182" s="100"/>
      <c r="E182" s="100" t="s">
        <v>312</v>
      </c>
      <c r="F182" s="101" t="s">
        <v>313</v>
      </c>
      <c r="G182" s="108" t="s">
        <v>314</v>
      </c>
    </row>
    <row r="183" spans="1:8" ht="14.25">
      <c r="A183" s="125"/>
      <c r="B183" s="841" t="str">
        <f>MATERIALES2!C38</f>
        <v>CONCRETO 1:2:4-2500 psi(MATERIALES)</v>
      </c>
      <c r="C183" s="842"/>
      <c r="D183" s="87" t="s">
        <v>1066</v>
      </c>
      <c r="E183" s="140">
        <v>0.12</v>
      </c>
      <c r="F183" s="80">
        <f>MATERIALES2!E38</f>
        <v>351700</v>
      </c>
      <c r="G183" s="110">
        <f t="shared" ref="G183:G190" si="1">ROUND(E183*F183,0)</f>
        <v>42204</v>
      </c>
    </row>
    <row r="184" spans="1:8">
      <c r="A184" s="123"/>
      <c r="B184" s="854" t="str">
        <f>MATERIALES2!$C$158</f>
        <v>TABLA 1X8X10</v>
      </c>
      <c r="C184" s="855"/>
      <c r="D184" s="37" t="s">
        <v>865</v>
      </c>
      <c r="E184" s="141">
        <f>ROUND(4/3/6,3)</f>
        <v>0.222</v>
      </c>
      <c r="F184" s="82">
        <f>MATERIALES2!$E$158</f>
        <v>6700</v>
      </c>
      <c r="G184" s="111">
        <f t="shared" si="1"/>
        <v>1487</v>
      </c>
    </row>
    <row r="185" spans="1:8">
      <c r="A185" s="95"/>
      <c r="B185" s="854" t="str">
        <f>MATERIALES2!$C$919</f>
        <v>PUNTILLAS DE 3"</v>
      </c>
      <c r="C185" s="855"/>
      <c r="D185" s="37" t="s">
        <v>922</v>
      </c>
      <c r="E185" s="141">
        <v>0.35</v>
      </c>
      <c r="F185" s="82">
        <f>MATERIALES2!$E$919</f>
        <v>1500</v>
      </c>
      <c r="G185" s="111">
        <f t="shared" si="1"/>
        <v>525</v>
      </c>
    </row>
    <row r="186" spans="1:8">
      <c r="A186" s="95"/>
      <c r="B186" s="854" t="str">
        <f>MATERIALES2!$C$151</f>
        <v>ABARCO DE 2X2X4,50</v>
      </c>
      <c r="C186" s="855"/>
      <c r="D186" s="37" t="s">
        <v>865</v>
      </c>
      <c r="E186" s="141">
        <f>ROUND(2/4.5/5,3)</f>
        <v>8.8999999999999996E-2</v>
      </c>
      <c r="F186" s="82">
        <f>MATERIALES2!$E$151</f>
        <v>5000</v>
      </c>
      <c r="G186" s="111">
        <f t="shared" si="1"/>
        <v>445</v>
      </c>
    </row>
    <row r="187" spans="1:8">
      <c r="A187" s="95"/>
      <c r="B187" s="854" t="str">
        <f>MATERIALES2!C41</f>
        <v>CONCRETO 1:3:5-2000 PSI(MATERIALES)</v>
      </c>
      <c r="C187" s="855"/>
      <c r="D187" s="37" t="s">
        <v>669</v>
      </c>
      <c r="E187" s="141">
        <f>ROUND(0.4*0.075,3)</f>
        <v>0.03</v>
      </c>
      <c r="F187" s="82">
        <f>MATERIALES2!E41</f>
        <v>319200</v>
      </c>
      <c r="G187" s="111">
        <f t="shared" si="1"/>
        <v>9576</v>
      </c>
    </row>
    <row r="188" spans="1:8">
      <c r="A188" s="95"/>
      <c r="B188" s="854" t="str">
        <f>MATERIALES2!C82</f>
        <v>HIERRO A-37</v>
      </c>
      <c r="C188" s="855"/>
      <c r="D188" s="37" t="s">
        <v>925</v>
      </c>
      <c r="E188" s="141">
        <f>6*1*0.25</f>
        <v>1.5</v>
      </c>
      <c r="F188" s="82">
        <f>MATERIALES2!E82</f>
        <v>2800</v>
      </c>
      <c r="G188" s="111">
        <f t="shared" si="1"/>
        <v>4200</v>
      </c>
    </row>
    <row r="189" spans="1:8">
      <c r="A189" s="95"/>
      <c r="B189" s="854" t="str">
        <f>MATERIALES2!C62</f>
        <v>HIERRO CHIPA 3/8"</v>
      </c>
      <c r="C189" s="855"/>
      <c r="D189" s="37" t="s">
        <v>925</v>
      </c>
      <c r="E189" s="141">
        <f>4*1.15*0.56</f>
        <v>2.5760000000000001</v>
      </c>
      <c r="F189" s="82">
        <f>MATERIALES2!E62</f>
        <v>2100</v>
      </c>
      <c r="G189" s="111">
        <f t="shared" si="1"/>
        <v>5410</v>
      </c>
    </row>
    <row r="190" spans="1:8">
      <c r="A190" s="95"/>
      <c r="B190" s="854" t="str">
        <f>MATERIALES2!C65</f>
        <v>ALAMBRE NEGRO</v>
      </c>
      <c r="C190" s="855"/>
      <c r="D190" s="37" t="s">
        <v>925</v>
      </c>
      <c r="E190" s="141">
        <f>ROUND(6*4*0.4/105.26,3)</f>
        <v>9.0999999999999998E-2</v>
      </c>
      <c r="F190" s="82">
        <f>MATERIALES2!E65</f>
        <v>2100</v>
      </c>
      <c r="G190" s="111">
        <f t="shared" si="1"/>
        <v>191</v>
      </c>
      <c r="H190" s="505" t="s">
        <v>1670</v>
      </c>
    </row>
    <row r="191" spans="1:8" ht="13.5" thickBot="1">
      <c r="A191" s="95"/>
      <c r="B191" s="942" t="s">
        <v>841</v>
      </c>
      <c r="C191" s="943"/>
      <c r="D191" s="84" t="s">
        <v>841</v>
      </c>
      <c r="E191" s="84"/>
      <c r="F191" s="85"/>
      <c r="G191" s="112"/>
    </row>
    <row r="192" spans="1:8" ht="13.5" thickTop="1">
      <c r="A192" s="95"/>
      <c r="B192" s="808"/>
      <c r="C192" s="809"/>
      <c r="D192" s="801" t="s">
        <v>856</v>
      </c>
      <c r="E192" s="802"/>
      <c r="F192" s="9"/>
      <c r="G192" s="113">
        <f>SUM(G183:G191)</f>
        <v>64038</v>
      </c>
    </row>
    <row r="193" spans="1:7">
      <c r="A193" s="95"/>
      <c r="B193" s="819"/>
      <c r="C193" s="820"/>
      <c r="D193" s="801" t="s">
        <v>857</v>
      </c>
      <c r="E193" s="802"/>
      <c r="F193" s="79">
        <f>'MANO DE OBRA'!D60</f>
        <v>0.05</v>
      </c>
      <c r="G193" s="113">
        <f>ROUND(G192*F193,0)</f>
        <v>3202</v>
      </c>
    </row>
    <row r="194" spans="1:7" ht="13.5" thickBot="1">
      <c r="A194" s="95"/>
      <c r="B194" s="819"/>
      <c r="C194" s="820"/>
      <c r="D194" s="803" t="s">
        <v>320</v>
      </c>
      <c r="E194" s="804"/>
      <c r="F194" s="114"/>
      <c r="G194" s="118">
        <f>+G192+G193</f>
        <v>67240</v>
      </c>
    </row>
    <row r="195" spans="1:7" ht="14.25" thickTop="1" thickBot="1">
      <c r="A195" s="95"/>
      <c r="B195" s="830"/>
      <c r="C195" s="830"/>
      <c r="D195" s="830"/>
      <c r="E195" s="830"/>
      <c r="F195" s="830"/>
      <c r="G195" s="830"/>
    </row>
    <row r="196" spans="1:7" ht="13.5" thickTop="1">
      <c r="A196" s="95"/>
      <c r="B196" s="811" t="s">
        <v>858</v>
      </c>
      <c r="C196" s="812"/>
      <c r="D196" s="812"/>
      <c r="E196" s="812"/>
      <c r="F196" s="812"/>
      <c r="G196" s="825"/>
    </row>
    <row r="197" spans="1:7">
      <c r="A197" s="95"/>
      <c r="B197" s="817"/>
      <c r="C197" s="818"/>
      <c r="D197" s="98" t="s">
        <v>301</v>
      </c>
      <c r="E197" s="98" t="s">
        <v>859</v>
      </c>
      <c r="F197" s="99" t="s">
        <v>839</v>
      </c>
      <c r="G197" s="107" t="s">
        <v>840</v>
      </c>
    </row>
    <row r="198" spans="1:7">
      <c r="A198" s="95"/>
      <c r="B198" s="821" t="s">
        <v>838</v>
      </c>
      <c r="C198" s="822"/>
      <c r="D198" s="100" t="s">
        <v>316</v>
      </c>
      <c r="E198" s="100" t="s">
        <v>315</v>
      </c>
      <c r="F198" s="101" t="s">
        <v>306</v>
      </c>
      <c r="G198" s="108" t="s">
        <v>319</v>
      </c>
    </row>
    <row r="199" spans="1:7">
      <c r="A199" s="95"/>
      <c r="B199" s="115"/>
      <c r="C199" s="102"/>
      <c r="D199" s="103"/>
      <c r="E199" s="103" t="s">
        <v>317</v>
      </c>
      <c r="F199" s="104" t="s">
        <v>318</v>
      </c>
      <c r="G199" s="109"/>
    </row>
    <row r="200" spans="1:7">
      <c r="A200" s="95"/>
      <c r="B200" s="823" t="str">
        <f>'MANO DE OBRA'!B10</f>
        <v>AYUDANTE CUAD. TIPO AA</v>
      </c>
      <c r="C200" s="824"/>
      <c r="D200" s="87">
        <v>1</v>
      </c>
      <c r="E200" s="80">
        <f>'MANO DE OBRA'!E10</f>
        <v>34680</v>
      </c>
      <c r="F200" s="81">
        <v>7</v>
      </c>
      <c r="G200" s="110">
        <f>ROUND(D200*E200/F200,0)</f>
        <v>4954</v>
      </c>
    </row>
    <row r="201" spans="1:7">
      <c r="A201" s="95"/>
      <c r="B201" s="835" t="str">
        <f>'MANO DE OBRA'!B15</f>
        <v xml:space="preserve">OFICIAL CUAD. TIPO AA </v>
      </c>
      <c r="C201" s="836"/>
      <c r="D201" s="37">
        <v>1</v>
      </c>
      <c r="E201" s="82">
        <f>'MANO DE OBRA'!E15</f>
        <v>71474</v>
      </c>
      <c r="F201" s="83">
        <v>7</v>
      </c>
      <c r="G201" s="111">
        <f>ROUND(D201*E201/F201,0)</f>
        <v>10211</v>
      </c>
    </row>
    <row r="202" spans="1:7">
      <c r="A202" s="95"/>
      <c r="B202" s="835"/>
      <c r="C202" s="836"/>
      <c r="D202" s="89"/>
      <c r="E202" s="82"/>
      <c r="F202" s="83"/>
      <c r="G202" s="111"/>
    </row>
    <row r="203" spans="1:7">
      <c r="A203" s="95"/>
      <c r="B203" s="835" t="s">
        <v>841</v>
      </c>
      <c r="C203" s="836"/>
      <c r="D203" s="37"/>
      <c r="E203" s="82"/>
      <c r="F203" s="83"/>
      <c r="G203" s="111"/>
    </row>
    <row r="204" spans="1:7" ht="13.5" thickBot="1">
      <c r="A204" s="95"/>
      <c r="B204" s="828" t="s">
        <v>841</v>
      </c>
      <c r="C204" s="829"/>
      <c r="D204" s="77"/>
      <c r="E204" s="82"/>
      <c r="F204" s="86"/>
      <c r="G204" s="112"/>
    </row>
    <row r="205" spans="1:7" ht="14.25" thickTop="1" thickBot="1">
      <c r="A205" s="95"/>
      <c r="B205" s="808"/>
      <c r="C205" s="808"/>
      <c r="D205" s="808"/>
      <c r="E205" s="809"/>
      <c r="F205" s="120" t="s">
        <v>856</v>
      </c>
      <c r="G205" s="118">
        <f>SUM(G200:G204)</f>
        <v>15165</v>
      </c>
    </row>
    <row r="206" spans="1:7" ht="14.25" thickTop="1" thickBot="1">
      <c r="A206" s="95"/>
      <c r="B206" s="810"/>
      <c r="C206" s="810"/>
      <c r="D206" s="810"/>
      <c r="E206" s="810"/>
      <c r="F206" s="810"/>
      <c r="G206" s="810"/>
    </row>
    <row r="207" spans="1:7" ht="13.5" thickTop="1">
      <c r="A207" s="95"/>
      <c r="B207" s="811" t="s">
        <v>321</v>
      </c>
      <c r="C207" s="812"/>
      <c r="D207" s="812"/>
      <c r="E207" s="812"/>
      <c r="F207" s="812"/>
      <c r="G207" s="825"/>
    </row>
    <row r="208" spans="1:7">
      <c r="A208" s="95"/>
      <c r="B208" s="817" t="s">
        <v>838</v>
      </c>
      <c r="C208" s="818"/>
      <c r="D208" s="98" t="s">
        <v>301</v>
      </c>
      <c r="E208" s="98" t="s">
        <v>297</v>
      </c>
      <c r="F208" s="99" t="s">
        <v>839</v>
      </c>
      <c r="G208" s="107" t="s">
        <v>840</v>
      </c>
    </row>
    <row r="209" spans="1:8">
      <c r="A209" s="95"/>
      <c r="B209" s="115"/>
      <c r="C209" s="102"/>
      <c r="D209" s="103" t="s">
        <v>322</v>
      </c>
      <c r="E209" s="103" t="s">
        <v>323</v>
      </c>
      <c r="F209" s="104" t="s">
        <v>324</v>
      </c>
      <c r="G209" s="109" t="s">
        <v>325</v>
      </c>
    </row>
    <row r="210" spans="1:8">
      <c r="A210" s="95"/>
      <c r="B210" s="826"/>
      <c r="C210" s="827"/>
      <c r="D210" s="96"/>
      <c r="E210" s="96"/>
      <c r="F210" s="96"/>
      <c r="G210" s="116"/>
    </row>
    <row r="211" spans="1:8" ht="13.5" thickBot="1">
      <c r="A211" s="95"/>
      <c r="B211" s="828" t="s">
        <v>841</v>
      </c>
      <c r="C211" s="829"/>
      <c r="D211" s="77"/>
      <c r="E211" s="82"/>
      <c r="F211" s="86"/>
      <c r="G211" s="112"/>
    </row>
    <row r="212" spans="1:8" ht="14.25" thickTop="1" thickBot="1">
      <c r="A212" s="95"/>
      <c r="B212" s="808"/>
      <c r="C212" s="808"/>
      <c r="D212" s="808"/>
      <c r="E212" s="809"/>
      <c r="F212" s="120" t="s">
        <v>856</v>
      </c>
      <c r="G212" s="118">
        <f>SUM(G207:G211)</f>
        <v>0</v>
      </c>
    </row>
    <row r="213" spans="1:8" ht="14.25" thickTop="1" thickBot="1">
      <c r="A213" s="95"/>
      <c r="B213" s="810"/>
      <c r="C213" s="810"/>
      <c r="D213" s="810"/>
      <c r="E213" s="810"/>
      <c r="F213" s="810"/>
      <c r="G213" s="834"/>
    </row>
    <row r="214" spans="1:8" ht="13.5" thickTop="1">
      <c r="A214" s="95"/>
      <c r="B214" s="811" t="s">
        <v>326</v>
      </c>
      <c r="C214" s="812"/>
      <c r="D214" s="812"/>
      <c r="E214" s="812"/>
      <c r="F214" s="813"/>
      <c r="G214" s="121">
        <f>+G178+G194+G205</f>
        <v>85205</v>
      </c>
    </row>
    <row r="215" spans="1:8">
      <c r="A215" s="95"/>
      <c r="B215" s="814" t="s">
        <v>861</v>
      </c>
      <c r="C215" s="815"/>
      <c r="D215" s="815"/>
      <c r="E215" s="816"/>
      <c r="F215" s="128">
        <f>'MANO DE OBRA'!D59</f>
        <v>0</v>
      </c>
      <c r="G215" s="122">
        <f>ROUND(G214*F215,0)</f>
        <v>0</v>
      </c>
    </row>
    <row r="216" spans="1:8" ht="13.5" thickBot="1">
      <c r="A216" s="95"/>
      <c r="B216" s="805" t="s">
        <v>1049</v>
      </c>
      <c r="C216" s="806"/>
      <c r="D216" s="806"/>
      <c r="E216" s="806"/>
      <c r="F216" s="807"/>
      <c r="G216" s="118">
        <f>ROUND(G214+G215,-2)</f>
        <v>85200</v>
      </c>
      <c r="H216" s="505" t="s">
        <v>1670</v>
      </c>
    </row>
    <row r="217" spans="1:8" ht="13.5" thickTop="1">
      <c r="A217" s="95"/>
      <c r="B217" s="90" t="s">
        <v>303</v>
      </c>
      <c r="C217" s="843"/>
      <c r="D217" s="843"/>
      <c r="E217" s="843"/>
      <c r="F217" s="92" t="s">
        <v>781</v>
      </c>
      <c r="G217" s="93" t="s">
        <v>831</v>
      </c>
    </row>
    <row r="218" spans="1:8">
      <c r="A218" s="95"/>
      <c r="B218" s="91" t="s">
        <v>834</v>
      </c>
      <c r="C218" s="844" t="s">
        <v>367</v>
      </c>
      <c r="D218" s="844"/>
      <c r="E218" s="844"/>
      <c r="F218" s="15" t="s">
        <v>833</v>
      </c>
      <c r="G218" s="165" t="str">
        <f>'MANO DE OBRA'!D61</f>
        <v>Agosto de 2010</v>
      </c>
    </row>
    <row r="219" spans="1:8" ht="27.75" customHeight="1" thickBot="1">
      <c r="A219" s="127"/>
      <c r="B219" s="94" t="s">
        <v>835</v>
      </c>
      <c r="C219" s="934" t="s">
        <v>1078</v>
      </c>
      <c r="D219" s="934"/>
      <c r="E219" s="934"/>
      <c r="F219" s="934"/>
      <c r="G219" s="935"/>
    </row>
    <row r="220" spans="1:8" ht="14.25" thickTop="1" thickBot="1">
      <c r="A220" s="95"/>
      <c r="B220" s="847"/>
      <c r="C220" s="847"/>
      <c r="D220" s="847"/>
      <c r="E220" s="847"/>
      <c r="F220" s="847"/>
      <c r="G220" s="847"/>
    </row>
    <row r="221" spans="1:8" ht="13.5" thickTop="1">
      <c r="A221" s="95"/>
      <c r="B221" s="811" t="s">
        <v>304</v>
      </c>
      <c r="C221" s="812"/>
      <c r="D221" s="812"/>
      <c r="E221" s="812"/>
      <c r="F221" s="812"/>
      <c r="G221" s="825"/>
    </row>
    <row r="222" spans="1:8">
      <c r="A222" s="95"/>
      <c r="B222" s="105"/>
      <c r="C222" s="97"/>
      <c r="D222" s="98" t="s">
        <v>301</v>
      </c>
      <c r="E222" s="98" t="s">
        <v>1072</v>
      </c>
      <c r="F222" s="99" t="s">
        <v>839</v>
      </c>
      <c r="G222" s="107" t="s">
        <v>840</v>
      </c>
    </row>
    <row r="223" spans="1:8">
      <c r="A223" s="95"/>
      <c r="B223" s="821" t="s">
        <v>838</v>
      </c>
      <c r="C223" s="822"/>
      <c r="D223" s="100" t="s">
        <v>308</v>
      </c>
      <c r="E223" s="100" t="s">
        <v>305</v>
      </c>
      <c r="F223" s="101" t="s">
        <v>306</v>
      </c>
      <c r="G223" s="108" t="s">
        <v>310</v>
      </c>
    </row>
    <row r="224" spans="1:8">
      <c r="A224" s="95"/>
      <c r="B224" s="115"/>
      <c r="C224" s="102"/>
      <c r="D224" s="103"/>
      <c r="E224" s="103" t="s">
        <v>309</v>
      </c>
      <c r="F224" s="104" t="s">
        <v>307</v>
      </c>
      <c r="G224" s="109"/>
    </row>
    <row r="225" spans="1:7">
      <c r="A225" s="127"/>
      <c r="B225" s="823" t="str">
        <f>'MAQUINARIA Y EQUIPOS'!C28</f>
        <v>HERRAMIENTAS MENORES</v>
      </c>
      <c r="C225" s="824"/>
      <c r="D225" s="87">
        <v>1</v>
      </c>
      <c r="E225" s="82">
        <f>ROUND(G257*0.05,0)</f>
        <v>758</v>
      </c>
      <c r="F225" s="81">
        <v>1</v>
      </c>
      <c r="G225" s="110">
        <f>ROUND(D225*E225/F225,0)</f>
        <v>758</v>
      </c>
    </row>
    <row r="226" spans="1:7">
      <c r="A226" s="127"/>
      <c r="B226" s="835" t="str">
        <f>'MAQUINARIA Y EQUIPOS'!C53</f>
        <v>VIBRADOR A GASOLINA</v>
      </c>
      <c r="C226" s="836"/>
      <c r="D226" s="37">
        <v>1</v>
      </c>
      <c r="E226" s="82">
        <f>'MAQUINARIA Y EQUIPOS'!D53</f>
        <v>51040</v>
      </c>
      <c r="F226" s="83">
        <v>25</v>
      </c>
      <c r="G226" s="111">
        <f>ROUND(D226*E226/F226,0)</f>
        <v>2042</v>
      </c>
    </row>
    <row r="227" spans="1:7">
      <c r="A227" s="95"/>
      <c r="B227" s="835"/>
      <c r="C227" s="836"/>
      <c r="D227" s="89"/>
      <c r="E227" s="82"/>
      <c r="F227" s="83"/>
      <c r="G227" s="111"/>
    </row>
    <row r="228" spans="1:7">
      <c r="A228" s="95"/>
      <c r="B228" s="835" t="s">
        <v>841</v>
      </c>
      <c r="C228" s="836"/>
      <c r="D228" s="37"/>
      <c r="E228" s="82"/>
      <c r="F228" s="83"/>
      <c r="G228" s="111"/>
    </row>
    <row r="229" spans="1:7" ht="13.5" thickBot="1">
      <c r="A229" s="95"/>
      <c r="B229" s="839" t="s">
        <v>841</v>
      </c>
      <c r="C229" s="840"/>
      <c r="D229" s="77"/>
      <c r="E229" s="106"/>
      <c r="F229" s="86"/>
      <c r="G229" s="112"/>
    </row>
    <row r="230" spans="1:7" ht="14.25" thickTop="1" thickBot="1">
      <c r="A230" s="95"/>
      <c r="B230" s="808"/>
      <c r="C230" s="808"/>
      <c r="D230" s="808"/>
      <c r="E230" s="809"/>
      <c r="F230" s="119" t="s">
        <v>856</v>
      </c>
      <c r="G230" s="118">
        <f>SUM(G225:G229)</f>
        <v>2800</v>
      </c>
    </row>
    <row r="231" spans="1:7" ht="14.25" thickTop="1" thickBot="1">
      <c r="A231" s="95"/>
      <c r="B231" s="830"/>
      <c r="C231" s="830"/>
      <c r="D231" s="830"/>
      <c r="E231" s="830"/>
      <c r="F231" s="830"/>
      <c r="G231" s="830"/>
    </row>
    <row r="232" spans="1:7" ht="13.5" thickTop="1">
      <c r="A232" s="95"/>
      <c r="B232" s="811" t="s">
        <v>311</v>
      </c>
      <c r="C232" s="812"/>
      <c r="D232" s="812"/>
      <c r="E232" s="812"/>
      <c r="F232" s="812"/>
      <c r="G232" s="825"/>
    </row>
    <row r="233" spans="1:7">
      <c r="A233" s="95"/>
      <c r="B233" s="817" t="s">
        <v>838</v>
      </c>
      <c r="C233" s="818"/>
      <c r="D233" s="98" t="s">
        <v>842</v>
      </c>
      <c r="E233" s="98" t="s">
        <v>853</v>
      </c>
      <c r="F233" s="99" t="s">
        <v>1047</v>
      </c>
      <c r="G233" s="107" t="s">
        <v>840</v>
      </c>
    </row>
    <row r="234" spans="1:7">
      <c r="A234" s="95"/>
      <c r="B234" s="115"/>
      <c r="C234" s="102"/>
      <c r="D234" s="100"/>
      <c r="E234" s="100" t="s">
        <v>312</v>
      </c>
      <c r="F234" s="101" t="s">
        <v>313</v>
      </c>
      <c r="G234" s="108" t="s">
        <v>314</v>
      </c>
    </row>
    <row r="235" spans="1:7" ht="14.25">
      <c r="A235" s="125"/>
      <c r="B235" s="841" t="str">
        <f>MATERIALES2!C38</f>
        <v>CONCRETO 1:2:4-2500 psi(MATERIALES)</v>
      </c>
      <c r="C235" s="842"/>
      <c r="D235" s="87" t="s">
        <v>1066</v>
      </c>
      <c r="E235" s="140">
        <v>0.12</v>
      </c>
      <c r="F235" s="80">
        <f>MATERIALES2!E38</f>
        <v>351700</v>
      </c>
      <c r="G235" s="110">
        <f t="shared" ref="G235:G242" si="2">ROUND(E235*F235,0)</f>
        <v>42204</v>
      </c>
    </row>
    <row r="236" spans="1:7">
      <c r="A236" s="123"/>
      <c r="B236" s="854" t="str">
        <f>MATERIALES2!$C$158</f>
        <v>TABLA 1X8X10</v>
      </c>
      <c r="C236" s="855"/>
      <c r="D236" s="37" t="s">
        <v>865</v>
      </c>
      <c r="E236" s="141">
        <f>ROUND(2/3/6,3)</f>
        <v>0.111</v>
      </c>
      <c r="F236" s="82">
        <f>MATERIALES2!$E$158</f>
        <v>6700</v>
      </c>
      <c r="G236" s="111">
        <f t="shared" si="2"/>
        <v>744</v>
      </c>
    </row>
    <row r="237" spans="1:7">
      <c r="A237" s="95"/>
      <c r="B237" s="854" t="str">
        <f>MATERIALES2!$C$919</f>
        <v>PUNTILLAS DE 3"</v>
      </c>
      <c r="C237" s="855"/>
      <c r="D237" s="37" t="s">
        <v>922</v>
      </c>
      <c r="E237" s="141">
        <v>0.35</v>
      </c>
      <c r="F237" s="82">
        <f>MATERIALES2!$E$919</f>
        <v>1500</v>
      </c>
      <c r="G237" s="111">
        <f t="shared" si="2"/>
        <v>525</v>
      </c>
    </row>
    <row r="238" spans="1:7">
      <c r="A238" s="95"/>
      <c r="B238" s="854" t="str">
        <f>MATERIALES2!$C$151</f>
        <v>ABARCO DE 2X2X4,50</v>
      </c>
      <c r="C238" s="855"/>
      <c r="D238" s="37" t="s">
        <v>865</v>
      </c>
      <c r="E238" s="141">
        <f>ROUND(3/4.5/5,3)</f>
        <v>0.13300000000000001</v>
      </c>
      <c r="F238" s="82">
        <f>MATERIALES2!$E$151</f>
        <v>5000</v>
      </c>
      <c r="G238" s="111">
        <f t="shared" si="2"/>
        <v>665</v>
      </c>
    </row>
    <row r="239" spans="1:7">
      <c r="A239" s="95"/>
      <c r="B239" s="854" t="str">
        <f>MATERIALES2!C41</f>
        <v>CONCRETO 1:3:5-2000 PSI(MATERIALES)</v>
      </c>
      <c r="C239" s="855"/>
      <c r="D239" s="37" t="s">
        <v>669</v>
      </c>
      <c r="E239" s="141">
        <v>0.03</v>
      </c>
      <c r="F239" s="82">
        <f>MATERIALES2!E41</f>
        <v>319200</v>
      </c>
      <c r="G239" s="111">
        <f t="shared" si="2"/>
        <v>9576</v>
      </c>
    </row>
    <row r="240" spans="1:7">
      <c r="A240" s="95"/>
      <c r="B240" s="854" t="str">
        <f>MATERIALES2!C61</f>
        <v>HIERRO CHIPA ¼"</v>
      </c>
      <c r="C240" s="855"/>
      <c r="D240" s="37" t="s">
        <v>925</v>
      </c>
      <c r="E240" s="141">
        <f>6*1.25*0.25</f>
        <v>1.875</v>
      </c>
      <c r="F240" s="82">
        <f>MATERIALES2!E61</f>
        <v>2100</v>
      </c>
      <c r="G240" s="111">
        <f t="shared" si="2"/>
        <v>3938</v>
      </c>
    </row>
    <row r="241" spans="1:8">
      <c r="A241" s="95"/>
      <c r="B241" s="854" t="str">
        <f>MATERIALES2!C62</f>
        <v>HIERRO CHIPA 3/8"</v>
      </c>
      <c r="C241" s="855"/>
      <c r="D241" s="37" t="s">
        <v>925</v>
      </c>
      <c r="E241" s="141">
        <f>6*1.15*0.56</f>
        <v>3.8639999999999999</v>
      </c>
      <c r="F241" s="82">
        <f>MATERIALES2!E62</f>
        <v>2100</v>
      </c>
      <c r="G241" s="111">
        <f t="shared" si="2"/>
        <v>8114</v>
      </c>
    </row>
    <row r="242" spans="1:8">
      <c r="A242" s="95"/>
      <c r="B242" s="854" t="str">
        <f>MATERIALES2!C65</f>
        <v>ALAMBRE NEGRO</v>
      </c>
      <c r="C242" s="855"/>
      <c r="D242" s="37" t="s">
        <v>925</v>
      </c>
      <c r="E242" s="141">
        <f>ROUND(6*6*0.4/105.26,3)</f>
        <v>0.13700000000000001</v>
      </c>
      <c r="F242" s="82">
        <f>MATERIALES2!E65</f>
        <v>2100</v>
      </c>
      <c r="G242" s="111">
        <f t="shared" si="2"/>
        <v>288</v>
      </c>
      <c r="H242" s="505" t="s">
        <v>1670</v>
      </c>
    </row>
    <row r="243" spans="1:8" ht="13.5" thickBot="1">
      <c r="A243" s="95"/>
      <c r="B243" s="942" t="s">
        <v>841</v>
      </c>
      <c r="C243" s="943"/>
      <c r="D243" s="84" t="s">
        <v>841</v>
      </c>
      <c r="E243" s="84"/>
      <c r="F243" s="85"/>
      <c r="G243" s="112"/>
    </row>
    <row r="244" spans="1:8" ht="13.5" thickTop="1">
      <c r="A244" s="95"/>
      <c r="B244" s="808"/>
      <c r="C244" s="809"/>
      <c r="D244" s="801" t="s">
        <v>856</v>
      </c>
      <c r="E244" s="802"/>
      <c r="F244" s="9"/>
      <c r="G244" s="113">
        <f>SUM(G235:G243)</f>
        <v>66054</v>
      </c>
    </row>
    <row r="245" spans="1:8">
      <c r="A245" s="95"/>
      <c r="B245" s="819"/>
      <c r="C245" s="820"/>
      <c r="D245" s="801" t="s">
        <v>857</v>
      </c>
      <c r="E245" s="802"/>
      <c r="F245" s="79">
        <f>'MANO DE OBRA'!D60</f>
        <v>0.05</v>
      </c>
      <c r="G245" s="113">
        <f>ROUND(G244*F245,0)</f>
        <v>3303</v>
      </c>
    </row>
    <row r="246" spans="1:8" ht="13.5" thickBot="1">
      <c r="A246" s="95"/>
      <c r="B246" s="819"/>
      <c r="C246" s="820"/>
      <c r="D246" s="803" t="s">
        <v>320</v>
      </c>
      <c r="E246" s="804"/>
      <c r="F246" s="114"/>
      <c r="G246" s="118">
        <f>+G244+G245</f>
        <v>69357</v>
      </c>
    </row>
    <row r="247" spans="1:8" ht="14.25" thickTop="1" thickBot="1">
      <c r="A247" s="95"/>
      <c r="B247" s="830"/>
      <c r="C247" s="830"/>
      <c r="D247" s="830"/>
      <c r="E247" s="830"/>
      <c r="F247" s="830"/>
      <c r="G247" s="830"/>
    </row>
    <row r="248" spans="1:8" ht="13.5" thickTop="1">
      <c r="A248" s="95"/>
      <c r="B248" s="811" t="s">
        <v>858</v>
      </c>
      <c r="C248" s="812"/>
      <c r="D248" s="812"/>
      <c r="E248" s="812"/>
      <c r="F248" s="812"/>
      <c r="G248" s="825"/>
    </row>
    <row r="249" spans="1:8">
      <c r="A249" s="95"/>
      <c r="B249" s="817"/>
      <c r="C249" s="818"/>
      <c r="D249" s="98" t="s">
        <v>301</v>
      </c>
      <c r="E249" s="98" t="s">
        <v>859</v>
      </c>
      <c r="F249" s="99" t="s">
        <v>839</v>
      </c>
      <c r="G249" s="107" t="s">
        <v>840</v>
      </c>
    </row>
    <row r="250" spans="1:8">
      <c r="A250" s="95"/>
      <c r="B250" s="821" t="s">
        <v>838</v>
      </c>
      <c r="C250" s="822"/>
      <c r="D250" s="100" t="s">
        <v>316</v>
      </c>
      <c r="E250" s="100" t="s">
        <v>315</v>
      </c>
      <c r="F250" s="101" t="s">
        <v>306</v>
      </c>
      <c r="G250" s="108" t="s">
        <v>319</v>
      </c>
    </row>
    <row r="251" spans="1:8">
      <c r="A251" s="95"/>
      <c r="B251" s="115"/>
      <c r="C251" s="102"/>
      <c r="D251" s="103"/>
      <c r="E251" s="103" t="s">
        <v>317</v>
      </c>
      <c r="F251" s="104" t="s">
        <v>318</v>
      </c>
      <c r="G251" s="109"/>
    </row>
    <row r="252" spans="1:8">
      <c r="A252" s="95"/>
      <c r="B252" s="823" t="str">
        <f>'MANO DE OBRA'!B10</f>
        <v>AYUDANTE CUAD. TIPO AA</v>
      </c>
      <c r="C252" s="824"/>
      <c r="D252" s="87">
        <v>1</v>
      </c>
      <c r="E252" s="80">
        <f>'MANO DE OBRA'!E10</f>
        <v>34680</v>
      </c>
      <c r="F252" s="81">
        <v>7</v>
      </c>
      <c r="G252" s="110">
        <f>ROUND(D252*E252/F252,0)</f>
        <v>4954</v>
      </c>
    </row>
    <row r="253" spans="1:8">
      <c r="A253" s="95"/>
      <c r="B253" s="835" t="str">
        <f>'MANO DE OBRA'!B15</f>
        <v xml:space="preserve">OFICIAL CUAD. TIPO AA </v>
      </c>
      <c r="C253" s="836"/>
      <c r="D253" s="37">
        <v>1</v>
      </c>
      <c r="E253" s="82">
        <f>'MANO DE OBRA'!E15</f>
        <v>71474</v>
      </c>
      <c r="F253" s="83">
        <v>7</v>
      </c>
      <c r="G253" s="111">
        <f>ROUND(D253*E253/F253,0)</f>
        <v>10211</v>
      </c>
    </row>
    <row r="254" spans="1:8">
      <c r="A254" s="95"/>
      <c r="B254" s="835"/>
      <c r="C254" s="836"/>
      <c r="D254" s="89"/>
      <c r="E254" s="82"/>
      <c r="F254" s="83"/>
      <c r="G254" s="111"/>
    </row>
    <row r="255" spans="1:8">
      <c r="A255" s="95"/>
      <c r="B255" s="835" t="s">
        <v>841</v>
      </c>
      <c r="C255" s="836"/>
      <c r="D255" s="37"/>
      <c r="E255" s="82"/>
      <c r="F255" s="83"/>
      <c r="G255" s="111"/>
    </row>
    <row r="256" spans="1:8" ht="13.5" thickBot="1">
      <c r="A256" s="95"/>
      <c r="B256" s="828" t="s">
        <v>841</v>
      </c>
      <c r="C256" s="829"/>
      <c r="D256" s="77"/>
      <c r="E256" s="82"/>
      <c r="F256" s="86"/>
      <c r="G256" s="112"/>
    </row>
    <row r="257" spans="1:8" ht="14.25" thickTop="1" thickBot="1">
      <c r="A257" s="95"/>
      <c r="B257" s="808"/>
      <c r="C257" s="808"/>
      <c r="D257" s="808"/>
      <c r="E257" s="809"/>
      <c r="F257" s="120" t="s">
        <v>856</v>
      </c>
      <c r="G257" s="118">
        <f>SUM(G252:G256)</f>
        <v>15165</v>
      </c>
    </row>
    <row r="258" spans="1:8" ht="14.25" thickTop="1" thickBot="1">
      <c r="A258" s="95"/>
      <c r="B258" s="810"/>
      <c r="C258" s="810"/>
      <c r="D258" s="810"/>
      <c r="E258" s="810"/>
      <c r="F258" s="810"/>
      <c r="G258" s="810"/>
    </row>
    <row r="259" spans="1:8" ht="13.5" thickTop="1">
      <c r="A259" s="95"/>
      <c r="B259" s="811" t="s">
        <v>321</v>
      </c>
      <c r="C259" s="812"/>
      <c r="D259" s="812"/>
      <c r="E259" s="812"/>
      <c r="F259" s="812"/>
      <c r="G259" s="825"/>
    </row>
    <row r="260" spans="1:8">
      <c r="A260" s="95"/>
      <c r="B260" s="817" t="s">
        <v>838</v>
      </c>
      <c r="C260" s="818"/>
      <c r="D260" s="98" t="s">
        <v>301</v>
      </c>
      <c r="E260" s="98" t="s">
        <v>297</v>
      </c>
      <c r="F260" s="99" t="s">
        <v>839</v>
      </c>
      <c r="G260" s="107" t="s">
        <v>840</v>
      </c>
    </row>
    <row r="261" spans="1:8">
      <c r="A261" s="95"/>
      <c r="B261" s="115"/>
      <c r="C261" s="102"/>
      <c r="D261" s="103" t="s">
        <v>322</v>
      </c>
      <c r="E261" s="103" t="s">
        <v>323</v>
      </c>
      <c r="F261" s="104" t="s">
        <v>324</v>
      </c>
      <c r="G261" s="109" t="s">
        <v>325</v>
      </c>
    </row>
    <row r="262" spans="1:8">
      <c r="A262" s="95"/>
      <c r="B262" s="826"/>
      <c r="C262" s="827"/>
      <c r="D262" s="96"/>
      <c r="E262" s="96"/>
      <c r="F262" s="96"/>
      <c r="G262" s="116"/>
    </row>
    <row r="263" spans="1:8" ht="13.5" thickBot="1">
      <c r="A263" s="95"/>
      <c r="B263" s="828" t="s">
        <v>841</v>
      </c>
      <c r="C263" s="829"/>
      <c r="D263" s="77"/>
      <c r="E263" s="82"/>
      <c r="F263" s="86"/>
      <c r="G263" s="112"/>
    </row>
    <row r="264" spans="1:8" ht="14.25" thickTop="1" thickBot="1">
      <c r="A264" s="95"/>
      <c r="B264" s="808"/>
      <c r="C264" s="808"/>
      <c r="D264" s="808"/>
      <c r="E264" s="809"/>
      <c r="F264" s="120" t="s">
        <v>856</v>
      </c>
      <c r="G264" s="118">
        <f>SUM(G259:G263)</f>
        <v>0</v>
      </c>
    </row>
    <row r="265" spans="1:8" ht="14.25" thickTop="1" thickBot="1">
      <c r="A265" s="95"/>
      <c r="B265" s="810"/>
      <c r="C265" s="810"/>
      <c r="D265" s="810"/>
      <c r="E265" s="810"/>
      <c r="F265" s="810"/>
      <c r="G265" s="834"/>
    </row>
    <row r="266" spans="1:8" ht="13.5" thickTop="1">
      <c r="A266" s="95"/>
      <c r="B266" s="811" t="s">
        <v>326</v>
      </c>
      <c r="C266" s="812"/>
      <c r="D266" s="812"/>
      <c r="E266" s="812"/>
      <c r="F266" s="813"/>
      <c r="G266" s="121">
        <f>+G230+G246+G257</f>
        <v>87322</v>
      </c>
    </row>
    <row r="267" spans="1:8">
      <c r="A267" s="95"/>
      <c r="B267" s="814" t="s">
        <v>861</v>
      </c>
      <c r="C267" s="815"/>
      <c r="D267" s="815"/>
      <c r="E267" s="816"/>
      <c r="F267" s="128">
        <f>'MANO DE OBRA'!D59</f>
        <v>0</v>
      </c>
      <c r="G267" s="122">
        <f>ROUND(G266*F267,0)</f>
        <v>0</v>
      </c>
    </row>
    <row r="268" spans="1:8" ht="13.5" thickBot="1">
      <c r="A268" s="95"/>
      <c r="B268" s="805" t="s">
        <v>1049</v>
      </c>
      <c r="C268" s="806"/>
      <c r="D268" s="806"/>
      <c r="E268" s="806"/>
      <c r="F268" s="807"/>
      <c r="G268" s="118">
        <f>ROUND(G266+G267,-2)</f>
        <v>87300</v>
      </c>
      <c r="H268" s="505" t="s">
        <v>1670</v>
      </c>
    </row>
    <row r="269" spans="1:8" ht="13.5" thickTop="1">
      <c r="A269" s="95"/>
      <c r="B269" s="90" t="s">
        <v>303</v>
      </c>
      <c r="C269" s="843"/>
      <c r="D269" s="843"/>
      <c r="E269" s="843"/>
      <c r="F269" s="92" t="s">
        <v>781</v>
      </c>
      <c r="G269" s="93" t="s">
        <v>831</v>
      </c>
    </row>
    <row r="270" spans="1:8">
      <c r="A270" s="95"/>
      <c r="B270" s="91" t="s">
        <v>834</v>
      </c>
      <c r="C270" s="844" t="s">
        <v>367</v>
      </c>
      <c r="D270" s="844"/>
      <c r="E270" s="844"/>
      <c r="F270" s="15" t="s">
        <v>833</v>
      </c>
      <c r="G270" s="165" t="str">
        <f>'MANO DE OBRA'!D61</f>
        <v>Agosto de 2010</v>
      </c>
    </row>
    <row r="271" spans="1:8" ht="27.75" customHeight="1" thickBot="1">
      <c r="A271" s="127"/>
      <c r="B271" s="94" t="s">
        <v>835</v>
      </c>
      <c r="C271" s="934" t="s">
        <v>1079</v>
      </c>
      <c r="D271" s="934"/>
      <c r="E271" s="934"/>
      <c r="F271" s="934"/>
      <c r="G271" s="935"/>
    </row>
    <row r="272" spans="1:8" ht="14.25" thickTop="1" thickBot="1">
      <c r="A272" s="95"/>
      <c r="B272" s="847"/>
      <c r="C272" s="847"/>
      <c r="D272" s="847"/>
      <c r="E272" s="847"/>
      <c r="F272" s="847"/>
      <c r="G272" s="847"/>
    </row>
    <row r="273" spans="1:7" ht="13.5" thickTop="1">
      <c r="A273" s="95"/>
      <c r="B273" s="811" t="s">
        <v>304</v>
      </c>
      <c r="C273" s="812"/>
      <c r="D273" s="812"/>
      <c r="E273" s="812"/>
      <c r="F273" s="812"/>
      <c r="G273" s="825"/>
    </row>
    <row r="274" spans="1:7">
      <c r="A274" s="95"/>
      <c r="B274" s="105"/>
      <c r="C274" s="97"/>
      <c r="D274" s="98" t="s">
        <v>301</v>
      </c>
      <c r="E274" s="98" t="s">
        <v>1072</v>
      </c>
      <c r="F274" s="99" t="s">
        <v>839</v>
      </c>
      <c r="G274" s="107" t="s">
        <v>840</v>
      </c>
    </row>
    <row r="275" spans="1:7">
      <c r="A275" s="95"/>
      <c r="B275" s="821" t="s">
        <v>838</v>
      </c>
      <c r="C275" s="822"/>
      <c r="D275" s="100" t="s">
        <v>308</v>
      </c>
      <c r="E275" s="100" t="s">
        <v>305</v>
      </c>
      <c r="F275" s="101" t="s">
        <v>306</v>
      </c>
      <c r="G275" s="108" t="s">
        <v>310</v>
      </c>
    </row>
    <row r="276" spans="1:7">
      <c r="A276" s="95"/>
      <c r="B276" s="115"/>
      <c r="C276" s="102"/>
      <c r="D276" s="103"/>
      <c r="E276" s="103" t="s">
        <v>309</v>
      </c>
      <c r="F276" s="104" t="s">
        <v>307</v>
      </c>
      <c r="G276" s="109"/>
    </row>
    <row r="277" spans="1:7">
      <c r="A277" s="127"/>
      <c r="B277" s="823" t="str">
        <f>'MAQUINARIA Y EQUIPOS'!C28</f>
        <v>HERRAMIENTAS MENORES</v>
      </c>
      <c r="C277" s="824"/>
      <c r="D277" s="87">
        <v>1</v>
      </c>
      <c r="E277" s="82">
        <f>ROUND(G309*0.05,0)</f>
        <v>758</v>
      </c>
      <c r="F277" s="81">
        <v>1</v>
      </c>
      <c r="G277" s="110">
        <f>ROUND(D277*E277/F277,0)</f>
        <v>758</v>
      </c>
    </row>
    <row r="278" spans="1:7">
      <c r="A278" s="127"/>
      <c r="B278" s="835" t="str">
        <f>'MAQUINARIA Y EQUIPOS'!C53</f>
        <v>VIBRADOR A GASOLINA</v>
      </c>
      <c r="C278" s="836"/>
      <c r="D278" s="37">
        <v>1</v>
      </c>
      <c r="E278" s="82">
        <f>'MAQUINARIA Y EQUIPOS'!D53</f>
        <v>51040</v>
      </c>
      <c r="F278" s="83">
        <v>25</v>
      </c>
      <c r="G278" s="111">
        <f>ROUND(D278*E278/F278,0)</f>
        <v>2042</v>
      </c>
    </row>
    <row r="279" spans="1:7">
      <c r="A279" s="95"/>
      <c r="B279" s="835"/>
      <c r="C279" s="836"/>
      <c r="D279" s="89"/>
      <c r="E279" s="82"/>
      <c r="F279" s="83"/>
      <c r="G279" s="111"/>
    </row>
    <row r="280" spans="1:7">
      <c r="A280" s="95"/>
      <c r="B280" s="835" t="s">
        <v>841</v>
      </c>
      <c r="C280" s="836"/>
      <c r="D280" s="37"/>
      <c r="E280" s="82"/>
      <c r="F280" s="83"/>
      <c r="G280" s="111"/>
    </row>
    <row r="281" spans="1:7" ht="13.5" thickBot="1">
      <c r="A281" s="95"/>
      <c r="B281" s="839" t="s">
        <v>841</v>
      </c>
      <c r="C281" s="840"/>
      <c r="D281" s="77"/>
      <c r="E281" s="106"/>
      <c r="F281" s="86"/>
      <c r="G281" s="112"/>
    </row>
    <row r="282" spans="1:7" ht="14.25" thickTop="1" thickBot="1">
      <c r="A282" s="95"/>
      <c r="B282" s="808"/>
      <c r="C282" s="808"/>
      <c r="D282" s="808"/>
      <c r="E282" s="809"/>
      <c r="F282" s="119" t="s">
        <v>856</v>
      </c>
      <c r="G282" s="118">
        <f>SUM(G277:G281)</f>
        <v>2800</v>
      </c>
    </row>
    <row r="283" spans="1:7" ht="14.25" thickTop="1" thickBot="1">
      <c r="A283" s="95"/>
      <c r="B283" s="830"/>
      <c r="C283" s="830"/>
      <c r="D283" s="830"/>
      <c r="E283" s="830"/>
      <c r="F283" s="830"/>
      <c r="G283" s="830"/>
    </row>
    <row r="284" spans="1:7" ht="13.5" thickTop="1">
      <c r="A284" s="95"/>
      <c r="B284" s="811" t="s">
        <v>311</v>
      </c>
      <c r="C284" s="812"/>
      <c r="D284" s="812"/>
      <c r="E284" s="812"/>
      <c r="F284" s="812"/>
      <c r="G284" s="825"/>
    </row>
    <row r="285" spans="1:7">
      <c r="A285" s="95"/>
      <c r="B285" s="817" t="s">
        <v>838</v>
      </c>
      <c r="C285" s="818"/>
      <c r="D285" s="98" t="s">
        <v>842</v>
      </c>
      <c r="E285" s="98" t="s">
        <v>853</v>
      </c>
      <c r="F285" s="99" t="s">
        <v>1047</v>
      </c>
      <c r="G285" s="107" t="s">
        <v>840</v>
      </c>
    </row>
    <row r="286" spans="1:7">
      <c r="A286" s="95"/>
      <c r="B286" s="115"/>
      <c r="C286" s="102"/>
      <c r="D286" s="100"/>
      <c r="E286" s="100" t="s">
        <v>312</v>
      </c>
      <c r="F286" s="101" t="s">
        <v>313</v>
      </c>
      <c r="G286" s="108" t="s">
        <v>314</v>
      </c>
    </row>
    <row r="287" spans="1:7" ht="14.25">
      <c r="A287" s="125"/>
      <c r="B287" s="841" t="str">
        <f>MATERIALES2!C38</f>
        <v>CONCRETO 1:2:4-2500 psi(MATERIALES)</v>
      </c>
      <c r="C287" s="842"/>
      <c r="D287" s="87" t="s">
        <v>1066</v>
      </c>
      <c r="E287" s="140">
        <v>0.12</v>
      </c>
      <c r="F287" s="80">
        <f>MATERIALES2!E38</f>
        <v>351700</v>
      </c>
      <c r="G287" s="110">
        <f t="shared" ref="G287:G294" si="3">ROUND(E287*F287,0)</f>
        <v>42204</v>
      </c>
    </row>
    <row r="288" spans="1:7">
      <c r="A288" s="123"/>
      <c r="B288" s="854" t="str">
        <f>MATERIALES2!C158</f>
        <v>TABLA 1X8X10</v>
      </c>
      <c r="C288" s="855"/>
      <c r="D288" s="37" t="s">
        <v>865</v>
      </c>
      <c r="E288" s="141">
        <f>ROUND(2/3/6,3)</f>
        <v>0.111</v>
      </c>
      <c r="F288" s="82">
        <f>MATERIALES2!E158</f>
        <v>6700</v>
      </c>
      <c r="G288" s="111">
        <f t="shared" si="3"/>
        <v>744</v>
      </c>
    </row>
    <row r="289" spans="1:8">
      <c r="A289" s="95"/>
      <c r="B289" s="854" t="str">
        <f>MATERIALES2!C918</f>
        <v>PUNTILLAS DE 2"</v>
      </c>
      <c r="C289" s="855"/>
      <c r="D289" s="37" t="s">
        <v>922</v>
      </c>
      <c r="E289" s="141">
        <v>0.35</v>
      </c>
      <c r="F289" s="82">
        <f>MATERIALES2!E918</f>
        <v>1500</v>
      </c>
      <c r="G289" s="111">
        <f t="shared" si="3"/>
        <v>525</v>
      </c>
    </row>
    <row r="290" spans="1:8">
      <c r="A290" s="95"/>
      <c r="B290" s="854" t="str">
        <f>MATERIALES2!C151</f>
        <v>ABARCO DE 2X2X4,50</v>
      </c>
      <c r="C290" s="855"/>
      <c r="D290" s="37" t="s">
        <v>865</v>
      </c>
      <c r="E290" s="141">
        <f>ROUND(3/4.5/5,3)</f>
        <v>0.13300000000000001</v>
      </c>
      <c r="F290" s="82">
        <f>MATERIALES2!E151</f>
        <v>5000</v>
      </c>
      <c r="G290" s="111">
        <f t="shared" si="3"/>
        <v>665</v>
      </c>
    </row>
    <row r="291" spans="1:8">
      <c r="A291" s="95"/>
      <c r="B291" s="854" t="str">
        <f>MATERIALES2!C41</f>
        <v>CONCRETO 1:3:5-2000 PSI(MATERIALES)</v>
      </c>
      <c r="C291" s="855"/>
      <c r="D291" s="37" t="s">
        <v>669</v>
      </c>
      <c r="E291" s="141">
        <v>0.03</v>
      </c>
      <c r="F291" s="82">
        <f>MATERIALES2!E41</f>
        <v>319200</v>
      </c>
      <c r="G291" s="111">
        <f t="shared" si="3"/>
        <v>9576</v>
      </c>
    </row>
    <row r="292" spans="1:8">
      <c r="A292" s="95"/>
      <c r="B292" s="854" t="str">
        <f>MATERIALES2!C61</f>
        <v>HIERRO CHIPA ¼"</v>
      </c>
      <c r="C292" s="855"/>
      <c r="D292" s="37" t="s">
        <v>925</v>
      </c>
      <c r="E292" s="141">
        <f>6*1.15*0.25</f>
        <v>1.7249999999999999</v>
      </c>
      <c r="F292" s="82">
        <f>MATERIALES2!E61</f>
        <v>2100</v>
      </c>
      <c r="G292" s="111">
        <f t="shared" si="3"/>
        <v>3623</v>
      </c>
    </row>
    <row r="293" spans="1:8">
      <c r="A293" s="95"/>
      <c r="B293" s="854" t="str">
        <f>MATERIALES2!C62</f>
        <v>HIERRO CHIPA 3/8"</v>
      </c>
      <c r="C293" s="855"/>
      <c r="D293" s="37" t="s">
        <v>925</v>
      </c>
      <c r="E293" s="141">
        <f>5*1.15*0.56</f>
        <v>3.22</v>
      </c>
      <c r="F293" s="82">
        <f>MATERIALES2!E62</f>
        <v>2100</v>
      </c>
      <c r="G293" s="111">
        <f t="shared" si="3"/>
        <v>6762</v>
      </c>
    </row>
    <row r="294" spans="1:8">
      <c r="A294" s="95"/>
      <c r="B294" s="854" t="str">
        <f>MATERIALES2!C65</f>
        <v>ALAMBRE NEGRO</v>
      </c>
      <c r="C294" s="855"/>
      <c r="D294" s="37" t="s">
        <v>925</v>
      </c>
      <c r="E294" s="141">
        <f>ROUND(6*5*0.4/105.26,3)</f>
        <v>0.114</v>
      </c>
      <c r="F294" s="82">
        <f>MATERIALES2!E65</f>
        <v>2100</v>
      </c>
      <c r="G294" s="111">
        <f t="shared" si="3"/>
        <v>239</v>
      </c>
      <c r="H294" s="505" t="s">
        <v>1670</v>
      </c>
    </row>
    <row r="295" spans="1:8" ht="13.5" thickBot="1">
      <c r="A295" s="95"/>
      <c r="B295" s="942" t="s">
        <v>841</v>
      </c>
      <c r="C295" s="943"/>
      <c r="D295" s="84" t="s">
        <v>841</v>
      </c>
      <c r="E295" s="84"/>
      <c r="F295" s="85"/>
      <c r="G295" s="112"/>
    </row>
    <row r="296" spans="1:8" ht="13.5" thickTop="1">
      <c r="A296" s="95"/>
      <c r="B296" s="808"/>
      <c r="C296" s="809"/>
      <c r="D296" s="801" t="s">
        <v>856</v>
      </c>
      <c r="E296" s="802"/>
      <c r="F296" s="9"/>
      <c r="G296" s="113">
        <f>SUM(G287:G295)</f>
        <v>64338</v>
      </c>
    </row>
    <row r="297" spans="1:8">
      <c r="A297" s="95"/>
      <c r="B297" s="819"/>
      <c r="C297" s="820"/>
      <c r="D297" s="801" t="s">
        <v>857</v>
      </c>
      <c r="E297" s="802"/>
      <c r="F297" s="79">
        <f>'MANO DE OBRA'!D60</f>
        <v>0.05</v>
      </c>
      <c r="G297" s="113">
        <f>ROUND(G296*F297,0)</f>
        <v>3217</v>
      </c>
    </row>
    <row r="298" spans="1:8" ht="13.5" thickBot="1">
      <c r="A298" s="95"/>
      <c r="B298" s="819"/>
      <c r="C298" s="820"/>
      <c r="D298" s="803" t="s">
        <v>320</v>
      </c>
      <c r="E298" s="804"/>
      <c r="F298" s="114"/>
      <c r="G298" s="118">
        <f>+G296+G297</f>
        <v>67555</v>
      </c>
    </row>
    <row r="299" spans="1:8" ht="14.25" thickTop="1" thickBot="1">
      <c r="A299" s="95"/>
      <c r="B299" s="830"/>
      <c r="C299" s="830"/>
      <c r="D299" s="830"/>
      <c r="E299" s="830"/>
      <c r="F299" s="830"/>
      <c r="G299" s="830"/>
    </row>
    <row r="300" spans="1:8" ht="13.5" thickTop="1">
      <c r="A300" s="95"/>
      <c r="B300" s="811" t="s">
        <v>858</v>
      </c>
      <c r="C300" s="812"/>
      <c r="D300" s="812"/>
      <c r="E300" s="812"/>
      <c r="F300" s="812"/>
      <c r="G300" s="825"/>
    </row>
    <row r="301" spans="1:8">
      <c r="A301" s="95"/>
      <c r="B301" s="817"/>
      <c r="C301" s="818"/>
      <c r="D301" s="98" t="s">
        <v>301</v>
      </c>
      <c r="E301" s="98" t="s">
        <v>859</v>
      </c>
      <c r="F301" s="99" t="s">
        <v>839</v>
      </c>
      <c r="G301" s="107" t="s">
        <v>840</v>
      </c>
    </row>
    <row r="302" spans="1:8">
      <c r="A302" s="95"/>
      <c r="B302" s="821" t="s">
        <v>838</v>
      </c>
      <c r="C302" s="822"/>
      <c r="D302" s="100" t="s">
        <v>316</v>
      </c>
      <c r="E302" s="100" t="s">
        <v>315</v>
      </c>
      <c r="F302" s="101" t="s">
        <v>306</v>
      </c>
      <c r="G302" s="108" t="s">
        <v>319</v>
      </c>
    </row>
    <row r="303" spans="1:8">
      <c r="A303" s="95"/>
      <c r="B303" s="115"/>
      <c r="C303" s="102"/>
      <c r="D303" s="103"/>
      <c r="E303" s="103" t="s">
        <v>317</v>
      </c>
      <c r="F303" s="104" t="s">
        <v>318</v>
      </c>
      <c r="G303" s="109"/>
    </row>
    <row r="304" spans="1:8">
      <c r="A304" s="95"/>
      <c r="B304" s="823" t="str">
        <f>'MANO DE OBRA'!B10</f>
        <v>AYUDANTE CUAD. TIPO AA</v>
      </c>
      <c r="C304" s="824"/>
      <c r="D304" s="87">
        <v>1</v>
      </c>
      <c r="E304" s="80">
        <f>'MANO DE OBRA'!E10</f>
        <v>34680</v>
      </c>
      <c r="F304" s="81">
        <v>7</v>
      </c>
      <c r="G304" s="110">
        <f>ROUND(D304*E304/F304,0)</f>
        <v>4954</v>
      </c>
    </row>
    <row r="305" spans="1:8">
      <c r="A305" s="95"/>
      <c r="B305" s="835" t="str">
        <f>'MANO DE OBRA'!B15</f>
        <v xml:space="preserve">OFICIAL CUAD. TIPO AA </v>
      </c>
      <c r="C305" s="836"/>
      <c r="D305" s="37">
        <v>1</v>
      </c>
      <c r="E305" s="82">
        <f>'MANO DE OBRA'!E15</f>
        <v>71474</v>
      </c>
      <c r="F305" s="83">
        <v>7</v>
      </c>
      <c r="G305" s="111">
        <f>ROUND(D305*E305/F305,0)</f>
        <v>10211</v>
      </c>
    </row>
    <row r="306" spans="1:8">
      <c r="A306" s="95"/>
      <c r="B306" s="835"/>
      <c r="C306" s="836"/>
      <c r="D306" s="89"/>
      <c r="E306" s="82"/>
      <c r="F306" s="83"/>
      <c r="G306" s="111"/>
    </row>
    <row r="307" spans="1:8">
      <c r="A307" s="95"/>
      <c r="B307" s="835" t="s">
        <v>841</v>
      </c>
      <c r="C307" s="836"/>
      <c r="D307" s="37"/>
      <c r="E307" s="82"/>
      <c r="F307" s="83"/>
      <c r="G307" s="111"/>
    </row>
    <row r="308" spans="1:8" ht="13.5" thickBot="1">
      <c r="A308" s="95"/>
      <c r="B308" s="828" t="s">
        <v>841</v>
      </c>
      <c r="C308" s="829"/>
      <c r="D308" s="77"/>
      <c r="E308" s="82"/>
      <c r="F308" s="86"/>
      <c r="G308" s="112"/>
    </row>
    <row r="309" spans="1:8" ht="14.25" thickTop="1" thickBot="1">
      <c r="A309" s="95"/>
      <c r="B309" s="808"/>
      <c r="C309" s="808"/>
      <c r="D309" s="808"/>
      <c r="E309" s="809"/>
      <c r="F309" s="120" t="s">
        <v>856</v>
      </c>
      <c r="G309" s="118">
        <f>SUM(G304:G308)</f>
        <v>15165</v>
      </c>
    </row>
    <row r="310" spans="1:8" ht="14.25" thickTop="1" thickBot="1">
      <c r="A310" s="95"/>
      <c r="B310" s="810"/>
      <c r="C310" s="810"/>
      <c r="D310" s="810"/>
      <c r="E310" s="810"/>
      <c r="F310" s="810"/>
      <c r="G310" s="810"/>
    </row>
    <row r="311" spans="1:8" ht="13.5" thickTop="1">
      <c r="A311" s="95"/>
      <c r="B311" s="811" t="s">
        <v>321</v>
      </c>
      <c r="C311" s="812"/>
      <c r="D311" s="812"/>
      <c r="E311" s="812"/>
      <c r="F311" s="812"/>
      <c r="G311" s="825"/>
    </row>
    <row r="312" spans="1:8">
      <c r="A312" s="95"/>
      <c r="B312" s="817" t="s">
        <v>838</v>
      </c>
      <c r="C312" s="818"/>
      <c r="D312" s="98" t="s">
        <v>301</v>
      </c>
      <c r="E312" s="98" t="s">
        <v>297</v>
      </c>
      <c r="F312" s="99" t="s">
        <v>839</v>
      </c>
      <c r="G312" s="107" t="s">
        <v>840</v>
      </c>
    </row>
    <row r="313" spans="1:8">
      <c r="A313" s="95"/>
      <c r="B313" s="115"/>
      <c r="C313" s="102"/>
      <c r="D313" s="103" t="s">
        <v>322</v>
      </c>
      <c r="E313" s="103" t="s">
        <v>323</v>
      </c>
      <c r="F313" s="104" t="s">
        <v>324</v>
      </c>
      <c r="G313" s="109" t="s">
        <v>325</v>
      </c>
    </row>
    <row r="314" spans="1:8">
      <c r="A314" s="95"/>
      <c r="B314" s="826"/>
      <c r="C314" s="827"/>
      <c r="D314" s="96"/>
      <c r="E314" s="96"/>
      <c r="F314" s="96"/>
      <c r="G314" s="116"/>
    </row>
    <row r="315" spans="1:8" ht="13.5" thickBot="1">
      <c r="A315" s="95"/>
      <c r="B315" s="828" t="s">
        <v>841</v>
      </c>
      <c r="C315" s="829"/>
      <c r="D315" s="77"/>
      <c r="E315" s="82"/>
      <c r="F315" s="86"/>
      <c r="G315" s="112"/>
    </row>
    <row r="316" spans="1:8" ht="14.25" thickTop="1" thickBot="1">
      <c r="A316" s="95"/>
      <c r="B316" s="808"/>
      <c r="C316" s="808"/>
      <c r="D316" s="808"/>
      <c r="E316" s="809"/>
      <c r="F316" s="120" t="s">
        <v>856</v>
      </c>
      <c r="G316" s="118">
        <f>SUM(G311:G315)</f>
        <v>0</v>
      </c>
    </row>
    <row r="317" spans="1:8" ht="14.25" thickTop="1" thickBot="1">
      <c r="A317" s="95"/>
      <c r="B317" s="810"/>
      <c r="C317" s="810"/>
      <c r="D317" s="810"/>
      <c r="E317" s="810"/>
      <c r="F317" s="810"/>
      <c r="G317" s="834"/>
    </row>
    <row r="318" spans="1:8" ht="13.5" thickTop="1">
      <c r="A318" s="95"/>
      <c r="B318" s="811" t="s">
        <v>326</v>
      </c>
      <c r="C318" s="812"/>
      <c r="D318" s="812"/>
      <c r="E318" s="812"/>
      <c r="F318" s="813"/>
      <c r="G318" s="121">
        <f>+G282+G298+G309</f>
        <v>85520</v>
      </c>
    </row>
    <row r="319" spans="1:8">
      <c r="A319" s="95"/>
      <c r="B319" s="814" t="s">
        <v>861</v>
      </c>
      <c r="C319" s="815"/>
      <c r="D319" s="815"/>
      <c r="E319" s="816"/>
      <c r="F319" s="128">
        <f>'MANO DE OBRA'!D59</f>
        <v>0</v>
      </c>
      <c r="G319" s="122">
        <f>ROUND(G318*F319,0)</f>
        <v>0</v>
      </c>
    </row>
    <row r="320" spans="1:8" ht="13.5" thickBot="1">
      <c r="A320" s="95"/>
      <c r="B320" s="805" t="s">
        <v>1049</v>
      </c>
      <c r="C320" s="806"/>
      <c r="D320" s="806"/>
      <c r="E320" s="806"/>
      <c r="F320" s="807"/>
      <c r="G320" s="118">
        <f>ROUND(G318+G319,-2)</f>
        <v>85500</v>
      </c>
      <c r="H320" s="505" t="s">
        <v>1670</v>
      </c>
    </row>
    <row r="321" spans="1:7" ht="15" thickTop="1">
      <c r="A321" s="95"/>
      <c r="B321" s="90" t="s">
        <v>303</v>
      </c>
      <c r="C321" s="843"/>
      <c r="D321" s="843"/>
      <c r="E321" s="843"/>
      <c r="F321" s="92" t="s">
        <v>781</v>
      </c>
      <c r="G321" s="93" t="s">
        <v>1067</v>
      </c>
    </row>
    <row r="322" spans="1:7">
      <c r="A322" s="95"/>
      <c r="B322" s="91" t="s">
        <v>834</v>
      </c>
      <c r="C322" s="844" t="s">
        <v>367</v>
      </c>
      <c r="D322" s="844"/>
      <c r="E322" s="844"/>
      <c r="F322" s="15" t="s">
        <v>833</v>
      </c>
      <c r="G322" s="165" t="str">
        <f>'MANO DE OBRA'!D61</f>
        <v>Agosto de 2010</v>
      </c>
    </row>
    <row r="323" spans="1:7" ht="13.5" thickBot="1">
      <c r="A323" s="127"/>
      <c r="B323" s="94" t="s">
        <v>835</v>
      </c>
      <c r="C323" s="845" t="s">
        <v>674</v>
      </c>
      <c r="D323" s="845"/>
      <c r="E323" s="845"/>
      <c r="F323" s="845"/>
      <c r="G323" s="846"/>
    </row>
    <row r="324" spans="1:7" ht="14.25" thickTop="1" thickBot="1">
      <c r="A324" s="95"/>
      <c r="B324" s="847"/>
      <c r="C324" s="847"/>
      <c r="D324" s="847"/>
      <c r="E324" s="847"/>
      <c r="F324" s="847"/>
      <c r="G324" s="847"/>
    </row>
    <row r="325" spans="1:7" ht="13.5" thickTop="1">
      <c r="A325" s="95"/>
      <c r="B325" s="811" t="s">
        <v>304</v>
      </c>
      <c r="C325" s="812"/>
      <c r="D325" s="812"/>
      <c r="E325" s="812"/>
      <c r="F325" s="812"/>
      <c r="G325" s="825"/>
    </row>
    <row r="326" spans="1:7">
      <c r="A326" s="95"/>
      <c r="B326" s="105"/>
      <c r="C326" s="97"/>
      <c r="D326" s="98" t="s">
        <v>301</v>
      </c>
      <c r="E326" s="98" t="s">
        <v>1072</v>
      </c>
      <c r="F326" s="99" t="s">
        <v>839</v>
      </c>
      <c r="G326" s="107" t="s">
        <v>840</v>
      </c>
    </row>
    <row r="327" spans="1:7">
      <c r="A327" s="95"/>
      <c r="B327" s="821" t="s">
        <v>838</v>
      </c>
      <c r="C327" s="822"/>
      <c r="D327" s="100" t="s">
        <v>308</v>
      </c>
      <c r="E327" s="100" t="s">
        <v>305</v>
      </c>
      <c r="F327" s="101" t="s">
        <v>306</v>
      </c>
      <c r="G327" s="108" t="s">
        <v>310</v>
      </c>
    </row>
    <row r="328" spans="1:7">
      <c r="A328" s="95"/>
      <c r="B328" s="115"/>
      <c r="C328" s="102"/>
      <c r="D328" s="103"/>
      <c r="E328" s="103" t="s">
        <v>309</v>
      </c>
      <c r="F328" s="104" t="s">
        <v>307</v>
      </c>
      <c r="G328" s="109"/>
    </row>
    <row r="329" spans="1:7">
      <c r="A329" s="127"/>
      <c r="B329" s="823" t="str">
        <f>'MAQUINARIA Y EQUIPOS'!C28</f>
        <v>HERRAMIENTAS MENORES</v>
      </c>
      <c r="C329" s="824"/>
      <c r="D329" s="87">
        <v>1</v>
      </c>
      <c r="E329" s="82">
        <f>ROUND(G362*0.05,0)</f>
        <v>758</v>
      </c>
      <c r="F329" s="81">
        <v>1</v>
      </c>
      <c r="G329" s="110">
        <f>ROUND(D329*E329/F329,0)</f>
        <v>758</v>
      </c>
    </row>
    <row r="330" spans="1:7">
      <c r="A330" s="95"/>
      <c r="B330" s="835"/>
      <c r="C330" s="836"/>
      <c r="D330" s="37"/>
      <c r="E330" s="82"/>
      <c r="F330" s="83"/>
      <c r="G330" s="111"/>
    </row>
    <row r="331" spans="1:7">
      <c r="A331" s="95"/>
      <c r="B331" s="835"/>
      <c r="C331" s="836"/>
      <c r="D331" s="89"/>
      <c r="E331" s="82"/>
      <c r="F331" s="83"/>
      <c r="G331" s="111"/>
    </row>
    <row r="332" spans="1:7">
      <c r="A332" s="95"/>
      <c r="B332" s="835"/>
      <c r="C332" s="836"/>
      <c r="D332" s="89"/>
      <c r="E332" s="82"/>
      <c r="F332" s="83"/>
      <c r="G332" s="111"/>
    </row>
    <row r="333" spans="1:7">
      <c r="A333" s="95"/>
      <c r="B333" s="835" t="s">
        <v>841</v>
      </c>
      <c r="C333" s="836"/>
      <c r="D333" s="37"/>
      <c r="E333" s="82"/>
      <c r="F333" s="83"/>
      <c r="G333" s="111"/>
    </row>
    <row r="334" spans="1:7" ht="13.5" thickBot="1">
      <c r="A334" s="95"/>
      <c r="B334" s="839" t="s">
        <v>841</v>
      </c>
      <c r="C334" s="840"/>
      <c r="D334" s="77"/>
      <c r="E334" s="106"/>
      <c r="F334" s="86"/>
      <c r="G334" s="112"/>
    </row>
    <row r="335" spans="1:7" ht="14.25" thickTop="1" thickBot="1">
      <c r="A335" s="95"/>
      <c r="B335" s="808"/>
      <c r="C335" s="808"/>
      <c r="D335" s="808"/>
      <c r="E335" s="809"/>
      <c r="F335" s="119" t="s">
        <v>856</v>
      </c>
      <c r="G335" s="118">
        <f>SUM(G329:G334)</f>
        <v>758</v>
      </c>
    </row>
    <row r="336" spans="1:7" ht="14.25" thickTop="1" thickBot="1">
      <c r="A336" s="95"/>
      <c r="B336" s="830"/>
      <c r="C336" s="830"/>
      <c r="D336" s="830"/>
      <c r="E336" s="830"/>
      <c r="F336" s="830"/>
      <c r="G336" s="830"/>
    </row>
    <row r="337" spans="1:8" ht="13.5" thickTop="1">
      <c r="A337" s="95"/>
      <c r="B337" s="811" t="s">
        <v>311</v>
      </c>
      <c r="C337" s="812"/>
      <c r="D337" s="812"/>
      <c r="E337" s="812"/>
      <c r="F337" s="812"/>
      <c r="G337" s="825"/>
    </row>
    <row r="338" spans="1:8">
      <c r="A338" s="95"/>
      <c r="B338" s="817" t="s">
        <v>838</v>
      </c>
      <c r="C338" s="818"/>
      <c r="D338" s="98" t="s">
        <v>842</v>
      </c>
      <c r="E338" s="98" t="s">
        <v>853</v>
      </c>
      <c r="F338" s="99" t="s">
        <v>1047</v>
      </c>
      <c r="G338" s="107" t="s">
        <v>840</v>
      </c>
    </row>
    <row r="339" spans="1:8">
      <c r="A339" s="95"/>
      <c r="B339" s="115"/>
      <c r="C339" s="102"/>
      <c r="D339" s="100"/>
      <c r="E339" s="100" t="s">
        <v>312</v>
      </c>
      <c r="F339" s="101" t="s">
        <v>313</v>
      </c>
      <c r="G339" s="108" t="s">
        <v>314</v>
      </c>
    </row>
    <row r="340" spans="1:8">
      <c r="A340" s="125"/>
      <c r="B340" s="841" t="str">
        <f>MATERIALES2!C92</f>
        <v>TOLETE COMUN</v>
      </c>
      <c r="C340" s="842"/>
      <c r="D340" s="87" t="s">
        <v>865</v>
      </c>
      <c r="E340" s="81">
        <v>96</v>
      </c>
      <c r="F340" s="80">
        <f>MATERIALES2!E92</f>
        <v>380</v>
      </c>
      <c r="G340" s="110">
        <f>ROUND(E340*F340,0)</f>
        <v>36480</v>
      </c>
    </row>
    <row r="341" spans="1:8">
      <c r="A341" s="123"/>
      <c r="B341" s="854" t="str">
        <f>MATERIALES2!C13</f>
        <v>CEMENTO GRIS</v>
      </c>
      <c r="C341" s="855"/>
      <c r="D341" s="37" t="s">
        <v>925</v>
      </c>
      <c r="E341" s="83">
        <v>49.94</v>
      </c>
      <c r="F341" s="82">
        <f>MATERIALES2!E13</f>
        <v>420</v>
      </c>
      <c r="G341" s="111">
        <f>ROUND(E341*F341,0)</f>
        <v>20975</v>
      </c>
    </row>
    <row r="342" spans="1:8" ht="14.25">
      <c r="A342" s="123"/>
      <c r="B342" s="854" t="str">
        <f>MATERIALES2!C20</f>
        <v xml:space="preserve">ARENA </v>
      </c>
      <c r="C342" s="855"/>
      <c r="D342" s="37" t="s">
        <v>1066</v>
      </c>
      <c r="E342" s="83">
        <v>0.12</v>
      </c>
      <c r="F342" s="82">
        <f>MATERIALES2!E20</f>
        <v>35000</v>
      </c>
      <c r="G342" s="111">
        <f>ROUND(E342*F342,0)</f>
        <v>4200</v>
      </c>
    </row>
    <row r="343" spans="1:8">
      <c r="A343" s="123"/>
      <c r="B343" s="854" t="str">
        <f>MATERIALES2!C28</f>
        <v>AGUA</v>
      </c>
      <c r="C343" s="855"/>
      <c r="D343" s="37" t="s">
        <v>1071</v>
      </c>
      <c r="E343" s="83">
        <v>27.72</v>
      </c>
      <c r="F343" s="82">
        <f>MATERIALES2!E28</f>
        <v>50</v>
      </c>
      <c r="G343" s="111">
        <f>ROUND(E343*F343,0)</f>
        <v>1386</v>
      </c>
    </row>
    <row r="344" spans="1:8">
      <c r="A344" s="95"/>
      <c r="B344" s="854" t="str">
        <f>MATERIALES2!C303</f>
        <v>TOKENET 1  IMPERMEABIL.1 KILO</v>
      </c>
      <c r="C344" s="855"/>
      <c r="D344" s="37" t="s">
        <v>865</v>
      </c>
      <c r="E344" s="83">
        <v>1.5</v>
      </c>
      <c r="F344" s="82">
        <f>MATERIALES2!E303</f>
        <v>4142.5</v>
      </c>
      <c r="G344" s="111">
        <f>ROUND(E344*F344,0)</f>
        <v>6214</v>
      </c>
    </row>
    <row r="345" spans="1:8">
      <c r="A345" s="95"/>
      <c r="B345" s="938"/>
      <c r="C345" s="939"/>
      <c r="D345" s="53" t="s">
        <v>841</v>
      </c>
      <c r="E345" s="53"/>
      <c r="F345" s="82"/>
      <c r="G345" s="111"/>
    </row>
    <row r="346" spans="1:8">
      <c r="A346" s="95"/>
      <c r="B346" s="938" t="s">
        <v>841</v>
      </c>
      <c r="C346" s="939"/>
      <c r="D346" s="53" t="s">
        <v>841</v>
      </c>
      <c r="E346" s="53"/>
      <c r="F346" s="82"/>
      <c r="G346" s="111"/>
      <c r="H346" s="505" t="s">
        <v>1670</v>
      </c>
    </row>
    <row r="347" spans="1:8">
      <c r="A347" s="95"/>
      <c r="B347" s="837" t="s">
        <v>841</v>
      </c>
      <c r="C347" s="838"/>
      <c r="D347" s="53" t="s">
        <v>841</v>
      </c>
      <c r="E347" s="53"/>
      <c r="F347" s="82"/>
      <c r="G347" s="111"/>
    </row>
    <row r="348" spans="1:8" ht="13.5" thickBot="1">
      <c r="A348" s="95"/>
      <c r="B348" s="839" t="s">
        <v>841</v>
      </c>
      <c r="C348" s="840"/>
      <c r="D348" s="84" t="s">
        <v>841</v>
      </c>
      <c r="E348" s="84"/>
      <c r="F348" s="85"/>
      <c r="G348" s="112"/>
    </row>
    <row r="349" spans="1:8" ht="13.5" thickTop="1">
      <c r="A349" s="95"/>
      <c r="B349" s="808"/>
      <c r="C349" s="809"/>
      <c r="D349" s="801" t="s">
        <v>856</v>
      </c>
      <c r="E349" s="802"/>
      <c r="F349" s="9"/>
      <c r="G349" s="113">
        <f>SUM(G340:G348)</f>
        <v>69255</v>
      </c>
    </row>
    <row r="350" spans="1:8">
      <c r="A350" s="95"/>
      <c r="B350" s="819"/>
      <c r="C350" s="820"/>
      <c r="D350" s="801" t="s">
        <v>857</v>
      </c>
      <c r="E350" s="802"/>
      <c r="F350" s="79">
        <f>'MANO DE OBRA'!D60</f>
        <v>0.05</v>
      </c>
      <c r="G350" s="113">
        <f>ROUND(G349*F350,0)</f>
        <v>3463</v>
      </c>
    </row>
    <row r="351" spans="1:8" ht="13.5" thickBot="1">
      <c r="A351" s="95"/>
      <c r="B351" s="819"/>
      <c r="C351" s="820"/>
      <c r="D351" s="803" t="s">
        <v>320</v>
      </c>
      <c r="E351" s="804"/>
      <c r="F351" s="114"/>
      <c r="G351" s="118">
        <f>+G349+G350</f>
        <v>72718</v>
      </c>
    </row>
    <row r="352" spans="1:8" ht="14.25" thickTop="1" thickBot="1">
      <c r="A352" s="95"/>
      <c r="B352" s="830"/>
      <c r="C352" s="830"/>
      <c r="D352" s="830"/>
      <c r="E352" s="830"/>
      <c r="F352" s="830"/>
      <c r="G352" s="830"/>
    </row>
    <row r="353" spans="1:7" ht="13.5" thickTop="1">
      <c r="A353" s="95"/>
      <c r="B353" s="811" t="s">
        <v>858</v>
      </c>
      <c r="C353" s="812"/>
      <c r="D353" s="812"/>
      <c r="E353" s="812"/>
      <c r="F353" s="812"/>
      <c r="G353" s="825"/>
    </row>
    <row r="354" spans="1:7">
      <c r="A354" s="95"/>
      <c r="B354" s="817"/>
      <c r="C354" s="818"/>
      <c r="D354" s="98" t="s">
        <v>301</v>
      </c>
      <c r="E354" s="98" t="s">
        <v>859</v>
      </c>
      <c r="F354" s="99" t="s">
        <v>839</v>
      </c>
      <c r="G354" s="107" t="s">
        <v>840</v>
      </c>
    </row>
    <row r="355" spans="1:7">
      <c r="A355" s="95"/>
      <c r="B355" s="821" t="s">
        <v>838</v>
      </c>
      <c r="C355" s="822"/>
      <c r="D355" s="100" t="s">
        <v>316</v>
      </c>
      <c r="E355" s="100" t="s">
        <v>315</v>
      </c>
      <c r="F355" s="101" t="s">
        <v>306</v>
      </c>
      <c r="G355" s="108" t="s">
        <v>319</v>
      </c>
    </row>
    <row r="356" spans="1:7">
      <c r="A356" s="95"/>
      <c r="B356" s="115"/>
      <c r="C356" s="102"/>
      <c r="D356" s="103"/>
      <c r="E356" s="103" t="s">
        <v>317</v>
      </c>
      <c r="F356" s="104" t="s">
        <v>318</v>
      </c>
      <c r="G356" s="109"/>
    </row>
    <row r="357" spans="1:7">
      <c r="A357" s="95"/>
      <c r="B357" s="823" t="str">
        <f>'MANO DE OBRA'!B10</f>
        <v>AYUDANTE CUAD. TIPO AA</v>
      </c>
      <c r="C357" s="824"/>
      <c r="D357" s="87">
        <v>1</v>
      </c>
      <c r="E357" s="80">
        <f>'MANO DE OBRA'!E10</f>
        <v>34680</v>
      </c>
      <c r="F357" s="81">
        <v>7</v>
      </c>
      <c r="G357" s="110">
        <f>ROUND(D357*E357/F357,0)</f>
        <v>4954</v>
      </c>
    </row>
    <row r="358" spans="1:7">
      <c r="A358" s="95"/>
      <c r="B358" s="835" t="str">
        <f>'MANO DE OBRA'!B15</f>
        <v xml:space="preserve">OFICIAL CUAD. TIPO AA </v>
      </c>
      <c r="C358" s="836"/>
      <c r="D358" s="37">
        <v>1</v>
      </c>
      <c r="E358" s="82">
        <f>'MANO DE OBRA'!E15</f>
        <v>71474</v>
      </c>
      <c r="F358" s="83">
        <v>7</v>
      </c>
      <c r="G358" s="111">
        <f>ROUND(D358*E358/F358,0)</f>
        <v>10211</v>
      </c>
    </row>
    <row r="359" spans="1:7">
      <c r="A359" s="95"/>
      <c r="B359" s="835"/>
      <c r="C359" s="836"/>
      <c r="D359" s="89"/>
      <c r="E359" s="82"/>
      <c r="F359" s="83"/>
      <c r="G359" s="111"/>
    </row>
    <row r="360" spans="1:7">
      <c r="A360" s="95"/>
      <c r="B360" s="835" t="s">
        <v>841</v>
      </c>
      <c r="C360" s="836"/>
      <c r="D360" s="37"/>
      <c r="E360" s="82"/>
      <c r="F360" s="83"/>
      <c r="G360" s="111"/>
    </row>
    <row r="361" spans="1:7" ht="13.5" thickBot="1">
      <c r="A361" s="95"/>
      <c r="B361" s="828" t="s">
        <v>841</v>
      </c>
      <c r="C361" s="829"/>
      <c r="D361" s="77"/>
      <c r="E361" s="82"/>
      <c r="F361" s="86"/>
      <c r="G361" s="112"/>
    </row>
    <row r="362" spans="1:7" ht="14.25" thickTop="1" thickBot="1">
      <c r="A362" s="95"/>
      <c r="B362" s="808"/>
      <c r="C362" s="808"/>
      <c r="D362" s="808"/>
      <c r="E362" s="809"/>
      <c r="F362" s="120" t="s">
        <v>856</v>
      </c>
      <c r="G362" s="118">
        <f>SUM(G357:G361)</f>
        <v>15165</v>
      </c>
    </row>
    <row r="363" spans="1:7" ht="14.25" thickTop="1" thickBot="1">
      <c r="A363" s="95"/>
      <c r="B363" s="810"/>
      <c r="C363" s="810"/>
      <c r="D363" s="810"/>
      <c r="E363" s="810"/>
      <c r="F363" s="810"/>
      <c r="G363" s="810"/>
    </row>
    <row r="364" spans="1:7" ht="13.5" thickTop="1">
      <c r="A364" s="95"/>
      <c r="B364" s="811" t="s">
        <v>321</v>
      </c>
      <c r="C364" s="812"/>
      <c r="D364" s="812"/>
      <c r="E364" s="812"/>
      <c r="F364" s="812"/>
      <c r="G364" s="825"/>
    </row>
    <row r="365" spans="1:7">
      <c r="A365" s="95"/>
      <c r="B365" s="817" t="s">
        <v>838</v>
      </c>
      <c r="C365" s="818"/>
      <c r="D365" s="98" t="s">
        <v>301</v>
      </c>
      <c r="E365" s="98" t="s">
        <v>297</v>
      </c>
      <c r="F365" s="99" t="s">
        <v>839</v>
      </c>
      <c r="G365" s="107" t="s">
        <v>840</v>
      </c>
    </row>
    <row r="366" spans="1:7">
      <c r="A366" s="95"/>
      <c r="B366" s="115"/>
      <c r="C366" s="102"/>
      <c r="D366" s="103" t="s">
        <v>322</v>
      </c>
      <c r="E366" s="103" t="s">
        <v>323</v>
      </c>
      <c r="F366" s="104" t="s">
        <v>324</v>
      </c>
      <c r="G366" s="109" t="s">
        <v>325</v>
      </c>
    </row>
    <row r="367" spans="1:7">
      <c r="A367" s="95"/>
      <c r="B367" s="826"/>
      <c r="C367" s="827"/>
      <c r="D367" s="96"/>
      <c r="E367" s="96"/>
      <c r="F367" s="96"/>
      <c r="G367" s="116"/>
    </row>
    <row r="368" spans="1:7" ht="13.5" thickBot="1">
      <c r="A368" s="95"/>
      <c r="B368" s="828" t="s">
        <v>841</v>
      </c>
      <c r="C368" s="829"/>
      <c r="D368" s="77"/>
      <c r="E368" s="82"/>
      <c r="F368" s="86"/>
      <c r="G368" s="112"/>
    </row>
    <row r="369" spans="1:8" ht="14.25" thickTop="1" thickBot="1">
      <c r="A369" s="95"/>
      <c r="B369" s="808"/>
      <c r="C369" s="808"/>
      <c r="D369" s="808"/>
      <c r="E369" s="809"/>
      <c r="F369" s="120" t="s">
        <v>856</v>
      </c>
      <c r="G369" s="118">
        <f>SUM(G364:G368)</f>
        <v>0</v>
      </c>
    </row>
    <row r="370" spans="1:8" ht="14.25" thickTop="1" thickBot="1">
      <c r="A370" s="95"/>
      <c r="B370" s="810"/>
      <c r="C370" s="810"/>
      <c r="D370" s="810"/>
      <c r="E370" s="810"/>
      <c r="F370" s="810"/>
      <c r="G370" s="834"/>
    </row>
    <row r="371" spans="1:8" ht="13.5" thickTop="1">
      <c r="A371" s="95"/>
      <c r="B371" s="811" t="s">
        <v>326</v>
      </c>
      <c r="C371" s="812"/>
      <c r="D371" s="812"/>
      <c r="E371" s="812"/>
      <c r="F371" s="813"/>
      <c r="G371" s="121">
        <f>+G335+G351+G362</f>
        <v>88641</v>
      </c>
    </row>
    <row r="372" spans="1:8">
      <c r="A372" s="95"/>
      <c r="B372" s="814" t="s">
        <v>861</v>
      </c>
      <c r="C372" s="815"/>
      <c r="D372" s="815"/>
      <c r="E372" s="816"/>
      <c r="F372" s="128">
        <f>'MANO DE OBRA'!D59</f>
        <v>0</v>
      </c>
      <c r="G372" s="122">
        <f>ROUND(G371*F372,0)</f>
        <v>0</v>
      </c>
    </row>
    <row r="373" spans="1:8" ht="13.5" thickBot="1">
      <c r="A373" s="95"/>
      <c r="B373" s="805" t="s">
        <v>1049</v>
      </c>
      <c r="C373" s="806"/>
      <c r="D373" s="806"/>
      <c r="E373" s="806"/>
      <c r="F373" s="807"/>
      <c r="G373" s="118">
        <f>ROUND(G371+G372,-2)</f>
        <v>88600</v>
      </c>
      <c r="H373" s="505" t="s">
        <v>1670</v>
      </c>
    </row>
    <row r="374" spans="1:8" ht="15" thickTop="1">
      <c r="A374" s="95"/>
      <c r="B374" s="90" t="s">
        <v>303</v>
      </c>
      <c r="C374" s="843"/>
      <c r="D374" s="843"/>
      <c r="E374" s="843"/>
      <c r="F374" s="92" t="s">
        <v>781</v>
      </c>
      <c r="G374" s="93" t="s">
        <v>1067</v>
      </c>
    </row>
    <row r="375" spans="1:8">
      <c r="A375" s="95"/>
      <c r="B375" s="91" t="s">
        <v>834</v>
      </c>
      <c r="C375" s="844" t="s">
        <v>367</v>
      </c>
      <c r="D375" s="844"/>
      <c r="E375" s="844"/>
      <c r="F375" s="15" t="s">
        <v>833</v>
      </c>
      <c r="G375" s="165" t="str">
        <f>'MANO DE OBRA'!D61</f>
        <v>Agosto de 2010</v>
      </c>
    </row>
    <row r="376" spans="1:8" ht="13.5" thickBot="1">
      <c r="A376" s="127"/>
      <c r="B376" s="94" t="s">
        <v>835</v>
      </c>
      <c r="C376" s="845" t="s">
        <v>675</v>
      </c>
      <c r="D376" s="845"/>
      <c r="E376" s="845"/>
      <c r="F376" s="845"/>
      <c r="G376" s="846"/>
    </row>
    <row r="377" spans="1:8" ht="14.25" thickTop="1" thickBot="1">
      <c r="A377" s="95"/>
      <c r="B377" s="847"/>
      <c r="C377" s="847"/>
      <c r="D377" s="847"/>
      <c r="E377" s="847"/>
      <c r="F377" s="847"/>
      <c r="G377" s="847"/>
    </row>
    <row r="378" spans="1:8" ht="13.5" thickTop="1">
      <c r="A378" s="95"/>
      <c r="B378" s="811" t="s">
        <v>304</v>
      </c>
      <c r="C378" s="812"/>
      <c r="D378" s="812"/>
      <c r="E378" s="812"/>
      <c r="F378" s="812"/>
      <c r="G378" s="825"/>
    </row>
    <row r="379" spans="1:8">
      <c r="A379" s="95"/>
      <c r="B379" s="105"/>
      <c r="C379" s="97"/>
      <c r="D379" s="98" t="s">
        <v>301</v>
      </c>
      <c r="E379" s="98" t="s">
        <v>1072</v>
      </c>
      <c r="F379" s="99" t="s">
        <v>839</v>
      </c>
      <c r="G379" s="107" t="s">
        <v>840</v>
      </c>
    </row>
    <row r="380" spans="1:8">
      <c r="A380" s="95"/>
      <c r="B380" s="821" t="s">
        <v>838</v>
      </c>
      <c r="C380" s="822"/>
      <c r="D380" s="100" t="s">
        <v>308</v>
      </c>
      <c r="E380" s="100" t="s">
        <v>305</v>
      </c>
      <c r="F380" s="101" t="s">
        <v>306</v>
      </c>
      <c r="G380" s="108" t="s">
        <v>310</v>
      </c>
    </row>
    <row r="381" spans="1:8">
      <c r="A381" s="95"/>
      <c r="B381" s="115"/>
      <c r="C381" s="102"/>
      <c r="D381" s="103"/>
      <c r="E381" s="103" t="s">
        <v>309</v>
      </c>
      <c r="F381" s="104" t="s">
        <v>307</v>
      </c>
      <c r="G381" s="109"/>
    </row>
    <row r="382" spans="1:8">
      <c r="A382" s="127"/>
      <c r="B382" s="823" t="str">
        <f>'MAQUINARIA Y EQUIPOS'!C28</f>
        <v>HERRAMIENTAS MENORES</v>
      </c>
      <c r="C382" s="824"/>
      <c r="D382" s="87">
        <v>1</v>
      </c>
      <c r="E382" s="82">
        <f>ROUND(G415*0.05,0)</f>
        <v>497</v>
      </c>
      <c r="F382" s="81">
        <v>1</v>
      </c>
      <c r="G382" s="110">
        <f>ROUND(D382*E382/F382,0)</f>
        <v>497</v>
      </c>
    </row>
    <row r="383" spans="1:8">
      <c r="A383" s="95"/>
      <c r="B383" s="835"/>
      <c r="C383" s="836"/>
      <c r="D383" s="37"/>
      <c r="E383" s="82"/>
      <c r="F383" s="83"/>
      <c r="G383" s="111"/>
    </row>
    <row r="384" spans="1:8">
      <c r="A384" s="95"/>
      <c r="B384" s="835"/>
      <c r="C384" s="836"/>
      <c r="D384" s="89"/>
      <c r="E384" s="82"/>
      <c r="F384" s="83"/>
      <c r="G384" s="111"/>
    </row>
    <row r="385" spans="1:8">
      <c r="A385" s="95"/>
      <c r="B385" s="835"/>
      <c r="C385" s="836"/>
      <c r="D385" s="89"/>
      <c r="E385" s="82"/>
      <c r="F385" s="83"/>
      <c r="G385" s="111"/>
    </row>
    <row r="386" spans="1:8">
      <c r="A386" s="95"/>
      <c r="B386" s="835" t="s">
        <v>841</v>
      </c>
      <c r="C386" s="836"/>
      <c r="D386" s="37"/>
      <c r="E386" s="82"/>
      <c r="F386" s="83"/>
      <c r="G386" s="111"/>
    </row>
    <row r="387" spans="1:8" ht="13.5" thickBot="1">
      <c r="A387" s="95"/>
      <c r="B387" s="839" t="s">
        <v>841</v>
      </c>
      <c r="C387" s="840"/>
      <c r="D387" s="77"/>
      <c r="E387" s="106"/>
      <c r="F387" s="86"/>
      <c r="G387" s="112"/>
    </row>
    <row r="388" spans="1:8" ht="14.25" thickTop="1" thickBot="1">
      <c r="A388" s="95"/>
      <c r="B388" s="808"/>
      <c r="C388" s="808"/>
      <c r="D388" s="808"/>
      <c r="E388" s="809"/>
      <c r="F388" s="119" t="s">
        <v>856</v>
      </c>
      <c r="G388" s="118">
        <f>SUM(G382:G387)</f>
        <v>497</v>
      </c>
    </row>
    <row r="389" spans="1:8" ht="14.25" thickTop="1" thickBot="1">
      <c r="A389" s="95"/>
      <c r="B389" s="830"/>
      <c r="C389" s="830"/>
      <c r="D389" s="830"/>
      <c r="E389" s="830"/>
      <c r="F389" s="830"/>
      <c r="G389" s="830"/>
    </row>
    <row r="390" spans="1:8" ht="13.5" thickTop="1">
      <c r="A390" s="95"/>
      <c r="B390" s="811" t="s">
        <v>311</v>
      </c>
      <c r="C390" s="812"/>
      <c r="D390" s="812"/>
      <c r="E390" s="812"/>
      <c r="F390" s="812"/>
      <c r="G390" s="825"/>
    </row>
    <row r="391" spans="1:8">
      <c r="A391" s="95"/>
      <c r="B391" s="817" t="s">
        <v>838</v>
      </c>
      <c r="C391" s="818"/>
      <c r="D391" s="98" t="s">
        <v>842</v>
      </c>
      <c r="E391" s="98" t="s">
        <v>853</v>
      </c>
      <c r="F391" s="99" t="s">
        <v>1047</v>
      </c>
      <c r="G391" s="107" t="s">
        <v>840</v>
      </c>
    </row>
    <row r="392" spans="1:8">
      <c r="A392" s="95"/>
      <c r="B392" s="115"/>
      <c r="C392" s="102"/>
      <c r="D392" s="100"/>
      <c r="E392" s="100" t="s">
        <v>312</v>
      </c>
      <c r="F392" s="101" t="s">
        <v>313</v>
      </c>
      <c r="G392" s="108" t="s">
        <v>314</v>
      </c>
    </row>
    <row r="393" spans="1:8">
      <c r="A393" s="125"/>
      <c r="B393" s="841" t="str">
        <f>MATERIALES2!C92</f>
        <v>TOLETE COMUN</v>
      </c>
      <c r="C393" s="842"/>
      <c r="D393" s="87" t="s">
        <v>865</v>
      </c>
      <c r="E393" s="81">
        <v>48</v>
      </c>
      <c r="F393" s="80">
        <f>MATERIALES2!E92</f>
        <v>380</v>
      </c>
      <c r="G393" s="110">
        <f>ROUND(E393*F393,0)</f>
        <v>18240</v>
      </c>
    </row>
    <row r="394" spans="1:8">
      <c r="A394" s="123"/>
      <c r="B394" s="854" t="str">
        <f>MATERIALES2!C13</f>
        <v>CEMENTO GRIS</v>
      </c>
      <c r="C394" s="855"/>
      <c r="D394" s="37" t="s">
        <v>925</v>
      </c>
      <c r="E394" s="141">
        <v>34.049999999999997</v>
      </c>
      <c r="F394" s="82">
        <f>MATERIALES2!E13</f>
        <v>420</v>
      </c>
      <c r="G394" s="111">
        <f>ROUND(E394*F394,0)</f>
        <v>14301</v>
      </c>
    </row>
    <row r="395" spans="1:8" ht="14.25">
      <c r="A395" s="123"/>
      <c r="B395" s="854" t="str">
        <f>MATERIALES2!C20</f>
        <v xml:space="preserve">ARENA </v>
      </c>
      <c r="C395" s="855"/>
      <c r="D395" s="37" t="s">
        <v>1066</v>
      </c>
      <c r="E395" s="148">
        <v>8.2000000000000003E-2</v>
      </c>
      <c r="F395" s="82">
        <f>MATERIALES2!E20</f>
        <v>35000</v>
      </c>
      <c r="G395" s="111">
        <f>ROUND(E395*F395,0)</f>
        <v>2870</v>
      </c>
    </row>
    <row r="396" spans="1:8">
      <c r="A396" s="123"/>
      <c r="B396" s="854" t="str">
        <f>MATERIALES2!C28</f>
        <v>AGUA</v>
      </c>
      <c r="C396" s="855"/>
      <c r="D396" s="37" t="s">
        <v>1071</v>
      </c>
      <c r="E396" s="83">
        <v>18.899999999999999</v>
      </c>
      <c r="F396" s="82">
        <f>MATERIALES2!E28</f>
        <v>50</v>
      </c>
      <c r="G396" s="111">
        <f>ROUND(E396*F396,0)</f>
        <v>945</v>
      </c>
    </row>
    <row r="397" spans="1:8">
      <c r="A397" s="95"/>
      <c r="B397" s="854" t="str">
        <f>MATERIALES2!C303</f>
        <v>TOKENET 1  IMPERMEABIL.1 KILO</v>
      </c>
      <c r="C397" s="855"/>
      <c r="D397" s="37" t="s">
        <v>865</v>
      </c>
      <c r="E397" s="83">
        <v>1.02</v>
      </c>
      <c r="F397" s="82">
        <f>MATERIALES2!E303</f>
        <v>4142.5</v>
      </c>
      <c r="G397" s="111">
        <f>ROUND(E397*F397,0)</f>
        <v>4225</v>
      </c>
    </row>
    <row r="398" spans="1:8">
      <c r="A398" s="95"/>
      <c r="B398" s="938"/>
      <c r="C398" s="939"/>
      <c r="D398" s="53" t="s">
        <v>841</v>
      </c>
      <c r="E398" s="53"/>
      <c r="F398" s="82"/>
      <c r="G398" s="111"/>
    </row>
    <row r="399" spans="1:8">
      <c r="A399" s="95"/>
      <c r="B399" s="938" t="s">
        <v>841</v>
      </c>
      <c r="C399" s="939"/>
      <c r="D399" s="53" t="s">
        <v>841</v>
      </c>
      <c r="E399" s="53"/>
      <c r="F399" s="82"/>
      <c r="G399" s="111"/>
    </row>
    <row r="400" spans="1:8">
      <c r="A400" s="95"/>
      <c r="B400" s="938" t="s">
        <v>841</v>
      </c>
      <c r="C400" s="939"/>
      <c r="D400" s="53" t="s">
        <v>841</v>
      </c>
      <c r="E400" s="53"/>
      <c r="F400" s="82"/>
      <c r="G400" s="111"/>
      <c r="H400" s="505" t="s">
        <v>1670</v>
      </c>
    </row>
    <row r="401" spans="1:7" ht="13.5" thickBot="1">
      <c r="A401" s="95"/>
      <c r="B401" s="942" t="s">
        <v>841</v>
      </c>
      <c r="C401" s="943"/>
      <c r="D401" s="84" t="s">
        <v>841</v>
      </c>
      <c r="E401" s="84"/>
      <c r="F401" s="85"/>
      <c r="G401" s="112"/>
    </row>
    <row r="402" spans="1:7" ht="13.5" thickTop="1">
      <c r="A402" s="95"/>
      <c r="B402" s="946"/>
      <c r="C402" s="947"/>
      <c r="D402" s="801" t="s">
        <v>856</v>
      </c>
      <c r="E402" s="802"/>
      <c r="F402" s="9"/>
      <c r="G402" s="113">
        <f>SUM(G393:G401)</f>
        <v>40581</v>
      </c>
    </row>
    <row r="403" spans="1:7">
      <c r="A403" s="95"/>
      <c r="B403" s="948"/>
      <c r="C403" s="949"/>
      <c r="D403" s="801" t="s">
        <v>857</v>
      </c>
      <c r="E403" s="802"/>
      <c r="F403" s="79">
        <f>'MANO DE OBRA'!D60</f>
        <v>0.05</v>
      </c>
      <c r="G403" s="113">
        <f>ROUND(G402*F403,0)</f>
        <v>2029</v>
      </c>
    </row>
    <row r="404" spans="1:7" ht="13.5" thickBot="1">
      <c r="A404" s="95"/>
      <c r="B404" s="948"/>
      <c r="C404" s="949"/>
      <c r="D404" s="803" t="s">
        <v>320</v>
      </c>
      <c r="E404" s="804"/>
      <c r="F404" s="114"/>
      <c r="G404" s="118">
        <f>+G402+G403</f>
        <v>42610</v>
      </c>
    </row>
    <row r="405" spans="1:7" ht="14.25" thickTop="1" thickBot="1">
      <c r="A405" s="95"/>
      <c r="B405" s="830"/>
      <c r="C405" s="830"/>
      <c r="D405" s="830"/>
      <c r="E405" s="830"/>
      <c r="F405" s="830"/>
      <c r="G405" s="830"/>
    </row>
    <row r="406" spans="1:7" ht="13.5" thickTop="1">
      <c r="A406" s="95"/>
      <c r="B406" s="811" t="s">
        <v>858</v>
      </c>
      <c r="C406" s="812"/>
      <c r="D406" s="812"/>
      <c r="E406" s="812"/>
      <c r="F406" s="812"/>
      <c r="G406" s="825"/>
    </row>
    <row r="407" spans="1:7">
      <c r="A407" s="95"/>
      <c r="B407" s="817"/>
      <c r="C407" s="818"/>
      <c r="D407" s="98" t="s">
        <v>301</v>
      </c>
      <c r="E407" s="98" t="s">
        <v>859</v>
      </c>
      <c r="F407" s="99" t="s">
        <v>839</v>
      </c>
      <c r="G407" s="107" t="s">
        <v>840</v>
      </c>
    </row>
    <row r="408" spans="1:7">
      <c r="A408" s="95"/>
      <c r="B408" s="821" t="s">
        <v>838</v>
      </c>
      <c r="C408" s="822"/>
      <c r="D408" s="100" t="s">
        <v>316</v>
      </c>
      <c r="E408" s="100" t="s">
        <v>315</v>
      </c>
      <c r="F408" s="101" t="s">
        <v>306</v>
      </c>
      <c r="G408" s="108" t="s">
        <v>319</v>
      </c>
    </row>
    <row r="409" spans="1:7">
      <c r="A409" s="95"/>
      <c r="B409" s="115"/>
      <c r="C409" s="102"/>
      <c r="D409" s="103"/>
      <c r="E409" s="103" t="s">
        <v>317</v>
      </c>
      <c r="F409" s="104" t="s">
        <v>318</v>
      </c>
      <c r="G409" s="109"/>
    </row>
    <row r="410" spans="1:7">
      <c r="A410" s="95"/>
      <c r="B410" s="823" t="str">
        <f>'MANO DE OBRA'!B10</f>
        <v>AYUDANTE CUAD. TIPO AA</v>
      </c>
      <c r="C410" s="824"/>
      <c r="D410" s="87">
        <v>1</v>
      </c>
      <c r="E410" s="80">
        <f>'MANO DE OBRA'!E10</f>
        <v>34680</v>
      </c>
      <c r="F410" s="81">
        <v>10.67</v>
      </c>
      <c r="G410" s="110">
        <f>ROUND(D410*E410/F410,0)</f>
        <v>3250</v>
      </c>
    </row>
    <row r="411" spans="1:7">
      <c r="A411" s="95"/>
      <c r="B411" s="835" t="str">
        <f>'MANO DE OBRA'!B15</f>
        <v xml:space="preserve">OFICIAL CUAD. TIPO AA </v>
      </c>
      <c r="C411" s="836"/>
      <c r="D411" s="37">
        <v>1</v>
      </c>
      <c r="E411" s="82">
        <f>'MANO DE OBRA'!E15</f>
        <v>71474</v>
      </c>
      <c r="F411" s="83">
        <v>10.67</v>
      </c>
      <c r="G411" s="111">
        <f>ROUND(D411*E411/F411,0)</f>
        <v>6699</v>
      </c>
    </row>
    <row r="412" spans="1:7">
      <c r="A412" s="95"/>
      <c r="B412" s="835"/>
      <c r="C412" s="836"/>
      <c r="D412" s="89"/>
      <c r="E412" s="82"/>
      <c r="F412" s="83"/>
      <c r="G412" s="111"/>
    </row>
    <row r="413" spans="1:7">
      <c r="A413" s="95"/>
      <c r="B413" s="835" t="s">
        <v>841</v>
      </c>
      <c r="C413" s="836"/>
      <c r="D413" s="37"/>
      <c r="E413" s="82"/>
      <c r="F413" s="83"/>
      <c r="G413" s="111"/>
    </row>
    <row r="414" spans="1:7" ht="13.5" thickBot="1">
      <c r="A414" s="95"/>
      <c r="B414" s="828" t="s">
        <v>841</v>
      </c>
      <c r="C414" s="829"/>
      <c r="D414" s="77"/>
      <c r="E414" s="82"/>
      <c r="F414" s="86"/>
      <c r="G414" s="112"/>
    </row>
    <row r="415" spans="1:7" ht="14.25" thickTop="1" thickBot="1">
      <c r="A415" s="95"/>
      <c r="B415" s="808"/>
      <c r="C415" s="808"/>
      <c r="D415" s="808"/>
      <c r="E415" s="809"/>
      <c r="F415" s="120" t="s">
        <v>856</v>
      </c>
      <c r="G415" s="118">
        <f>SUM(G410:G414)</f>
        <v>9949</v>
      </c>
    </row>
    <row r="416" spans="1:7" ht="14.25" thickTop="1" thickBot="1">
      <c r="A416" s="95"/>
      <c r="B416" s="810"/>
      <c r="C416" s="810"/>
      <c r="D416" s="810"/>
      <c r="E416" s="810"/>
      <c r="F416" s="810"/>
      <c r="G416" s="810"/>
    </row>
    <row r="417" spans="1:8" ht="13.5" thickTop="1">
      <c r="A417" s="95"/>
      <c r="B417" s="811" t="s">
        <v>321</v>
      </c>
      <c r="C417" s="812"/>
      <c r="D417" s="812"/>
      <c r="E417" s="812"/>
      <c r="F417" s="812"/>
      <c r="G417" s="825"/>
    </row>
    <row r="418" spans="1:8">
      <c r="A418" s="95"/>
      <c r="B418" s="817" t="s">
        <v>838</v>
      </c>
      <c r="C418" s="818"/>
      <c r="D418" s="98" t="s">
        <v>301</v>
      </c>
      <c r="E418" s="98" t="s">
        <v>297</v>
      </c>
      <c r="F418" s="99" t="s">
        <v>839</v>
      </c>
      <c r="G418" s="107" t="s">
        <v>840</v>
      </c>
    </row>
    <row r="419" spans="1:8">
      <c r="A419" s="95"/>
      <c r="B419" s="115"/>
      <c r="C419" s="102"/>
      <c r="D419" s="103" t="s">
        <v>322</v>
      </c>
      <c r="E419" s="103" t="s">
        <v>323</v>
      </c>
      <c r="F419" s="104" t="s">
        <v>324</v>
      </c>
      <c r="G419" s="109" t="s">
        <v>325</v>
      </c>
    </row>
    <row r="420" spans="1:8">
      <c r="A420" s="95"/>
      <c r="B420" s="826"/>
      <c r="C420" s="827"/>
      <c r="D420" s="96"/>
      <c r="E420" s="96"/>
      <c r="F420" s="96"/>
      <c r="G420" s="116"/>
    </row>
    <row r="421" spans="1:8" ht="13.5" thickBot="1">
      <c r="A421" s="95"/>
      <c r="B421" s="828" t="s">
        <v>841</v>
      </c>
      <c r="C421" s="829"/>
      <c r="D421" s="77"/>
      <c r="E421" s="82"/>
      <c r="F421" s="86"/>
      <c r="G421" s="112"/>
    </row>
    <row r="422" spans="1:8" ht="14.25" thickTop="1" thickBot="1">
      <c r="A422" s="95"/>
      <c r="B422" s="808"/>
      <c r="C422" s="808"/>
      <c r="D422" s="808"/>
      <c r="E422" s="809"/>
      <c r="F422" s="120" t="s">
        <v>856</v>
      </c>
      <c r="G422" s="118">
        <f>SUM(G417:G421)</f>
        <v>0</v>
      </c>
    </row>
    <row r="423" spans="1:8" ht="14.25" thickTop="1" thickBot="1">
      <c r="A423" s="95"/>
      <c r="B423" s="810"/>
      <c r="C423" s="810"/>
      <c r="D423" s="810"/>
      <c r="E423" s="810"/>
      <c r="F423" s="810"/>
      <c r="G423" s="834"/>
    </row>
    <row r="424" spans="1:8" ht="13.5" thickTop="1">
      <c r="A424" s="95"/>
      <c r="B424" s="811" t="s">
        <v>326</v>
      </c>
      <c r="C424" s="812"/>
      <c r="D424" s="812"/>
      <c r="E424" s="812"/>
      <c r="F424" s="813"/>
      <c r="G424" s="121">
        <f>+G388+G404+G415</f>
        <v>53056</v>
      </c>
    </row>
    <row r="425" spans="1:8">
      <c r="A425" s="95"/>
      <c r="B425" s="814" t="s">
        <v>861</v>
      </c>
      <c r="C425" s="815"/>
      <c r="D425" s="815"/>
      <c r="E425" s="816"/>
      <c r="F425" s="128">
        <f>'MANO DE OBRA'!D59</f>
        <v>0</v>
      </c>
      <c r="G425" s="122">
        <f>ROUND(G424*F425,0)</f>
        <v>0</v>
      </c>
    </row>
    <row r="426" spans="1:8" ht="13.5" thickBot="1">
      <c r="A426" s="95"/>
      <c r="B426" s="805" t="s">
        <v>1049</v>
      </c>
      <c r="C426" s="806"/>
      <c r="D426" s="806"/>
      <c r="E426" s="806"/>
      <c r="F426" s="807"/>
      <c r="G426" s="118">
        <f>ROUND(G424+G425,-2)</f>
        <v>53100</v>
      </c>
      <c r="H426" s="505" t="s">
        <v>1670</v>
      </c>
    </row>
    <row r="427" spans="1:8" ht="15" thickTop="1">
      <c r="A427" s="95"/>
      <c r="B427" s="90" t="s">
        <v>303</v>
      </c>
      <c r="C427" s="843"/>
      <c r="D427" s="843"/>
      <c r="E427" s="843"/>
      <c r="F427" s="92" t="s">
        <v>781</v>
      </c>
      <c r="G427" s="93" t="s">
        <v>1067</v>
      </c>
    </row>
    <row r="428" spans="1:8">
      <c r="A428" s="95"/>
      <c r="B428" s="91" t="s">
        <v>834</v>
      </c>
      <c r="C428" s="844" t="s">
        <v>367</v>
      </c>
      <c r="D428" s="844"/>
      <c r="E428" s="844"/>
      <c r="F428" s="15" t="s">
        <v>833</v>
      </c>
      <c r="G428" s="165" t="str">
        <f>'MANO DE OBRA'!D61</f>
        <v>Agosto de 2010</v>
      </c>
    </row>
    <row r="429" spans="1:8" ht="13.5" thickBot="1">
      <c r="A429" s="127"/>
      <c r="B429" s="94" t="s">
        <v>835</v>
      </c>
      <c r="C429" s="845" t="s">
        <v>676</v>
      </c>
      <c r="D429" s="845"/>
      <c r="E429" s="845"/>
      <c r="F429" s="845"/>
      <c r="G429" s="846"/>
    </row>
    <row r="430" spans="1:8" ht="14.25" thickTop="1" thickBot="1">
      <c r="A430" s="95"/>
      <c r="B430" s="847"/>
      <c r="C430" s="847"/>
      <c r="D430" s="847"/>
      <c r="E430" s="847"/>
      <c r="F430" s="847"/>
      <c r="G430" s="847"/>
    </row>
    <row r="431" spans="1:8" ht="13.5" thickTop="1">
      <c r="A431" s="95"/>
      <c r="B431" s="811" t="s">
        <v>304</v>
      </c>
      <c r="C431" s="812"/>
      <c r="D431" s="812"/>
      <c r="E431" s="812"/>
      <c r="F431" s="812"/>
      <c r="G431" s="825"/>
    </row>
    <row r="432" spans="1:8">
      <c r="A432" s="95"/>
      <c r="B432" s="105"/>
      <c r="C432" s="97"/>
      <c r="D432" s="98" t="s">
        <v>301</v>
      </c>
      <c r="E432" s="98" t="s">
        <v>1072</v>
      </c>
      <c r="F432" s="99" t="s">
        <v>839</v>
      </c>
      <c r="G432" s="107" t="s">
        <v>840</v>
      </c>
    </row>
    <row r="433" spans="1:7">
      <c r="A433" s="95"/>
      <c r="B433" s="821" t="s">
        <v>838</v>
      </c>
      <c r="C433" s="822"/>
      <c r="D433" s="100" t="s">
        <v>308</v>
      </c>
      <c r="E433" s="100" t="s">
        <v>305</v>
      </c>
      <c r="F433" s="101" t="s">
        <v>306</v>
      </c>
      <c r="G433" s="108" t="s">
        <v>310</v>
      </c>
    </row>
    <row r="434" spans="1:7">
      <c r="A434" s="95"/>
      <c r="B434" s="115"/>
      <c r="C434" s="102"/>
      <c r="D434" s="103"/>
      <c r="E434" s="103" t="s">
        <v>309</v>
      </c>
      <c r="F434" s="104" t="s">
        <v>307</v>
      </c>
      <c r="G434" s="109"/>
    </row>
    <row r="435" spans="1:7">
      <c r="A435" s="127"/>
      <c r="B435" s="823" t="str">
        <f>'MAQUINARIA Y EQUIPOS'!C28</f>
        <v>HERRAMIENTAS MENORES</v>
      </c>
      <c r="C435" s="824"/>
      <c r="D435" s="87">
        <v>1</v>
      </c>
      <c r="E435" s="82">
        <f>ROUND(G468*0.05,0)</f>
        <v>590</v>
      </c>
      <c r="F435" s="81">
        <v>1</v>
      </c>
      <c r="G435" s="110">
        <f>ROUND(D435*E435/F435,0)</f>
        <v>590</v>
      </c>
    </row>
    <row r="436" spans="1:7">
      <c r="A436" s="95"/>
      <c r="B436" s="835"/>
      <c r="C436" s="836"/>
      <c r="D436" s="37"/>
      <c r="E436" s="82"/>
      <c r="F436" s="83"/>
      <c r="G436" s="111"/>
    </row>
    <row r="437" spans="1:7">
      <c r="A437" s="95"/>
      <c r="B437" s="835"/>
      <c r="C437" s="836"/>
      <c r="D437" s="89"/>
      <c r="E437" s="82"/>
      <c r="F437" s="83"/>
      <c r="G437" s="111"/>
    </row>
    <row r="438" spans="1:7">
      <c r="A438" s="95"/>
      <c r="B438" s="835"/>
      <c r="C438" s="836"/>
      <c r="D438" s="89"/>
      <c r="E438" s="82"/>
      <c r="F438" s="83"/>
      <c r="G438" s="111"/>
    </row>
    <row r="439" spans="1:7">
      <c r="A439" s="95"/>
      <c r="B439" s="835" t="s">
        <v>841</v>
      </c>
      <c r="C439" s="836"/>
      <c r="D439" s="37"/>
      <c r="E439" s="82"/>
      <c r="F439" s="83"/>
      <c r="G439" s="111"/>
    </row>
    <row r="440" spans="1:7" ht="13.5" thickBot="1">
      <c r="A440" s="95"/>
      <c r="B440" s="839" t="s">
        <v>841</v>
      </c>
      <c r="C440" s="840"/>
      <c r="D440" s="77"/>
      <c r="E440" s="106"/>
      <c r="F440" s="86"/>
      <c r="G440" s="112"/>
    </row>
    <row r="441" spans="1:7" ht="14.25" thickTop="1" thickBot="1">
      <c r="A441" s="95"/>
      <c r="B441" s="808"/>
      <c r="C441" s="808"/>
      <c r="D441" s="808"/>
      <c r="E441" s="809"/>
      <c r="F441" s="119" t="s">
        <v>856</v>
      </c>
      <c r="G441" s="118">
        <f>SUM(G435:G440)</f>
        <v>590</v>
      </c>
    </row>
    <row r="442" spans="1:7" ht="14.25" thickTop="1" thickBot="1">
      <c r="A442" s="95"/>
      <c r="B442" s="830"/>
      <c r="C442" s="830"/>
      <c r="D442" s="830"/>
      <c r="E442" s="830"/>
      <c r="F442" s="830"/>
      <c r="G442" s="830"/>
    </row>
    <row r="443" spans="1:7" ht="13.5" thickTop="1">
      <c r="A443" s="95"/>
      <c r="B443" s="811" t="s">
        <v>311</v>
      </c>
      <c r="C443" s="812"/>
      <c r="D443" s="812"/>
      <c r="E443" s="812"/>
      <c r="F443" s="812"/>
      <c r="G443" s="825"/>
    </row>
    <row r="444" spans="1:7">
      <c r="A444" s="95"/>
      <c r="B444" s="817" t="s">
        <v>838</v>
      </c>
      <c r="C444" s="818"/>
      <c r="D444" s="98" t="s">
        <v>842</v>
      </c>
      <c r="E444" s="98" t="s">
        <v>853</v>
      </c>
      <c r="F444" s="99" t="s">
        <v>1047</v>
      </c>
      <c r="G444" s="107" t="s">
        <v>840</v>
      </c>
    </row>
    <row r="445" spans="1:7">
      <c r="A445" s="95"/>
      <c r="B445" s="115"/>
      <c r="C445" s="102"/>
      <c r="D445" s="100"/>
      <c r="E445" s="100" t="s">
        <v>312</v>
      </c>
      <c r="F445" s="101" t="s">
        <v>313</v>
      </c>
      <c r="G445" s="108" t="s">
        <v>314</v>
      </c>
    </row>
    <row r="446" spans="1:7">
      <c r="A446" s="125"/>
      <c r="B446" s="841" t="str">
        <f>MATERIALES2!C97</f>
        <v>BLOQUE DE CEMENTO H10</v>
      </c>
      <c r="C446" s="842"/>
      <c r="D446" s="87" t="s">
        <v>865</v>
      </c>
      <c r="E446" s="81">
        <v>22.5</v>
      </c>
      <c r="F446" s="80">
        <f>MATERIALES2!E97</f>
        <v>580</v>
      </c>
      <c r="G446" s="110">
        <f>ROUND(E446*F446,0)</f>
        <v>13050</v>
      </c>
    </row>
    <row r="447" spans="1:7">
      <c r="A447" s="123"/>
      <c r="B447" s="854" t="str">
        <f>MATERIALES2!C13</f>
        <v>CEMENTO GRIS</v>
      </c>
      <c r="C447" s="855"/>
      <c r="D447" s="37" t="s">
        <v>925</v>
      </c>
      <c r="E447" s="141">
        <v>31.78</v>
      </c>
      <c r="F447" s="82">
        <f>MATERIALES2!E13</f>
        <v>420</v>
      </c>
      <c r="G447" s="111">
        <f>ROUND(E447*F447,0)</f>
        <v>13348</v>
      </c>
    </row>
    <row r="448" spans="1:7" ht="14.25">
      <c r="A448" s="123"/>
      <c r="B448" s="854" t="str">
        <f>MATERIALES2!C20</f>
        <v xml:space="preserve">ARENA </v>
      </c>
      <c r="C448" s="855"/>
      <c r="D448" s="37" t="s">
        <v>1066</v>
      </c>
      <c r="E448" s="148">
        <v>7.5999999999999998E-2</v>
      </c>
      <c r="F448" s="82">
        <f>MATERIALES2!E20</f>
        <v>35000</v>
      </c>
      <c r="G448" s="111">
        <f>ROUND(E448*F448,0)</f>
        <v>2660</v>
      </c>
    </row>
    <row r="449" spans="1:8">
      <c r="A449" s="123"/>
      <c r="B449" s="854" t="str">
        <f>MATERIALES2!C28</f>
        <v>AGUA</v>
      </c>
      <c r="C449" s="855"/>
      <c r="D449" s="37" t="s">
        <v>1071</v>
      </c>
      <c r="E449" s="83">
        <v>17.64</v>
      </c>
      <c r="F449" s="82">
        <f>MATERIALES2!E28</f>
        <v>50</v>
      </c>
      <c r="G449" s="111">
        <f>ROUND(E449*F449,0)</f>
        <v>882</v>
      </c>
    </row>
    <row r="450" spans="1:8">
      <c r="A450" s="95"/>
      <c r="B450" s="854" t="str">
        <f>MATERIALES2!C303</f>
        <v>TOKENET 1  IMPERMEABIL.1 KILO</v>
      </c>
      <c r="C450" s="855"/>
      <c r="D450" s="37" t="s">
        <v>865</v>
      </c>
      <c r="E450" s="83">
        <v>0.95</v>
      </c>
      <c r="F450" s="82">
        <f>MATERIALES2!E303</f>
        <v>4142.5</v>
      </c>
      <c r="G450" s="111">
        <f>ROUND(E450*F450,0)</f>
        <v>3935</v>
      </c>
    </row>
    <row r="451" spans="1:8">
      <c r="A451" s="95"/>
      <c r="B451" s="938"/>
      <c r="C451" s="939"/>
      <c r="D451" s="53" t="s">
        <v>841</v>
      </c>
      <c r="E451" s="53"/>
      <c r="F451" s="82"/>
      <c r="G451" s="111"/>
    </row>
    <row r="452" spans="1:8">
      <c r="A452" s="95"/>
      <c r="B452" s="938" t="s">
        <v>841</v>
      </c>
      <c r="C452" s="939"/>
      <c r="D452" s="53" t="s">
        <v>841</v>
      </c>
      <c r="E452" s="53"/>
      <c r="F452" s="82"/>
      <c r="G452" s="111"/>
    </row>
    <row r="453" spans="1:8">
      <c r="A453" s="95"/>
      <c r="B453" s="938" t="s">
        <v>841</v>
      </c>
      <c r="C453" s="939"/>
      <c r="D453" s="53" t="s">
        <v>841</v>
      </c>
      <c r="E453" s="53"/>
      <c r="F453" s="82"/>
      <c r="G453" s="111"/>
      <c r="H453" s="505" t="s">
        <v>1670</v>
      </c>
    </row>
    <row r="454" spans="1:8" ht="13.5" thickBot="1">
      <c r="A454" s="95"/>
      <c r="B454" s="942" t="s">
        <v>841</v>
      </c>
      <c r="C454" s="943"/>
      <c r="D454" s="84" t="s">
        <v>841</v>
      </c>
      <c r="E454" s="84"/>
      <c r="F454" s="85"/>
      <c r="G454" s="112"/>
    </row>
    <row r="455" spans="1:8" ht="13.5" thickTop="1">
      <c r="A455" s="95"/>
      <c r="B455" s="808"/>
      <c r="C455" s="809"/>
      <c r="D455" s="801" t="s">
        <v>856</v>
      </c>
      <c r="E455" s="802"/>
      <c r="F455" s="9"/>
      <c r="G455" s="113">
        <f>SUM(G446:G454)</f>
        <v>33875</v>
      </c>
    </row>
    <row r="456" spans="1:8">
      <c r="A456" s="95"/>
      <c r="B456" s="819"/>
      <c r="C456" s="820"/>
      <c r="D456" s="801" t="s">
        <v>857</v>
      </c>
      <c r="E456" s="802"/>
      <c r="F456" s="79">
        <f>'MANO DE OBRA'!D60</f>
        <v>0.05</v>
      </c>
      <c r="G456" s="113">
        <f>ROUND(G455*F456,0)</f>
        <v>1694</v>
      </c>
    </row>
    <row r="457" spans="1:8" ht="13.5" thickBot="1">
      <c r="A457" s="95"/>
      <c r="B457" s="819"/>
      <c r="C457" s="820"/>
      <c r="D457" s="803" t="s">
        <v>320</v>
      </c>
      <c r="E457" s="804"/>
      <c r="F457" s="114"/>
      <c r="G457" s="118">
        <f>+G455+G456</f>
        <v>35569</v>
      </c>
    </row>
    <row r="458" spans="1:8" ht="14.25" thickTop="1" thickBot="1">
      <c r="A458" s="95"/>
      <c r="B458" s="830"/>
      <c r="C458" s="830"/>
      <c r="D458" s="830"/>
      <c r="E458" s="830"/>
      <c r="F458" s="830"/>
      <c r="G458" s="830"/>
    </row>
    <row r="459" spans="1:8" ht="13.5" thickTop="1">
      <c r="A459" s="95"/>
      <c r="B459" s="811" t="s">
        <v>858</v>
      </c>
      <c r="C459" s="812"/>
      <c r="D459" s="812"/>
      <c r="E459" s="812"/>
      <c r="F459" s="812"/>
      <c r="G459" s="825"/>
    </row>
    <row r="460" spans="1:8">
      <c r="A460" s="95"/>
      <c r="B460" s="817"/>
      <c r="C460" s="818"/>
      <c r="D460" s="98" t="s">
        <v>301</v>
      </c>
      <c r="E460" s="98" t="s">
        <v>859</v>
      </c>
      <c r="F460" s="99" t="s">
        <v>839</v>
      </c>
      <c r="G460" s="107" t="s">
        <v>840</v>
      </c>
    </row>
    <row r="461" spans="1:8">
      <c r="A461" s="95"/>
      <c r="B461" s="821" t="s">
        <v>838</v>
      </c>
      <c r="C461" s="822"/>
      <c r="D461" s="100" t="s">
        <v>316</v>
      </c>
      <c r="E461" s="100" t="s">
        <v>315</v>
      </c>
      <c r="F461" s="101" t="s">
        <v>306</v>
      </c>
      <c r="G461" s="108" t="s">
        <v>319</v>
      </c>
    </row>
    <row r="462" spans="1:8">
      <c r="A462" s="95"/>
      <c r="B462" s="115"/>
      <c r="C462" s="102"/>
      <c r="D462" s="103"/>
      <c r="E462" s="103" t="s">
        <v>317</v>
      </c>
      <c r="F462" s="104" t="s">
        <v>318</v>
      </c>
      <c r="G462" s="109"/>
    </row>
    <row r="463" spans="1:8">
      <c r="A463" s="95"/>
      <c r="B463" s="823" t="str">
        <f>'MANO DE OBRA'!B10</f>
        <v>AYUDANTE CUAD. TIPO AA</v>
      </c>
      <c r="C463" s="824"/>
      <c r="D463" s="87">
        <v>1</v>
      </c>
      <c r="E463" s="80">
        <f>'MANO DE OBRA'!E10</f>
        <v>34680</v>
      </c>
      <c r="F463" s="81">
        <v>9</v>
      </c>
      <c r="G463" s="110">
        <f>ROUND(D463*E463/F463,0)</f>
        <v>3853</v>
      </c>
    </row>
    <row r="464" spans="1:8">
      <c r="A464" s="95"/>
      <c r="B464" s="835" t="str">
        <f>'MANO DE OBRA'!B15</f>
        <v xml:space="preserve">OFICIAL CUAD. TIPO AA </v>
      </c>
      <c r="C464" s="836"/>
      <c r="D464" s="37">
        <v>1</v>
      </c>
      <c r="E464" s="82">
        <f>'MANO DE OBRA'!E15</f>
        <v>71474</v>
      </c>
      <c r="F464" s="83">
        <v>9</v>
      </c>
      <c r="G464" s="111">
        <f>ROUND(D464*E464/F464,0)</f>
        <v>7942</v>
      </c>
    </row>
    <row r="465" spans="1:8">
      <c r="A465" s="95"/>
      <c r="B465" s="835"/>
      <c r="C465" s="836"/>
      <c r="D465" s="89"/>
      <c r="E465" s="82"/>
      <c r="F465" s="83"/>
      <c r="G465" s="111"/>
    </row>
    <row r="466" spans="1:8">
      <c r="A466" s="95"/>
      <c r="B466" s="835" t="s">
        <v>841</v>
      </c>
      <c r="C466" s="836"/>
      <c r="D466" s="37"/>
      <c r="E466" s="82"/>
      <c r="F466" s="83"/>
      <c r="G466" s="111"/>
    </row>
    <row r="467" spans="1:8" ht="13.5" thickBot="1">
      <c r="A467" s="95"/>
      <c r="B467" s="828" t="s">
        <v>841</v>
      </c>
      <c r="C467" s="829"/>
      <c r="D467" s="77"/>
      <c r="E467" s="82"/>
      <c r="F467" s="86"/>
      <c r="G467" s="112"/>
    </row>
    <row r="468" spans="1:8" ht="14.25" thickTop="1" thickBot="1">
      <c r="A468" s="95"/>
      <c r="B468" s="808"/>
      <c r="C468" s="808"/>
      <c r="D468" s="808"/>
      <c r="E468" s="809"/>
      <c r="F468" s="120" t="s">
        <v>856</v>
      </c>
      <c r="G468" s="118">
        <f>SUM(G463:G467)</f>
        <v>11795</v>
      </c>
    </row>
    <row r="469" spans="1:8" ht="14.25" thickTop="1" thickBot="1">
      <c r="A469" s="95"/>
      <c r="B469" s="810"/>
      <c r="C469" s="810"/>
      <c r="D469" s="810"/>
      <c r="E469" s="810"/>
      <c r="F469" s="810"/>
      <c r="G469" s="810"/>
    </row>
    <row r="470" spans="1:8" ht="13.5" thickTop="1">
      <c r="A470" s="95"/>
      <c r="B470" s="950" t="s">
        <v>321</v>
      </c>
      <c r="C470" s="951"/>
      <c r="D470" s="951"/>
      <c r="E470" s="951"/>
      <c r="F470" s="951"/>
      <c r="G470" s="952"/>
    </row>
    <row r="471" spans="1:8">
      <c r="A471" s="95"/>
      <c r="B471" s="817" t="s">
        <v>838</v>
      </c>
      <c r="C471" s="818"/>
      <c r="D471" s="98" t="s">
        <v>301</v>
      </c>
      <c r="E471" s="98" t="s">
        <v>297</v>
      </c>
      <c r="F471" s="99" t="s">
        <v>839</v>
      </c>
      <c r="G471" s="107" t="s">
        <v>840</v>
      </c>
    </row>
    <row r="472" spans="1:8">
      <c r="A472" s="95"/>
      <c r="B472" s="115"/>
      <c r="C472" s="102"/>
      <c r="D472" s="103" t="s">
        <v>322</v>
      </c>
      <c r="E472" s="103" t="s">
        <v>323</v>
      </c>
      <c r="F472" s="104" t="s">
        <v>324</v>
      </c>
      <c r="G472" s="109" t="s">
        <v>325</v>
      </c>
    </row>
    <row r="473" spans="1:8">
      <c r="A473" s="95"/>
      <c r="B473" s="826"/>
      <c r="C473" s="827"/>
      <c r="D473" s="96"/>
      <c r="E473" s="96"/>
      <c r="F473" s="96"/>
      <c r="G473" s="116"/>
    </row>
    <row r="474" spans="1:8" ht="13.5" thickBot="1">
      <c r="A474" s="95"/>
      <c r="B474" s="828" t="s">
        <v>841</v>
      </c>
      <c r="C474" s="829"/>
      <c r="D474" s="77"/>
      <c r="E474" s="82"/>
      <c r="F474" s="86"/>
      <c r="G474" s="112"/>
    </row>
    <row r="475" spans="1:8" ht="14.25" thickTop="1" thickBot="1">
      <c r="A475" s="95"/>
      <c r="B475" s="808"/>
      <c r="C475" s="808"/>
      <c r="D475" s="808"/>
      <c r="E475" s="809"/>
      <c r="F475" s="120" t="s">
        <v>856</v>
      </c>
      <c r="G475" s="118">
        <f>SUM(G470:G474)</f>
        <v>0</v>
      </c>
    </row>
    <row r="476" spans="1:8" ht="14.25" thickTop="1" thickBot="1">
      <c r="A476" s="95"/>
      <c r="B476" s="810"/>
      <c r="C476" s="810"/>
      <c r="D476" s="810"/>
      <c r="E476" s="810"/>
      <c r="F476" s="810"/>
      <c r="G476" s="834"/>
    </row>
    <row r="477" spans="1:8" ht="13.5" thickTop="1">
      <c r="A477" s="95"/>
      <c r="B477" s="811" t="s">
        <v>326</v>
      </c>
      <c r="C477" s="812"/>
      <c r="D477" s="812"/>
      <c r="E477" s="812"/>
      <c r="F477" s="813"/>
      <c r="G477" s="121">
        <f>+G441+G457+G468</f>
        <v>47954</v>
      </c>
    </row>
    <row r="478" spans="1:8">
      <c r="A478" s="95"/>
      <c r="B478" s="814" t="s">
        <v>861</v>
      </c>
      <c r="C478" s="815"/>
      <c r="D478" s="815"/>
      <c r="E478" s="816"/>
      <c r="F478" s="128">
        <f>'MANO DE OBRA'!D59</f>
        <v>0</v>
      </c>
      <c r="G478" s="122">
        <f>ROUND(G477*F478,0)</f>
        <v>0</v>
      </c>
    </row>
    <row r="479" spans="1:8" ht="13.5" thickBot="1">
      <c r="A479" s="95"/>
      <c r="B479" s="805" t="s">
        <v>1049</v>
      </c>
      <c r="C479" s="806"/>
      <c r="D479" s="806"/>
      <c r="E479" s="806"/>
      <c r="F479" s="807"/>
      <c r="G479" s="118">
        <f>ROUND(G477+G478,-2)</f>
        <v>48000</v>
      </c>
      <c r="H479" s="505" t="s">
        <v>1670</v>
      </c>
    </row>
    <row r="480" spans="1:8" ht="15" thickTop="1">
      <c r="A480" s="95"/>
      <c r="B480" s="90" t="s">
        <v>303</v>
      </c>
      <c r="C480" s="843"/>
      <c r="D480" s="843"/>
      <c r="E480" s="843"/>
      <c r="F480" s="92" t="s">
        <v>781</v>
      </c>
      <c r="G480" s="93" t="s">
        <v>1067</v>
      </c>
    </row>
    <row r="481" spans="1:7">
      <c r="A481" s="95"/>
      <c r="B481" s="91" t="s">
        <v>834</v>
      </c>
      <c r="C481" s="844" t="s">
        <v>367</v>
      </c>
      <c r="D481" s="844"/>
      <c r="E481" s="844"/>
      <c r="F481" s="15" t="s">
        <v>833</v>
      </c>
      <c r="G481" s="165" t="str">
        <f>'MANO DE OBRA'!D61</f>
        <v>Agosto de 2010</v>
      </c>
    </row>
    <row r="482" spans="1:7" ht="13.5" thickBot="1">
      <c r="A482" s="127"/>
      <c r="B482" s="94" t="s">
        <v>835</v>
      </c>
      <c r="C482" s="845" t="s">
        <v>677</v>
      </c>
      <c r="D482" s="845"/>
      <c r="E482" s="845"/>
      <c r="F482" s="845"/>
      <c r="G482" s="846"/>
    </row>
    <row r="483" spans="1:7" ht="14.25" thickTop="1" thickBot="1">
      <c r="A483" s="95"/>
      <c r="B483" s="847"/>
      <c r="C483" s="847"/>
      <c r="D483" s="847"/>
      <c r="E483" s="847"/>
      <c r="F483" s="847"/>
      <c r="G483" s="847"/>
    </row>
    <row r="484" spans="1:7" ht="13.5" thickTop="1">
      <c r="A484" s="95"/>
      <c r="B484" s="811" t="s">
        <v>304</v>
      </c>
      <c r="C484" s="812"/>
      <c r="D484" s="812"/>
      <c r="E484" s="812"/>
      <c r="F484" s="812"/>
      <c r="G484" s="825"/>
    </row>
    <row r="485" spans="1:7">
      <c r="A485" s="95"/>
      <c r="B485" s="105"/>
      <c r="C485" s="97"/>
      <c r="D485" s="98" t="s">
        <v>301</v>
      </c>
      <c r="E485" s="98" t="s">
        <v>1072</v>
      </c>
      <c r="F485" s="99" t="s">
        <v>839</v>
      </c>
      <c r="G485" s="107" t="s">
        <v>840</v>
      </c>
    </row>
    <row r="486" spans="1:7">
      <c r="A486" s="95"/>
      <c r="B486" s="821" t="s">
        <v>838</v>
      </c>
      <c r="C486" s="822"/>
      <c r="D486" s="100" t="s">
        <v>308</v>
      </c>
      <c r="E486" s="100" t="s">
        <v>305</v>
      </c>
      <c r="F486" s="101" t="s">
        <v>306</v>
      </c>
      <c r="G486" s="108" t="s">
        <v>310</v>
      </c>
    </row>
    <row r="487" spans="1:7">
      <c r="A487" s="95"/>
      <c r="B487" s="115"/>
      <c r="C487" s="102"/>
      <c r="D487" s="103"/>
      <c r="E487" s="103" t="s">
        <v>309</v>
      </c>
      <c r="F487" s="104" t="s">
        <v>307</v>
      </c>
      <c r="G487" s="109"/>
    </row>
    <row r="488" spans="1:7">
      <c r="A488" s="127"/>
      <c r="B488" s="823" t="str">
        <f>'MAQUINARIA Y EQUIPOS'!C28</f>
        <v>HERRAMIENTAS MENORES</v>
      </c>
      <c r="C488" s="824"/>
      <c r="D488" s="87">
        <v>1</v>
      </c>
      <c r="E488" s="82">
        <f>ROUND(G521*0.05,0)</f>
        <v>590</v>
      </c>
      <c r="F488" s="81">
        <v>1</v>
      </c>
      <c r="G488" s="110">
        <f>ROUND(D488*E488/F488,0)</f>
        <v>590</v>
      </c>
    </row>
    <row r="489" spans="1:7">
      <c r="A489" s="95"/>
      <c r="B489" s="835"/>
      <c r="C489" s="836"/>
      <c r="D489" s="37"/>
      <c r="E489" s="82"/>
      <c r="F489" s="83"/>
      <c r="G489" s="111"/>
    </row>
    <row r="490" spans="1:7">
      <c r="A490" s="95"/>
      <c r="B490" s="835"/>
      <c r="C490" s="836"/>
      <c r="D490" s="89"/>
      <c r="E490" s="82"/>
      <c r="F490" s="83"/>
      <c r="G490" s="111"/>
    </row>
    <row r="491" spans="1:7">
      <c r="A491" s="95"/>
      <c r="B491" s="835"/>
      <c r="C491" s="836"/>
      <c r="D491" s="89"/>
      <c r="E491" s="82"/>
      <c r="F491" s="83"/>
      <c r="G491" s="111"/>
    </row>
    <row r="492" spans="1:7">
      <c r="A492" s="95"/>
      <c r="B492" s="835" t="s">
        <v>841</v>
      </c>
      <c r="C492" s="836"/>
      <c r="D492" s="37"/>
      <c r="E492" s="82"/>
      <c r="F492" s="83"/>
      <c r="G492" s="111"/>
    </row>
    <row r="493" spans="1:7" ht="13.5" thickBot="1">
      <c r="A493" s="95"/>
      <c r="B493" s="839" t="s">
        <v>841</v>
      </c>
      <c r="C493" s="840"/>
      <c r="D493" s="77"/>
      <c r="E493" s="106"/>
      <c r="F493" s="86"/>
      <c r="G493" s="112"/>
    </row>
    <row r="494" spans="1:7" ht="14.25" thickTop="1" thickBot="1">
      <c r="A494" s="95"/>
      <c r="B494" s="808"/>
      <c r="C494" s="808"/>
      <c r="D494" s="808"/>
      <c r="E494" s="809"/>
      <c r="F494" s="119" t="s">
        <v>856</v>
      </c>
      <c r="G494" s="118">
        <f>SUM(G488:G493)</f>
        <v>590</v>
      </c>
    </row>
    <row r="495" spans="1:7" ht="14.25" thickTop="1" thickBot="1">
      <c r="A495" s="95"/>
      <c r="B495" s="830"/>
      <c r="C495" s="830"/>
      <c r="D495" s="830"/>
      <c r="E495" s="830"/>
      <c r="F495" s="830"/>
      <c r="G495" s="830"/>
    </row>
    <row r="496" spans="1:7" ht="13.5" thickTop="1">
      <c r="A496" s="95"/>
      <c r="B496" s="811" t="s">
        <v>311</v>
      </c>
      <c r="C496" s="812"/>
      <c r="D496" s="812"/>
      <c r="E496" s="812"/>
      <c r="F496" s="812"/>
      <c r="G496" s="825"/>
    </row>
    <row r="497" spans="1:8">
      <c r="A497" s="95"/>
      <c r="B497" s="817" t="s">
        <v>838</v>
      </c>
      <c r="C497" s="818"/>
      <c r="D497" s="98" t="s">
        <v>842</v>
      </c>
      <c r="E497" s="98" t="s">
        <v>853</v>
      </c>
      <c r="F497" s="99" t="s">
        <v>1047</v>
      </c>
      <c r="G497" s="107" t="s">
        <v>840</v>
      </c>
    </row>
    <row r="498" spans="1:8">
      <c r="A498" s="95"/>
      <c r="B498" s="115"/>
      <c r="C498" s="102"/>
      <c r="D498" s="100"/>
      <c r="E498" s="100" t="s">
        <v>312</v>
      </c>
      <c r="F498" s="101" t="s">
        <v>313</v>
      </c>
      <c r="G498" s="108" t="s">
        <v>314</v>
      </c>
    </row>
    <row r="499" spans="1:8">
      <c r="A499" s="125"/>
      <c r="B499" s="841" t="str">
        <f>MATERIALES2!C97</f>
        <v>BLOQUE DE CEMENTO H10</v>
      </c>
      <c r="C499" s="842"/>
      <c r="D499" s="87" t="s">
        <v>865</v>
      </c>
      <c r="E499" s="81">
        <v>12</v>
      </c>
      <c r="F499" s="80">
        <f>MATERIALES2!E97</f>
        <v>580</v>
      </c>
      <c r="G499" s="110">
        <f>ROUND(E499*F499,0)</f>
        <v>6960</v>
      </c>
    </row>
    <row r="500" spans="1:8">
      <c r="A500" s="123"/>
      <c r="B500" s="854" t="str">
        <f>MATERIALES2!C13</f>
        <v>CEMENTO GRIS</v>
      </c>
      <c r="C500" s="855"/>
      <c r="D500" s="37" t="s">
        <v>925</v>
      </c>
      <c r="E500" s="141">
        <v>22.25</v>
      </c>
      <c r="F500" s="82">
        <f>MATERIALES2!E13</f>
        <v>420</v>
      </c>
      <c r="G500" s="111">
        <f>ROUND(E500*F500,0)</f>
        <v>9345</v>
      </c>
    </row>
    <row r="501" spans="1:8" ht="14.25">
      <c r="A501" s="123"/>
      <c r="B501" s="854" t="str">
        <f>MATERIALES2!C20</f>
        <v xml:space="preserve">ARENA </v>
      </c>
      <c r="C501" s="855"/>
      <c r="D501" s="37" t="s">
        <v>1066</v>
      </c>
      <c r="E501" s="148">
        <v>5.2999999999999999E-2</v>
      </c>
      <c r="F501" s="82">
        <f>MATERIALES2!E20</f>
        <v>35000</v>
      </c>
      <c r="G501" s="111">
        <f>ROUND(E501*F501,0)</f>
        <v>1855</v>
      </c>
    </row>
    <row r="502" spans="1:8">
      <c r="A502" s="123"/>
      <c r="B502" s="854" t="str">
        <f>MATERIALES2!C28</f>
        <v>AGUA</v>
      </c>
      <c r="C502" s="855"/>
      <c r="D502" s="37" t="s">
        <v>1071</v>
      </c>
      <c r="E502" s="83">
        <v>12.35</v>
      </c>
      <c r="F502" s="82">
        <f>MATERIALES2!E28</f>
        <v>50</v>
      </c>
      <c r="G502" s="111">
        <f>ROUND(E502*F502,0)</f>
        <v>618</v>
      </c>
    </row>
    <row r="503" spans="1:8">
      <c r="A503" s="95"/>
      <c r="B503" s="854" t="str">
        <f>MATERIALES2!C303</f>
        <v>TOKENET 1  IMPERMEABIL.1 KILO</v>
      </c>
      <c r="C503" s="855"/>
      <c r="D503" s="37" t="s">
        <v>865</v>
      </c>
      <c r="E503" s="141">
        <v>0.66800000000000004</v>
      </c>
      <c r="F503" s="82">
        <f>MATERIALES2!E303</f>
        <v>4142.5</v>
      </c>
      <c r="G503" s="111">
        <f>ROUND(E503*F503,0)</f>
        <v>2767</v>
      </c>
    </row>
    <row r="504" spans="1:8">
      <c r="A504" s="95"/>
      <c r="B504" s="938"/>
      <c r="C504" s="939"/>
      <c r="D504" s="53" t="s">
        <v>841</v>
      </c>
      <c r="E504" s="53"/>
      <c r="F504" s="82"/>
      <c r="G504" s="111"/>
    </row>
    <row r="505" spans="1:8">
      <c r="A505" s="95"/>
      <c r="B505" s="938" t="s">
        <v>841</v>
      </c>
      <c r="C505" s="939"/>
      <c r="D505" s="53" t="s">
        <v>841</v>
      </c>
      <c r="E505" s="53"/>
      <c r="F505" s="82"/>
      <c r="G505" s="111"/>
    </row>
    <row r="506" spans="1:8">
      <c r="A506" s="95"/>
      <c r="B506" s="837" t="s">
        <v>841</v>
      </c>
      <c r="C506" s="838"/>
      <c r="D506" s="53" t="s">
        <v>841</v>
      </c>
      <c r="E506" s="53"/>
      <c r="F506" s="82"/>
      <c r="G506" s="111"/>
      <c r="H506" s="505" t="s">
        <v>1670</v>
      </c>
    </row>
    <row r="507" spans="1:8" ht="13.5" thickBot="1">
      <c r="A507" s="95"/>
      <c r="B507" s="839" t="s">
        <v>841</v>
      </c>
      <c r="C507" s="840"/>
      <c r="D507" s="84" t="s">
        <v>841</v>
      </c>
      <c r="E507" s="84"/>
      <c r="F507" s="85"/>
      <c r="G507" s="112"/>
    </row>
    <row r="508" spans="1:8" ht="13.5" thickTop="1">
      <c r="A508" s="95"/>
      <c r="B508" s="808"/>
      <c r="C508" s="809"/>
      <c r="D508" s="801" t="s">
        <v>856</v>
      </c>
      <c r="E508" s="802"/>
      <c r="F508" s="9"/>
      <c r="G508" s="113">
        <f>SUM(G499:G507)</f>
        <v>21545</v>
      </c>
    </row>
    <row r="509" spans="1:8">
      <c r="A509" s="95"/>
      <c r="B509" s="819"/>
      <c r="C509" s="820"/>
      <c r="D509" s="801" t="s">
        <v>857</v>
      </c>
      <c r="E509" s="802"/>
      <c r="F509" s="79">
        <f>'MANO DE OBRA'!D60</f>
        <v>0.05</v>
      </c>
      <c r="G509" s="113">
        <f>ROUND(G508*F509,0)</f>
        <v>1077</v>
      </c>
    </row>
    <row r="510" spans="1:8" ht="13.5" thickBot="1">
      <c r="A510" s="95"/>
      <c r="B510" s="819"/>
      <c r="C510" s="820"/>
      <c r="D510" s="803" t="s">
        <v>320</v>
      </c>
      <c r="E510" s="804"/>
      <c r="F510" s="114"/>
      <c r="G510" s="118">
        <f>+G508+G509</f>
        <v>22622</v>
      </c>
    </row>
    <row r="511" spans="1:8" ht="14.25" thickTop="1" thickBot="1">
      <c r="A511" s="95"/>
      <c r="B511" s="830"/>
      <c r="C511" s="830"/>
      <c r="D511" s="830"/>
      <c r="E511" s="830"/>
      <c r="F511" s="830"/>
      <c r="G511" s="830"/>
    </row>
    <row r="512" spans="1:8" ht="13.5" thickTop="1">
      <c r="A512" s="95"/>
      <c r="B512" s="811" t="s">
        <v>858</v>
      </c>
      <c r="C512" s="812"/>
      <c r="D512" s="812"/>
      <c r="E512" s="812"/>
      <c r="F512" s="812"/>
      <c r="G512" s="825"/>
    </row>
    <row r="513" spans="1:7">
      <c r="A513" s="95"/>
      <c r="B513" s="817"/>
      <c r="C513" s="818"/>
      <c r="D513" s="98" t="s">
        <v>301</v>
      </c>
      <c r="E513" s="98" t="s">
        <v>859</v>
      </c>
      <c r="F513" s="99" t="s">
        <v>839</v>
      </c>
      <c r="G513" s="107" t="s">
        <v>840</v>
      </c>
    </row>
    <row r="514" spans="1:7">
      <c r="A514" s="95"/>
      <c r="B514" s="821" t="s">
        <v>838</v>
      </c>
      <c r="C514" s="822"/>
      <c r="D514" s="100" t="s">
        <v>316</v>
      </c>
      <c r="E514" s="100" t="s">
        <v>315</v>
      </c>
      <c r="F514" s="101" t="s">
        <v>306</v>
      </c>
      <c r="G514" s="108" t="s">
        <v>319</v>
      </c>
    </row>
    <row r="515" spans="1:7">
      <c r="A515" s="95"/>
      <c r="B515" s="115"/>
      <c r="C515" s="102"/>
      <c r="D515" s="103"/>
      <c r="E515" s="103" t="s">
        <v>317</v>
      </c>
      <c r="F515" s="104" t="s">
        <v>318</v>
      </c>
      <c r="G515" s="109"/>
    </row>
    <row r="516" spans="1:7">
      <c r="A516" s="95"/>
      <c r="B516" s="823" t="str">
        <f>'MANO DE OBRA'!B10</f>
        <v>AYUDANTE CUAD. TIPO AA</v>
      </c>
      <c r="C516" s="824"/>
      <c r="D516" s="87">
        <v>1</v>
      </c>
      <c r="E516" s="80">
        <f>'MANO DE OBRA'!E10</f>
        <v>34680</v>
      </c>
      <c r="F516" s="81">
        <v>9</v>
      </c>
      <c r="G516" s="110">
        <f>ROUND(D516*E516/F516,0)</f>
        <v>3853</v>
      </c>
    </row>
    <row r="517" spans="1:7">
      <c r="A517" s="95"/>
      <c r="B517" s="835" t="str">
        <f>'MANO DE OBRA'!B15</f>
        <v xml:space="preserve">OFICIAL CUAD. TIPO AA </v>
      </c>
      <c r="C517" s="836"/>
      <c r="D517" s="37">
        <v>1</v>
      </c>
      <c r="E517" s="82">
        <f>'MANO DE OBRA'!E15</f>
        <v>71474</v>
      </c>
      <c r="F517" s="83">
        <v>9</v>
      </c>
      <c r="G517" s="111">
        <f>ROUND(D517*E517/F517,0)</f>
        <v>7942</v>
      </c>
    </row>
    <row r="518" spans="1:7">
      <c r="A518" s="95"/>
      <c r="B518" s="835"/>
      <c r="C518" s="836"/>
      <c r="D518" s="89"/>
      <c r="E518" s="82"/>
      <c r="F518" s="83"/>
      <c r="G518" s="111"/>
    </row>
    <row r="519" spans="1:7">
      <c r="A519" s="95"/>
      <c r="B519" s="835" t="s">
        <v>841</v>
      </c>
      <c r="C519" s="836"/>
      <c r="D519" s="37"/>
      <c r="E519" s="82"/>
      <c r="F519" s="83"/>
      <c r="G519" s="111"/>
    </row>
    <row r="520" spans="1:7" ht="13.5" thickBot="1">
      <c r="A520" s="95"/>
      <c r="B520" s="828" t="s">
        <v>841</v>
      </c>
      <c r="C520" s="829"/>
      <c r="D520" s="77"/>
      <c r="E520" s="82"/>
      <c r="F520" s="86"/>
      <c r="G520" s="112"/>
    </row>
    <row r="521" spans="1:7" ht="14.25" thickTop="1" thickBot="1">
      <c r="A521" s="95"/>
      <c r="B521" s="808"/>
      <c r="C521" s="808"/>
      <c r="D521" s="808"/>
      <c r="E521" s="809"/>
      <c r="F521" s="120" t="s">
        <v>856</v>
      </c>
      <c r="G521" s="118">
        <f>SUM(G516:G520)</f>
        <v>11795</v>
      </c>
    </row>
    <row r="522" spans="1:7" ht="14.25" thickTop="1" thickBot="1">
      <c r="A522" s="95"/>
      <c r="B522" s="810"/>
      <c r="C522" s="810"/>
      <c r="D522" s="810"/>
      <c r="E522" s="810"/>
      <c r="F522" s="810"/>
      <c r="G522" s="810"/>
    </row>
    <row r="523" spans="1:7" ht="13.5" thickTop="1">
      <c r="A523" s="95"/>
      <c r="B523" s="811" t="s">
        <v>321</v>
      </c>
      <c r="C523" s="812"/>
      <c r="D523" s="812"/>
      <c r="E523" s="812"/>
      <c r="F523" s="812"/>
      <c r="G523" s="825"/>
    </row>
    <row r="524" spans="1:7">
      <c r="A524" s="95"/>
      <c r="B524" s="817" t="s">
        <v>838</v>
      </c>
      <c r="C524" s="818"/>
      <c r="D524" s="98" t="s">
        <v>301</v>
      </c>
      <c r="E524" s="98" t="s">
        <v>297</v>
      </c>
      <c r="F524" s="99" t="s">
        <v>839</v>
      </c>
      <c r="G524" s="107" t="s">
        <v>840</v>
      </c>
    </row>
    <row r="525" spans="1:7">
      <c r="A525" s="95"/>
      <c r="B525" s="115"/>
      <c r="C525" s="102"/>
      <c r="D525" s="103" t="s">
        <v>322</v>
      </c>
      <c r="E525" s="103" t="s">
        <v>323</v>
      </c>
      <c r="F525" s="104" t="s">
        <v>324</v>
      </c>
      <c r="G525" s="109" t="s">
        <v>325</v>
      </c>
    </row>
    <row r="526" spans="1:7">
      <c r="A526" s="95"/>
      <c r="B526" s="826"/>
      <c r="C526" s="827"/>
      <c r="D526" s="96"/>
      <c r="E526" s="96"/>
      <c r="F526" s="96"/>
      <c r="G526" s="116"/>
    </row>
    <row r="527" spans="1:7" ht="13.5" thickBot="1">
      <c r="A527" s="95"/>
      <c r="B527" s="828" t="s">
        <v>841</v>
      </c>
      <c r="C527" s="829"/>
      <c r="D527" s="77"/>
      <c r="E527" s="82"/>
      <c r="F527" s="86"/>
      <c r="G527" s="112"/>
    </row>
    <row r="528" spans="1:7" ht="14.25" thickTop="1" thickBot="1">
      <c r="A528" s="95"/>
      <c r="B528" s="808"/>
      <c r="C528" s="808"/>
      <c r="D528" s="808"/>
      <c r="E528" s="809"/>
      <c r="F528" s="120" t="s">
        <v>856</v>
      </c>
      <c r="G528" s="118">
        <f>SUM(G523:G527)</f>
        <v>0</v>
      </c>
    </row>
    <row r="529" spans="1:8" ht="14.25" thickTop="1" thickBot="1">
      <c r="A529" s="95"/>
      <c r="B529" s="810"/>
      <c r="C529" s="810"/>
      <c r="D529" s="810"/>
      <c r="E529" s="810"/>
      <c r="F529" s="810"/>
      <c r="G529" s="834"/>
    </row>
    <row r="530" spans="1:8" ht="13.5" thickTop="1">
      <c r="A530" s="95"/>
      <c r="B530" s="811" t="s">
        <v>326</v>
      </c>
      <c r="C530" s="812"/>
      <c r="D530" s="812"/>
      <c r="E530" s="812"/>
      <c r="F530" s="813"/>
      <c r="G530" s="121">
        <f>+G494+G510+G521</f>
        <v>35007</v>
      </c>
    </row>
    <row r="531" spans="1:8">
      <c r="A531" s="95"/>
      <c r="B531" s="814" t="s">
        <v>861</v>
      </c>
      <c r="C531" s="815"/>
      <c r="D531" s="815"/>
      <c r="E531" s="816"/>
      <c r="F531" s="128">
        <f>'MANO DE OBRA'!D59</f>
        <v>0</v>
      </c>
      <c r="G531" s="122">
        <f>ROUND(G530*F531,0)</f>
        <v>0</v>
      </c>
    </row>
    <row r="532" spans="1:8" ht="13.5" thickBot="1">
      <c r="A532" s="95"/>
      <c r="B532" s="805" t="s">
        <v>1049</v>
      </c>
      <c r="C532" s="806"/>
      <c r="D532" s="806"/>
      <c r="E532" s="806"/>
      <c r="F532" s="807"/>
      <c r="G532" s="118">
        <f>ROUND(G530+G531,-2)</f>
        <v>35000</v>
      </c>
      <c r="H532" s="505" t="s">
        <v>1670</v>
      </c>
    </row>
    <row r="533" spans="1:8" ht="15" thickTop="1">
      <c r="A533" s="95"/>
      <c r="B533" s="90" t="s">
        <v>303</v>
      </c>
      <c r="C533" s="843"/>
      <c r="D533" s="843"/>
      <c r="E533" s="843"/>
      <c r="F533" s="92" t="s">
        <v>781</v>
      </c>
      <c r="G533" s="93" t="s">
        <v>1067</v>
      </c>
    </row>
    <row r="534" spans="1:8">
      <c r="A534" s="95"/>
      <c r="B534" s="91" t="s">
        <v>834</v>
      </c>
      <c r="C534" s="844" t="s">
        <v>367</v>
      </c>
      <c r="D534" s="844"/>
      <c r="E534" s="844"/>
      <c r="F534" s="15" t="s">
        <v>833</v>
      </c>
      <c r="G534" s="165" t="str">
        <f>'MANO DE OBRA'!D61</f>
        <v>Agosto de 2010</v>
      </c>
    </row>
    <row r="535" spans="1:8" ht="13.5" thickBot="1">
      <c r="A535" s="127"/>
      <c r="B535" s="94" t="s">
        <v>835</v>
      </c>
      <c r="C535" s="845" t="s">
        <v>682</v>
      </c>
      <c r="D535" s="845"/>
      <c r="E535" s="845"/>
      <c r="F535" s="845"/>
      <c r="G535" s="846"/>
    </row>
    <row r="536" spans="1:8" ht="14.25" thickTop="1" thickBot="1">
      <c r="A536" s="95"/>
      <c r="B536" s="847"/>
      <c r="C536" s="847"/>
      <c r="D536" s="847"/>
      <c r="E536" s="847"/>
      <c r="F536" s="847"/>
      <c r="G536" s="847"/>
    </row>
    <row r="537" spans="1:8" ht="13.5" thickTop="1">
      <c r="A537" s="95"/>
      <c r="B537" s="811" t="s">
        <v>304</v>
      </c>
      <c r="C537" s="812"/>
      <c r="D537" s="812"/>
      <c r="E537" s="812"/>
      <c r="F537" s="812"/>
      <c r="G537" s="825"/>
    </row>
    <row r="538" spans="1:8">
      <c r="A538" s="95"/>
      <c r="B538" s="105"/>
      <c r="C538" s="97"/>
      <c r="D538" s="98" t="s">
        <v>301</v>
      </c>
      <c r="E538" s="98" t="s">
        <v>1072</v>
      </c>
      <c r="F538" s="99" t="s">
        <v>839</v>
      </c>
      <c r="G538" s="107" t="s">
        <v>840</v>
      </c>
    </row>
    <row r="539" spans="1:8">
      <c r="A539" s="95"/>
      <c r="B539" s="821" t="s">
        <v>838</v>
      </c>
      <c r="C539" s="822"/>
      <c r="D539" s="100" t="s">
        <v>308</v>
      </c>
      <c r="E539" s="100" t="s">
        <v>305</v>
      </c>
      <c r="F539" s="101" t="s">
        <v>306</v>
      </c>
      <c r="G539" s="108" t="s">
        <v>310</v>
      </c>
    </row>
    <row r="540" spans="1:8">
      <c r="A540" s="95"/>
      <c r="B540" s="115"/>
      <c r="C540" s="102"/>
      <c r="D540" s="103"/>
      <c r="E540" s="103" t="s">
        <v>309</v>
      </c>
      <c r="F540" s="104" t="s">
        <v>307</v>
      </c>
      <c r="G540" s="109"/>
    </row>
    <row r="541" spans="1:8">
      <c r="A541" s="127"/>
      <c r="B541" s="823" t="str">
        <f>'MAQUINARIA Y EQUIPOS'!C28</f>
        <v>HERRAMIENTAS MENORES</v>
      </c>
      <c r="C541" s="824"/>
      <c r="D541" s="87">
        <v>1</v>
      </c>
      <c r="E541" s="82">
        <f>ROUND(G574*0.05,0)</f>
        <v>590</v>
      </c>
      <c r="F541" s="81">
        <v>1</v>
      </c>
      <c r="G541" s="110">
        <f>ROUND(D541*E541/F541,0)</f>
        <v>590</v>
      </c>
    </row>
    <row r="542" spans="1:8">
      <c r="A542" s="95"/>
      <c r="B542" s="835"/>
      <c r="C542" s="836"/>
      <c r="D542" s="37"/>
      <c r="E542" s="82"/>
      <c r="F542" s="83"/>
      <c r="G542" s="111"/>
    </row>
    <row r="543" spans="1:8">
      <c r="A543" s="95"/>
      <c r="B543" s="835"/>
      <c r="C543" s="836"/>
      <c r="D543" s="89"/>
      <c r="E543" s="82"/>
      <c r="F543" s="83"/>
      <c r="G543" s="111"/>
    </row>
    <row r="544" spans="1:8">
      <c r="A544" s="95"/>
      <c r="B544" s="835"/>
      <c r="C544" s="836"/>
      <c r="D544" s="89"/>
      <c r="E544" s="82"/>
      <c r="F544" s="83"/>
      <c r="G544" s="111"/>
    </row>
    <row r="545" spans="1:8">
      <c r="A545" s="95"/>
      <c r="B545" s="835" t="s">
        <v>841</v>
      </c>
      <c r="C545" s="836"/>
      <c r="D545" s="37"/>
      <c r="E545" s="82"/>
      <c r="F545" s="83"/>
      <c r="G545" s="111"/>
    </row>
    <row r="546" spans="1:8" ht="13.5" thickBot="1">
      <c r="A546" s="95"/>
      <c r="B546" s="839" t="s">
        <v>841</v>
      </c>
      <c r="C546" s="840"/>
      <c r="D546" s="77"/>
      <c r="E546" s="106"/>
      <c r="F546" s="86"/>
      <c r="G546" s="112"/>
    </row>
    <row r="547" spans="1:8" ht="14.25" thickTop="1" thickBot="1">
      <c r="A547" s="95"/>
      <c r="B547" s="808"/>
      <c r="C547" s="808"/>
      <c r="D547" s="808"/>
      <c r="E547" s="809"/>
      <c r="F547" s="119" t="s">
        <v>856</v>
      </c>
      <c r="G547" s="118">
        <f>SUM(G541:G546)</f>
        <v>590</v>
      </c>
    </row>
    <row r="548" spans="1:8" ht="14.25" thickTop="1" thickBot="1">
      <c r="A548" s="95"/>
      <c r="B548" s="830"/>
      <c r="C548" s="830"/>
      <c r="D548" s="830"/>
      <c r="E548" s="830"/>
      <c r="F548" s="830"/>
      <c r="G548" s="830"/>
    </row>
    <row r="549" spans="1:8" ht="13.5" thickTop="1">
      <c r="A549" s="95"/>
      <c r="B549" s="811" t="s">
        <v>311</v>
      </c>
      <c r="C549" s="812"/>
      <c r="D549" s="812"/>
      <c r="E549" s="812"/>
      <c r="F549" s="812"/>
      <c r="G549" s="825"/>
    </row>
    <row r="550" spans="1:8">
      <c r="A550" s="95"/>
      <c r="B550" s="817" t="s">
        <v>838</v>
      </c>
      <c r="C550" s="818"/>
      <c r="D550" s="98" t="s">
        <v>842</v>
      </c>
      <c r="E550" s="98" t="s">
        <v>853</v>
      </c>
      <c r="F550" s="99" t="s">
        <v>1047</v>
      </c>
      <c r="G550" s="107" t="s">
        <v>840</v>
      </c>
    </row>
    <row r="551" spans="1:8">
      <c r="A551" s="95"/>
      <c r="B551" s="115"/>
      <c r="C551" s="102"/>
      <c r="D551" s="100"/>
      <c r="E551" s="100" t="s">
        <v>312</v>
      </c>
      <c r="F551" s="101" t="s">
        <v>313</v>
      </c>
      <c r="G551" s="108" t="s">
        <v>314</v>
      </c>
    </row>
    <row r="552" spans="1:8">
      <c r="A552" s="125"/>
      <c r="B552" s="841" t="str">
        <f>MATERIALES2!C93</f>
        <v>ARROBERO</v>
      </c>
      <c r="C552" s="842"/>
      <c r="D552" s="87" t="s">
        <v>865</v>
      </c>
      <c r="E552" s="81">
        <v>30</v>
      </c>
      <c r="F552" s="80">
        <f>MATERIALES2!E93</f>
        <v>400</v>
      </c>
      <c r="G552" s="110">
        <f>ROUND(E552*F552,0)</f>
        <v>12000</v>
      </c>
    </row>
    <row r="553" spans="1:8">
      <c r="A553" s="123"/>
      <c r="B553" s="854" t="str">
        <f>MATERIALES2!C13</f>
        <v>CEMENTO GRIS</v>
      </c>
      <c r="C553" s="855"/>
      <c r="D553" s="37" t="s">
        <v>925</v>
      </c>
      <c r="E553" s="83">
        <v>12</v>
      </c>
      <c r="F553" s="82">
        <f>MATERIALES2!E13</f>
        <v>420</v>
      </c>
      <c r="G553" s="111">
        <f>ROUND(E553*F553,0)</f>
        <v>5040</v>
      </c>
    </row>
    <row r="554" spans="1:8" ht="14.25">
      <c r="A554" s="95"/>
      <c r="B554" s="854" t="str">
        <f>MATERIALES2!C20</f>
        <v xml:space="preserve">ARENA </v>
      </c>
      <c r="C554" s="855"/>
      <c r="D554" s="37" t="s">
        <v>1066</v>
      </c>
      <c r="E554" s="143">
        <v>0.03</v>
      </c>
      <c r="F554" s="82">
        <f>MATERIALES2!E20</f>
        <v>35000</v>
      </c>
      <c r="G554" s="111">
        <f>ROUND(E554*F554,0)</f>
        <v>1050</v>
      </c>
    </row>
    <row r="555" spans="1:8">
      <c r="A555" s="95"/>
      <c r="B555" s="854" t="str">
        <f>MATERIALES2!C28</f>
        <v>AGUA</v>
      </c>
      <c r="C555" s="855"/>
      <c r="D555" s="37" t="s">
        <v>1071</v>
      </c>
      <c r="E555" s="83">
        <f>ROUND(16.67*2*0.5/3/4.5,2)</f>
        <v>1.23</v>
      </c>
      <c r="F555" s="82">
        <f>MATERIALES2!E28</f>
        <v>50</v>
      </c>
      <c r="G555" s="111">
        <f>ROUND(E555*F555,0)</f>
        <v>62</v>
      </c>
    </row>
    <row r="556" spans="1:8">
      <c r="A556" s="95"/>
      <c r="B556" s="854" t="str">
        <f>MATERIALES2!C303</f>
        <v>TOKENET 1  IMPERMEABIL.1 KILO</v>
      </c>
      <c r="C556" s="855"/>
      <c r="D556" s="37" t="s">
        <v>925</v>
      </c>
      <c r="E556" s="83">
        <v>0.36</v>
      </c>
      <c r="F556" s="82">
        <f>ROUND(MATERIALES2!E303/4,0)</f>
        <v>1036</v>
      </c>
      <c r="G556" s="111">
        <f>ROUND(E556*F556,0)</f>
        <v>373</v>
      </c>
    </row>
    <row r="557" spans="1:8">
      <c r="A557" s="95"/>
      <c r="B557" s="938"/>
      <c r="C557" s="939"/>
      <c r="D557" s="53" t="s">
        <v>841</v>
      </c>
      <c r="E557" s="53"/>
      <c r="F557" s="82"/>
      <c r="G557" s="111"/>
    </row>
    <row r="558" spans="1:8">
      <c r="A558" s="95"/>
      <c r="B558" s="938" t="s">
        <v>841</v>
      </c>
      <c r="C558" s="939"/>
      <c r="D558" s="53" t="s">
        <v>841</v>
      </c>
      <c r="E558" s="53"/>
      <c r="F558" s="82"/>
      <c r="G558" s="111"/>
    </row>
    <row r="559" spans="1:8">
      <c r="A559" s="95"/>
      <c r="B559" s="938" t="s">
        <v>841</v>
      </c>
      <c r="C559" s="939"/>
      <c r="D559" s="53" t="s">
        <v>841</v>
      </c>
      <c r="E559" s="53"/>
      <c r="F559" s="82"/>
      <c r="G559" s="111"/>
      <c r="H559" s="505" t="s">
        <v>1670</v>
      </c>
    </row>
    <row r="560" spans="1:8" ht="13.5" thickBot="1">
      <c r="A560" s="95"/>
      <c r="B560" s="942" t="s">
        <v>841</v>
      </c>
      <c r="C560" s="943"/>
      <c r="D560" s="84" t="s">
        <v>841</v>
      </c>
      <c r="E560" s="84"/>
      <c r="F560" s="85"/>
      <c r="G560" s="112"/>
    </row>
    <row r="561" spans="1:7" ht="13.5" thickTop="1">
      <c r="A561" s="95"/>
      <c r="B561" s="946"/>
      <c r="C561" s="947"/>
      <c r="D561" s="801" t="s">
        <v>856</v>
      </c>
      <c r="E561" s="802"/>
      <c r="F561" s="9"/>
      <c r="G561" s="113">
        <f>SUM(G552:G560)</f>
        <v>18525</v>
      </c>
    </row>
    <row r="562" spans="1:7">
      <c r="A562" s="95"/>
      <c r="B562" s="948"/>
      <c r="C562" s="949"/>
      <c r="D562" s="801" t="s">
        <v>857</v>
      </c>
      <c r="E562" s="802"/>
      <c r="F562" s="79">
        <f>'MANO DE OBRA'!D60</f>
        <v>0.05</v>
      </c>
      <c r="G562" s="113">
        <f>ROUND(G561*F562,0)</f>
        <v>926</v>
      </c>
    </row>
    <row r="563" spans="1:7" ht="13.5" thickBot="1">
      <c r="A563" s="95"/>
      <c r="B563" s="948"/>
      <c r="C563" s="949"/>
      <c r="D563" s="803" t="s">
        <v>320</v>
      </c>
      <c r="E563" s="804"/>
      <c r="F563" s="114"/>
      <c r="G563" s="118">
        <f>+G561+G562</f>
        <v>19451</v>
      </c>
    </row>
    <row r="564" spans="1:7" ht="14.25" thickTop="1" thickBot="1">
      <c r="A564" s="95"/>
      <c r="B564" s="830"/>
      <c r="C564" s="830"/>
      <c r="D564" s="830"/>
      <c r="E564" s="830"/>
      <c r="F564" s="830"/>
      <c r="G564" s="830"/>
    </row>
    <row r="565" spans="1:7" ht="13.5" thickTop="1">
      <c r="A565" s="95"/>
      <c r="B565" s="811" t="s">
        <v>858</v>
      </c>
      <c r="C565" s="812"/>
      <c r="D565" s="812"/>
      <c r="E565" s="812"/>
      <c r="F565" s="812"/>
      <c r="G565" s="825"/>
    </row>
    <row r="566" spans="1:7">
      <c r="A566" s="95"/>
      <c r="B566" s="817"/>
      <c r="C566" s="818"/>
      <c r="D566" s="98" t="s">
        <v>301</v>
      </c>
      <c r="E566" s="98" t="s">
        <v>859</v>
      </c>
      <c r="F566" s="99" t="s">
        <v>839</v>
      </c>
      <c r="G566" s="107" t="s">
        <v>840</v>
      </c>
    </row>
    <row r="567" spans="1:7">
      <c r="A567" s="95"/>
      <c r="B567" s="821" t="s">
        <v>838</v>
      </c>
      <c r="C567" s="822"/>
      <c r="D567" s="100" t="s">
        <v>316</v>
      </c>
      <c r="E567" s="100" t="s">
        <v>315</v>
      </c>
      <c r="F567" s="101" t="s">
        <v>306</v>
      </c>
      <c r="G567" s="108" t="s">
        <v>319</v>
      </c>
    </row>
    <row r="568" spans="1:7">
      <c r="A568" s="95"/>
      <c r="B568" s="115"/>
      <c r="C568" s="102"/>
      <c r="D568" s="103"/>
      <c r="E568" s="103" t="s">
        <v>317</v>
      </c>
      <c r="F568" s="104" t="s">
        <v>318</v>
      </c>
      <c r="G568" s="109"/>
    </row>
    <row r="569" spans="1:7">
      <c r="A569" s="95"/>
      <c r="B569" s="823" t="str">
        <f>'MANO DE OBRA'!B10</f>
        <v>AYUDANTE CUAD. TIPO AA</v>
      </c>
      <c r="C569" s="824"/>
      <c r="D569" s="87">
        <v>1</v>
      </c>
      <c r="E569" s="80">
        <f>'MANO DE OBRA'!E10</f>
        <v>34680</v>
      </c>
      <c r="F569" s="81">
        <v>9</v>
      </c>
      <c r="G569" s="110">
        <f>ROUND(D569*E569/F569,0)</f>
        <v>3853</v>
      </c>
    </row>
    <row r="570" spans="1:7">
      <c r="A570" s="95"/>
      <c r="B570" s="835" t="str">
        <f>'MANO DE OBRA'!B15</f>
        <v xml:space="preserve">OFICIAL CUAD. TIPO AA </v>
      </c>
      <c r="C570" s="836"/>
      <c r="D570" s="37">
        <v>1</v>
      </c>
      <c r="E570" s="82">
        <f>'MANO DE OBRA'!E15</f>
        <v>71474</v>
      </c>
      <c r="F570" s="83">
        <v>9</v>
      </c>
      <c r="G570" s="111">
        <f>ROUND(D570*E570/F570,0)</f>
        <v>7942</v>
      </c>
    </row>
    <row r="571" spans="1:7">
      <c r="A571" s="95"/>
      <c r="B571" s="835"/>
      <c r="C571" s="836"/>
      <c r="D571" s="89"/>
      <c r="E571" s="82"/>
      <c r="F571" s="83"/>
      <c r="G571" s="111"/>
    </row>
    <row r="572" spans="1:7">
      <c r="A572" s="95"/>
      <c r="B572" s="835" t="s">
        <v>841</v>
      </c>
      <c r="C572" s="836"/>
      <c r="D572" s="37"/>
      <c r="E572" s="82"/>
      <c r="F572" s="83"/>
      <c r="G572" s="111"/>
    </row>
    <row r="573" spans="1:7" ht="13.5" thickBot="1">
      <c r="A573" s="95"/>
      <c r="B573" s="828" t="s">
        <v>841</v>
      </c>
      <c r="C573" s="829"/>
      <c r="D573" s="77"/>
      <c r="E573" s="82"/>
      <c r="F573" s="86"/>
      <c r="G573" s="112"/>
    </row>
    <row r="574" spans="1:7" ht="14.25" thickTop="1" thickBot="1">
      <c r="A574" s="95"/>
      <c r="B574" s="808"/>
      <c r="C574" s="808"/>
      <c r="D574" s="808"/>
      <c r="E574" s="809"/>
      <c r="F574" s="120" t="s">
        <v>856</v>
      </c>
      <c r="G574" s="118">
        <f>SUM(G569:G573)</f>
        <v>11795</v>
      </c>
    </row>
    <row r="575" spans="1:7" ht="14.25" thickTop="1" thickBot="1">
      <c r="A575" s="95"/>
      <c r="B575" s="810"/>
      <c r="C575" s="810"/>
      <c r="D575" s="810"/>
      <c r="E575" s="810"/>
      <c r="F575" s="810"/>
      <c r="G575" s="810"/>
    </row>
    <row r="576" spans="1:7" ht="13.5" thickTop="1">
      <c r="A576" s="95"/>
      <c r="B576" s="811" t="s">
        <v>321</v>
      </c>
      <c r="C576" s="812"/>
      <c r="D576" s="812"/>
      <c r="E576" s="812"/>
      <c r="F576" s="812"/>
      <c r="G576" s="825"/>
    </row>
    <row r="577" spans="1:8">
      <c r="A577" s="95"/>
      <c r="B577" s="817" t="s">
        <v>838</v>
      </c>
      <c r="C577" s="818"/>
      <c r="D577" s="98" t="s">
        <v>301</v>
      </c>
      <c r="E577" s="98" t="s">
        <v>297</v>
      </c>
      <c r="F577" s="99" t="s">
        <v>839</v>
      </c>
      <c r="G577" s="107" t="s">
        <v>840</v>
      </c>
    </row>
    <row r="578" spans="1:8">
      <c r="A578" s="95"/>
      <c r="B578" s="115"/>
      <c r="C578" s="102"/>
      <c r="D578" s="103" t="s">
        <v>322</v>
      </c>
      <c r="E578" s="103" t="s">
        <v>323</v>
      </c>
      <c r="F578" s="104" t="s">
        <v>324</v>
      </c>
      <c r="G578" s="109" t="s">
        <v>325</v>
      </c>
    </row>
    <row r="579" spans="1:8">
      <c r="A579" s="95"/>
      <c r="B579" s="826"/>
      <c r="C579" s="827"/>
      <c r="D579" s="96"/>
      <c r="E579" s="96"/>
      <c r="F579" s="96"/>
      <c r="G579" s="116"/>
    </row>
    <row r="580" spans="1:8" ht="13.5" thickBot="1">
      <c r="A580" s="95"/>
      <c r="B580" s="828" t="s">
        <v>841</v>
      </c>
      <c r="C580" s="829"/>
      <c r="D580" s="77"/>
      <c r="E580" s="82"/>
      <c r="F580" s="86"/>
      <c r="G580" s="112"/>
    </row>
    <row r="581" spans="1:8" ht="14.25" thickTop="1" thickBot="1">
      <c r="A581" s="95"/>
      <c r="B581" s="808"/>
      <c r="C581" s="808"/>
      <c r="D581" s="808"/>
      <c r="E581" s="809"/>
      <c r="F581" s="120" t="s">
        <v>856</v>
      </c>
      <c r="G581" s="118">
        <f>SUM(G576:G580)</f>
        <v>0</v>
      </c>
    </row>
    <row r="582" spans="1:8" ht="14.25" thickTop="1" thickBot="1">
      <c r="A582" s="95"/>
      <c r="B582" s="810"/>
      <c r="C582" s="810"/>
      <c r="D582" s="810"/>
      <c r="E582" s="810"/>
      <c r="F582" s="810"/>
      <c r="G582" s="834"/>
    </row>
    <row r="583" spans="1:8" ht="13.5" thickTop="1">
      <c r="A583" s="95"/>
      <c r="B583" s="811" t="s">
        <v>326</v>
      </c>
      <c r="C583" s="812"/>
      <c r="D583" s="812"/>
      <c r="E583" s="812"/>
      <c r="F583" s="813"/>
      <c r="G583" s="121">
        <f>+G547+G563+G574</f>
        <v>31836</v>
      </c>
    </row>
    <row r="584" spans="1:8">
      <c r="A584" s="95"/>
      <c r="B584" s="814" t="s">
        <v>861</v>
      </c>
      <c r="C584" s="815"/>
      <c r="D584" s="815"/>
      <c r="E584" s="816"/>
      <c r="F584" s="128">
        <f>'MANO DE OBRA'!D59</f>
        <v>0</v>
      </c>
      <c r="G584" s="122">
        <f>ROUND(G583*F584,0)</f>
        <v>0</v>
      </c>
    </row>
    <row r="585" spans="1:8" ht="13.5" thickBot="1">
      <c r="A585" s="95"/>
      <c r="B585" s="805" t="s">
        <v>1049</v>
      </c>
      <c r="C585" s="806"/>
      <c r="D585" s="806"/>
      <c r="E585" s="806"/>
      <c r="F585" s="807"/>
      <c r="G585" s="118">
        <f>ROUND(G583+G584,-2)</f>
        <v>31800</v>
      </c>
      <c r="H585" s="505" t="s">
        <v>1670</v>
      </c>
    </row>
    <row r="586" spans="1:8" ht="13.5" thickTop="1">
      <c r="A586" s="95"/>
      <c r="B586" s="90" t="s">
        <v>303</v>
      </c>
      <c r="C586" s="843"/>
      <c r="D586" s="843"/>
      <c r="E586" s="843"/>
      <c r="F586" s="92" t="s">
        <v>781</v>
      </c>
      <c r="G586" s="93" t="s">
        <v>831</v>
      </c>
    </row>
    <row r="587" spans="1:8">
      <c r="A587" s="95"/>
      <c r="B587" s="91" t="s">
        <v>834</v>
      </c>
      <c r="C587" s="844" t="s">
        <v>367</v>
      </c>
      <c r="D587" s="844"/>
      <c r="E587" s="844"/>
      <c r="F587" s="15" t="s">
        <v>833</v>
      </c>
      <c r="G587" s="165" t="str">
        <f>'MANO DE OBRA'!D61</f>
        <v>Agosto de 2010</v>
      </c>
    </row>
    <row r="588" spans="1:8" ht="13.5" thickBot="1">
      <c r="A588" s="127"/>
      <c r="B588" s="94" t="s">
        <v>835</v>
      </c>
      <c r="C588" s="944" t="s">
        <v>678</v>
      </c>
      <c r="D588" s="944"/>
      <c r="E588" s="944"/>
      <c r="F588" s="944"/>
      <c r="G588" s="945"/>
    </row>
    <row r="589" spans="1:8" ht="14.25" thickTop="1" thickBot="1">
      <c r="A589" s="95"/>
      <c r="B589" s="847"/>
      <c r="C589" s="847"/>
      <c r="D589" s="847"/>
      <c r="E589" s="847"/>
      <c r="F589" s="847"/>
      <c r="G589" s="847"/>
    </row>
    <row r="590" spans="1:8" ht="13.5" thickTop="1">
      <c r="A590" s="95"/>
      <c r="B590" s="811" t="s">
        <v>304</v>
      </c>
      <c r="C590" s="812"/>
      <c r="D590" s="812"/>
      <c r="E590" s="812"/>
      <c r="F590" s="812"/>
      <c r="G590" s="825"/>
    </row>
    <row r="591" spans="1:8">
      <c r="A591" s="95"/>
      <c r="B591" s="105"/>
      <c r="C591" s="97"/>
      <c r="D591" s="98" t="s">
        <v>301</v>
      </c>
      <c r="E591" s="98" t="s">
        <v>1072</v>
      </c>
      <c r="F591" s="99" t="s">
        <v>839</v>
      </c>
      <c r="G591" s="107" t="s">
        <v>840</v>
      </c>
    </row>
    <row r="592" spans="1:8">
      <c r="A592" s="95"/>
      <c r="B592" s="821" t="s">
        <v>838</v>
      </c>
      <c r="C592" s="822"/>
      <c r="D592" s="100" t="s">
        <v>308</v>
      </c>
      <c r="E592" s="100" t="s">
        <v>305</v>
      </c>
      <c r="F592" s="101" t="s">
        <v>306</v>
      </c>
      <c r="G592" s="108" t="s">
        <v>310</v>
      </c>
    </row>
    <row r="593" spans="1:7">
      <c r="A593" s="95"/>
      <c r="B593" s="115"/>
      <c r="C593" s="102"/>
      <c r="D593" s="103"/>
      <c r="E593" s="103" t="s">
        <v>309</v>
      </c>
      <c r="F593" s="104" t="s">
        <v>307</v>
      </c>
      <c r="G593" s="109"/>
    </row>
    <row r="594" spans="1:7">
      <c r="A594" s="127"/>
      <c r="B594" s="823" t="str">
        <f>'MAQUINARIA Y EQUIPOS'!C28</f>
        <v>HERRAMIENTAS MENORES</v>
      </c>
      <c r="C594" s="824"/>
      <c r="D594" s="87">
        <v>1</v>
      </c>
      <c r="E594" s="82">
        <f>ROUND(G627*0.05,0)</f>
        <v>708</v>
      </c>
      <c r="F594" s="81">
        <v>1</v>
      </c>
      <c r="G594" s="110">
        <f>ROUND(D594*E594/F594,0)</f>
        <v>708</v>
      </c>
    </row>
    <row r="595" spans="1:7">
      <c r="A595" s="95"/>
      <c r="B595" s="835" t="str">
        <f>'MAQUINARIA Y EQUIPOS'!C53</f>
        <v>VIBRADOR A GASOLINA</v>
      </c>
      <c r="C595" s="836"/>
      <c r="D595" s="37">
        <v>1</v>
      </c>
      <c r="E595" s="82">
        <f>'MAQUINARIA Y EQUIPOS'!D53</f>
        <v>51040</v>
      </c>
      <c r="F595" s="83">
        <v>25</v>
      </c>
      <c r="G595" s="111">
        <f>ROUND(D595*E595/F595,0)</f>
        <v>2042</v>
      </c>
    </row>
    <row r="596" spans="1:7">
      <c r="A596" s="95"/>
      <c r="B596" s="835"/>
      <c r="C596" s="836"/>
      <c r="D596" s="89"/>
      <c r="E596" s="82"/>
      <c r="F596" s="83"/>
      <c r="G596" s="111"/>
    </row>
    <row r="597" spans="1:7">
      <c r="A597" s="95"/>
      <c r="B597" s="835"/>
      <c r="C597" s="836"/>
      <c r="D597" s="89"/>
      <c r="E597" s="82"/>
      <c r="F597" s="83"/>
      <c r="G597" s="111"/>
    </row>
    <row r="598" spans="1:7">
      <c r="A598" s="95"/>
      <c r="B598" s="835" t="s">
        <v>841</v>
      </c>
      <c r="C598" s="836"/>
      <c r="D598" s="37"/>
      <c r="E598" s="82"/>
      <c r="F598" s="83"/>
      <c r="G598" s="111"/>
    </row>
    <row r="599" spans="1:7" ht="13.5" thickBot="1">
      <c r="A599" s="95"/>
      <c r="B599" s="839" t="s">
        <v>841</v>
      </c>
      <c r="C599" s="840"/>
      <c r="D599" s="77"/>
      <c r="E599" s="106"/>
      <c r="F599" s="86"/>
      <c r="G599" s="112"/>
    </row>
    <row r="600" spans="1:7" ht="14.25" thickTop="1" thickBot="1">
      <c r="A600" s="95"/>
      <c r="B600" s="808"/>
      <c r="C600" s="808"/>
      <c r="D600" s="808"/>
      <c r="E600" s="809"/>
      <c r="F600" s="119" t="s">
        <v>856</v>
      </c>
      <c r="G600" s="118">
        <f>SUM(G594:G599)</f>
        <v>2750</v>
      </c>
    </row>
    <row r="601" spans="1:7" ht="14.25" thickTop="1" thickBot="1">
      <c r="A601" s="95"/>
      <c r="B601" s="830"/>
      <c r="C601" s="830"/>
      <c r="D601" s="830"/>
      <c r="E601" s="830"/>
      <c r="F601" s="830"/>
      <c r="G601" s="830"/>
    </row>
    <row r="602" spans="1:7" ht="13.5" thickTop="1">
      <c r="A602" s="95"/>
      <c r="B602" s="811" t="s">
        <v>311</v>
      </c>
      <c r="C602" s="812"/>
      <c r="D602" s="812"/>
      <c r="E602" s="812"/>
      <c r="F602" s="812"/>
      <c r="G602" s="825"/>
    </row>
    <row r="603" spans="1:7">
      <c r="A603" s="95"/>
      <c r="B603" s="817" t="s">
        <v>838</v>
      </c>
      <c r="C603" s="818"/>
      <c r="D603" s="98" t="s">
        <v>842</v>
      </c>
      <c r="E603" s="98" t="s">
        <v>853</v>
      </c>
      <c r="F603" s="99" t="s">
        <v>1047</v>
      </c>
      <c r="G603" s="107" t="s">
        <v>840</v>
      </c>
    </row>
    <row r="604" spans="1:7">
      <c r="A604" s="95"/>
      <c r="B604" s="115"/>
      <c r="C604" s="102"/>
      <c r="D604" s="100"/>
      <c r="E604" s="100" t="s">
        <v>312</v>
      </c>
      <c r="F604" s="101" t="s">
        <v>313</v>
      </c>
      <c r="G604" s="108" t="s">
        <v>314</v>
      </c>
    </row>
    <row r="605" spans="1:7" ht="14.25">
      <c r="A605" s="125"/>
      <c r="B605" s="841" t="str">
        <f>MATERIALES2!C35</f>
        <v>CONCRETO 1:2:3-3000 psi(MATERIALES)</v>
      </c>
      <c r="C605" s="842"/>
      <c r="D605" s="87" t="s">
        <v>1066</v>
      </c>
      <c r="E605" s="166">
        <v>3.7499999999999999E-2</v>
      </c>
      <c r="F605" s="80">
        <f>MATERIALES2!E35</f>
        <v>367600</v>
      </c>
      <c r="G605" s="110">
        <f>ROUND(E605*F605,0)</f>
        <v>13785</v>
      </c>
    </row>
    <row r="606" spans="1:7">
      <c r="A606" s="123"/>
      <c r="B606" s="854" t="str">
        <f>MATERIALES2!C159</f>
        <v>TABLA 1X10X10</v>
      </c>
      <c r="C606" s="855"/>
      <c r="D606" s="37" t="s">
        <v>865</v>
      </c>
      <c r="E606" s="141">
        <v>0.08</v>
      </c>
      <c r="F606" s="82">
        <f>MATERIALES2!E159</f>
        <v>8400</v>
      </c>
      <c r="G606" s="111">
        <f>ROUND(E606*F606,0)</f>
        <v>672</v>
      </c>
    </row>
    <row r="607" spans="1:7">
      <c r="A607" s="95"/>
      <c r="B607" s="854" t="str">
        <f>MATERIALES2!C151</f>
        <v>ABARCO DE 2X2X4,50</v>
      </c>
      <c r="C607" s="855"/>
      <c r="D607" s="37" t="s">
        <v>865</v>
      </c>
      <c r="E607" s="141">
        <v>7.4999999999999997E-2</v>
      </c>
      <c r="F607" s="82">
        <f>MATERIALES2!E151</f>
        <v>5000</v>
      </c>
      <c r="G607" s="111">
        <f>ROUND(E607*F607,0)</f>
        <v>375</v>
      </c>
    </row>
    <row r="608" spans="1:7">
      <c r="A608" s="95"/>
      <c r="B608" s="854" t="str">
        <f>MATERIALES2!C918</f>
        <v>PUNTILLAS DE 2"</v>
      </c>
      <c r="C608" s="855"/>
      <c r="D608" s="37" t="s">
        <v>922</v>
      </c>
      <c r="E608" s="83">
        <v>0.06</v>
      </c>
      <c r="F608" s="82">
        <f>MATERIALES2!E918</f>
        <v>1500</v>
      </c>
      <c r="G608" s="111">
        <f>ROUND(E608*F608,0)</f>
        <v>90</v>
      </c>
    </row>
    <row r="609" spans="1:8">
      <c r="A609" s="95"/>
      <c r="B609" s="854" t="str">
        <f>MATERIALES2!C303</f>
        <v>TOKENET 1  IMPERMEABIL.1 KILO</v>
      </c>
      <c r="C609" s="855"/>
      <c r="D609" s="37" t="s">
        <v>865</v>
      </c>
      <c r="E609" s="83">
        <v>0.39</v>
      </c>
      <c r="F609" s="82">
        <f>MATERIALES2!E303</f>
        <v>4142.5</v>
      </c>
      <c r="G609" s="111">
        <f>ROUND(E609*F609,0)</f>
        <v>1616</v>
      </c>
    </row>
    <row r="610" spans="1:8">
      <c r="A610" s="95"/>
      <c r="B610" s="938"/>
      <c r="C610" s="939"/>
      <c r="D610" s="53" t="s">
        <v>841</v>
      </c>
      <c r="E610" s="53"/>
      <c r="F610" s="82"/>
      <c r="G610" s="111"/>
    </row>
    <row r="611" spans="1:8">
      <c r="A611" s="95"/>
      <c r="B611" s="837" t="s">
        <v>841</v>
      </c>
      <c r="C611" s="838"/>
      <c r="D611" s="53" t="s">
        <v>841</v>
      </c>
      <c r="E611" s="53"/>
      <c r="F611" s="82"/>
      <c r="G611" s="111"/>
    </row>
    <row r="612" spans="1:8">
      <c r="A612" s="95"/>
      <c r="B612" s="837" t="s">
        <v>841</v>
      </c>
      <c r="C612" s="838"/>
      <c r="D612" s="53" t="s">
        <v>841</v>
      </c>
      <c r="E612" s="53"/>
      <c r="F612" s="82"/>
      <c r="G612" s="111"/>
      <c r="H612" s="505" t="s">
        <v>1670</v>
      </c>
    </row>
    <row r="613" spans="1:8" ht="13.5" thickBot="1">
      <c r="A613" s="95"/>
      <c r="B613" s="839" t="s">
        <v>841</v>
      </c>
      <c r="C613" s="840"/>
      <c r="D613" s="84" t="s">
        <v>841</v>
      </c>
      <c r="E613" s="84"/>
      <c r="F613" s="85"/>
      <c r="G613" s="112"/>
    </row>
    <row r="614" spans="1:8" ht="13.5" thickTop="1">
      <c r="A614" s="95"/>
      <c r="B614" s="808"/>
      <c r="C614" s="809"/>
      <c r="D614" s="801" t="s">
        <v>856</v>
      </c>
      <c r="E614" s="802"/>
      <c r="F614" s="9"/>
      <c r="G614" s="113">
        <f>SUM(G605:G613)</f>
        <v>16538</v>
      </c>
    </row>
    <row r="615" spans="1:8">
      <c r="A615" s="95"/>
      <c r="B615" s="819"/>
      <c r="C615" s="820"/>
      <c r="D615" s="801" t="s">
        <v>857</v>
      </c>
      <c r="E615" s="802"/>
      <c r="F615" s="79">
        <f>'MANO DE OBRA'!D60</f>
        <v>0.05</v>
      </c>
      <c r="G615" s="113">
        <f>ROUND(G614*F615,0)</f>
        <v>827</v>
      </c>
    </row>
    <row r="616" spans="1:8" ht="13.5" thickBot="1">
      <c r="A616" s="95"/>
      <c r="B616" s="819"/>
      <c r="C616" s="820"/>
      <c r="D616" s="803" t="s">
        <v>320</v>
      </c>
      <c r="E616" s="804"/>
      <c r="F616" s="114"/>
      <c r="G616" s="118">
        <f>+G614+G615</f>
        <v>17365</v>
      </c>
    </row>
    <row r="617" spans="1:8" ht="14.25" thickTop="1" thickBot="1">
      <c r="A617" s="95"/>
      <c r="B617" s="830"/>
      <c r="C617" s="830"/>
      <c r="D617" s="830"/>
      <c r="E617" s="830"/>
      <c r="F617" s="830"/>
      <c r="G617" s="830"/>
    </row>
    <row r="618" spans="1:8" ht="13.5" thickTop="1">
      <c r="A618" s="95"/>
      <c r="B618" s="811" t="s">
        <v>858</v>
      </c>
      <c r="C618" s="812"/>
      <c r="D618" s="812"/>
      <c r="E618" s="812"/>
      <c r="F618" s="812"/>
      <c r="G618" s="825"/>
    </row>
    <row r="619" spans="1:8">
      <c r="A619" s="95"/>
      <c r="B619" s="817"/>
      <c r="C619" s="818"/>
      <c r="D619" s="98" t="s">
        <v>301</v>
      </c>
      <c r="E619" s="98" t="s">
        <v>859</v>
      </c>
      <c r="F619" s="99" t="s">
        <v>839</v>
      </c>
      <c r="G619" s="107" t="s">
        <v>840</v>
      </c>
    </row>
    <row r="620" spans="1:8">
      <c r="A620" s="95"/>
      <c r="B620" s="821" t="s">
        <v>838</v>
      </c>
      <c r="C620" s="822"/>
      <c r="D620" s="100" t="s">
        <v>316</v>
      </c>
      <c r="E620" s="100" t="s">
        <v>315</v>
      </c>
      <c r="F620" s="101" t="s">
        <v>306</v>
      </c>
      <c r="G620" s="108" t="s">
        <v>319</v>
      </c>
    </row>
    <row r="621" spans="1:8">
      <c r="A621" s="95"/>
      <c r="B621" s="115"/>
      <c r="C621" s="102"/>
      <c r="D621" s="103"/>
      <c r="E621" s="103" t="s">
        <v>317</v>
      </c>
      <c r="F621" s="104" t="s">
        <v>318</v>
      </c>
      <c r="G621" s="109"/>
    </row>
    <row r="622" spans="1:8">
      <c r="A622" s="95"/>
      <c r="B622" s="823" t="str">
        <f>'MANO DE OBRA'!B10</f>
        <v>AYUDANTE CUAD. TIPO AA</v>
      </c>
      <c r="C622" s="824"/>
      <c r="D622" s="87">
        <v>1</v>
      </c>
      <c r="E622" s="80">
        <f>'MANO DE OBRA'!E10</f>
        <v>34680</v>
      </c>
      <c r="F622" s="81">
        <v>7.5</v>
      </c>
      <c r="G622" s="110">
        <f>ROUND(D622*E622/F622,0)</f>
        <v>4624</v>
      </c>
    </row>
    <row r="623" spans="1:8">
      <c r="A623" s="95"/>
      <c r="B623" s="835" t="str">
        <f>'MANO DE OBRA'!B15</f>
        <v xml:space="preserve">OFICIAL CUAD. TIPO AA </v>
      </c>
      <c r="C623" s="836"/>
      <c r="D623" s="37">
        <v>1</v>
      </c>
      <c r="E623" s="82">
        <f>'MANO DE OBRA'!E15</f>
        <v>71474</v>
      </c>
      <c r="F623" s="83">
        <v>7.5</v>
      </c>
      <c r="G623" s="111">
        <f>ROUND(D623*E623/F623,0)</f>
        <v>9530</v>
      </c>
    </row>
    <row r="624" spans="1:8">
      <c r="A624" s="95"/>
      <c r="B624" s="835"/>
      <c r="C624" s="836"/>
      <c r="D624" s="89"/>
      <c r="E624" s="82"/>
      <c r="F624" s="83"/>
      <c r="G624" s="111"/>
    </row>
    <row r="625" spans="1:8">
      <c r="A625" s="95"/>
      <c r="B625" s="835" t="s">
        <v>841</v>
      </c>
      <c r="C625" s="836"/>
      <c r="D625" s="37"/>
      <c r="E625" s="82"/>
      <c r="F625" s="83"/>
      <c r="G625" s="111"/>
    </row>
    <row r="626" spans="1:8" ht="13.5" thickBot="1">
      <c r="A626" s="95"/>
      <c r="B626" s="828" t="s">
        <v>841</v>
      </c>
      <c r="C626" s="829"/>
      <c r="D626" s="77"/>
      <c r="E626" s="82"/>
      <c r="F626" s="86"/>
      <c r="G626" s="112"/>
    </row>
    <row r="627" spans="1:8" ht="14.25" thickTop="1" thickBot="1">
      <c r="A627" s="95"/>
      <c r="B627" s="808"/>
      <c r="C627" s="808"/>
      <c r="D627" s="808"/>
      <c r="E627" s="809"/>
      <c r="F627" s="120" t="s">
        <v>856</v>
      </c>
      <c r="G627" s="118">
        <f>SUM(G622:G626)</f>
        <v>14154</v>
      </c>
    </row>
    <row r="628" spans="1:8" ht="14.25" thickTop="1" thickBot="1">
      <c r="A628" s="95"/>
      <c r="B628" s="810"/>
      <c r="C628" s="810"/>
      <c r="D628" s="810"/>
      <c r="E628" s="810"/>
      <c r="F628" s="810"/>
      <c r="G628" s="810"/>
    </row>
    <row r="629" spans="1:8" ht="13.5" thickTop="1">
      <c r="A629" s="95"/>
      <c r="B629" s="811" t="s">
        <v>321</v>
      </c>
      <c r="C629" s="812"/>
      <c r="D629" s="812"/>
      <c r="E629" s="812"/>
      <c r="F629" s="812"/>
      <c r="G629" s="825"/>
    </row>
    <row r="630" spans="1:8">
      <c r="A630" s="95"/>
      <c r="B630" s="817" t="s">
        <v>838</v>
      </c>
      <c r="C630" s="818"/>
      <c r="D630" s="98" t="s">
        <v>301</v>
      </c>
      <c r="E630" s="98" t="s">
        <v>297</v>
      </c>
      <c r="F630" s="99" t="s">
        <v>839</v>
      </c>
      <c r="G630" s="107" t="s">
        <v>840</v>
      </c>
    </row>
    <row r="631" spans="1:8">
      <c r="A631" s="95"/>
      <c r="B631" s="115"/>
      <c r="C631" s="102"/>
      <c r="D631" s="103" t="s">
        <v>322</v>
      </c>
      <c r="E631" s="103" t="s">
        <v>323</v>
      </c>
      <c r="F631" s="104" t="s">
        <v>324</v>
      </c>
      <c r="G631" s="109" t="s">
        <v>325</v>
      </c>
    </row>
    <row r="632" spans="1:8">
      <c r="A632" s="95"/>
      <c r="B632" s="826"/>
      <c r="C632" s="827"/>
      <c r="D632" s="96"/>
      <c r="E632" s="96"/>
      <c r="F632" s="96"/>
      <c r="G632" s="116"/>
    </row>
    <row r="633" spans="1:8" ht="13.5" thickBot="1">
      <c r="A633" s="95"/>
      <c r="B633" s="828" t="s">
        <v>841</v>
      </c>
      <c r="C633" s="829"/>
      <c r="D633" s="77"/>
      <c r="E633" s="82"/>
      <c r="F633" s="86"/>
      <c r="G633" s="112"/>
    </row>
    <row r="634" spans="1:8" ht="14.25" thickTop="1" thickBot="1">
      <c r="A634" s="95"/>
      <c r="B634" s="808"/>
      <c r="C634" s="808"/>
      <c r="D634" s="808"/>
      <c r="E634" s="809"/>
      <c r="F634" s="120" t="s">
        <v>856</v>
      </c>
      <c r="G634" s="118">
        <f>SUM(G629:G633)</f>
        <v>0</v>
      </c>
    </row>
    <row r="635" spans="1:8" ht="14.25" thickTop="1" thickBot="1">
      <c r="A635" s="95"/>
      <c r="B635" s="810"/>
      <c r="C635" s="810"/>
      <c r="D635" s="810"/>
      <c r="E635" s="810"/>
      <c r="F635" s="810"/>
      <c r="G635" s="834"/>
    </row>
    <row r="636" spans="1:8" ht="13.5" thickTop="1">
      <c r="A636" s="95"/>
      <c r="B636" s="811" t="s">
        <v>326</v>
      </c>
      <c r="C636" s="812"/>
      <c r="D636" s="812"/>
      <c r="E636" s="812"/>
      <c r="F636" s="813"/>
      <c r="G636" s="121">
        <f>+G600+G616+G627</f>
        <v>34269</v>
      </c>
    </row>
    <row r="637" spans="1:8">
      <c r="A637" s="95"/>
      <c r="B637" s="814" t="s">
        <v>861</v>
      </c>
      <c r="C637" s="815"/>
      <c r="D637" s="815"/>
      <c r="E637" s="816"/>
      <c r="F637" s="128">
        <f>'MANO DE OBRA'!D59</f>
        <v>0</v>
      </c>
      <c r="G637" s="122">
        <f>ROUND(G636*F637,0)</f>
        <v>0</v>
      </c>
    </row>
    <row r="638" spans="1:8" ht="13.5" thickBot="1">
      <c r="A638" s="95"/>
      <c r="B638" s="805" t="s">
        <v>1049</v>
      </c>
      <c r="C638" s="806"/>
      <c r="D638" s="806"/>
      <c r="E638" s="806"/>
      <c r="F638" s="807"/>
      <c r="G638" s="118">
        <f>ROUND(G636+G637,-2)</f>
        <v>34300</v>
      </c>
      <c r="H638" s="505" t="s">
        <v>1670</v>
      </c>
    </row>
    <row r="639" spans="1:8" ht="13.5" thickTop="1">
      <c r="A639" s="95"/>
      <c r="B639" s="90" t="s">
        <v>303</v>
      </c>
      <c r="C639" s="843"/>
      <c r="D639" s="843"/>
      <c r="E639" s="843"/>
      <c r="F639" s="92" t="s">
        <v>781</v>
      </c>
      <c r="G639" s="93" t="s">
        <v>831</v>
      </c>
    </row>
    <row r="640" spans="1:8">
      <c r="A640" s="95"/>
      <c r="B640" s="91" t="s">
        <v>834</v>
      </c>
      <c r="C640" s="844" t="s">
        <v>367</v>
      </c>
      <c r="D640" s="844"/>
      <c r="E640" s="844"/>
      <c r="F640" s="15" t="s">
        <v>833</v>
      </c>
      <c r="G640" s="165" t="str">
        <f>'MANO DE OBRA'!D61</f>
        <v>Agosto de 2010</v>
      </c>
    </row>
    <row r="641" spans="1:7" ht="13.5" thickBot="1">
      <c r="A641" s="127"/>
      <c r="B641" s="94" t="s">
        <v>835</v>
      </c>
      <c r="C641" s="845" t="s">
        <v>679</v>
      </c>
      <c r="D641" s="845"/>
      <c r="E641" s="845"/>
      <c r="F641" s="845"/>
      <c r="G641" s="846"/>
    </row>
    <row r="642" spans="1:7" ht="14.25" thickTop="1" thickBot="1">
      <c r="A642" s="95"/>
      <c r="B642" s="847"/>
      <c r="C642" s="847"/>
      <c r="D642" s="847"/>
      <c r="E642" s="847"/>
      <c r="F642" s="847"/>
      <c r="G642" s="847"/>
    </row>
    <row r="643" spans="1:7" ht="13.5" thickTop="1">
      <c r="A643" s="95"/>
      <c r="B643" s="811" t="s">
        <v>304</v>
      </c>
      <c r="C643" s="812"/>
      <c r="D643" s="812"/>
      <c r="E643" s="812"/>
      <c r="F643" s="812"/>
      <c r="G643" s="825"/>
    </row>
    <row r="644" spans="1:7">
      <c r="A644" s="95"/>
      <c r="B644" s="105"/>
      <c r="C644" s="97"/>
      <c r="D644" s="98" t="s">
        <v>301</v>
      </c>
      <c r="E644" s="98" t="s">
        <v>1072</v>
      </c>
      <c r="F644" s="99" t="s">
        <v>839</v>
      </c>
      <c r="G644" s="107" t="s">
        <v>840</v>
      </c>
    </row>
    <row r="645" spans="1:7">
      <c r="A645" s="95"/>
      <c r="B645" s="821" t="s">
        <v>838</v>
      </c>
      <c r="C645" s="822"/>
      <c r="D645" s="100" t="s">
        <v>308</v>
      </c>
      <c r="E645" s="100" t="s">
        <v>305</v>
      </c>
      <c r="F645" s="101" t="s">
        <v>306</v>
      </c>
      <c r="G645" s="108" t="s">
        <v>310</v>
      </c>
    </row>
    <row r="646" spans="1:7">
      <c r="A646" s="95"/>
      <c r="B646" s="115"/>
      <c r="C646" s="102"/>
      <c r="D646" s="103"/>
      <c r="E646" s="103" t="s">
        <v>309</v>
      </c>
      <c r="F646" s="104" t="s">
        <v>307</v>
      </c>
      <c r="G646" s="109"/>
    </row>
    <row r="647" spans="1:7">
      <c r="A647" s="127"/>
      <c r="B647" s="823" t="str">
        <f>'MAQUINARIA Y EQUIPOS'!C28</f>
        <v>HERRAMIENTAS MENORES</v>
      </c>
      <c r="C647" s="824"/>
      <c r="D647" s="87">
        <v>1</v>
      </c>
      <c r="E647" s="82">
        <f>ROUND(G680*0.05,0)</f>
        <v>817</v>
      </c>
      <c r="F647" s="81">
        <v>1</v>
      </c>
      <c r="G647" s="110">
        <f>ROUND(D647*E647/F647,0)</f>
        <v>817</v>
      </c>
    </row>
    <row r="648" spans="1:7">
      <c r="A648" s="95"/>
      <c r="B648" s="835" t="str">
        <f>'MAQUINARIA Y EQUIPOS'!C53</f>
        <v>VIBRADOR A GASOLINA</v>
      </c>
      <c r="C648" s="836"/>
      <c r="D648" s="37">
        <v>1</v>
      </c>
      <c r="E648" s="82">
        <f>'MAQUINARIA Y EQUIPOS'!D53</f>
        <v>51040</v>
      </c>
      <c r="F648" s="83">
        <v>25</v>
      </c>
      <c r="G648" s="111">
        <f>ROUND(D648*E648/F648,0)</f>
        <v>2042</v>
      </c>
    </row>
    <row r="649" spans="1:7">
      <c r="A649" s="95"/>
      <c r="B649" s="835"/>
      <c r="C649" s="836"/>
      <c r="D649" s="89"/>
      <c r="E649" s="82"/>
      <c r="F649" s="83"/>
      <c r="G649" s="111"/>
    </row>
    <row r="650" spans="1:7">
      <c r="A650" s="95"/>
      <c r="B650" s="835"/>
      <c r="C650" s="836"/>
      <c r="D650" s="89"/>
      <c r="E650" s="82"/>
      <c r="F650" s="83"/>
      <c r="G650" s="111"/>
    </row>
    <row r="651" spans="1:7">
      <c r="A651" s="95"/>
      <c r="B651" s="835" t="s">
        <v>841</v>
      </c>
      <c r="C651" s="836"/>
      <c r="D651" s="37"/>
      <c r="E651" s="82"/>
      <c r="F651" s="83"/>
      <c r="G651" s="111"/>
    </row>
    <row r="652" spans="1:7" ht="13.5" thickBot="1">
      <c r="A652" s="95"/>
      <c r="B652" s="839" t="s">
        <v>841</v>
      </c>
      <c r="C652" s="840"/>
      <c r="D652" s="77"/>
      <c r="E652" s="106"/>
      <c r="F652" s="86"/>
      <c r="G652" s="112"/>
    </row>
    <row r="653" spans="1:7" ht="14.25" thickTop="1" thickBot="1">
      <c r="A653" s="95"/>
      <c r="B653" s="808"/>
      <c r="C653" s="808"/>
      <c r="D653" s="808"/>
      <c r="E653" s="809"/>
      <c r="F653" s="119" t="s">
        <v>856</v>
      </c>
      <c r="G653" s="118">
        <f>SUM(G647:G652)</f>
        <v>2859</v>
      </c>
    </row>
    <row r="654" spans="1:7" ht="14.25" thickTop="1" thickBot="1">
      <c r="A654" s="95"/>
      <c r="B654" s="830"/>
      <c r="C654" s="830"/>
      <c r="D654" s="830"/>
      <c r="E654" s="830"/>
      <c r="F654" s="830"/>
      <c r="G654" s="830"/>
    </row>
    <row r="655" spans="1:7" ht="13.5" thickTop="1">
      <c r="A655" s="95"/>
      <c r="B655" s="811" t="s">
        <v>311</v>
      </c>
      <c r="C655" s="812"/>
      <c r="D655" s="812"/>
      <c r="E655" s="812"/>
      <c r="F655" s="812"/>
      <c r="G655" s="825"/>
    </row>
    <row r="656" spans="1:7">
      <c r="A656" s="95"/>
      <c r="B656" s="817" t="s">
        <v>838</v>
      </c>
      <c r="C656" s="818"/>
      <c r="D656" s="98" t="s">
        <v>842</v>
      </c>
      <c r="E656" s="98" t="s">
        <v>853</v>
      </c>
      <c r="F656" s="99" t="s">
        <v>1047</v>
      </c>
      <c r="G656" s="107" t="s">
        <v>840</v>
      </c>
    </row>
    <row r="657" spans="1:8">
      <c r="A657" s="95"/>
      <c r="B657" s="115"/>
      <c r="C657" s="102"/>
      <c r="D657" s="100"/>
      <c r="E657" s="100" t="s">
        <v>312</v>
      </c>
      <c r="F657" s="101" t="s">
        <v>313</v>
      </c>
      <c r="G657" s="108" t="s">
        <v>314</v>
      </c>
    </row>
    <row r="658" spans="1:8" ht="14.25">
      <c r="A658" s="125"/>
      <c r="B658" s="841" t="str">
        <f>MATERIALES2!C35</f>
        <v>CONCRETO 1:2:3-3000 psi(MATERIALES)</v>
      </c>
      <c r="C658" s="842"/>
      <c r="D658" s="87" t="s">
        <v>1066</v>
      </c>
      <c r="E658" s="142">
        <v>0.05</v>
      </c>
      <c r="F658" s="80">
        <f>MATERIALES2!E35</f>
        <v>367600</v>
      </c>
      <c r="G658" s="110">
        <f>ROUND(E658*F658,0)</f>
        <v>18380</v>
      </c>
    </row>
    <row r="659" spans="1:8">
      <c r="A659" s="123"/>
      <c r="B659" s="854" t="str">
        <f>MATERIALES2!C159</f>
        <v>TABLA 1X10X10</v>
      </c>
      <c r="C659" s="855"/>
      <c r="D659" s="37" t="s">
        <v>865</v>
      </c>
      <c r="E659" s="83">
        <v>0.12</v>
      </c>
      <c r="F659" s="82">
        <f>MATERIALES2!E159</f>
        <v>8400</v>
      </c>
      <c r="G659" s="111">
        <f>ROUND(E659*F659,0)</f>
        <v>1008</v>
      </c>
    </row>
    <row r="660" spans="1:8">
      <c r="A660" s="95"/>
      <c r="B660" s="854" t="str">
        <f>MATERIALES2!C151</f>
        <v>ABARCO DE 2X2X4,50</v>
      </c>
      <c r="C660" s="855"/>
      <c r="D660" s="37" t="s">
        <v>865</v>
      </c>
      <c r="E660" s="83">
        <v>0.11</v>
      </c>
      <c r="F660" s="82">
        <f>MATERIALES2!E151</f>
        <v>5000</v>
      </c>
      <c r="G660" s="111">
        <f>ROUND(E660*F660,0)</f>
        <v>550</v>
      </c>
    </row>
    <row r="661" spans="1:8">
      <c r="A661" s="95"/>
      <c r="B661" s="854" t="str">
        <f>MATERIALES2!C918</f>
        <v>PUNTILLAS DE 2"</v>
      </c>
      <c r="C661" s="855"/>
      <c r="D661" s="37" t="s">
        <v>922</v>
      </c>
      <c r="E661" s="83">
        <v>0.13</v>
      </c>
      <c r="F661" s="82">
        <f>MATERIALES2!E918</f>
        <v>1500</v>
      </c>
      <c r="G661" s="111">
        <f>ROUND(E661*F661,0)</f>
        <v>195</v>
      </c>
    </row>
    <row r="662" spans="1:8">
      <c r="A662" s="95"/>
      <c r="B662" s="854" t="str">
        <f>MATERIALES2!C303</f>
        <v>TOKENET 1  IMPERMEABIL.1 KILO</v>
      </c>
      <c r="C662" s="855"/>
      <c r="D662" s="37" t="s">
        <v>865</v>
      </c>
      <c r="E662" s="141">
        <v>0.52500000000000002</v>
      </c>
      <c r="F662" s="82">
        <f>MATERIALES2!E303</f>
        <v>4142.5</v>
      </c>
      <c r="G662" s="111">
        <f>ROUND(E662*F662,0)</f>
        <v>2175</v>
      </c>
    </row>
    <row r="663" spans="1:8">
      <c r="A663" s="95"/>
      <c r="B663" s="938"/>
      <c r="C663" s="939"/>
      <c r="D663" s="53" t="s">
        <v>841</v>
      </c>
      <c r="E663" s="53"/>
      <c r="F663" s="82"/>
      <c r="G663" s="111"/>
    </row>
    <row r="664" spans="1:8">
      <c r="A664" s="95"/>
      <c r="B664" s="938" t="s">
        <v>841</v>
      </c>
      <c r="C664" s="939"/>
      <c r="D664" s="53" t="s">
        <v>841</v>
      </c>
      <c r="E664" s="53"/>
      <c r="F664" s="82"/>
      <c r="G664" s="111"/>
    </row>
    <row r="665" spans="1:8">
      <c r="A665" s="95"/>
      <c r="B665" s="938" t="s">
        <v>841</v>
      </c>
      <c r="C665" s="939"/>
      <c r="D665" s="53" t="s">
        <v>841</v>
      </c>
      <c r="E665" s="53"/>
      <c r="F665" s="82"/>
      <c r="G665" s="111"/>
      <c r="H665" s="505" t="s">
        <v>1670</v>
      </c>
    </row>
    <row r="666" spans="1:8" ht="13.5" thickBot="1">
      <c r="A666" s="95"/>
      <c r="B666" s="839" t="s">
        <v>841</v>
      </c>
      <c r="C666" s="840"/>
      <c r="D666" s="84" t="s">
        <v>841</v>
      </c>
      <c r="E666" s="84"/>
      <c r="F666" s="85"/>
      <c r="G666" s="112"/>
    </row>
    <row r="667" spans="1:8" ht="13.5" thickTop="1">
      <c r="A667" s="95"/>
      <c r="B667" s="808"/>
      <c r="C667" s="809"/>
      <c r="D667" s="801" t="s">
        <v>856</v>
      </c>
      <c r="E667" s="802"/>
      <c r="F667" s="9"/>
      <c r="G667" s="113">
        <f>SUM(G658:G666)</f>
        <v>22308</v>
      </c>
    </row>
    <row r="668" spans="1:8">
      <c r="A668" s="95"/>
      <c r="B668" s="819"/>
      <c r="C668" s="820"/>
      <c r="D668" s="801" t="s">
        <v>857</v>
      </c>
      <c r="E668" s="802"/>
      <c r="F668" s="79">
        <f>'MANO DE OBRA'!D60</f>
        <v>0.05</v>
      </c>
      <c r="G668" s="113">
        <f>ROUND(G667*F668,0)</f>
        <v>1115</v>
      </c>
    </row>
    <row r="669" spans="1:8" ht="13.5" thickBot="1">
      <c r="A669" s="95"/>
      <c r="B669" s="819"/>
      <c r="C669" s="820"/>
      <c r="D669" s="803" t="s">
        <v>320</v>
      </c>
      <c r="E669" s="804"/>
      <c r="F669" s="114"/>
      <c r="G669" s="118">
        <f>+G667+G668</f>
        <v>23423</v>
      </c>
    </row>
    <row r="670" spans="1:8" ht="14.25" thickTop="1" thickBot="1">
      <c r="A670" s="95"/>
      <c r="B670" s="830"/>
      <c r="C670" s="830"/>
      <c r="D670" s="830"/>
      <c r="E670" s="830"/>
      <c r="F670" s="830"/>
      <c r="G670" s="830"/>
    </row>
    <row r="671" spans="1:8" ht="13.5" thickTop="1">
      <c r="A671" s="95"/>
      <c r="B671" s="811" t="s">
        <v>858</v>
      </c>
      <c r="C671" s="812"/>
      <c r="D671" s="812"/>
      <c r="E671" s="812"/>
      <c r="F671" s="812"/>
      <c r="G671" s="825"/>
    </row>
    <row r="672" spans="1:8">
      <c r="A672" s="95"/>
      <c r="B672" s="817"/>
      <c r="C672" s="818"/>
      <c r="D672" s="98" t="s">
        <v>301</v>
      </c>
      <c r="E672" s="98" t="s">
        <v>859</v>
      </c>
      <c r="F672" s="99" t="s">
        <v>839</v>
      </c>
      <c r="G672" s="107" t="s">
        <v>840</v>
      </c>
    </row>
    <row r="673" spans="1:7">
      <c r="A673" s="95"/>
      <c r="B673" s="821" t="s">
        <v>838</v>
      </c>
      <c r="C673" s="822"/>
      <c r="D673" s="100" t="s">
        <v>316</v>
      </c>
      <c r="E673" s="100" t="s">
        <v>315</v>
      </c>
      <c r="F673" s="101" t="s">
        <v>306</v>
      </c>
      <c r="G673" s="108" t="s">
        <v>319</v>
      </c>
    </row>
    <row r="674" spans="1:7">
      <c r="A674" s="95"/>
      <c r="B674" s="115"/>
      <c r="C674" s="102"/>
      <c r="D674" s="103"/>
      <c r="E674" s="103" t="s">
        <v>317</v>
      </c>
      <c r="F674" s="104" t="s">
        <v>318</v>
      </c>
      <c r="G674" s="109"/>
    </row>
    <row r="675" spans="1:7">
      <c r="A675" s="95"/>
      <c r="B675" s="823" t="str">
        <f>'MANO DE OBRA'!B10</f>
        <v>AYUDANTE CUAD. TIPO AA</v>
      </c>
      <c r="C675" s="824"/>
      <c r="D675" s="87">
        <v>1</v>
      </c>
      <c r="E675" s="80">
        <f>'MANO DE OBRA'!E10</f>
        <v>34680</v>
      </c>
      <c r="F675" s="81">
        <v>6.5</v>
      </c>
      <c r="G675" s="110">
        <f>ROUND(D675*E675/F675,0)</f>
        <v>5335</v>
      </c>
    </row>
    <row r="676" spans="1:7">
      <c r="A676" s="95"/>
      <c r="B676" s="835" t="str">
        <f>'MANO DE OBRA'!B15</f>
        <v xml:space="preserve">OFICIAL CUAD. TIPO AA </v>
      </c>
      <c r="C676" s="836"/>
      <c r="D676" s="37">
        <v>1</v>
      </c>
      <c r="E676" s="82">
        <f>'MANO DE OBRA'!E15</f>
        <v>71474</v>
      </c>
      <c r="F676" s="83">
        <v>6.5</v>
      </c>
      <c r="G676" s="111">
        <f>ROUND(D676*E676/F676,0)</f>
        <v>10996</v>
      </c>
    </row>
    <row r="677" spans="1:7">
      <c r="A677" s="95"/>
      <c r="B677" s="835"/>
      <c r="C677" s="836"/>
      <c r="D677" s="89"/>
      <c r="E677" s="82"/>
      <c r="F677" s="83"/>
      <c r="G677" s="111"/>
    </row>
    <row r="678" spans="1:7">
      <c r="A678" s="95"/>
      <c r="B678" s="835" t="s">
        <v>841</v>
      </c>
      <c r="C678" s="836"/>
      <c r="D678" s="37"/>
      <c r="E678" s="82"/>
      <c r="F678" s="83"/>
      <c r="G678" s="111"/>
    </row>
    <row r="679" spans="1:7" ht="13.5" thickBot="1">
      <c r="A679" s="95"/>
      <c r="B679" s="828" t="s">
        <v>841</v>
      </c>
      <c r="C679" s="829"/>
      <c r="D679" s="77"/>
      <c r="E679" s="82"/>
      <c r="F679" s="86"/>
      <c r="G679" s="112"/>
    </row>
    <row r="680" spans="1:7" ht="14.25" thickTop="1" thickBot="1">
      <c r="A680" s="95"/>
      <c r="B680" s="808"/>
      <c r="C680" s="808"/>
      <c r="D680" s="808"/>
      <c r="E680" s="809"/>
      <c r="F680" s="120" t="s">
        <v>856</v>
      </c>
      <c r="G680" s="118">
        <f>SUM(G675:G679)</f>
        <v>16331</v>
      </c>
    </row>
    <row r="681" spans="1:7" ht="14.25" thickTop="1" thickBot="1">
      <c r="A681" s="95"/>
      <c r="B681" s="810"/>
      <c r="C681" s="810"/>
      <c r="D681" s="810"/>
      <c r="E681" s="810"/>
      <c r="F681" s="810"/>
      <c r="G681" s="810"/>
    </row>
    <row r="682" spans="1:7" ht="13.5" thickTop="1">
      <c r="A682" s="95"/>
      <c r="B682" s="811" t="s">
        <v>321</v>
      </c>
      <c r="C682" s="812"/>
      <c r="D682" s="812"/>
      <c r="E682" s="812"/>
      <c r="F682" s="812"/>
      <c r="G682" s="825"/>
    </row>
    <row r="683" spans="1:7">
      <c r="A683" s="95"/>
      <c r="B683" s="817" t="s">
        <v>838</v>
      </c>
      <c r="C683" s="818"/>
      <c r="D683" s="98" t="s">
        <v>301</v>
      </c>
      <c r="E683" s="98" t="s">
        <v>297</v>
      </c>
      <c r="F683" s="99" t="s">
        <v>839</v>
      </c>
      <c r="G683" s="107" t="s">
        <v>840</v>
      </c>
    </row>
    <row r="684" spans="1:7">
      <c r="A684" s="95"/>
      <c r="B684" s="115"/>
      <c r="C684" s="102"/>
      <c r="D684" s="103" t="s">
        <v>322</v>
      </c>
      <c r="E684" s="103" t="s">
        <v>323</v>
      </c>
      <c r="F684" s="104" t="s">
        <v>324</v>
      </c>
      <c r="G684" s="109" t="s">
        <v>325</v>
      </c>
    </row>
    <row r="685" spans="1:7">
      <c r="A685" s="95"/>
      <c r="B685" s="826"/>
      <c r="C685" s="827"/>
      <c r="D685" s="96"/>
      <c r="E685" s="96"/>
      <c r="F685" s="96"/>
      <c r="G685" s="116"/>
    </row>
    <row r="686" spans="1:7" ht="13.5" thickBot="1">
      <c r="A686" s="95"/>
      <c r="B686" s="828" t="s">
        <v>841</v>
      </c>
      <c r="C686" s="829"/>
      <c r="D686" s="77"/>
      <c r="E686" s="82"/>
      <c r="F686" s="86"/>
      <c r="G686" s="112"/>
    </row>
    <row r="687" spans="1:7" ht="14.25" thickTop="1" thickBot="1">
      <c r="A687" s="95"/>
      <c r="B687" s="808"/>
      <c r="C687" s="808"/>
      <c r="D687" s="808"/>
      <c r="E687" s="809"/>
      <c r="F687" s="120" t="s">
        <v>856</v>
      </c>
      <c r="G687" s="118">
        <f>SUM(G682:G686)</f>
        <v>0</v>
      </c>
    </row>
    <row r="688" spans="1:7" ht="14.25" thickTop="1" thickBot="1">
      <c r="A688" s="95"/>
      <c r="B688" s="810"/>
      <c r="C688" s="810"/>
      <c r="D688" s="810"/>
      <c r="E688" s="810"/>
      <c r="F688" s="810"/>
      <c r="G688" s="834"/>
    </row>
    <row r="689" spans="1:8" ht="13.5" thickTop="1">
      <c r="A689" s="95"/>
      <c r="B689" s="811" t="s">
        <v>326</v>
      </c>
      <c r="C689" s="812"/>
      <c r="D689" s="812"/>
      <c r="E689" s="812"/>
      <c r="F689" s="813"/>
      <c r="G689" s="121">
        <f>+G653+G669+G680</f>
        <v>42613</v>
      </c>
    </row>
    <row r="690" spans="1:8">
      <c r="A690" s="95"/>
      <c r="B690" s="814" t="s">
        <v>861</v>
      </c>
      <c r="C690" s="815"/>
      <c r="D690" s="815"/>
      <c r="E690" s="816"/>
      <c r="F690" s="128">
        <f>'MANO DE OBRA'!D59</f>
        <v>0</v>
      </c>
      <c r="G690" s="122">
        <f>ROUND(G689*F690,0)</f>
        <v>0</v>
      </c>
    </row>
    <row r="691" spans="1:8" ht="13.5" thickBot="1">
      <c r="A691" s="95"/>
      <c r="B691" s="805" t="s">
        <v>1049</v>
      </c>
      <c r="C691" s="806"/>
      <c r="D691" s="806"/>
      <c r="E691" s="806"/>
      <c r="F691" s="807"/>
      <c r="G691" s="118">
        <f>ROUND(G689+G690,-2)</f>
        <v>42600</v>
      </c>
      <c r="H691" s="505" t="s">
        <v>1670</v>
      </c>
    </row>
    <row r="692" spans="1:8" ht="13.5" thickTop="1">
      <c r="A692" s="95"/>
      <c r="B692" s="90" t="s">
        <v>303</v>
      </c>
      <c r="C692" s="843"/>
      <c r="D692" s="843"/>
      <c r="E692" s="843"/>
      <c r="F692" s="92" t="s">
        <v>781</v>
      </c>
      <c r="G692" s="93" t="s">
        <v>865</v>
      </c>
    </row>
    <row r="693" spans="1:8">
      <c r="A693" s="95"/>
      <c r="B693" s="91" t="s">
        <v>834</v>
      </c>
      <c r="C693" s="844" t="s">
        <v>367</v>
      </c>
      <c r="D693" s="844"/>
      <c r="E693" s="844"/>
      <c r="F693" s="15" t="s">
        <v>833</v>
      </c>
      <c r="G693" s="165" t="str">
        <f>'MANO DE OBRA'!D61</f>
        <v>Agosto de 2010</v>
      </c>
    </row>
    <row r="694" spans="1:8" ht="24.75" customHeight="1" thickBot="1">
      <c r="A694" s="127"/>
      <c r="B694" s="94" t="s">
        <v>835</v>
      </c>
      <c r="C694" s="940" t="s">
        <v>165</v>
      </c>
      <c r="D694" s="940"/>
      <c r="E694" s="940"/>
      <c r="F694" s="940"/>
      <c r="G694" s="941"/>
    </row>
    <row r="695" spans="1:8" ht="14.25" thickTop="1" thickBot="1">
      <c r="A695" s="95"/>
      <c r="B695" s="847"/>
      <c r="C695" s="847"/>
      <c r="D695" s="847"/>
      <c r="E695" s="847"/>
      <c r="F695" s="847"/>
      <c r="G695" s="847"/>
    </row>
    <row r="696" spans="1:8" ht="13.5" thickTop="1">
      <c r="A696" s="95"/>
      <c r="B696" s="811" t="s">
        <v>304</v>
      </c>
      <c r="C696" s="812"/>
      <c r="D696" s="812"/>
      <c r="E696" s="812"/>
      <c r="F696" s="812"/>
      <c r="G696" s="825"/>
    </row>
    <row r="697" spans="1:8">
      <c r="A697" s="95"/>
      <c r="B697" s="105"/>
      <c r="C697" s="97"/>
      <c r="D697" s="98" t="s">
        <v>301</v>
      </c>
      <c r="E697" s="98" t="s">
        <v>1072</v>
      </c>
      <c r="F697" s="99" t="s">
        <v>839</v>
      </c>
      <c r="G697" s="107" t="s">
        <v>840</v>
      </c>
    </row>
    <row r="698" spans="1:8">
      <c r="A698" s="95"/>
      <c r="B698" s="821" t="s">
        <v>838</v>
      </c>
      <c r="C698" s="822"/>
      <c r="D698" s="100" t="s">
        <v>308</v>
      </c>
      <c r="E698" s="100" t="s">
        <v>305</v>
      </c>
      <c r="F698" s="101" t="s">
        <v>306</v>
      </c>
      <c r="G698" s="108" t="s">
        <v>310</v>
      </c>
    </row>
    <row r="699" spans="1:8">
      <c r="A699" s="95"/>
      <c r="B699" s="115"/>
      <c r="C699" s="102"/>
      <c r="D699" s="103"/>
      <c r="E699" s="103" t="s">
        <v>309</v>
      </c>
      <c r="F699" s="104" t="s">
        <v>307</v>
      </c>
      <c r="G699" s="109"/>
    </row>
    <row r="700" spans="1:8">
      <c r="A700" s="127"/>
      <c r="B700" s="823" t="str">
        <f>'MAQUINARIA Y EQUIPOS'!C28</f>
        <v>HERRAMIENTAS MENORES</v>
      </c>
      <c r="C700" s="824"/>
      <c r="D700" s="87">
        <v>1</v>
      </c>
      <c r="E700" s="82">
        <f>ROUND(G733*0.05,0)</f>
        <v>3912</v>
      </c>
      <c r="F700" s="81">
        <v>1</v>
      </c>
      <c r="G700" s="110">
        <f>ROUND(D700*E700/F700,0)</f>
        <v>3912</v>
      </c>
    </row>
    <row r="701" spans="1:8">
      <c r="A701" s="95"/>
      <c r="B701" s="835" t="str">
        <f>'MAQUINARIA Y EQUIPOS'!C53</f>
        <v>VIBRADOR A GASOLINA</v>
      </c>
      <c r="C701" s="836"/>
      <c r="D701" s="37">
        <v>1</v>
      </c>
      <c r="E701" s="82">
        <f>'MAQUINARIA Y EQUIPOS'!D53</f>
        <v>51040</v>
      </c>
      <c r="F701" s="83">
        <v>25</v>
      </c>
      <c r="G701" s="111">
        <f>ROUND(D701*E701/F701,0)</f>
        <v>2042</v>
      </c>
    </row>
    <row r="702" spans="1:8">
      <c r="A702" s="95"/>
      <c r="B702" s="835"/>
      <c r="C702" s="836"/>
      <c r="D702" s="89"/>
      <c r="E702" s="82"/>
      <c r="F702" s="83"/>
      <c r="G702" s="111"/>
    </row>
    <row r="703" spans="1:8">
      <c r="A703" s="95"/>
      <c r="B703" s="835"/>
      <c r="C703" s="836"/>
      <c r="D703" s="89"/>
      <c r="E703" s="82"/>
      <c r="F703" s="83"/>
      <c r="G703" s="111"/>
    </row>
    <row r="704" spans="1:8">
      <c r="A704" s="95"/>
      <c r="B704" s="835" t="s">
        <v>841</v>
      </c>
      <c r="C704" s="836"/>
      <c r="D704" s="37"/>
      <c r="E704" s="82"/>
      <c r="F704" s="83"/>
      <c r="G704" s="111"/>
    </row>
    <row r="705" spans="1:8" ht="13.5" thickBot="1">
      <c r="A705" s="95"/>
      <c r="B705" s="839" t="s">
        <v>841</v>
      </c>
      <c r="C705" s="840"/>
      <c r="D705" s="77"/>
      <c r="E705" s="106"/>
      <c r="F705" s="86"/>
      <c r="G705" s="112"/>
    </row>
    <row r="706" spans="1:8" ht="14.25" thickTop="1" thickBot="1">
      <c r="A706" s="95"/>
      <c r="B706" s="808"/>
      <c r="C706" s="808"/>
      <c r="D706" s="808"/>
      <c r="E706" s="809"/>
      <c r="F706" s="119" t="s">
        <v>856</v>
      </c>
      <c r="G706" s="118">
        <f>SUM(G700:G705)</f>
        <v>5954</v>
      </c>
    </row>
    <row r="707" spans="1:8" ht="14.25" thickTop="1" thickBot="1">
      <c r="A707" s="95"/>
      <c r="B707" s="830"/>
      <c r="C707" s="830"/>
      <c r="D707" s="830"/>
      <c r="E707" s="830"/>
      <c r="F707" s="830"/>
      <c r="G707" s="830"/>
    </row>
    <row r="708" spans="1:8" ht="13.5" thickTop="1">
      <c r="A708" s="95"/>
      <c r="B708" s="811" t="s">
        <v>311</v>
      </c>
      <c r="C708" s="812"/>
      <c r="D708" s="812"/>
      <c r="E708" s="812"/>
      <c r="F708" s="812"/>
      <c r="G708" s="825"/>
    </row>
    <row r="709" spans="1:8">
      <c r="A709" s="95"/>
      <c r="B709" s="817" t="s">
        <v>838</v>
      </c>
      <c r="C709" s="818"/>
      <c r="D709" s="98" t="s">
        <v>842</v>
      </c>
      <c r="E709" s="98" t="s">
        <v>853</v>
      </c>
      <c r="F709" s="99" t="s">
        <v>1047</v>
      </c>
      <c r="G709" s="107" t="s">
        <v>840</v>
      </c>
    </row>
    <row r="710" spans="1:8">
      <c r="A710" s="95"/>
      <c r="B710" s="115"/>
      <c r="C710" s="102"/>
      <c r="D710" s="100"/>
      <c r="E710" s="100" t="s">
        <v>312</v>
      </c>
      <c r="F710" s="101" t="s">
        <v>313</v>
      </c>
      <c r="G710" s="108" t="s">
        <v>314</v>
      </c>
    </row>
    <row r="711" spans="1:8" ht="14.25">
      <c r="A711" s="125"/>
      <c r="B711" s="841" t="str">
        <f>MATERIALES2!C35</f>
        <v>CONCRETO 1:2:3-3000 psi(MATERIALES)</v>
      </c>
      <c r="C711" s="842"/>
      <c r="D711" s="87" t="s">
        <v>1066</v>
      </c>
      <c r="E711" s="144">
        <f>1*1*0.4</f>
        <v>0.4</v>
      </c>
      <c r="F711" s="80">
        <f>MATERIALES2!E35</f>
        <v>367600</v>
      </c>
      <c r="G711" s="110">
        <f>ROUND(E711*F711,0)</f>
        <v>147040</v>
      </c>
    </row>
    <row r="712" spans="1:8" ht="14.25">
      <c r="A712" s="123"/>
      <c r="B712" s="854" t="str">
        <f>MATERIALES2!C41</f>
        <v>CONCRETO 1:3:5-2000 PSI(MATERIALES)</v>
      </c>
      <c r="C712" s="855"/>
      <c r="D712" s="37" t="s">
        <v>1066</v>
      </c>
      <c r="E712" s="141">
        <v>7.4999999999999997E-2</v>
      </c>
      <c r="F712" s="82">
        <f>MATERIALES2!E41</f>
        <v>319200</v>
      </c>
      <c r="G712" s="111">
        <f>ROUND(E712*F712,0)</f>
        <v>23940</v>
      </c>
    </row>
    <row r="713" spans="1:8">
      <c r="A713" s="95"/>
      <c r="B713" s="854" t="str">
        <f>MATERIALES2!C70</f>
        <v>VARILLA CORRUGADA ½" x 6.0 M</v>
      </c>
      <c r="C713" s="855"/>
      <c r="D713" s="37" t="s">
        <v>865</v>
      </c>
      <c r="E713" s="83">
        <v>2.4500000000000002</v>
      </c>
      <c r="F713" s="82">
        <f>MATERIALES2!E70</f>
        <v>9300</v>
      </c>
      <c r="G713" s="111">
        <f>ROUND(E713*F713,0)</f>
        <v>22785</v>
      </c>
    </row>
    <row r="714" spans="1:8">
      <c r="A714" s="95"/>
      <c r="B714" s="854" t="str">
        <f>MATERIALES2!C65</f>
        <v>ALAMBRE NEGRO</v>
      </c>
      <c r="C714" s="855"/>
      <c r="D714" s="37" t="s">
        <v>925</v>
      </c>
      <c r="E714" s="83">
        <v>0.23</v>
      </c>
      <c r="F714" s="82">
        <f>MATERIALES2!E65</f>
        <v>2100</v>
      </c>
      <c r="G714" s="111">
        <f>ROUND(E714*F714,0)</f>
        <v>483</v>
      </c>
    </row>
    <row r="715" spans="1:8">
      <c r="A715" s="95"/>
      <c r="B715" s="854"/>
      <c r="C715" s="855"/>
      <c r="D715" s="37"/>
      <c r="E715" s="83"/>
      <c r="F715" s="82"/>
      <c r="G715" s="111"/>
    </row>
    <row r="716" spans="1:8">
      <c r="A716" s="95"/>
      <c r="B716" s="938"/>
      <c r="C716" s="939"/>
      <c r="D716" s="53" t="s">
        <v>841</v>
      </c>
      <c r="E716" s="53"/>
      <c r="F716" s="82"/>
      <c r="G716" s="111"/>
    </row>
    <row r="717" spans="1:8">
      <c r="A717" s="95"/>
      <c r="B717" s="837" t="s">
        <v>841</v>
      </c>
      <c r="C717" s="838"/>
      <c r="D717" s="53" t="s">
        <v>841</v>
      </c>
      <c r="E717" s="53"/>
      <c r="F717" s="82"/>
      <c r="G717" s="111"/>
    </row>
    <row r="718" spans="1:8">
      <c r="A718" s="95"/>
      <c r="B718" s="837" t="s">
        <v>841</v>
      </c>
      <c r="C718" s="838"/>
      <c r="D718" s="53" t="s">
        <v>841</v>
      </c>
      <c r="E718" s="53"/>
      <c r="F718" s="82"/>
      <c r="G718" s="111"/>
      <c r="H718" s="505" t="s">
        <v>1670</v>
      </c>
    </row>
    <row r="719" spans="1:8" ht="13.5" thickBot="1">
      <c r="A719" s="95"/>
      <c r="B719" s="839" t="s">
        <v>841</v>
      </c>
      <c r="C719" s="840"/>
      <c r="D719" s="84" t="s">
        <v>841</v>
      </c>
      <c r="E719" s="84"/>
      <c r="F719" s="85"/>
      <c r="G719" s="112"/>
    </row>
    <row r="720" spans="1:8" ht="13.5" thickTop="1">
      <c r="A720" s="95"/>
      <c r="B720" s="808"/>
      <c r="C720" s="809"/>
      <c r="D720" s="801" t="s">
        <v>856</v>
      </c>
      <c r="E720" s="802"/>
      <c r="F720" s="9"/>
      <c r="G720" s="113">
        <f>SUM(G711:G719)</f>
        <v>194248</v>
      </c>
    </row>
    <row r="721" spans="1:7">
      <c r="A721" s="95"/>
      <c r="B721" s="819"/>
      <c r="C721" s="820"/>
      <c r="D721" s="801" t="s">
        <v>857</v>
      </c>
      <c r="E721" s="802"/>
      <c r="F721" s="79">
        <f>'MANO DE OBRA'!D60</f>
        <v>0.05</v>
      </c>
      <c r="G721" s="113">
        <f>ROUND(G720*F721,0)</f>
        <v>9712</v>
      </c>
    </row>
    <row r="722" spans="1:7" ht="13.5" thickBot="1">
      <c r="A722" s="95"/>
      <c r="B722" s="819"/>
      <c r="C722" s="820"/>
      <c r="D722" s="803" t="s">
        <v>320</v>
      </c>
      <c r="E722" s="804"/>
      <c r="F722" s="114"/>
      <c r="G722" s="118">
        <f>+G720+G721</f>
        <v>203960</v>
      </c>
    </row>
    <row r="723" spans="1:7" ht="14.25" thickTop="1" thickBot="1">
      <c r="A723" s="95"/>
      <c r="B723" s="830"/>
      <c r="C723" s="830"/>
      <c r="D723" s="830"/>
      <c r="E723" s="830"/>
      <c r="F723" s="830"/>
      <c r="G723" s="830"/>
    </row>
    <row r="724" spans="1:7" ht="13.5" thickTop="1">
      <c r="A724" s="95"/>
      <c r="B724" s="811" t="s">
        <v>858</v>
      </c>
      <c r="C724" s="812"/>
      <c r="D724" s="812"/>
      <c r="E724" s="812"/>
      <c r="F724" s="812"/>
      <c r="G724" s="825"/>
    </row>
    <row r="725" spans="1:7">
      <c r="A725" s="95"/>
      <c r="B725" s="817"/>
      <c r="C725" s="818"/>
      <c r="D725" s="98" t="s">
        <v>301</v>
      </c>
      <c r="E725" s="98" t="s">
        <v>859</v>
      </c>
      <c r="F725" s="99" t="s">
        <v>839</v>
      </c>
      <c r="G725" s="107" t="s">
        <v>840</v>
      </c>
    </row>
    <row r="726" spans="1:7">
      <c r="A726" s="95"/>
      <c r="B726" s="821" t="s">
        <v>838</v>
      </c>
      <c r="C726" s="822"/>
      <c r="D726" s="100" t="s">
        <v>316</v>
      </c>
      <c r="E726" s="100" t="s">
        <v>315</v>
      </c>
      <c r="F726" s="101" t="s">
        <v>306</v>
      </c>
      <c r="G726" s="108" t="s">
        <v>319</v>
      </c>
    </row>
    <row r="727" spans="1:7">
      <c r="A727" s="95"/>
      <c r="B727" s="115"/>
      <c r="C727" s="102"/>
      <c r="D727" s="103"/>
      <c r="E727" s="103" t="s">
        <v>317</v>
      </c>
      <c r="F727" s="104" t="s">
        <v>318</v>
      </c>
      <c r="G727" s="109"/>
    </row>
    <row r="728" spans="1:7">
      <c r="A728" s="95"/>
      <c r="B728" s="823" t="str">
        <f>'MANO DE OBRA'!B10</f>
        <v>AYUDANTE CUAD. TIPO AA</v>
      </c>
      <c r="C728" s="824"/>
      <c r="D728" s="87">
        <v>2</v>
      </c>
      <c r="E728" s="80">
        <f>'MANO DE OBRA'!E10</f>
        <v>34680</v>
      </c>
      <c r="F728" s="81">
        <v>1.8</v>
      </c>
      <c r="G728" s="110">
        <f>ROUND(D728*E728/F728,0)</f>
        <v>38533</v>
      </c>
    </row>
    <row r="729" spans="1:7">
      <c r="A729" s="95"/>
      <c r="B729" s="835" t="str">
        <f>'MANO DE OBRA'!B15</f>
        <v xml:space="preserve">OFICIAL CUAD. TIPO AA </v>
      </c>
      <c r="C729" s="836"/>
      <c r="D729" s="37">
        <v>1</v>
      </c>
      <c r="E729" s="82">
        <f>'MANO DE OBRA'!E15</f>
        <v>71474</v>
      </c>
      <c r="F729" s="83">
        <v>1.8</v>
      </c>
      <c r="G729" s="111">
        <f>ROUND(D729*E729/F729,0)</f>
        <v>39708</v>
      </c>
    </row>
    <row r="730" spans="1:7">
      <c r="A730" s="95"/>
      <c r="B730" s="835"/>
      <c r="C730" s="836"/>
      <c r="D730" s="89"/>
      <c r="E730" s="82"/>
      <c r="F730" s="83"/>
      <c r="G730" s="111"/>
    </row>
    <row r="731" spans="1:7">
      <c r="A731" s="95"/>
      <c r="B731" s="835" t="s">
        <v>841</v>
      </c>
      <c r="C731" s="836"/>
      <c r="D731" s="37"/>
      <c r="E731" s="82"/>
      <c r="F731" s="83"/>
      <c r="G731" s="111"/>
    </row>
    <row r="732" spans="1:7" ht="13.5" thickBot="1">
      <c r="A732" s="95"/>
      <c r="B732" s="828" t="s">
        <v>841</v>
      </c>
      <c r="C732" s="829"/>
      <c r="D732" s="77"/>
      <c r="E732" s="82"/>
      <c r="F732" s="86"/>
      <c r="G732" s="112"/>
    </row>
    <row r="733" spans="1:7" ht="14.25" thickTop="1" thickBot="1">
      <c r="A733" s="95"/>
      <c r="B733" s="808"/>
      <c r="C733" s="808"/>
      <c r="D733" s="808"/>
      <c r="E733" s="809"/>
      <c r="F733" s="120" t="s">
        <v>856</v>
      </c>
      <c r="G733" s="118">
        <f>SUM(G728:G732)</f>
        <v>78241</v>
      </c>
    </row>
    <row r="734" spans="1:7" ht="14.25" thickTop="1" thickBot="1">
      <c r="A734" s="95"/>
      <c r="B734" s="810"/>
      <c r="C734" s="810"/>
      <c r="D734" s="810"/>
      <c r="E734" s="810"/>
      <c r="F734" s="810"/>
      <c r="G734" s="810"/>
    </row>
    <row r="735" spans="1:7" ht="13.5" thickTop="1">
      <c r="A735" s="95"/>
      <c r="B735" s="811" t="s">
        <v>321</v>
      </c>
      <c r="C735" s="812"/>
      <c r="D735" s="812"/>
      <c r="E735" s="812"/>
      <c r="F735" s="812"/>
      <c r="G735" s="825"/>
    </row>
    <row r="736" spans="1:7">
      <c r="A736" s="95"/>
      <c r="B736" s="817" t="s">
        <v>838</v>
      </c>
      <c r="C736" s="818"/>
      <c r="D736" s="98" t="s">
        <v>301</v>
      </c>
      <c r="E736" s="98" t="s">
        <v>297</v>
      </c>
      <c r="F736" s="99" t="s">
        <v>839</v>
      </c>
      <c r="G736" s="107" t="s">
        <v>840</v>
      </c>
    </row>
    <row r="737" spans="1:8">
      <c r="A737" s="95"/>
      <c r="B737" s="115"/>
      <c r="C737" s="102"/>
      <c r="D737" s="103" t="s">
        <v>322</v>
      </c>
      <c r="E737" s="103" t="s">
        <v>323</v>
      </c>
      <c r="F737" s="104" t="s">
        <v>324</v>
      </c>
      <c r="G737" s="109" t="s">
        <v>325</v>
      </c>
    </row>
    <row r="738" spans="1:8">
      <c r="A738" s="95"/>
      <c r="B738" s="826"/>
      <c r="C738" s="827"/>
      <c r="D738" s="96"/>
      <c r="E738" s="96"/>
      <c r="F738" s="96"/>
      <c r="G738" s="116"/>
    </row>
    <row r="739" spans="1:8" ht="13.5" thickBot="1">
      <c r="A739" s="95"/>
      <c r="B739" s="828" t="s">
        <v>841</v>
      </c>
      <c r="C739" s="829"/>
      <c r="D739" s="77"/>
      <c r="E739" s="82"/>
      <c r="F739" s="86"/>
      <c r="G739" s="112"/>
    </row>
    <row r="740" spans="1:8" ht="14.25" thickTop="1" thickBot="1">
      <c r="A740" s="95"/>
      <c r="B740" s="808"/>
      <c r="C740" s="808"/>
      <c r="D740" s="808"/>
      <c r="E740" s="809"/>
      <c r="F740" s="120" t="s">
        <v>856</v>
      </c>
      <c r="G740" s="118">
        <f>SUM(G735:G739)</f>
        <v>0</v>
      </c>
    </row>
    <row r="741" spans="1:8" ht="14.25" thickTop="1" thickBot="1">
      <c r="A741" s="95"/>
      <c r="B741" s="810"/>
      <c r="C741" s="810"/>
      <c r="D741" s="810"/>
      <c r="E741" s="810"/>
      <c r="F741" s="810"/>
      <c r="G741" s="834"/>
    </row>
    <row r="742" spans="1:8" ht="13.5" thickTop="1">
      <c r="A742" s="95"/>
      <c r="B742" s="811" t="s">
        <v>326</v>
      </c>
      <c r="C742" s="812"/>
      <c r="D742" s="812"/>
      <c r="E742" s="812"/>
      <c r="F742" s="813"/>
      <c r="G742" s="121">
        <f>+G706+G722+G733</f>
        <v>288155</v>
      </c>
    </row>
    <row r="743" spans="1:8">
      <c r="A743" s="95"/>
      <c r="B743" s="814" t="s">
        <v>861</v>
      </c>
      <c r="C743" s="815"/>
      <c r="D743" s="815"/>
      <c r="E743" s="816"/>
      <c r="F743" s="128">
        <f>'MANO DE OBRA'!D59</f>
        <v>0</v>
      </c>
      <c r="G743" s="122">
        <f>ROUND(G742*F743,0)</f>
        <v>0</v>
      </c>
    </row>
    <row r="744" spans="1:8" ht="13.5" thickBot="1">
      <c r="A744" s="95"/>
      <c r="B744" s="805" t="s">
        <v>1049</v>
      </c>
      <c r="C744" s="806"/>
      <c r="D744" s="806"/>
      <c r="E744" s="806"/>
      <c r="F744" s="807"/>
      <c r="G744" s="118">
        <f>ROUND(G742+G743,-2)</f>
        <v>288200</v>
      </c>
      <c r="H744" s="505" t="s">
        <v>1670</v>
      </c>
    </row>
    <row r="745" spans="1:8" ht="13.5" thickTop="1">
      <c r="A745" s="95"/>
      <c r="B745" s="90" t="s">
        <v>303</v>
      </c>
      <c r="C745" s="843"/>
      <c r="D745" s="843"/>
      <c r="E745" s="843"/>
      <c r="F745" s="92" t="s">
        <v>781</v>
      </c>
      <c r="G745" s="93" t="s">
        <v>865</v>
      </c>
    </row>
    <row r="746" spans="1:8">
      <c r="A746" s="95"/>
      <c r="B746" s="91" t="s">
        <v>834</v>
      </c>
      <c r="C746" s="844" t="s">
        <v>367</v>
      </c>
      <c r="D746" s="844"/>
      <c r="E746" s="844"/>
      <c r="F746" s="15" t="s">
        <v>833</v>
      </c>
      <c r="G746" s="165" t="str">
        <f>'MANO DE OBRA'!D61</f>
        <v>Agosto de 2010</v>
      </c>
    </row>
    <row r="747" spans="1:8" ht="13.5" thickBot="1">
      <c r="A747" s="127"/>
      <c r="B747" s="94" t="s">
        <v>835</v>
      </c>
      <c r="C747" s="845" t="s">
        <v>522</v>
      </c>
      <c r="D747" s="845"/>
      <c r="E747" s="845"/>
      <c r="F747" s="845"/>
      <c r="G747" s="846"/>
    </row>
    <row r="748" spans="1:8" ht="14.25" thickTop="1" thickBot="1">
      <c r="A748" s="95"/>
      <c r="B748" s="847"/>
      <c r="C748" s="847"/>
      <c r="D748" s="847"/>
      <c r="E748" s="847"/>
      <c r="F748" s="847"/>
      <c r="G748" s="847"/>
    </row>
    <row r="749" spans="1:8" ht="13.5" thickTop="1">
      <c r="A749" s="95"/>
      <c r="B749" s="811" t="s">
        <v>304</v>
      </c>
      <c r="C749" s="812"/>
      <c r="D749" s="812"/>
      <c r="E749" s="812"/>
      <c r="F749" s="812"/>
      <c r="G749" s="825"/>
    </row>
    <row r="750" spans="1:8">
      <c r="A750" s="95"/>
      <c r="B750" s="105"/>
      <c r="C750" s="97"/>
      <c r="D750" s="98" t="s">
        <v>301</v>
      </c>
      <c r="E750" s="98" t="s">
        <v>1072</v>
      </c>
      <c r="F750" s="99" t="s">
        <v>839</v>
      </c>
      <c r="G750" s="107" t="s">
        <v>840</v>
      </c>
    </row>
    <row r="751" spans="1:8">
      <c r="A751" s="95"/>
      <c r="B751" s="821" t="s">
        <v>838</v>
      </c>
      <c r="C751" s="822"/>
      <c r="D751" s="100" t="s">
        <v>308</v>
      </c>
      <c r="E751" s="100" t="s">
        <v>305</v>
      </c>
      <c r="F751" s="101" t="s">
        <v>306</v>
      </c>
      <c r="G751" s="108" t="s">
        <v>310</v>
      </c>
    </row>
    <row r="752" spans="1:8">
      <c r="A752" s="95"/>
      <c r="B752" s="115"/>
      <c r="C752" s="102"/>
      <c r="D752" s="103"/>
      <c r="E752" s="103" t="s">
        <v>309</v>
      </c>
      <c r="F752" s="104" t="s">
        <v>307</v>
      </c>
      <c r="G752" s="109"/>
    </row>
    <row r="753" spans="1:7">
      <c r="A753" s="127"/>
      <c r="B753" s="823" t="str">
        <f>'MAQUINARIA Y EQUIPOS'!C28</f>
        <v>HERRAMIENTAS MENORES</v>
      </c>
      <c r="C753" s="824"/>
      <c r="D753" s="87">
        <v>1</v>
      </c>
      <c r="E753" s="82">
        <f>ROUND(G786*0.05,0)</f>
        <v>5066</v>
      </c>
      <c r="F753" s="81">
        <v>1</v>
      </c>
      <c r="G753" s="110">
        <f>ROUND(D753*E753/F753,0)</f>
        <v>5066</v>
      </c>
    </row>
    <row r="754" spans="1:7">
      <c r="A754" s="95"/>
      <c r="B754" s="835" t="str">
        <f>'MAQUINARIA Y EQUIPOS'!C53</f>
        <v>VIBRADOR A GASOLINA</v>
      </c>
      <c r="C754" s="836"/>
      <c r="D754" s="37">
        <v>1</v>
      </c>
      <c r="E754" s="82">
        <f>'MAQUINARIA Y EQUIPOS'!D53</f>
        <v>51040</v>
      </c>
      <c r="F754" s="83">
        <v>25</v>
      </c>
      <c r="G754" s="111">
        <f>ROUND(D754*E754/F754,0)</f>
        <v>2042</v>
      </c>
    </row>
    <row r="755" spans="1:7">
      <c r="A755" s="95"/>
      <c r="B755" s="835"/>
      <c r="C755" s="836"/>
      <c r="D755" s="89"/>
      <c r="E755" s="82"/>
      <c r="F755" s="83"/>
      <c r="G755" s="111"/>
    </row>
    <row r="756" spans="1:7">
      <c r="A756" s="95"/>
      <c r="B756" s="835"/>
      <c r="C756" s="836"/>
      <c r="D756" s="89"/>
      <c r="E756" s="82"/>
      <c r="F756" s="83"/>
      <c r="G756" s="111"/>
    </row>
    <row r="757" spans="1:7">
      <c r="A757" s="95"/>
      <c r="B757" s="835" t="s">
        <v>841</v>
      </c>
      <c r="C757" s="836"/>
      <c r="D757" s="37"/>
      <c r="E757" s="82"/>
      <c r="F757" s="83"/>
      <c r="G757" s="111"/>
    </row>
    <row r="758" spans="1:7" ht="13.5" thickBot="1">
      <c r="A758" s="95"/>
      <c r="B758" s="839" t="s">
        <v>841</v>
      </c>
      <c r="C758" s="840"/>
      <c r="D758" s="77"/>
      <c r="E758" s="106"/>
      <c r="F758" s="86"/>
      <c r="G758" s="112"/>
    </row>
    <row r="759" spans="1:7" ht="14.25" thickTop="1" thickBot="1">
      <c r="A759" s="95"/>
      <c r="B759" s="808"/>
      <c r="C759" s="808"/>
      <c r="D759" s="808"/>
      <c r="E759" s="809"/>
      <c r="F759" s="119" t="s">
        <v>856</v>
      </c>
      <c r="G759" s="118">
        <f>SUM(G753:G758)</f>
        <v>7108</v>
      </c>
    </row>
    <row r="760" spans="1:7" ht="14.25" thickTop="1" thickBot="1">
      <c r="A760" s="95"/>
      <c r="B760" s="830"/>
      <c r="C760" s="830"/>
      <c r="D760" s="830"/>
      <c r="E760" s="830"/>
      <c r="F760" s="830"/>
      <c r="G760" s="830"/>
    </row>
    <row r="761" spans="1:7" ht="13.5" thickTop="1">
      <c r="A761" s="95"/>
      <c r="B761" s="811" t="s">
        <v>311</v>
      </c>
      <c r="C761" s="812"/>
      <c r="D761" s="812"/>
      <c r="E761" s="812"/>
      <c r="F761" s="812"/>
      <c r="G761" s="825"/>
    </row>
    <row r="762" spans="1:7">
      <c r="A762" s="95"/>
      <c r="B762" s="817" t="s">
        <v>838</v>
      </c>
      <c r="C762" s="818"/>
      <c r="D762" s="98" t="s">
        <v>842</v>
      </c>
      <c r="E762" s="98" t="s">
        <v>853</v>
      </c>
      <c r="F762" s="99" t="s">
        <v>1047</v>
      </c>
      <c r="G762" s="107" t="s">
        <v>840</v>
      </c>
    </row>
    <row r="763" spans="1:7">
      <c r="A763" s="95"/>
      <c r="B763" s="115"/>
      <c r="C763" s="102"/>
      <c r="D763" s="100"/>
      <c r="E763" s="100" t="s">
        <v>312</v>
      </c>
      <c r="F763" s="101" t="s">
        <v>313</v>
      </c>
      <c r="G763" s="108" t="s">
        <v>314</v>
      </c>
    </row>
    <row r="764" spans="1:7" ht="14.25">
      <c r="A764" s="125"/>
      <c r="B764" s="841" t="str">
        <f>MATERIALES2!C35</f>
        <v>CONCRETO 1:2:3-3000 psi(MATERIALES)</v>
      </c>
      <c r="C764" s="842"/>
      <c r="D764" s="87" t="s">
        <v>1066</v>
      </c>
      <c r="E764" s="142">
        <f>1.2*1.2*0.475</f>
        <v>0.68399999999999994</v>
      </c>
      <c r="F764" s="80">
        <f>MATERIALES2!E35</f>
        <v>367600</v>
      </c>
      <c r="G764" s="110">
        <f>ROUND(E764*F764,0)</f>
        <v>251438</v>
      </c>
    </row>
    <row r="765" spans="1:7" ht="14.25">
      <c r="A765" s="123"/>
      <c r="B765" s="854" t="str">
        <f>MATERIALES2!C41</f>
        <v>CONCRETO 1:3:5-2000 PSI(MATERIALES)</v>
      </c>
      <c r="C765" s="855"/>
      <c r="D765" s="37" t="s">
        <v>1066</v>
      </c>
      <c r="E765" s="141">
        <v>7.4999999999999997E-2</v>
      </c>
      <c r="F765" s="82">
        <f>MATERIALES2!E41</f>
        <v>319200</v>
      </c>
      <c r="G765" s="111">
        <f>ROUND(E765*F765,0)</f>
        <v>23940</v>
      </c>
    </row>
    <row r="766" spans="1:7">
      <c r="A766" s="95"/>
      <c r="B766" s="854" t="str">
        <f>MATERIALES2!C70</f>
        <v>VARILLA CORRUGADA ½" x 6.0 M</v>
      </c>
      <c r="C766" s="855"/>
      <c r="D766" s="37" t="s">
        <v>865</v>
      </c>
      <c r="E766" s="83">
        <v>3.33</v>
      </c>
      <c r="F766" s="82">
        <f>MATERIALES2!E70</f>
        <v>9300</v>
      </c>
      <c r="G766" s="111">
        <f>ROUND(E766*F766,0)</f>
        <v>30969</v>
      </c>
    </row>
    <row r="767" spans="1:7">
      <c r="A767" s="95"/>
      <c r="B767" s="854" t="str">
        <f>MATERIALES2!C65</f>
        <v>ALAMBRE NEGRO</v>
      </c>
      <c r="C767" s="855"/>
      <c r="D767" s="37" t="s">
        <v>925</v>
      </c>
      <c r="E767" s="83">
        <v>0.25</v>
      </c>
      <c r="F767" s="82">
        <f>MATERIALES2!E65</f>
        <v>2100</v>
      </c>
      <c r="G767" s="111">
        <f>ROUND(E767*F767,0)</f>
        <v>525</v>
      </c>
    </row>
    <row r="768" spans="1:7">
      <c r="A768" s="95"/>
      <c r="B768" s="854"/>
      <c r="C768" s="855"/>
      <c r="D768" s="37"/>
      <c r="E768" s="83"/>
      <c r="F768" s="82"/>
      <c r="G768" s="111"/>
    </row>
    <row r="769" spans="1:8">
      <c r="A769" s="95"/>
      <c r="B769" s="938"/>
      <c r="C769" s="939"/>
      <c r="D769" s="53" t="s">
        <v>841</v>
      </c>
      <c r="E769" s="53"/>
      <c r="F769" s="82"/>
      <c r="G769" s="111"/>
    </row>
    <row r="770" spans="1:8">
      <c r="A770" s="95"/>
      <c r="B770" s="837" t="s">
        <v>841</v>
      </c>
      <c r="C770" s="838"/>
      <c r="D770" s="53" t="s">
        <v>841</v>
      </c>
      <c r="E770" s="53"/>
      <c r="F770" s="82"/>
      <c r="G770" s="111"/>
    </row>
    <row r="771" spans="1:8">
      <c r="A771" s="95"/>
      <c r="B771" s="837" t="s">
        <v>841</v>
      </c>
      <c r="C771" s="838"/>
      <c r="D771" s="53" t="s">
        <v>841</v>
      </c>
      <c r="E771" s="53"/>
      <c r="F771" s="82"/>
      <c r="G771" s="111"/>
      <c r="H771" s="505" t="s">
        <v>1670</v>
      </c>
    </row>
    <row r="772" spans="1:8" ht="13.5" thickBot="1">
      <c r="A772" s="95"/>
      <c r="B772" s="839" t="s">
        <v>841</v>
      </c>
      <c r="C772" s="840"/>
      <c r="D772" s="84" t="s">
        <v>841</v>
      </c>
      <c r="E772" s="84"/>
      <c r="F772" s="85"/>
      <c r="G772" s="112"/>
    </row>
    <row r="773" spans="1:8" ht="13.5" thickTop="1">
      <c r="A773" s="95"/>
      <c r="B773" s="808"/>
      <c r="C773" s="809"/>
      <c r="D773" s="801" t="s">
        <v>856</v>
      </c>
      <c r="E773" s="802"/>
      <c r="F773" s="9"/>
      <c r="G773" s="113">
        <f>SUM(G764:G772)</f>
        <v>306872</v>
      </c>
    </row>
    <row r="774" spans="1:8">
      <c r="A774" s="95"/>
      <c r="B774" s="819"/>
      <c r="C774" s="820"/>
      <c r="D774" s="801" t="s">
        <v>857</v>
      </c>
      <c r="E774" s="802"/>
      <c r="F774" s="79">
        <f>'MANO DE OBRA'!D60</f>
        <v>0.05</v>
      </c>
      <c r="G774" s="113">
        <f>ROUND(G773*F774,0)</f>
        <v>15344</v>
      </c>
    </row>
    <row r="775" spans="1:8" ht="13.5" thickBot="1">
      <c r="A775" s="95"/>
      <c r="B775" s="819"/>
      <c r="C775" s="820"/>
      <c r="D775" s="803" t="s">
        <v>320</v>
      </c>
      <c r="E775" s="804"/>
      <c r="F775" s="114"/>
      <c r="G775" s="118">
        <f>+G773+G774</f>
        <v>322216</v>
      </c>
    </row>
    <row r="776" spans="1:8" ht="14.25" thickTop="1" thickBot="1">
      <c r="A776" s="95"/>
      <c r="B776" s="830"/>
      <c r="C776" s="830"/>
      <c r="D776" s="830"/>
      <c r="E776" s="830"/>
      <c r="F776" s="830"/>
      <c r="G776" s="830"/>
    </row>
    <row r="777" spans="1:8" ht="13.5" thickTop="1">
      <c r="A777" s="95"/>
      <c r="B777" s="811" t="s">
        <v>858</v>
      </c>
      <c r="C777" s="812"/>
      <c r="D777" s="812"/>
      <c r="E777" s="812"/>
      <c r="F777" s="812"/>
      <c r="G777" s="825"/>
    </row>
    <row r="778" spans="1:8">
      <c r="A778" s="95"/>
      <c r="B778" s="817"/>
      <c r="C778" s="818"/>
      <c r="D778" s="98" t="s">
        <v>301</v>
      </c>
      <c r="E778" s="98" t="s">
        <v>859</v>
      </c>
      <c r="F778" s="99" t="s">
        <v>839</v>
      </c>
      <c r="G778" s="107" t="s">
        <v>840</v>
      </c>
    </row>
    <row r="779" spans="1:8">
      <c r="A779" s="95"/>
      <c r="B779" s="821" t="s">
        <v>838</v>
      </c>
      <c r="C779" s="822"/>
      <c r="D779" s="100" t="s">
        <v>316</v>
      </c>
      <c r="E779" s="100" t="s">
        <v>315</v>
      </c>
      <c r="F779" s="101" t="s">
        <v>306</v>
      </c>
      <c r="G779" s="108" t="s">
        <v>319</v>
      </c>
    </row>
    <row r="780" spans="1:8">
      <c r="A780" s="95"/>
      <c r="B780" s="115"/>
      <c r="C780" s="102"/>
      <c r="D780" s="103"/>
      <c r="E780" s="103" t="s">
        <v>317</v>
      </c>
      <c r="F780" s="104" t="s">
        <v>318</v>
      </c>
      <c r="G780" s="109"/>
    </row>
    <row r="781" spans="1:8">
      <c r="A781" s="95"/>
      <c r="B781" s="835" t="str">
        <f>'MANO DE OBRA'!B10</f>
        <v>AYUDANTE CUAD. TIPO AA</v>
      </c>
      <c r="C781" s="836"/>
      <c r="D781" s="87">
        <v>2</v>
      </c>
      <c r="E781" s="80">
        <f>'MANO DE OBRA'!E10</f>
        <v>34680</v>
      </c>
      <c r="F781" s="81">
        <v>1.39</v>
      </c>
      <c r="G781" s="110">
        <f>ROUND(D781*E781/F781,0)</f>
        <v>49899</v>
      </c>
    </row>
    <row r="782" spans="1:8">
      <c r="A782" s="95"/>
      <c r="B782" s="835" t="str">
        <f>'MANO DE OBRA'!B15</f>
        <v xml:space="preserve">OFICIAL CUAD. TIPO AA </v>
      </c>
      <c r="C782" s="836"/>
      <c r="D782" s="37">
        <v>1</v>
      </c>
      <c r="E782" s="82">
        <f>'MANO DE OBRA'!E15</f>
        <v>71474</v>
      </c>
      <c r="F782" s="83">
        <v>1.39</v>
      </c>
      <c r="G782" s="111">
        <f>ROUND(D782*E782/F782,0)</f>
        <v>51420</v>
      </c>
    </row>
    <row r="783" spans="1:8">
      <c r="A783" s="95"/>
      <c r="B783" s="835"/>
      <c r="C783" s="836"/>
      <c r="D783" s="89"/>
      <c r="E783" s="82"/>
      <c r="F783" s="83"/>
      <c r="G783" s="111"/>
    </row>
    <row r="784" spans="1:8">
      <c r="A784" s="95"/>
      <c r="B784" s="835" t="s">
        <v>841</v>
      </c>
      <c r="C784" s="836"/>
      <c r="D784" s="37"/>
      <c r="E784" s="82"/>
      <c r="F784" s="83"/>
      <c r="G784" s="111"/>
    </row>
    <row r="785" spans="1:8" ht="13.5" thickBot="1">
      <c r="A785" s="95"/>
      <c r="B785" s="828" t="s">
        <v>841</v>
      </c>
      <c r="C785" s="829"/>
      <c r="D785" s="77"/>
      <c r="E785" s="82"/>
      <c r="F785" s="86"/>
      <c r="G785" s="112"/>
    </row>
    <row r="786" spans="1:8" ht="14.25" thickTop="1" thickBot="1">
      <c r="A786" s="95"/>
      <c r="B786" s="808"/>
      <c r="C786" s="808"/>
      <c r="D786" s="808"/>
      <c r="E786" s="809"/>
      <c r="F786" s="120" t="s">
        <v>856</v>
      </c>
      <c r="G786" s="118">
        <f>SUM(G781:G785)</f>
        <v>101319</v>
      </c>
    </row>
    <row r="787" spans="1:8" ht="14.25" thickTop="1" thickBot="1">
      <c r="A787" s="95"/>
      <c r="B787" s="810"/>
      <c r="C787" s="810"/>
      <c r="D787" s="810"/>
      <c r="E787" s="810"/>
      <c r="F787" s="810"/>
      <c r="G787" s="810"/>
    </row>
    <row r="788" spans="1:8" ht="13.5" thickTop="1">
      <c r="A788" s="95"/>
      <c r="B788" s="811" t="s">
        <v>321</v>
      </c>
      <c r="C788" s="812"/>
      <c r="D788" s="812"/>
      <c r="E788" s="812"/>
      <c r="F788" s="812"/>
      <c r="G788" s="825"/>
    </row>
    <row r="789" spans="1:8">
      <c r="A789" s="95"/>
      <c r="B789" s="817" t="s">
        <v>838</v>
      </c>
      <c r="C789" s="818"/>
      <c r="D789" s="98" t="s">
        <v>301</v>
      </c>
      <c r="E789" s="98" t="s">
        <v>297</v>
      </c>
      <c r="F789" s="99" t="s">
        <v>839</v>
      </c>
      <c r="G789" s="107" t="s">
        <v>840</v>
      </c>
    </row>
    <row r="790" spans="1:8">
      <c r="A790" s="95"/>
      <c r="B790" s="115"/>
      <c r="C790" s="102"/>
      <c r="D790" s="103" t="s">
        <v>322</v>
      </c>
      <c r="E790" s="103" t="s">
        <v>323</v>
      </c>
      <c r="F790" s="104" t="s">
        <v>324</v>
      </c>
      <c r="G790" s="109" t="s">
        <v>325</v>
      </c>
    </row>
    <row r="791" spans="1:8">
      <c r="A791" s="95"/>
      <c r="B791" s="826"/>
      <c r="C791" s="827"/>
      <c r="D791" s="96"/>
      <c r="E791" s="96"/>
      <c r="F791" s="96"/>
      <c r="G791" s="116"/>
    </row>
    <row r="792" spans="1:8" ht="13.5" thickBot="1">
      <c r="A792" s="95"/>
      <c r="B792" s="828" t="s">
        <v>841</v>
      </c>
      <c r="C792" s="829"/>
      <c r="D792" s="77"/>
      <c r="E792" s="82"/>
      <c r="F792" s="86"/>
      <c r="G792" s="112"/>
    </row>
    <row r="793" spans="1:8" ht="14.25" thickTop="1" thickBot="1">
      <c r="A793" s="95"/>
      <c r="B793" s="808"/>
      <c r="C793" s="808"/>
      <c r="D793" s="808"/>
      <c r="E793" s="809"/>
      <c r="F793" s="120" t="s">
        <v>856</v>
      </c>
      <c r="G793" s="118">
        <f>SUM(G788:G792)</f>
        <v>0</v>
      </c>
    </row>
    <row r="794" spans="1:8" ht="14.25" thickTop="1" thickBot="1">
      <c r="A794" s="95"/>
      <c r="B794" s="810"/>
      <c r="C794" s="810"/>
      <c r="D794" s="810"/>
      <c r="E794" s="810"/>
      <c r="F794" s="810"/>
      <c r="G794" s="834"/>
    </row>
    <row r="795" spans="1:8" ht="13.5" thickTop="1">
      <c r="A795" s="95"/>
      <c r="B795" s="811" t="s">
        <v>326</v>
      </c>
      <c r="C795" s="812"/>
      <c r="D795" s="812"/>
      <c r="E795" s="812"/>
      <c r="F795" s="813"/>
      <c r="G795" s="121">
        <f>+G759+G775+G786</f>
        <v>430643</v>
      </c>
    </row>
    <row r="796" spans="1:8">
      <c r="A796" s="95"/>
      <c r="B796" s="814" t="s">
        <v>861</v>
      </c>
      <c r="C796" s="815"/>
      <c r="D796" s="815"/>
      <c r="E796" s="816"/>
      <c r="F796" s="128">
        <f>'MANO DE OBRA'!D59</f>
        <v>0</v>
      </c>
      <c r="G796" s="122">
        <f>ROUND(G795*F796,0)</f>
        <v>0</v>
      </c>
    </row>
    <row r="797" spans="1:8" ht="13.5" thickBot="1">
      <c r="A797" s="95"/>
      <c r="B797" s="805" t="s">
        <v>1049</v>
      </c>
      <c r="C797" s="806"/>
      <c r="D797" s="806"/>
      <c r="E797" s="806"/>
      <c r="F797" s="807"/>
      <c r="G797" s="118">
        <f>ROUND(G795+G796,-2)</f>
        <v>430600</v>
      </c>
      <c r="H797" s="505" t="s">
        <v>1670</v>
      </c>
    </row>
    <row r="798" spans="1:8" ht="13.5" thickTop="1">
      <c r="A798" s="95"/>
      <c r="B798" s="90" t="s">
        <v>303</v>
      </c>
      <c r="C798" s="843"/>
      <c r="D798" s="843"/>
      <c r="E798" s="843"/>
      <c r="F798" s="92" t="s">
        <v>781</v>
      </c>
      <c r="G798" s="93" t="s">
        <v>831</v>
      </c>
    </row>
    <row r="799" spans="1:8">
      <c r="A799" s="95"/>
      <c r="B799" s="91" t="s">
        <v>834</v>
      </c>
      <c r="C799" s="844" t="s">
        <v>367</v>
      </c>
      <c r="D799" s="844"/>
      <c r="E799" s="844"/>
      <c r="F799" s="15" t="s">
        <v>833</v>
      </c>
      <c r="G799" s="165" t="str">
        <f>'MANO DE OBRA'!D61</f>
        <v>Agosto de 2010</v>
      </c>
    </row>
    <row r="800" spans="1:8" ht="13.5" thickBot="1">
      <c r="A800" s="127"/>
      <c r="B800" s="94" t="s">
        <v>835</v>
      </c>
      <c r="C800" s="845" t="s">
        <v>684</v>
      </c>
      <c r="D800" s="845"/>
      <c r="E800" s="845"/>
      <c r="F800" s="845"/>
      <c r="G800" s="846"/>
    </row>
    <row r="801" spans="1:7" ht="14.25" thickTop="1" thickBot="1">
      <c r="A801" s="95"/>
      <c r="B801" s="847"/>
      <c r="C801" s="847"/>
      <c r="D801" s="847"/>
      <c r="E801" s="847"/>
      <c r="F801" s="847"/>
      <c r="G801" s="847"/>
    </row>
    <row r="802" spans="1:7" ht="13.5" thickTop="1">
      <c r="A802" s="95"/>
      <c r="B802" s="811" t="s">
        <v>304</v>
      </c>
      <c r="C802" s="812"/>
      <c r="D802" s="812"/>
      <c r="E802" s="812"/>
      <c r="F802" s="812"/>
      <c r="G802" s="825"/>
    </row>
    <row r="803" spans="1:7">
      <c r="A803" s="95"/>
      <c r="B803" s="105"/>
      <c r="C803" s="97"/>
      <c r="D803" s="98" t="s">
        <v>301</v>
      </c>
      <c r="E803" s="98" t="s">
        <v>1072</v>
      </c>
      <c r="F803" s="99" t="s">
        <v>839</v>
      </c>
      <c r="G803" s="107" t="s">
        <v>840</v>
      </c>
    </row>
    <row r="804" spans="1:7">
      <c r="A804" s="95"/>
      <c r="B804" s="821" t="s">
        <v>838</v>
      </c>
      <c r="C804" s="822"/>
      <c r="D804" s="100" t="s">
        <v>308</v>
      </c>
      <c r="E804" s="100" t="s">
        <v>305</v>
      </c>
      <c r="F804" s="101" t="s">
        <v>306</v>
      </c>
      <c r="G804" s="108" t="s">
        <v>310</v>
      </c>
    </row>
    <row r="805" spans="1:7">
      <c r="A805" s="95"/>
      <c r="B805" s="115"/>
      <c r="C805" s="102"/>
      <c r="D805" s="103"/>
      <c r="E805" s="103" t="s">
        <v>309</v>
      </c>
      <c r="F805" s="104" t="s">
        <v>307</v>
      </c>
      <c r="G805" s="109"/>
    </row>
    <row r="806" spans="1:7">
      <c r="A806" s="127"/>
      <c r="B806" s="823" t="str">
        <f>'MAQUINARIA Y EQUIPOS'!C28</f>
        <v>HERRAMIENTAS MENORES</v>
      </c>
      <c r="C806" s="824"/>
      <c r="D806" s="87">
        <v>1</v>
      </c>
      <c r="E806" s="82">
        <f>ROUND(G839*0.05,0)</f>
        <v>531</v>
      </c>
      <c r="F806" s="81">
        <v>1</v>
      </c>
      <c r="G806" s="110">
        <f>ROUND(D806*E806/F806,0)</f>
        <v>531</v>
      </c>
    </row>
    <row r="807" spans="1:7">
      <c r="A807" s="95"/>
      <c r="B807" s="835"/>
      <c r="C807" s="836"/>
      <c r="D807" s="37"/>
      <c r="E807" s="82"/>
      <c r="F807" s="83"/>
      <c r="G807" s="111"/>
    </row>
    <row r="808" spans="1:7">
      <c r="A808" s="95"/>
      <c r="B808" s="835"/>
      <c r="C808" s="836"/>
      <c r="D808" s="89"/>
      <c r="E808" s="82"/>
      <c r="F808" s="83"/>
      <c r="G808" s="111"/>
    </row>
    <row r="809" spans="1:7">
      <c r="A809" s="95"/>
      <c r="B809" s="835"/>
      <c r="C809" s="836"/>
      <c r="D809" s="89"/>
      <c r="E809" s="82"/>
      <c r="F809" s="83"/>
      <c r="G809" s="111"/>
    </row>
    <row r="810" spans="1:7">
      <c r="A810" s="95"/>
      <c r="B810" s="835" t="s">
        <v>841</v>
      </c>
      <c r="C810" s="836"/>
      <c r="D810" s="37"/>
      <c r="E810" s="82"/>
      <c r="F810" s="83"/>
      <c r="G810" s="111"/>
    </row>
    <row r="811" spans="1:7" ht="13.5" thickBot="1">
      <c r="A811" s="95"/>
      <c r="B811" s="839" t="s">
        <v>841</v>
      </c>
      <c r="C811" s="840"/>
      <c r="D811" s="77"/>
      <c r="E811" s="106"/>
      <c r="F811" s="86"/>
      <c r="G811" s="112"/>
    </row>
    <row r="812" spans="1:7" ht="14.25" thickTop="1" thickBot="1">
      <c r="A812" s="95"/>
      <c r="B812" s="808"/>
      <c r="C812" s="808"/>
      <c r="D812" s="808"/>
      <c r="E812" s="809"/>
      <c r="F812" s="119" t="s">
        <v>856</v>
      </c>
      <c r="G812" s="118">
        <f>SUM(G806:G811)</f>
        <v>531</v>
      </c>
    </row>
    <row r="813" spans="1:7" ht="14.25" thickTop="1" thickBot="1">
      <c r="A813" s="95"/>
      <c r="B813" s="830"/>
      <c r="C813" s="830"/>
      <c r="D813" s="830"/>
      <c r="E813" s="830"/>
      <c r="F813" s="830"/>
      <c r="G813" s="830"/>
    </row>
    <row r="814" spans="1:7" ht="13.5" thickTop="1">
      <c r="A814" s="95"/>
      <c r="B814" s="811" t="s">
        <v>311</v>
      </c>
      <c r="C814" s="812"/>
      <c r="D814" s="812"/>
      <c r="E814" s="812"/>
      <c r="F814" s="812"/>
      <c r="G814" s="825"/>
    </row>
    <row r="815" spans="1:7">
      <c r="A815" s="95"/>
      <c r="B815" s="817" t="s">
        <v>838</v>
      </c>
      <c r="C815" s="818"/>
      <c r="D815" s="98" t="s">
        <v>842</v>
      </c>
      <c r="E815" s="98" t="s">
        <v>853</v>
      </c>
      <c r="F815" s="99" t="s">
        <v>1047</v>
      </c>
      <c r="G815" s="107" t="s">
        <v>840</v>
      </c>
    </row>
    <row r="816" spans="1:7">
      <c r="A816" s="95"/>
      <c r="B816" s="115"/>
      <c r="C816" s="102"/>
      <c r="D816" s="100"/>
      <c r="E816" s="100" t="s">
        <v>312</v>
      </c>
      <c r="F816" s="101" t="s">
        <v>313</v>
      </c>
      <c r="G816" s="108" t="s">
        <v>314</v>
      </c>
    </row>
    <row r="817" spans="1:8">
      <c r="A817" s="125"/>
      <c r="B817" s="841" t="str">
        <f>MATERIALES2!C92</f>
        <v>TOLETE COMUN</v>
      </c>
      <c r="C817" s="842"/>
      <c r="D817" s="87" t="s">
        <v>865</v>
      </c>
      <c r="E817" s="81">
        <v>12</v>
      </c>
      <c r="F817" s="80">
        <f>MATERIALES2!E92</f>
        <v>380</v>
      </c>
      <c r="G817" s="110">
        <f>ROUND(E817*F817,0)</f>
        <v>4560</v>
      </c>
    </row>
    <row r="818" spans="1:8">
      <c r="A818" s="123"/>
      <c r="B818" s="854" t="str">
        <f>MATERIALES2!C13</f>
        <v>CEMENTO GRIS</v>
      </c>
      <c r="C818" s="855"/>
      <c r="D818" s="37" t="s">
        <v>925</v>
      </c>
      <c r="E818" s="83">
        <v>11.69</v>
      </c>
      <c r="F818" s="82">
        <f>MATERIALES2!E13</f>
        <v>420</v>
      </c>
      <c r="G818" s="111">
        <f>ROUND(E818*F818,0)</f>
        <v>4910</v>
      </c>
    </row>
    <row r="819" spans="1:8" ht="14.25">
      <c r="A819" s="123"/>
      <c r="B819" s="854" t="str">
        <f>MATERIALES2!C20</f>
        <v xml:space="preserve">ARENA </v>
      </c>
      <c r="C819" s="855"/>
      <c r="D819" s="37" t="s">
        <v>1066</v>
      </c>
      <c r="E819" s="53">
        <v>0.03</v>
      </c>
      <c r="F819" s="82">
        <f>MATERIALES2!E20</f>
        <v>35000</v>
      </c>
      <c r="G819" s="111">
        <f>ROUND(E819*F819,0)</f>
        <v>1050</v>
      </c>
    </row>
    <row r="820" spans="1:8">
      <c r="A820" s="123"/>
      <c r="B820" s="854" t="str">
        <f>MATERIALES2!C28</f>
        <v>AGUA</v>
      </c>
      <c r="C820" s="855"/>
      <c r="D820" s="37" t="s">
        <v>1071</v>
      </c>
      <c r="E820" s="83">
        <v>4.63</v>
      </c>
      <c r="F820" s="82">
        <f>MATERIALES2!E28</f>
        <v>50</v>
      </c>
      <c r="G820" s="111">
        <f>ROUND(E820*F820,0)</f>
        <v>232</v>
      </c>
    </row>
    <row r="821" spans="1:8">
      <c r="A821" s="123"/>
      <c r="B821" s="854" t="str">
        <f>MATERIALES2!C303</f>
        <v>TOKENET 1  IMPERMEABIL.1 KILO</v>
      </c>
      <c r="C821" s="855"/>
      <c r="D821" s="37" t="s">
        <v>865</v>
      </c>
      <c r="E821" s="83">
        <v>0.35</v>
      </c>
      <c r="F821" s="82">
        <f>MATERIALES2!E303</f>
        <v>4142.5</v>
      </c>
      <c r="G821" s="111">
        <f>ROUND(E821*F821,0)</f>
        <v>1450</v>
      </c>
    </row>
    <row r="822" spans="1:8">
      <c r="A822" s="95"/>
      <c r="B822" s="854"/>
      <c r="C822" s="855"/>
      <c r="D822" s="37"/>
      <c r="E822" s="53"/>
      <c r="F822" s="82"/>
      <c r="G822" s="111"/>
    </row>
    <row r="823" spans="1:8">
      <c r="A823" s="95"/>
      <c r="B823" s="854"/>
      <c r="C823" s="855"/>
      <c r="D823" s="37"/>
      <c r="E823" s="53"/>
      <c r="F823" s="82"/>
      <c r="G823" s="111"/>
    </row>
    <row r="824" spans="1:8">
      <c r="A824" s="95"/>
      <c r="B824" s="938" t="s">
        <v>841</v>
      </c>
      <c r="C824" s="939"/>
      <c r="D824" s="53" t="s">
        <v>841</v>
      </c>
      <c r="E824" s="53"/>
      <c r="F824" s="82"/>
      <c r="G824" s="111"/>
      <c r="H824" s="505" t="s">
        <v>1670</v>
      </c>
    </row>
    <row r="825" spans="1:8" ht="13.5" thickBot="1">
      <c r="A825" s="95"/>
      <c r="B825" s="839" t="s">
        <v>841</v>
      </c>
      <c r="C825" s="840"/>
      <c r="D825" s="84" t="s">
        <v>841</v>
      </c>
      <c r="E825" s="84"/>
      <c r="F825" s="85"/>
      <c r="G825" s="112"/>
    </row>
    <row r="826" spans="1:8" ht="13.5" thickTop="1">
      <c r="A826" s="95"/>
      <c r="B826" s="808"/>
      <c r="C826" s="809"/>
      <c r="D826" s="801" t="s">
        <v>856</v>
      </c>
      <c r="E826" s="802"/>
      <c r="F826" s="9"/>
      <c r="G826" s="113">
        <f>SUM(G817:G825)</f>
        <v>12202</v>
      </c>
    </row>
    <row r="827" spans="1:8">
      <c r="A827" s="95"/>
      <c r="B827" s="819"/>
      <c r="C827" s="820"/>
      <c r="D827" s="801" t="s">
        <v>857</v>
      </c>
      <c r="E827" s="802"/>
      <c r="F827" s="79">
        <f>'MANO DE OBRA'!D60</f>
        <v>0.05</v>
      </c>
      <c r="G827" s="113">
        <f>ROUND(G826*F827,0)</f>
        <v>610</v>
      </c>
    </row>
    <row r="828" spans="1:8" ht="13.5" thickBot="1">
      <c r="A828" s="95"/>
      <c r="B828" s="819"/>
      <c r="C828" s="820"/>
      <c r="D828" s="803" t="s">
        <v>320</v>
      </c>
      <c r="E828" s="804"/>
      <c r="F828" s="114"/>
      <c r="G828" s="118">
        <f>+G826+G827</f>
        <v>12812</v>
      </c>
    </row>
    <row r="829" spans="1:8" ht="14.25" thickTop="1" thickBot="1">
      <c r="A829" s="95"/>
      <c r="B829" s="830"/>
      <c r="C829" s="830"/>
      <c r="D829" s="830"/>
      <c r="E829" s="830"/>
      <c r="F829" s="830"/>
      <c r="G829" s="830"/>
    </row>
    <row r="830" spans="1:8" ht="13.5" thickTop="1">
      <c r="A830" s="95"/>
      <c r="B830" s="811" t="s">
        <v>858</v>
      </c>
      <c r="C830" s="812"/>
      <c r="D830" s="812"/>
      <c r="E830" s="812"/>
      <c r="F830" s="812"/>
      <c r="G830" s="825"/>
    </row>
    <row r="831" spans="1:8">
      <c r="A831" s="95"/>
      <c r="B831" s="817"/>
      <c r="C831" s="818"/>
      <c r="D831" s="98" t="s">
        <v>301</v>
      </c>
      <c r="E831" s="98" t="s">
        <v>859</v>
      </c>
      <c r="F831" s="99" t="s">
        <v>839</v>
      </c>
      <c r="G831" s="107" t="s">
        <v>840</v>
      </c>
    </row>
    <row r="832" spans="1:8">
      <c r="A832" s="95"/>
      <c r="B832" s="821" t="s">
        <v>838</v>
      </c>
      <c r="C832" s="822"/>
      <c r="D832" s="100" t="s">
        <v>316</v>
      </c>
      <c r="E832" s="100" t="s">
        <v>315</v>
      </c>
      <c r="F832" s="101" t="s">
        <v>306</v>
      </c>
      <c r="G832" s="108" t="s">
        <v>319</v>
      </c>
    </row>
    <row r="833" spans="1:7">
      <c r="A833" s="95"/>
      <c r="B833" s="115"/>
      <c r="C833" s="102"/>
      <c r="D833" s="103"/>
      <c r="E833" s="103" t="s">
        <v>317</v>
      </c>
      <c r="F833" s="104" t="s">
        <v>318</v>
      </c>
      <c r="G833" s="109"/>
    </row>
    <row r="834" spans="1:7">
      <c r="A834" s="95"/>
      <c r="B834" s="823" t="str">
        <f>'MANO DE OBRA'!B10</f>
        <v>AYUDANTE CUAD. TIPO AA</v>
      </c>
      <c r="C834" s="824"/>
      <c r="D834" s="87">
        <v>1</v>
      </c>
      <c r="E834" s="80">
        <f>'MANO DE OBRA'!E10</f>
        <v>34680</v>
      </c>
      <c r="F834" s="81">
        <v>10</v>
      </c>
      <c r="G834" s="110">
        <f>ROUND(D834*E834/F834,0)</f>
        <v>3468</v>
      </c>
    </row>
    <row r="835" spans="1:7">
      <c r="A835" s="95"/>
      <c r="B835" s="835" t="str">
        <f>'MANO DE OBRA'!B15</f>
        <v xml:space="preserve">OFICIAL CUAD. TIPO AA </v>
      </c>
      <c r="C835" s="836"/>
      <c r="D835" s="37">
        <v>1</v>
      </c>
      <c r="E835" s="82">
        <f>'MANO DE OBRA'!E15</f>
        <v>71474</v>
      </c>
      <c r="F835" s="83">
        <v>10</v>
      </c>
      <c r="G835" s="111">
        <f>ROUND(D835*E835/F835,0)</f>
        <v>7147</v>
      </c>
    </row>
    <row r="836" spans="1:7">
      <c r="A836" s="95"/>
      <c r="B836" s="835"/>
      <c r="C836" s="836"/>
      <c r="D836" s="89"/>
      <c r="E836" s="82"/>
      <c r="F836" s="83"/>
      <c r="G836" s="111"/>
    </row>
    <row r="837" spans="1:7">
      <c r="A837" s="95"/>
      <c r="B837" s="835" t="s">
        <v>841</v>
      </c>
      <c r="C837" s="836"/>
      <c r="D837" s="37"/>
      <c r="E837" s="82"/>
      <c r="F837" s="83"/>
      <c r="G837" s="111"/>
    </row>
    <row r="838" spans="1:7" ht="13.5" thickBot="1">
      <c r="A838" s="95"/>
      <c r="B838" s="828" t="s">
        <v>841</v>
      </c>
      <c r="C838" s="829"/>
      <c r="D838" s="77"/>
      <c r="E838" s="82"/>
      <c r="F838" s="86"/>
      <c r="G838" s="112"/>
    </row>
    <row r="839" spans="1:7" ht="14.25" thickTop="1" thickBot="1">
      <c r="A839" s="95"/>
      <c r="B839" s="808"/>
      <c r="C839" s="808"/>
      <c r="D839" s="808"/>
      <c r="E839" s="809"/>
      <c r="F839" s="120" t="s">
        <v>856</v>
      </c>
      <c r="G839" s="118">
        <f>SUM(G834:G838)</f>
        <v>10615</v>
      </c>
    </row>
    <row r="840" spans="1:7" ht="14.25" thickTop="1" thickBot="1">
      <c r="A840" s="95"/>
      <c r="B840" s="810"/>
      <c r="C840" s="810"/>
      <c r="D840" s="810"/>
      <c r="E840" s="810"/>
      <c r="F840" s="810"/>
      <c r="G840" s="810"/>
    </row>
    <row r="841" spans="1:7" ht="13.5" thickTop="1">
      <c r="A841" s="95"/>
      <c r="B841" s="811" t="s">
        <v>321</v>
      </c>
      <c r="C841" s="812"/>
      <c r="D841" s="812"/>
      <c r="E841" s="812"/>
      <c r="F841" s="812"/>
      <c r="G841" s="825"/>
    </row>
    <row r="842" spans="1:7">
      <c r="A842" s="95"/>
      <c r="B842" s="817" t="s">
        <v>838</v>
      </c>
      <c r="C842" s="818"/>
      <c r="D842" s="98" t="s">
        <v>301</v>
      </c>
      <c r="E842" s="98" t="s">
        <v>297</v>
      </c>
      <c r="F842" s="99" t="s">
        <v>839</v>
      </c>
      <c r="G842" s="107" t="s">
        <v>840</v>
      </c>
    </row>
    <row r="843" spans="1:7">
      <c r="A843" s="95"/>
      <c r="B843" s="115"/>
      <c r="C843" s="102"/>
      <c r="D843" s="103" t="s">
        <v>322</v>
      </c>
      <c r="E843" s="103" t="s">
        <v>323</v>
      </c>
      <c r="F843" s="104" t="s">
        <v>324</v>
      </c>
      <c r="G843" s="109" t="s">
        <v>325</v>
      </c>
    </row>
    <row r="844" spans="1:7">
      <c r="A844" s="95"/>
      <c r="B844" s="826"/>
      <c r="C844" s="827"/>
      <c r="D844" s="96"/>
      <c r="E844" s="96"/>
      <c r="F844" s="96"/>
      <c r="G844" s="116"/>
    </row>
    <row r="845" spans="1:7" ht="13.5" thickBot="1">
      <c r="A845" s="95"/>
      <c r="B845" s="828" t="s">
        <v>841</v>
      </c>
      <c r="C845" s="829"/>
      <c r="D845" s="77"/>
      <c r="E845" s="82"/>
      <c r="F845" s="86"/>
      <c r="G845" s="112"/>
    </row>
    <row r="846" spans="1:7" ht="14.25" thickTop="1" thickBot="1">
      <c r="A846" s="95"/>
      <c r="B846" s="808"/>
      <c r="C846" s="808"/>
      <c r="D846" s="808"/>
      <c r="E846" s="809"/>
      <c r="F846" s="120" t="s">
        <v>856</v>
      </c>
      <c r="G846" s="118">
        <f>SUM(G841:G845)</f>
        <v>0</v>
      </c>
    </row>
    <row r="847" spans="1:7" ht="14.25" thickTop="1" thickBot="1">
      <c r="A847" s="95"/>
      <c r="B847" s="810"/>
      <c r="C847" s="810"/>
      <c r="D847" s="810"/>
      <c r="E847" s="810"/>
      <c r="F847" s="810"/>
      <c r="G847" s="834"/>
    </row>
    <row r="848" spans="1:7" ht="13.5" thickTop="1">
      <c r="A848" s="95"/>
      <c r="B848" s="811" t="s">
        <v>326</v>
      </c>
      <c r="C848" s="812"/>
      <c r="D848" s="812"/>
      <c r="E848" s="812"/>
      <c r="F848" s="813"/>
      <c r="G848" s="121">
        <f>+G812+G828+G839</f>
        <v>23958</v>
      </c>
    </row>
    <row r="849" spans="1:8">
      <c r="A849" s="95"/>
      <c r="B849" s="814" t="s">
        <v>861</v>
      </c>
      <c r="C849" s="815"/>
      <c r="D849" s="815"/>
      <c r="E849" s="816"/>
      <c r="F849" s="128">
        <f>'MANO DE OBRA'!D59</f>
        <v>0</v>
      </c>
      <c r="G849" s="122">
        <f>ROUND(G848*F849,0)</f>
        <v>0</v>
      </c>
    </row>
    <row r="850" spans="1:8" ht="13.5" thickBot="1">
      <c r="A850" s="95"/>
      <c r="B850" s="805" t="s">
        <v>1049</v>
      </c>
      <c r="C850" s="806"/>
      <c r="D850" s="806"/>
      <c r="E850" s="806"/>
      <c r="F850" s="807"/>
      <c r="G850" s="118">
        <f>ROUND(G848+G849,-2)</f>
        <v>24000</v>
      </c>
      <c r="H850" s="505" t="s">
        <v>1670</v>
      </c>
    </row>
    <row r="851" spans="1:8" ht="13.5" thickTop="1">
      <c r="A851" s="95"/>
      <c r="B851" s="90" t="s">
        <v>303</v>
      </c>
      <c r="C851" s="843"/>
      <c r="D851" s="843"/>
      <c r="E851" s="843"/>
      <c r="F851" s="92" t="s">
        <v>781</v>
      </c>
      <c r="G851" s="93" t="s">
        <v>831</v>
      </c>
    </row>
    <row r="852" spans="1:8">
      <c r="A852" s="95"/>
      <c r="B852" s="91" t="s">
        <v>834</v>
      </c>
      <c r="C852" s="844" t="s">
        <v>367</v>
      </c>
      <c r="D852" s="844"/>
      <c r="E852" s="844"/>
      <c r="F852" s="15" t="s">
        <v>833</v>
      </c>
      <c r="G852" s="165" t="str">
        <f>'MANO DE OBRA'!D61</f>
        <v>Agosto de 2010</v>
      </c>
    </row>
    <row r="853" spans="1:8" ht="13.5" thickBot="1">
      <c r="A853" s="127"/>
      <c r="B853" s="94" t="s">
        <v>835</v>
      </c>
      <c r="C853" s="845" t="s">
        <v>683</v>
      </c>
      <c r="D853" s="845"/>
      <c r="E853" s="845"/>
      <c r="F853" s="845"/>
      <c r="G853" s="846"/>
    </row>
    <row r="854" spans="1:8" ht="14.25" thickTop="1" thickBot="1">
      <c r="A854" s="95"/>
      <c r="B854" s="847"/>
      <c r="C854" s="847"/>
      <c r="D854" s="847"/>
      <c r="E854" s="847"/>
      <c r="F854" s="847"/>
      <c r="G854" s="847"/>
    </row>
    <row r="855" spans="1:8" ht="13.5" thickTop="1">
      <c r="A855" s="95"/>
      <c r="B855" s="811" t="s">
        <v>304</v>
      </c>
      <c r="C855" s="812"/>
      <c r="D855" s="812"/>
      <c r="E855" s="812"/>
      <c r="F855" s="812"/>
      <c r="G855" s="825"/>
    </row>
    <row r="856" spans="1:8">
      <c r="A856" s="95"/>
      <c r="B856" s="105"/>
      <c r="C856" s="97"/>
      <c r="D856" s="98" t="s">
        <v>301</v>
      </c>
      <c r="E856" s="98" t="s">
        <v>1072</v>
      </c>
      <c r="F856" s="99" t="s">
        <v>839</v>
      </c>
      <c r="G856" s="107" t="s">
        <v>840</v>
      </c>
    </row>
    <row r="857" spans="1:8">
      <c r="A857" s="95"/>
      <c r="B857" s="821" t="s">
        <v>838</v>
      </c>
      <c r="C857" s="822"/>
      <c r="D857" s="100" t="s">
        <v>308</v>
      </c>
      <c r="E857" s="100" t="s">
        <v>305</v>
      </c>
      <c r="F857" s="101" t="s">
        <v>306</v>
      </c>
      <c r="G857" s="108" t="s">
        <v>310</v>
      </c>
    </row>
    <row r="858" spans="1:8">
      <c r="A858" s="95"/>
      <c r="B858" s="115"/>
      <c r="C858" s="102"/>
      <c r="D858" s="103"/>
      <c r="E858" s="103" t="s">
        <v>309</v>
      </c>
      <c r="F858" s="104" t="s">
        <v>307</v>
      </c>
      <c r="G858" s="109"/>
    </row>
    <row r="859" spans="1:8">
      <c r="A859" s="127"/>
      <c r="B859" s="823" t="str">
        <f>'MAQUINARIA Y EQUIPOS'!C28</f>
        <v>HERRAMIENTAS MENORES</v>
      </c>
      <c r="C859" s="824"/>
      <c r="D859" s="87">
        <v>1</v>
      </c>
      <c r="E859" s="82">
        <f>ROUND(G892*0.05,0)</f>
        <v>590</v>
      </c>
      <c r="F859" s="81">
        <v>1</v>
      </c>
      <c r="G859" s="110">
        <f>ROUND(D859*E859/F859,0)</f>
        <v>590</v>
      </c>
    </row>
    <row r="860" spans="1:8">
      <c r="A860" s="95"/>
      <c r="B860" s="835"/>
      <c r="C860" s="836"/>
      <c r="D860" s="37"/>
      <c r="E860" s="82"/>
      <c r="F860" s="83"/>
      <c r="G860" s="111"/>
    </row>
    <row r="861" spans="1:8">
      <c r="A861" s="95"/>
      <c r="B861" s="835"/>
      <c r="C861" s="836"/>
      <c r="D861" s="89"/>
      <c r="E861" s="82"/>
      <c r="F861" s="83"/>
      <c r="G861" s="111"/>
    </row>
    <row r="862" spans="1:8">
      <c r="A862" s="95"/>
      <c r="B862" s="835"/>
      <c r="C862" s="836"/>
      <c r="D862" s="89"/>
      <c r="E862" s="82"/>
      <c r="F862" s="83"/>
      <c r="G862" s="111"/>
    </row>
    <row r="863" spans="1:8">
      <c r="A863" s="95"/>
      <c r="B863" s="835" t="s">
        <v>841</v>
      </c>
      <c r="C863" s="836"/>
      <c r="D863" s="37"/>
      <c r="E863" s="82"/>
      <c r="F863" s="83"/>
      <c r="G863" s="111"/>
    </row>
    <row r="864" spans="1:8" ht="13.5" thickBot="1">
      <c r="A864" s="95"/>
      <c r="B864" s="839" t="s">
        <v>841</v>
      </c>
      <c r="C864" s="840"/>
      <c r="D864" s="77"/>
      <c r="E864" s="106"/>
      <c r="F864" s="86"/>
      <c r="G864" s="112"/>
    </row>
    <row r="865" spans="1:8" ht="14.25" thickTop="1" thickBot="1">
      <c r="A865" s="95"/>
      <c r="B865" s="808"/>
      <c r="C865" s="808"/>
      <c r="D865" s="808"/>
      <c r="E865" s="809"/>
      <c r="F865" s="119" t="s">
        <v>856</v>
      </c>
      <c r="G865" s="118">
        <f>SUM(G859:G864)</f>
        <v>590</v>
      </c>
    </row>
    <row r="866" spans="1:8" ht="14.25" thickTop="1" thickBot="1">
      <c r="A866" s="95"/>
      <c r="B866" s="830"/>
      <c r="C866" s="830"/>
      <c r="D866" s="830"/>
      <c r="E866" s="830"/>
      <c r="F866" s="830"/>
      <c r="G866" s="830"/>
    </row>
    <row r="867" spans="1:8" ht="13.5" thickTop="1">
      <c r="A867" s="95"/>
      <c r="B867" s="811" t="s">
        <v>311</v>
      </c>
      <c r="C867" s="812"/>
      <c r="D867" s="812"/>
      <c r="E867" s="812"/>
      <c r="F867" s="812"/>
      <c r="G867" s="825"/>
    </row>
    <row r="868" spans="1:8">
      <c r="A868" s="95"/>
      <c r="B868" s="817" t="s">
        <v>838</v>
      </c>
      <c r="C868" s="818"/>
      <c r="D868" s="98" t="s">
        <v>842</v>
      </c>
      <c r="E868" s="98" t="s">
        <v>853</v>
      </c>
      <c r="F868" s="99" t="s">
        <v>1047</v>
      </c>
      <c r="G868" s="107" t="s">
        <v>840</v>
      </c>
    </row>
    <row r="869" spans="1:8">
      <c r="A869" s="95"/>
      <c r="B869" s="115"/>
      <c r="C869" s="102"/>
      <c r="D869" s="100"/>
      <c r="E869" s="100" t="s">
        <v>312</v>
      </c>
      <c r="F869" s="101" t="s">
        <v>313</v>
      </c>
      <c r="G869" s="108" t="s">
        <v>314</v>
      </c>
    </row>
    <row r="870" spans="1:8">
      <c r="A870" s="125"/>
      <c r="B870" s="841" t="str">
        <f>MATERIALES2!C92</f>
        <v>TOLETE COMUN</v>
      </c>
      <c r="C870" s="842"/>
      <c r="D870" s="87" t="s">
        <v>865</v>
      </c>
      <c r="E870" s="81">
        <v>24.21</v>
      </c>
      <c r="F870" s="80">
        <f>MATERIALES2!E92</f>
        <v>380</v>
      </c>
      <c r="G870" s="110">
        <f>ROUND(E870*F870,0)</f>
        <v>9200</v>
      </c>
    </row>
    <row r="871" spans="1:8">
      <c r="A871" s="123"/>
      <c r="B871" s="854" t="str">
        <f>MATERIALES2!C13</f>
        <v>CEMENTO GRIS</v>
      </c>
      <c r="C871" s="855"/>
      <c r="D871" s="37" t="s">
        <v>925</v>
      </c>
      <c r="E871" s="83">
        <v>17.77</v>
      </c>
      <c r="F871" s="82">
        <f>MATERIALES2!E13</f>
        <v>420</v>
      </c>
      <c r="G871" s="111">
        <f>ROUND(E871*F871,0)</f>
        <v>7463</v>
      </c>
    </row>
    <row r="872" spans="1:8" ht="14.25">
      <c r="A872" s="123"/>
      <c r="B872" s="854" t="str">
        <f>MATERIALES2!C20</f>
        <v xml:space="preserve">ARENA </v>
      </c>
      <c r="C872" s="855"/>
      <c r="D872" s="37" t="s">
        <v>1066</v>
      </c>
      <c r="E872" s="53">
        <v>0.04</v>
      </c>
      <c r="F872" s="82">
        <f>MATERIALES2!E20</f>
        <v>35000</v>
      </c>
      <c r="G872" s="111">
        <f>ROUND(E872*F872,0)</f>
        <v>1400</v>
      </c>
    </row>
    <row r="873" spans="1:8">
      <c r="A873" s="123"/>
      <c r="B873" s="854" t="str">
        <f>MATERIALES2!C28</f>
        <v>AGUA</v>
      </c>
      <c r="C873" s="855"/>
      <c r="D873" s="37" t="s">
        <v>1071</v>
      </c>
      <c r="E873" s="83">
        <v>7.04</v>
      </c>
      <c r="F873" s="82">
        <f>MATERIALES2!E28</f>
        <v>50</v>
      </c>
      <c r="G873" s="111">
        <f>ROUND(E873*F873,0)</f>
        <v>352</v>
      </c>
    </row>
    <row r="874" spans="1:8">
      <c r="A874" s="123"/>
      <c r="B874" s="854" t="str">
        <f>MATERIALES2!C303</f>
        <v>TOKENET 1  IMPERMEABIL.1 KILO</v>
      </c>
      <c r="C874" s="855"/>
      <c r="D874" s="37" t="s">
        <v>865</v>
      </c>
      <c r="E874" s="83">
        <v>0.53</v>
      </c>
      <c r="F874" s="82">
        <f>MATERIALES2!E303</f>
        <v>4142.5</v>
      </c>
      <c r="G874" s="111">
        <f>ROUND(E874*F874,0)</f>
        <v>2196</v>
      </c>
    </row>
    <row r="875" spans="1:8">
      <c r="A875" s="95"/>
      <c r="B875" s="854"/>
      <c r="C875" s="855"/>
      <c r="D875" s="37"/>
      <c r="E875" s="53"/>
      <c r="F875" s="82"/>
      <c r="G875" s="111"/>
    </row>
    <row r="876" spans="1:8">
      <c r="A876" s="95"/>
      <c r="B876" s="873"/>
      <c r="C876" s="874"/>
      <c r="D876" s="37"/>
      <c r="E876" s="53"/>
      <c r="F876" s="82"/>
      <c r="G876" s="111"/>
    </row>
    <row r="877" spans="1:8">
      <c r="A877" s="95"/>
      <c r="B877" s="837" t="s">
        <v>841</v>
      </c>
      <c r="C877" s="838"/>
      <c r="D877" s="53" t="s">
        <v>841</v>
      </c>
      <c r="E877" s="53"/>
      <c r="F877" s="82"/>
      <c r="G877" s="111"/>
      <c r="H877" s="505" t="s">
        <v>1670</v>
      </c>
    </row>
    <row r="878" spans="1:8" ht="13.5" thickBot="1">
      <c r="A878" s="95"/>
      <c r="B878" s="839" t="s">
        <v>841</v>
      </c>
      <c r="C878" s="840"/>
      <c r="D878" s="84" t="s">
        <v>841</v>
      </c>
      <c r="E878" s="84"/>
      <c r="F878" s="85"/>
      <c r="G878" s="112"/>
    </row>
    <row r="879" spans="1:8" ht="13.5" thickTop="1">
      <c r="A879" s="95"/>
      <c r="B879" s="808"/>
      <c r="C879" s="809"/>
      <c r="D879" s="801" t="s">
        <v>856</v>
      </c>
      <c r="E879" s="802"/>
      <c r="F879" s="9"/>
      <c r="G879" s="113">
        <f>SUM(G870:G878)</f>
        <v>20611</v>
      </c>
    </row>
    <row r="880" spans="1:8">
      <c r="A880" s="95"/>
      <c r="B880" s="819"/>
      <c r="C880" s="820"/>
      <c r="D880" s="801" t="s">
        <v>857</v>
      </c>
      <c r="E880" s="802"/>
      <c r="F880" s="79">
        <f>'MANO DE OBRA'!D60</f>
        <v>0.05</v>
      </c>
      <c r="G880" s="113">
        <f>ROUND(G879*F880,0)</f>
        <v>1031</v>
      </c>
    </row>
    <row r="881" spans="1:7" ht="13.5" thickBot="1">
      <c r="A881" s="95"/>
      <c r="B881" s="819"/>
      <c r="C881" s="820"/>
      <c r="D881" s="803" t="s">
        <v>320</v>
      </c>
      <c r="E881" s="804"/>
      <c r="F881" s="114"/>
      <c r="G881" s="118">
        <f>+G879+G880</f>
        <v>21642</v>
      </c>
    </row>
    <row r="882" spans="1:7" ht="14.25" thickTop="1" thickBot="1">
      <c r="A882" s="95"/>
      <c r="B882" s="830"/>
      <c r="C882" s="830"/>
      <c r="D882" s="830"/>
      <c r="E882" s="830"/>
      <c r="F882" s="830"/>
      <c r="G882" s="830"/>
    </row>
    <row r="883" spans="1:7" ht="13.5" thickTop="1">
      <c r="A883" s="95"/>
      <c r="B883" s="811" t="s">
        <v>858</v>
      </c>
      <c r="C883" s="812"/>
      <c r="D883" s="812"/>
      <c r="E883" s="812"/>
      <c r="F883" s="812"/>
      <c r="G883" s="825"/>
    </row>
    <row r="884" spans="1:7">
      <c r="A884" s="95"/>
      <c r="B884" s="817"/>
      <c r="C884" s="818"/>
      <c r="D884" s="98" t="s">
        <v>301</v>
      </c>
      <c r="E884" s="98" t="s">
        <v>859</v>
      </c>
      <c r="F884" s="99" t="s">
        <v>839</v>
      </c>
      <c r="G884" s="107" t="s">
        <v>840</v>
      </c>
    </row>
    <row r="885" spans="1:7">
      <c r="A885" s="95"/>
      <c r="B885" s="821" t="s">
        <v>838</v>
      </c>
      <c r="C885" s="822"/>
      <c r="D885" s="100" t="s">
        <v>316</v>
      </c>
      <c r="E885" s="100" t="s">
        <v>315</v>
      </c>
      <c r="F885" s="101" t="s">
        <v>306</v>
      </c>
      <c r="G885" s="108" t="s">
        <v>319</v>
      </c>
    </row>
    <row r="886" spans="1:7">
      <c r="A886" s="95"/>
      <c r="B886" s="115"/>
      <c r="C886" s="102"/>
      <c r="D886" s="103"/>
      <c r="E886" s="103" t="s">
        <v>317</v>
      </c>
      <c r="F886" s="104" t="s">
        <v>318</v>
      </c>
      <c r="G886" s="109"/>
    </row>
    <row r="887" spans="1:7">
      <c r="A887" s="95"/>
      <c r="B887" s="823" t="str">
        <f>'MANO DE OBRA'!B10</f>
        <v>AYUDANTE CUAD. TIPO AA</v>
      </c>
      <c r="C887" s="824"/>
      <c r="D887" s="87">
        <v>1</v>
      </c>
      <c r="E887" s="80">
        <f>'MANO DE OBRA'!E10</f>
        <v>34680</v>
      </c>
      <c r="F887" s="81">
        <v>9</v>
      </c>
      <c r="G887" s="110">
        <f>ROUND(D887*E887/F887,0)</f>
        <v>3853</v>
      </c>
    </row>
    <row r="888" spans="1:7">
      <c r="A888" s="95"/>
      <c r="B888" s="835" t="str">
        <f>'MANO DE OBRA'!B15</f>
        <v xml:space="preserve">OFICIAL CUAD. TIPO AA </v>
      </c>
      <c r="C888" s="836"/>
      <c r="D888" s="37">
        <v>1</v>
      </c>
      <c r="E888" s="82">
        <f>'MANO DE OBRA'!E15</f>
        <v>71474</v>
      </c>
      <c r="F888" s="83">
        <v>9</v>
      </c>
      <c r="G888" s="111">
        <f>ROUND(D888*E888/F888,0)</f>
        <v>7942</v>
      </c>
    </row>
    <row r="889" spans="1:7">
      <c r="A889" s="95"/>
      <c r="B889" s="835"/>
      <c r="C889" s="836"/>
      <c r="D889" s="89"/>
      <c r="E889" s="82"/>
      <c r="F889" s="83"/>
      <c r="G889" s="111"/>
    </row>
    <row r="890" spans="1:7">
      <c r="A890" s="95"/>
      <c r="B890" s="835" t="s">
        <v>841</v>
      </c>
      <c r="C890" s="836"/>
      <c r="D890" s="37"/>
      <c r="E890" s="82"/>
      <c r="F890" s="83"/>
      <c r="G890" s="111"/>
    </row>
    <row r="891" spans="1:7" ht="13.5" thickBot="1">
      <c r="A891" s="95"/>
      <c r="B891" s="828" t="s">
        <v>841</v>
      </c>
      <c r="C891" s="829"/>
      <c r="D891" s="77"/>
      <c r="E891" s="82"/>
      <c r="F891" s="86"/>
      <c r="G891" s="112"/>
    </row>
    <row r="892" spans="1:7" ht="14.25" thickTop="1" thickBot="1">
      <c r="A892" s="95"/>
      <c r="B892" s="808"/>
      <c r="C892" s="808"/>
      <c r="D892" s="808"/>
      <c r="E892" s="809"/>
      <c r="F892" s="120" t="s">
        <v>856</v>
      </c>
      <c r="G892" s="118">
        <f>SUM(G887:G891)</f>
        <v>11795</v>
      </c>
    </row>
    <row r="893" spans="1:7" ht="14.25" thickTop="1" thickBot="1">
      <c r="A893" s="95"/>
      <c r="B893" s="810"/>
      <c r="C893" s="810"/>
      <c r="D893" s="810"/>
      <c r="E893" s="810"/>
      <c r="F893" s="810"/>
      <c r="G893" s="810"/>
    </row>
    <row r="894" spans="1:7" ht="13.5" thickTop="1">
      <c r="A894" s="95"/>
      <c r="B894" s="811" t="s">
        <v>321</v>
      </c>
      <c r="C894" s="812"/>
      <c r="D894" s="812"/>
      <c r="E894" s="812"/>
      <c r="F894" s="812"/>
      <c r="G894" s="825"/>
    </row>
    <row r="895" spans="1:7">
      <c r="A895" s="95"/>
      <c r="B895" s="817" t="s">
        <v>838</v>
      </c>
      <c r="C895" s="818"/>
      <c r="D895" s="98" t="s">
        <v>301</v>
      </c>
      <c r="E895" s="98" t="s">
        <v>297</v>
      </c>
      <c r="F895" s="99" t="s">
        <v>839</v>
      </c>
      <c r="G895" s="107" t="s">
        <v>840</v>
      </c>
    </row>
    <row r="896" spans="1:7">
      <c r="A896" s="95"/>
      <c r="B896" s="115"/>
      <c r="C896" s="102"/>
      <c r="D896" s="103" t="s">
        <v>322</v>
      </c>
      <c r="E896" s="103" t="s">
        <v>323</v>
      </c>
      <c r="F896" s="104" t="s">
        <v>324</v>
      </c>
      <c r="G896" s="109" t="s">
        <v>325</v>
      </c>
    </row>
    <row r="897" spans="1:8">
      <c r="A897" s="95"/>
      <c r="B897" s="826"/>
      <c r="C897" s="827"/>
      <c r="D897" s="96"/>
      <c r="E897" s="96"/>
      <c r="F897" s="96"/>
      <c r="G897" s="116"/>
    </row>
    <row r="898" spans="1:8" ht="13.5" thickBot="1">
      <c r="A898" s="95"/>
      <c r="B898" s="828" t="s">
        <v>841</v>
      </c>
      <c r="C898" s="829"/>
      <c r="D898" s="77"/>
      <c r="E898" s="82"/>
      <c r="F898" s="86"/>
      <c r="G898" s="112"/>
    </row>
    <row r="899" spans="1:8" ht="14.25" thickTop="1" thickBot="1">
      <c r="A899" s="95"/>
      <c r="B899" s="808"/>
      <c r="C899" s="808"/>
      <c r="D899" s="808"/>
      <c r="E899" s="809"/>
      <c r="F899" s="120" t="s">
        <v>856</v>
      </c>
      <c r="G899" s="118">
        <f>SUM(G894:G898)</f>
        <v>0</v>
      </c>
    </row>
    <row r="900" spans="1:8" ht="14.25" thickTop="1" thickBot="1">
      <c r="A900" s="95"/>
      <c r="B900" s="810"/>
      <c r="C900" s="810"/>
      <c r="D900" s="810"/>
      <c r="E900" s="810"/>
      <c r="F900" s="810"/>
      <c r="G900" s="834"/>
    </row>
    <row r="901" spans="1:8" ht="13.5" thickTop="1">
      <c r="A901" s="95"/>
      <c r="B901" s="811" t="s">
        <v>326</v>
      </c>
      <c r="C901" s="812"/>
      <c r="D901" s="812"/>
      <c r="E901" s="812"/>
      <c r="F901" s="813"/>
      <c r="G901" s="121">
        <f>+G865+G881+G892</f>
        <v>34027</v>
      </c>
    </row>
    <row r="902" spans="1:8">
      <c r="A902" s="95"/>
      <c r="B902" s="814" t="s">
        <v>861</v>
      </c>
      <c r="C902" s="815"/>
      <c r="D902" s="815"/>
      <c r="E902" s="816"/>
      <c r="F902" s="128">
        <f>'MANO DE OBRA'!D59</f>
        <v>0</v>
      </c>
      <c r="G902" s="122">
        <f>ROUND(G901*F902,0)</f>
        <v>0</v>
      </c>
    </row>
    <row r="903" spans="1:8" ht="13.5" thickBot="1">
      <c r="A903" s="95"/>
      <c r="B903" s="805" t="s">
        <v>1049</v>
      </c>
      <c r="C903" s="806"/>
      <c r="D903" s="806"/>
      <c r="E903" s="806"/>
      <c r="F903" s="807"/>
      <c r="G903" s="118">
        <f>ROUND(G901+G902,-2)</f>
        <v>34000</v>
      </c>
      <c r="H903" s="505" t="s">
        <v>1670</v>
      </c>
    </row>
    <row r="904" spans="1:8" ht="13.5" thickTop="1">
      <c r="B904" s="90" t="s">
        <v>303</v>
      </c>
      <c r="C904" s="843"/>
      <c r="D904" s="843"/>
      <c r="E904" s="843"/>
      <c r="F904" s="92" t="s">
        <v>781</v>
      </c>
      <c r="G904" s="93" t="s">
        <v>1351</v>
      </c>
    </row>
    <row r="905" spans="1:8">
      <c r="B905" s="91" t="s">
        <v>834</v>
      </c>
      <c r="C905" s="844" t="s">
        <v>1151</v>
      </c>
      <c r="D905" s="844"/>
      <c r="E905" s="844"/>
      <c r="F905" s="15" t="s">
        <v>833</v>
      </c>
      <c r="G905" s="165" t="str">
        <f>'MANO DE OBRA'!D61</f>
        <v>Agosto de 2010</v>
      </c>
    </row>
    <row r="906" spans="1:8" ht="29.25" customHeight="1" thickBot="1">
      <c r="B906" s="94" t="s">
        <v>835</v>
      </c>
      <c r="C906" s="940" t="s">
        <v>9</v>
      </c>
      <c r="D906" s="940"/>
      <c r="E906" s="940"/>
      <c r="F906" s="940"/>
      <c r="G906" s="941"/>
    </row>
    <row r="907" spans="1:8" ht="14.25" thickTop="1" thickBot="1">
      <c r="B907" s="847"/>
      <c r="C907" s="847"/>
      <c r="D907" s="847"/>
      <c r="E907" s="847"/>
      <c r="F907" s="847"/>
      <c r="G907" s="847"/>
    </row>
    <row r="908" spans="1:8" ht="13.5" thickTop="1">
      <c r="B908" s="811" t="s">
        <v>304</v>
      </c>
      <c r="C908" s="812"/>
      <c r="D908" s="812"/>
      <c r="E908" s="812"/>
      <c r="F908" s="812"/>
      <c r="G908" s="825"/>
    </row>
    <row r="909" spans="1:8">
      <c r="B909" s="105"/>
      <c r="C909" s="97"/>
      <c r="D909" s="98" t="s">
        <v>301</v>
      </c>
      <c r="E909" s="98" t="s">
        <v>1072</v>
      </c>
      <c r="F909" s="99" t="s">
        <v>839</v>
      </c>
      <c r="G909" s="107" t="s">
        <v>840</v>
      </c>
    </row>
    <row r="910" spans="1:8">
      <c r="B910" s="821" t="s">
        <v>838</v>
      </c>
      <c r="C910" s="822"/>
      <c r="D910" s="100" t="s">
        <v>308</v>
      </c>
      <c r="E910" s="100" t="s">
        <v>305</v>
      </c>
      <c r="F910" s="101" t="s">
        <v>306</v>
      </c>
      <c r="G910" s="108" t="s">
        <v>310</v>
      </c>
    </row>
    <row r="911" spans="1:8">
      <c r="B911" s="115"/>
      <c r="C911" s="102"/>
      <c r="D911" s="103"/>
      <c r="E911" s="103" t="s">
        <v>309</v>
      </c>
      <c r="F911" s="104" t="s">
        <v>307</v>
      </c>
      <c r="G911" s="109"/>
    </row>
    <row r="912" spans="1:8">
      <c r="B912" s="823" t="str">
        <f>'MAQUINARIA Y EQUIPOS'!C28</f>
        <v>HERRAMIENTAS MENORES</v>
      </c>
      <c r="C912" s="824"/>
      <c r="D912" s="87">
        <v>1</v>
      </c>
      <c r="E912" s="82">
        <f>ROUND(G945*0.05,0)</f>
        <v>34982</v>
      </c>
      <c r="F912" s="81">
        <v>1</v>
      </c>
      <c r="G912" s="110">
        <f>ROUND(D912*E912/F912,0)</f>
        <v>34982</v>
      </c>
    </row>
    <row r="913" spans="2:7">
      <c r="B913" s="835"/>
      <c r="C913" s="836"/>
      <c r="D913" s="37"/>
      <c r="E913" s="82"/>
      <c r="F913" s="83"/>
      <c r="G913" s="111"/>
    </row>
    <row r="914" spans="2:7">
      <c r="B914" s="835"/>
      <c r="C914" s="836"/>
      <c r="D914" s="89"/>
      <c r="E914" s="82"/>
      <c r="F914" s="83"/>
      <c r="G914" s="111"/>
    </row>
    <row r="915" spans="2:7">
      <c r="B915" s="835"/>
      <c r="C915" s="836"/>
      <c r="D915" s="89"/>
      <c r="E915" s="82"/>
      <c r="F915" s="83"/>
      <c r="G915" s="111"/>
    </row>
    <row r="916" spans="2:7">
      <c r="B916" s="835" t="s">
        <v>841</v>
      </c>
      <c r="C916" s="836"/>
      <c r="D916" s="37"/>
      <c r="E916" s="82"/>
      <c r="F916" s="83"/>
      <c r="G916" s="111"/>
    </row>
    <row r="917" spans="2:7" ht="13.5" thickBot="1">
      <c r="B917" s="839" t="s">
        <v>841</v>
      </c>
      <c r="C917" s="840"/>
      <c r="D917" s="77"/>
      <c r="E917" s="106"/>
      <c r="F917" s="86"/>
      <c r="G917" s="112"/>
    </row>
    <row r="918" spans="2:7" ht="14.25" thickTop="1" thickBot="1">
      <c r="B918" s="808"/>
      <c r="C918" s="808"/>
      <c r="D918" s="808"/>
      <c r="E918" s="809"/>
      <c r="F918" s="119" t="s">
        <v>856</v>
      </c>
      <c r="G918" s="118">
        <f>SUM(G912:G917)</f>
        <v>34982</v>
      </c>
    </row>
    <row r="919" spans="2:7" ht="14.25" thickTop="1" thickBot="1">
      <c r="B919" s="830"/>
      <c r="C919" s="830"/>
      <c r="D919" s="830"/>
      <c r="E919" s="830"/>
      <c r="F919" s="830"/>
      <c r="G919" s="830"/>
    </row>
    <row r="920" spans="2:7" ht="13.5" thickTop="1">
      <c r="B920" s="811" t="s">
        <v>311</v>
      </c>
      <c r="C920" s="812"/>
      <c r="D920" s="812"/>
      <c r="E920" s="812"/>
      <c r="F920" s="812"/>
      <c r="G920" s="825"/>
    </row>
    <row r="921" spans="2:7">
      <c r="B921" s="817" t="s">
        <v>838</v>
      </c>
      <c r="C921" s="818"/>
      <c r="D921" s="98" t="s">
        <v>842</v>
      </c>
      <c r="E921" s="98" t="s">
        <v>853</v>
      </c>
      <c r="F921" s="99" t="s">
        <v>1047</v>
      </c>
      <c r="G921" s="107" t="s">
        <v>840</v>
      </c>
    </row>
    <row r="922" spans="2:7">
      <c r="B922" s="115"/>
      <c r="C922" s="102"/>
      <c r="D922" s="100"/>
      <c r="E922" s="100" t="s">
        <v>312</v>
      </c>
      <c r="F922" s="101" t="s">
        <v>313</v>
      </c>
      <c r="G922" s="108" t="s">
        <v>314</v>
      </c>
    </row>
    <row r="923" spans="2:7">
      <c r="B923" s="841" t="s">
        <v>1152</v>
      </c>
      <c r="C923" s="842"/>
      <c r="D923" s="87" t="s">
        <v>556</v>
      </c>
      <c r="E923" s="81">
        <v>1</v>
      </c>
      <c r="F923" s="80">
        <f>2250000+43000</f>
        <v>2293000</v>
      </c>
      <c r="G923" s="110">
        <f>ROUND(E923*F923,0)</f>
        <v>2293000</v>
      </c>
    </row>
    <row r="924" spans="2:7">
      <c r="B924" s="854" t="s">
        <v>1153</v>
      </c>
      <c r="C924" s="855"/>
      <c r="D924" s="37"/>
      <c r="E924" s="83"/>
      <c r="F924" s="82"/>
      <c r="G924" s="111"/>
    </row>
    <row r="925" spans="2:7">
      <c r="B925" s="854"/>
      <c r="C925" s="855"/>
      <c r="D925" s="37"/>
      <c r="E925" s="53"/>
      <c r="F925" s="82"/>
      <c r="G925" s="111"/>
    </row>
    <row r="926" spans="2:7">
      <c r="B926" s="854"/>
      <c r="C926" s="855"/>
      <c r="D926" s="37"/>
      <c r="E926" s="83"/>
      <c r="F926" s="82"/>
      <c r="G926" s="111"/>
    </row>
    <row r="927" spans="2:7">
      <c r="B927" s="854"/>
      <c r="C927" s="855"/>
      <c r="D927" s="37"/>
      <c r="E927" s="83"/>
      <c r="F927" s="82"/>
      <c r="G927" s="111"/>
    </row>
    <row r="928" spans="2:7">
      <c r="B928" s="854"/>
      <c r="C928" s="855"/>
      <c r="D928" s="37"/>
      <c r="E928" s="53"/>
      <c r="F928" s="82"/>
      <c r="G928" s="111"/>
    </row>
    <row r="929" spans="2:8">
      <c r="B929" s="873"/>
      <c r="C929" s="874"/>
      <c r="D929" s="37"/>
      <c r="E929" s="53"/>
      <c r="F929" s="82"/>
      <c r="G929" s="111"/>
    </row>
    <row r="930" spans="2:8">
      <c r="B930" s="837" t="s">
        <v>841</v>
      </c>
      <c r="C930" s="838"/>
      <c r="D930" s="53" t="s">
        <v>841</v>
      </c>
      <c r="E930" s="53"/>
      <c r="F930" s="82"/>
      <c r="G930" s="111"/>
      <c r="H930" s="505" t="s">
        <v>1670</v>
      </c>
    </row>
    <row r="931" spans="2:8" ht="13.5" thickBot="1">
      <c r="B931" s="839" t="s">
        <v>841</v>
      </c>
      <c r="C931" s="840"/>
      <c r="D931" s="84" t="s">
        <v>841</v>
      </c>
      <c r="E931" s="84"/>
      <c r="F931" s="85"/>
      <c r="G931" s="112"/>
    </row>
    <row r="932" spans="2:8" ht="13.5" thickTop="1">
      <c r="B932" s="808"/>
      <c r="C932" s="809"/>
      <c r="D932" s="801" t="s">
        <v>856</v>
      </c>
      <c r="E932" s="802"/>
      <c r="F932" s="9"/>
      <c r="G932" s="113">
        <f>SUM(G923:G931)</f>
        <v>2293000</v>
      </c>
    </row>
    <row r="933" spans="2:8">
      <c r="B933" s="819"/>
      <c r="C933" s="820"/>
      <c r="D933" s="801" t="s">
        <v>857</v>
      </c>
      <c r="E933" s="802"/>
      <c r="F933" s="79">
        <f>'MANO DE OBRA'!D60</f>
        <v>0.05</v>
      </c>
      <c r="G933" s="113">
        <f>ROUND(G932*F933,0)</f>
        <v>114650</v>
      </c>
    </row>
    <row r="934" spans="2:8" ht="13.5" thickBot="1">
      <c r="B934" s="819"/>
      <c r="C934" s="820"/>
      <c r="D934" s="803" t="s">
        <v>320</v>
      </c>
      <c r="E934" s="804"/>
      <c r="F934" s="114"/>
      <c r="G934" s="118">
        <f>+G932+G933</f>
        <v>2407650</v>
      </c>
    </row>
    <row r="935" spans="2:8" ht="14.25" thickTop="1" thickBot="1">
      <c r="B935" s="830"/>
      <c r="C935" s="830"/>
      <c r="D935" s="830"/>
      <c r="E935" s="830"/>
      <c r="F935" s="830"/>
      <c r="G935" s="830"/>
    </row>
    <row r="936" spans="2:8" ht="13.5" thickTop="1">
      <c r="B936" s="811" t="s">
        <v>858</v>
      </c>
      <c r="C936" s="812"/>
      <c r="D936" s="812"/>
      <c r="E936" s="812"/>
      <c r="F936" s="812"/>
      <c r="G936" s="825"/>
    </row>
    <row r="937" spans="2:8">
      <c r="B937" s="817"/>
      <c r="C937" s="818"/>
      <c r="D937" s="98" t="s">
        <v>301</v>
      </c>
      <c r="E937" s="98" t="s">
        <v>859</v>
      </c>
      <c r="F937" s="99" t="s">
        <v>839</v>
      </c>
      <c r="G937" s="107" t="s">
        <v>840</v>
      </c>
    </row>
    <row r="938" spans="2:8">
      <c r="B938" s="821" t="s">
        <v>838</v>
      </c>
      <c r="C938" s="822"/>
      <c r="D938" s="100" t="s">
        <v>316</v>
      </c>
      <c r="E938" s="100" t="s">
        <v>315</v>
      </c>
      <c r="F938" s="101" t="s">
        <v>306</v>
      </c>
      <c r="G938" s="108" t="s">
        <v>319</v>
      </c>
    </row>
    <row r="939" spans="2:8">
      <c r="B939" s="115"/>
      <c r="C939" s="102"/>
      <c r="D939" s="103"/>
      <c r="E939" s="103" t="s">
        <v>317</v>
      </c>
      <c r="F939" s="104" t="s">
        <v>318</v>
      </c>
      <c r="G939" s="109"/>
    </row>
    <row r="940" spans="2:8">
      <c r="B940" s="823" t="str">
        <f>'MANO DE OBRA'!B10</f>
        <v>AYUDANTE CUAD. TIPO AA</v>
      </c>
      <c r="C940" s="824"/>
      <c r="D940" s="87">
        <v>5</v>
      </c>
      <c r="E940" s="80">
        <f>'MANO DE OBRA'!E10</f>
        <v>34680</v>
      </c>
      <c r="F940" s="81">
        <v>0.35</v>
      </c>
      <c r="G940" s="110">
        <f>ROUND(D940*E940/F940,0)</f>
        <v>495429</v>
      </c>
    </row>
    <row r="941" spans="2:8">
      <c r="B941" s="835" t="str">
        <f>'MANO DE OBRA'!B15</f>
        <v xml:space="preserve">OFICIAL CUAD. TIPO AA </v>
      </c>
      <c r="C941" s="836"/>
      <c r="D941" s="37">
        <v>1</v>
      </c>
      <c r="E941" s="82">
        <f>'MANO DE OBRA'!E15</f>
        <v>71474</v>
      </c>
      <c r="F941" s="83">
        <v>0.35</v>
      </c>
      <c r="G941" s="111">
        <f>ROUND(D941*E941/F941,0)</f>
        <v>204211</v>
      </c>
    </row>
    <row r="942" spans="2:8">
      <c r="B942" s="835"/>
      <c r="C942" s="836"/>
      <c r="D942" s="89"/>
      <c r="E942" s="82"/>
      <c r="F942" s="83"/>
      <c r="G942" s="111"/>
    </row>
    <row r="943" spans="2:8">
      <c r="B943" s="835" t="s">
        <v>841</v>
      </c>
      <c r="C943" s="836"/>
      <c r="D943" s="37"/>
      <c r="E943" s="82"/>
      <c r="F943" s="83"/>
      <c r="G943" s="111"/>
    </row>
    <row r="944" spans="2:8" ht="13.5" thickBot="1">
      <c r="B944" s="828" t="s">
        <v>841</v>
      </c>
      <c r="C944" s="829"/>
      <c r="D944" s="77"/>
      <c r="E944" s="82"/>
      <c r="F944" s="86"/>
      <c r="G944" s="112"/>
    </row>
    <row r="945" spans="2:9" ht="14.25" thickTop="1" thickBot="1">
      <c r="B945" s="808"/>
      <c r="C945" s="808"/>
      <c r="D945" s="808"/>
      <c r="E945" s="809"/>
      <c r="F945" s="120" t="s">
        <v>856</v>
      </c>
      <c r="G945" s="118">
        <f>SUM(G940:G944)</f>
        <v>699640</v>
      </c>
    </row>
    <row r="946" spans="2:9" ht="14.25" thickTop="1" thickBot="1">
      <c r="B946" s="810"/>
      <c r="C946" s="810"/>
      <c r="D946" s="810"/>
      <c r="E946" s="810"/>
      <c r="F946" s="810"/>
      <c r="G946" s="810"/>
    </row>
    <row r="947" spans="2:9" ht="13.5" thickTop="1">
      <c r="B947" s="811" t="s">
        <v>321</v>
      </c>
      <c r="C947" s="812"/>
      <c r="D947" s="812"/>
      <c r="E947" s="812"/>
      <c r="F947" s="812"/>
      <c r="G947" s="825"/>
    </row>
    <row r="948" spans="2:9">
      <c r="B948" s="817" t="s">
        <v>838</v>
      </c>
      <c r="C948" s="818"/>
      <c r="D948" s="98" t="s">
        <v>301</v>
      </c>
      <c r="E948" s="98" t="s">
        <v>297</v>
      </c>
      <c r="F948" s="99" t="s">
        <v>839</v>
      </c>
      <c r="G948" s="107" t="s">
        <v>840</v>
      </c>
    </row>
    <row r="949" spans="2:9">
      <c r="B949" s="115"/>
      <c r="C949" s="102"/>
      <c r="D949" s="103" t="s">
        <v>322</v>
      </c>
      <c r="E949" s="103" t="s">
        <v>323</v>
      </c>
      <c r="F949" s="104" t="s">
        <v>324</v>
      </c>
      <c r="G949" s="109" t="s">
        <v>325</v>
      </c>
    </row>
    <row r="950" spans="2:9">
      <c r="B950" s="826"/>
      <c r="C950" s="827"/>
      <c r="D950" s="96"/>
      <c r="E950" s="96"/>
      <c r="F950" s="96"/>
      <c r="G950" s="116"/>
    </row>
    <row r="951" spans="2:9" ht="13.5" thickBot="1">
      <c r="B951" s="828" t="s">
        <v>841</v>
      </c>
      <c r="C951" s="829"/>
      <c r="D951" s="77"/>
      <c r="E951" s="82"/>
      <c r="F951" s="86"/>
      <c r="G951" s="112"/>
    </row>
    <row r="952" spans="2:9" ht="14.25" thickTop="1" thickBot="1">
      <c r="B952" s="808"/>
      <c r="C952" s="808"/>
      <c r="D952" s="808"/>
      <c r="E952" s="809"/>
      <c r="F952" s="120" t="s">
        <v>856</v>
      </c>
      <c r="G952" s="118">
        <f>SUM(G947:G951)</f>
        <v>0</v>
      </c>
    </row>
    <row r="953" spans="2:9" ht="14.25" thickTop="1" thickBot="1">
      <c r="B953" s="810"/>
      <c r="C953" s="810"/>
      <c r="D953" s="810"/>
      <c r="E953" s="810"/>
      <c r="F953" s="810"/>
      <c r="G953" s="834"/>
      <c r="I953" s="322"/>
    </row>
    <row r="954" spans="2:9" ht="13.5" thickTop="1">
      <c r="B954" s="811" t="s">
        <v>326</v>
      </c>
      <c r="C954" s="812"/>
      <c r="D954" s="812"/>
      <c r="E954" s="812"/>
      <c r="F954" s="813"/>
      <c r="G954" s="121">
        <f>+G918+G934+G945</f>
        <v>3142272</v>
      </c>
    </row>
    <row r="955" spans="2:9">
      <c r="B955" s="814" t="s">
        <v>861</v>
      </c>
      <c r="C955" s="815"/>
      <c r="D955" s="815"/>
      <c r="E955" s="816"/>
      <c r="F955" s="128">
        <f>'MANO DE OBRA'!D112</f>
        <v>0</v>
      </c>
      <c r="G955" s="122">
        <f>ROUND(G954*F955,0)</f>
        <v>0</v>
      </c>
    </row>
    <row r="956" spans="2:9" ht="13.5" thickBot="1">
      <c r="B956" s="805" t="s">
        <v>1049</v>
      </c>
      <c r="C956" s="806"/>
      <c r="D956" s="806"/>
      <c r="E956" s="806"/>
      <c r="F956" s="807"/>
      <c r="G956" s="118">
        <f>ROUND(G954+G955,-2)</f>
        <v>3142300</v>
      </c>
      <c r="H956" s="505" t="s">
        <v>1670</v>
      </c>
    </row>
    <row r="957" spans="2:9" ht="13.5" thickTop="1">
      <c r="B957" s="90" t="s">
        <v>303</v>
      </c>
      <c r="C957" s="843"/>
      <c r="D957" s="843"/>
      <c r="E957" s="843"/>
      <c r="F957" s="92" t="s">
        <v>781</v>
      </c>
      <c r="G957" s="93" t="s">
        <v>1351</v>
      </c>
    </row>
    <row r="958" spans="2:9">
      <c r="B958" s="91" t="s">
        <v>834</v>
      </c>
      <c r="C958" s="844" t="s">
        <v>1151</v>
      </c>
      <c r="D958" s="844"/>
      <c r="E958" s="844"/>
      <c r="F958" s="15" t="s">
        <v>833</v>
      </c>
      <c r="G958" s="165" t="str">
        <f>'MANO DE OBRA'!D61</f>
        <v>Agosto de 2010</v>
      </c>
    </row>
    <row r="959" spans="2:9" ht="13.5" thickBot="1">
      <c r="B959" s="94" t="s">
        <v>835</v>
      </c>
      <c r="C959" s="940" t="s">
        <v>1155</v>
      </c>
      <c r="D959" s="940"/>
      <c r="E959" s="940"/>
      <c r="F959" s="940"/>
      <c r="G959" s="941"/>
    </row>
    <row r="960" spans="2:9" ht="14.25" thickTop="1" thickBot="1">
      <c r="B960" s="847"/>
      <c r="C960" s="847"/>
      <c r="D960" s="847"/>
      <c r="E960" s="847"/>
      <c r="F960" s="847"/>
      <c r="G960" s="847"/>
    </row>
    <row r="961" spans="2:7" ht="13.5" thickTop="1">
      <c r="B961" s="811" t="s">
        <v>304</v>
      </c>
      <c r="C961" s="812"/>
      <c r="D961" s="812"/>
      <c r="E961" s="812"/>
      <c r="F961" s="812"/>
      <c r="G961" s="825"/>
    </row>
    <row r="962" spans="2:7">
      <c r="B962" s="105"/>
      <c r="C962" s="97"/>
      <c r="D962" s="98" t="s">
        <v>301</v>
      </c>
      <c r="E962" s="98" t="s">
        <v>1072</v>
      </c>
      <c r="F962" s="99" t="s">
        <v>839</v>
      </c>
      <c r="G962" s="107" t="s">
        <v>840</v>
      </c>
    </row>
    <row r="963" spans="2:7">
      <c r="B963" s="821" t="s">
        <v>838</v>
      </c>
      <c r="C963" s="822"/>
      <c r="D963" s="100" t="s">
        <v>308</v>
      </c>
      <c r="E963" s="100" t="s">
        <v>305</v>
      </c>
      <c r="F963" s="101" t="s">
        <v>306</v>
      </c>
      <c r="G963" s="108" t="s">
        <v>310</v>
      </c>
    </row>
    <row r="964" spans="2:7">
      <c r="B964" s="115"/>
      <c r="C964" s="102"/>
      <c r="D964" s="103"/>
      <c r="E964" s="103" t="s">
        <v>309</v>
      </c>
      <c r="F964" s="104" t="s">
        <v>307</v>
      </c>
      <c r="G964" s="109"/>
    </row>
    <row r="965" spans="2:7">
      <c r="B965" s="823" t="str">
        <f>'MAQUINARIA Y EQUIPOS'!C28</f>
        <v>HERRAMIENTAS MENORES</v>
      </c>
      <c r="C965" s="824"/>
      <c r="D965" s="87">
        <v>1</v>
      </c>
      <c r="E965" s="82">
        <f>ROUND(G998*0.05,0)</f>
        <v>46592</v>
      </c>
      <c r="F965" s="81">
        <v>1</v>
      </c>
      <c r="G965" s="110">
        <f>ROUND(D965*E965/F965,0)</f>
        <v>46592</v>
      </c>
    </row>
    <row r="966" spans="2:7">
      <c r="B966" s="835"/>
      <c r="C966" s="836"/>
      <c r="D966" s="37"/>
      <c r="E966" s="82"/>
      <c r="F966" s="83"/>
      <c r="G966" s="111"/>
    </row>
    <row r="967" spans="2:7">
      <c r="B967" s="835"/>
      <c r="C967" s="836"/>
      <c r="D967" s="89"/>
      <c r="E967" s="82"/>
      <c r="F967" s="83"/>
      <c r="G967" s="111"/>
    </row>
    <row r="968" spans="2:7">
      <c r="B968" s="835"/>
      <c r="C968" s="836"/>
      <c r="D968" s="89"/>
      <c r="E968" s="82"/>
      <c r="F968" s="83"/>
      <c r="G968" s="111"/>
    </row>
    <row r="969" spans="2:7">
      <c r="B969" s="835" t="s">
        <v>841</v>
      </c>
      <c r="C969" s="836"/>
      <c r="D969" s="37"/>
      <c r="E969" s="82"/>
      <c r="F969" s="83"/>
      <c r="G969" s="111"/>
    </row>
    <row r="970" spans="2:7" ht="13.5" thickBot="1">
      <c r="B970" s="839" t="s">
        <v>841</v>
      </c>
      <c r="C970" s="840"/>
      <c r="D970" s="77"/>
      <c r="E970" s="106"/>
      <c r="F970" s="86"/>
      <c r="G970" s="112"/>
    </row>
    <row r="971" spans="2:7" ht="14.25" thickTop="1" thickBot="1">
      <c r="B971" s="808"/>
      <c r="C971" s="808"/>
      <c r="D971" s="808"/>
      <c r="E971" s="809"/>
      <c r="F971" s="119" t="s">
        <v>856</v>
      </c>
      <c r="G971" s="118">
        <f>SUM(G965:G970)</f>
        <v>46592</v>
      </c>
    </row>
    <row r="972" spans="2:7" ht="14.25" thickTop="1" thickBot="1">
      <c r="B972" s="830"/>
      <c r="C972" s="830"/>
      <c r="D972" s="830"/>
      <c r="E972" s="830"/>
      <c r="F972" s="830"/>
      <c r="G972" s="830"/>
    </row>
    <row r="973" spans="2:7" ht="13.5" thickTop="1">
      <c r="B973" s="811" t="s">
        <v>311</v>
      </c>
      <c r="C973" s="812"/>
      <c r="D973" s="812"/>
      <c r="E973" s="812"/>
      <c r="F973" s="812"/>
      <c r="G973" s="825"/>
    </row>
    <row r="974" spans="2:7">
      <c r="B974" s="817" t="s">
        <v>838</v>
      </c>
      <c r="C974" s="818"/>
      <c r="D974" s="98" t="s">
        <v>842</v>
      </c>
      <c r="E974" s="98" t="s">
        <v>853</v>
      </c>
      <c r="F974" s="99" t="s">
        <v>1047</v>
      </c>
      <c r="G974" s="107" t="s">
        <v>840</v>
      </c>
    </row>
    <row r="975" spans="2:7">
      <c r="B975" s="115"/>
      <c r="C975" s="102"/>
      <c r="D975" s="100"/>
      <c r="E975" s="100" t="s">
        <v>312</v>
      </c>
      <c r="F975" s="101" t="s">
        <v>313</v>
      </c>
      <c r="G975" s="108" t="s">
        <v>314</v>
      </c>
    </row>
    <row r="976" spans="2:7">
      <c r="B976" s="841" t="s">
        <v>1154</v>
      </c>
      <c r="C976" s="842"/>
      <c r="D976" s="87" t="s">
        <v>556</v>
      </c>
      <c r="E976" s="81">
        <v>1</v>
      </c>
      <c r="F976" s="80">
        <f>2425000</f>
        <v>2425000</v>
      </c>
      <c r="G976" s="110">
        <f>ROUND(E976*F976,0)</f>
        <v>2425000</v>
      </c>
    </row>
    <row r="977" spans="2:8">
      <c r="B977" s="854" t="s">
        <v>1153</v>
      </c>
      <c r="C977" s="855"/>
      <c r="D977" s="37"/>
      <c r="E977" s="83"/>
      <c r="F977" s="82"/>
      <c r="G977" s="111"/>
    </row>
    <row r="978" spans="2:8">
      <c r="B978" s="854"/>
      <c r="C978" s="855"/>
      <c r="D978" s="37"/>
      <c r="E978" s="53"/>
      <c r="F978" s="82"/>
      <c r="G978" s="111"/>
    </row>
    <row r="979" spans="2:8">
      <c r="B979" s="854"/>
      <c r="C979" s="855"/>
      <c r="D979" s="37"/>
      <c r="E979" s="83"/>
      <c r="F979" s="82"/>
      <c r="G979" s="111"/>
    </row>
    <row r="980" spans="2:8">
      <c r="B980" s="854"/>
      <c r="C980" s="855"/>
      <c r="D980" s="37"/>
      <c r="E980" s="83"/>
      <c r="F980" s="82"/>
      <c r="G980" s="111"/>
    </row>
    <row r="981" spans="2:8">
      <c r="B981" s="854"/>
      <c r="C981" s="855"/>
      <c r="D981" s="37"/>
      <c r="E981" s="53"/>
      <c r="F981" s="82"/>
      <c r="G981" s="111"/>
    </row>
    <row r="982" spans="2:8">
      <c r="B982" s="873"/>
      <c r="C982" s="874"/>
      <c r="D982" s="37"/>
      <c r="E982" s="53"/>
      <c r="F982" s="82"/>
      <c r="G982" s="111"/>
    </row>
    <row r="983" spans="2:8">
      <c r="B983" s="837" t="s">
        <v>841</v>
      </c>
      <c r="C983" s="838"/>
      <c r="D983" s="53" t="s">
        <v>841</v>
      </c>
      <c r="E983" s="53"/>
      <c r="F983" s="82"/>
      <c r="G983" s="111"/>
      <c r="H983" s="505" t="s">
        <v>1670</v>
      </c>
    </row>
    <row r="984" spans="2:8" ht="13.5" thickBot="1">
      <c r="B984" s="839" t="s">
        <v>841</v>
      </c>
      <c r="C984" s="840"/>
      <c r="D984" s="84" t="s">
        <v>841</v>
      </c>
      <c r="E984" s="84"/>
      <c r="F984" s="85"/>
      <c r="G984" s="112"/>
    </row>
    <row r="985" spans="2:8" ht="13.5" thickTop="1">
      <c r="B985" s="808"/>
      <c r="C985" s="809"/>
      <c r="D985" s="801" t="s">
        <v>856</v>
      </c>
      <c r="E985" s="802"/>
      <c r="F985" s="9"/>
      <c r="G985" s="113">
        <f>SUM(G976:G984)</f>
        <v>2425000</v>
      </c>
    </row>
    <row r="986" spans="2:8">
      <c r="B986" s="819"/>
      <c r="C986" s="820"/>
      <c r="D986" s="801" t="s">
        <v>857</v>
      </c>
      <c r="E986" s="802"/>
      <c r="F986" s="79">
        <f>'MANO DE OBRA'!D113</f>
        <v>0</v>
      </c>
      <c r="G986" s="113">
        <f>ROUND(G985*F986,0)</f>
        <v>0</v>
      </c>
    </row>
    <row r="987" spans="2:8" ht="13.5" thickBot="1">
      <c r="B987" s="819"/>
      <c r="C987" s="820"/>
      <c r="D987" s="803" t="s">
        <v>320</v>
      </c>
      <c r="E987" s="804"/>
      <c r="F987" s="114"/>
      <c r="G987" s="118">
        <f>+G985+G986</f>
        <v>2425000</v>
      </c>
    </row>
    <row r="988" spans="2:8" ht="14.25" thickTop="1" thickBot="1">
      <c r="B988" s="830"/>
      <c r="C988" s="830"/>
      <c r="D988" s="830"/>
      <c r="E988" s="830"/>
      <c r="F988" s="830"/>
      <c r="G988" s="830"/>
    </row>
    <row r="989" spans="2:8" ht="13.5" thickTop="1">
      <c r="B989" s="811" t="s">
        <v>858</v>
      </c>
      <c r="C989" s="812"/>
      <c r="D989" s="812"/>
      <c r="E989" s="812"/>
      <c r="F989" s="812"/>
      <c r="G989" s="825"/>
    </row>
    <row r="990" spans="2:8">
      <c r="B990" s="817"/>
      <c r="C990" s="818"/>
      <c r="D990" s="98" t="s">
        <v>301</v>
      </c>
      <c r="E990" s="98" t="s">
        <v>859</v>
      </c>
      <c r="F990" s="99" t="s">
        <v>839</v>
      </c>
      <c r="G990" s="107" t="s">
        <v>840</v>
      </c>
    </row>
    <row r="991" spans="2:8">
      <c r="B991" s="821" t="s">
        <v>838</v>
      </c>
      <c r="C991" s="822"/>
      <c r="D991" s="100" t="s">
        <v>316</v>
      </c>
      <c r="E991" s="100" t="s">
        <v>315</v>
      </c>
      <c r="F991" s="101" t="s">
        <v>306</v>
      </c>
      <c r="G991" s="108" t="s">
        <v>319</v>
      </c>
    </row>
    <row r="992" spans="2:8">
      <c r="B992" s="115"/>
      <c r="C992" s="102"/>
      <c r="D992" s="103"/>
      <c r="E992" s="103" t="s">
        <v>317</v>
      </c>
      <c r="F992" s="104" t="s">
        <v>318</v>
      </c>
      <c r="G992" s="109"/>
    </row>
    <row r="993" spans="2:7">
      <c r="B993" s="823" t="str">
        <f>'MANO DE OBRA'!B10</f>
        <v>AYUDANTE CUAD. TIPO AA</v>
      </c>
      <c r="C993" s="824"/>
      <c r="D993" s="87">
        <v>6</v>
      </c>
      <c r="E993" s="80">
        <f>'MANO DE OBRA'!E10</f>
        <v>34680</v>
      </c>
      <c r="F993" s="81">
        <v>0.3</v>
      </c>
      <c r="G993" s="110">
        <f>ROUND(D993*E993/F993,0)</f>
        <v>693600</v>
      </c>
    </row>
    <row r="994" spans="2:7">
      <c r="B994" s="835" t="str">
        <f>'MANO DE OBRA'!B15</f>
        <v xml:space="preserve">OFICIAL CUAD. TIPO AA </v>
      </c>
      <c r="C994" s="836"/>
      <c r="D994" s="37">
        <v>1</v>
      </c>
      <c r="E994" s="82">
        <f>'MANO DE OBRA'!E15</f>
        <v>71474</v>
      </c>
      <c r="F994" s="83">
        <v>0.3</v>
      </c>
      <c r="G994" s="111">
        <f>ROUND(D994*E994/F994,0)</f>
        <v>238247</v>
      </c>
    </row>
    <row r="995" spans="2:7">
      <c r="B995" s="835"/>
      <c r="C995" s="836"/>
      <c r="D995" s="89"/>
      <c r="E995" s="82"/>
      <c r="F995" s="83"/>
      <c r="G995" s="111"/>
    </row>
    <row r="996" spans="2:7">
      <c r="B996" s="835" t="s">
        <v>841</v>
      </c>
      <c r="C996" s="836"/>
      <c r="D996" s="37"/>
      <c r="E996" s="82"/>
      <c r="F996" s="83"/>
      <c r="G996" s="111"/>
    </row>
    <row r="997" spans="2:7" ht="13.5" thickBot="1">
      <c r="B997" s="828" t="s">
        <v>841</v>
      </c>
      <c r="C997" s="829"/>
      <c r="D997" s="77"/>
      <c r="E997" s="82"/>
      <c r="F997" s="86"/>
      <c r="G997" s="112"/>
    </row>
    <row r="998" spans="2:7" ht="14.25" thickTop="1" thickBot="1">
      <c r="B998" s="808"/>
      <c r="C998" s="808"/>
      <c r="D998" s="808"/>
      <c r="E998" s="809"/>
      <c r="F998" s="120" t="s">
        <v>856</v>
      </c>
      <c r="G998" s="118">
        <f>SUM(G993:G997)</f>
        <v>931847</v>
      </c>
    </row>
    <row r="999" spans="2:7" ht="14.25" thickTop="1" thickBot="1">
      <c r="B999" s="810"/>
      <c r="C999" s="810"/>
      <c r="D999" s="810"/>
      <c r="E999" s="810"/>
      <c r="F999" s="810"/>
      <c r="G999" s="810"/>
    </row>
    <row r="1000" spans="2:7" ht="13.5" thickTop="1">
      <c r="B1000" s="811" t="s">
        <v>321</v>
      </c>
      <c r="C1000" s="812"/>
      <c r="D1000" s="812"/>
      <c r="E1000" s="812"/>
      <c r="F1000" s="812"/>
      <c r="G1000" s="825"/>
    </row>
    <row r="1001" spans="2:7">
      <c r="B1001" s="817" t="s">
        <v>838</v>
      </c>
      <c r="C1001" s="818"/>
      <c r="D1001" s="98" t="s">
        <v>301</v>
      </c>
      <c r="E1001" s="98" t="s">
        <v>297</v>
      </c>
      <c r="F1001" s="99" t="s">
        <v>839</v>
      </c>
      <c r="G1001" s="107" t="s">
        <v>840</v>
      </c>
    </row>
    <row r="1002" spans="2:7">
      <c r="B1002" s="115"/>
      <c r="C1002" s="102"/>
      <c r="D1002" s="103" t="s">
        <v>322</v>
      </c>
      <c r="E1002" s="103" t="s">
        <v>323</v>
      </c>
      <c r="F1002" s="104" t="s">
        <v>324</v>
      </c>
      <c r="G1002" s="109" t="s">
        <v>325</v>
      </c>
    </row>
    <row r="1003" spans="2:7">
      <c r="B1003" s="826"/>
      <c r="C1003" s="827"/>
      <c r="D1003" s="96"/>
      <c r="E1003" s="96"/>
      <c r="F1003" s="96"/>
      <c r="G1003" s="116"/>
    </row>
    <row r="1004" spans="2:7" ht="13.5" thickBot="1">
      <c r="B1004" s="828" t="s">
        <v>841</v>
      </c>
      <c r="C1004" s="829"/>
      <c r="D1004" s="77"/>
      <c r="E1004" s="82"/>
      <c r="F1004" s="86"/>
      <c r="G1004" s="112"/>
    </row>
    <row r="1005" spans="2:7" ht="14.25" thickTop="1" thickBot="1">
      <c r="B1005" s="808"/>
      <c r="C1005" s="808"/>
      <c r="D1005" s="808"/>
      <c r="E1005" s="809"/>
      <c r="F1005" s="120" t="s">
        <v>856</v>
      </c>
      <c r="G1005" s="118">
        <f>SUM(G1000:G1004)</f>
        <v>0</v>
      </c>
    </row>
    <row r="1006" spans="2:7" ht="14.25" thickTop="1" thickBot="1">
      <c r="B1006" s="810"/>
      <c r="C1006" s="810"/>
      <c r="D1006" s="810"/>
      <c r="E1006" s="810"/>
      <c r="F1006" s="810"/>
      <c r="G1006" s="834"/>
    </row>
    <row r="1007" spans="2:7" ht="13.5" thickTop="1">
      <c r="B1007" s="811" t="s">
        <v>326</v>
      </c>
      <c r="C1007" s="812"/>
      <c r="D1007" s="812"/>
      <c r="E1007" s="812"/>
      <c r="F1007" s="813"/>
      <c r="G1007" s="121">
        <f>+G971+G987+G998</f>
        <v>3403439</v>
      </c>
    </row>
    <row r="1008" spans="2:7">
      <c r="B1008" s="814" t="s">
        <v>861</v>
      </c>
      <c r="C1008" s="815"/>
      <c r="D1008" s="815"/>
      <c r="E1008" s="816"/>
      <c r="F1008" s="128">
        <f>'MANO DE OBRA'!D165</f>
        <v>0</v>
      </c>
      <c r="G1008" s="122">
        <f>ROUND(G1007*F1008,0)</f>
        <v>0</v>
      </c>
    </row>
    <row r="1009" spans="2:8" ht="13.5" thickBot="1">
      <c r="B1009" s="805" t="s">
        <v>1049</v>
      </c>
      <c r="C1009" s="806"/>
      <c r="D1009" s="806"/>
      <c r="E1009" s="806"/>
      <c r="F1009" s="807"/>
      <c r="G1009" s="118">
        <f>ROUND(G1007+G1008,-2)</f>
        <v>3403400</v>
      </c>
      <c r="H1009" s="505" t="s">
        <v>1670</v>
      </c>
    </row>
    <row r="1010" spans="2:8" ht="13.5" thickTop="1"/>
  </sheetData>
  <mergeCells count="933">
    <mergeCell ref="B998:E998"/>
    <mergeCell ref="B999:G999"/>
    <mergeCell ref="B1000:G1000"/>
    <mergeCell ref="B993:C993"/>
    <mergeCell ref="B994:C994"/>
    <mergeCell ref="B995:C995"/>
    <mergeCell ref="B996:C996"/>
    <mergeCell ref="B1008:E1008"/>
    <mergeCell ref="B1009:F1009"/>
    <mergeCell ref="B1001:C1001"/>
    <mergeCell ref="B1003:C1003"/>
    <mergeCell ref="B1004:C1004"/>
    <mergeCell ref="B1005:E1005"/>
    <mergeCell ref="B1006:G1006"/>
    <mergeCell ref="B1007:F1007"/>
    <mergeCell ref="B989:G989"/>
    <mergeCell ref="B990:C990"/>
    <mergeCell ref="B991:C991"/>
    <mergeCell ref="B984:C984"/>
    <mergeCell ref="B985:C987"/>
    <mergeCell ref="D985:E985"/>
    <mergeCell ref="D986:E986"/>
    <mergeCell ref="D987:E987"/>
    <mergeCell ref="B997:C997"/>
    <mergeCell ref="B980:C980"/>
    <mergeCell ref="B981:C981"/>
    <mergeCell ref="B982:C982"/>
    <mergeCell ref="B983:C983"/>
    <mergeCell ref="B976:C976"/>
    <mergeCell ref="B977:C977"/>
    <mergeCell ref="B978:C978"/>
    <mergeCell ref="B979:C979"/>
    <mergeCell ref="B988:G988"/>
    <mergeCell ref="B966:C966"/>
    <mergeCell ref="C957:E957"/>
    <mergeCell ref="C958:E958"/>
    <mergeCell ref="C959:G959"/>
    <mergeCell ref="B960:G960"/>
    <mergeCell ref="B971:E971"/>
    <mergeCell ref="B972:G972"/>
    <mergeCell ref="B973:G973"/>
    <mergeCell ref="B974:C974"/>
    <mergeCell ref="B967:C967"/>
    <mergeCell ref="B968:C968"/>
    <mergeCell ref="B969:C969"/>
    <mergeCell ref="B970:C970"/>
    <mergeCell ref="B955:E955"/>
    <mergeCell ref="B956:F956"/>
    <mergeCell ref="B948:C948"/>
    <mergeCell ref="B950:C950"/>
    <mergeCell ref="B951:C951"/>
    <mergeCell ref="B952:E952"/>
    <mergeCell ref="B961:G961"/>
    <mergeCell ref="B963:C963"/>
    <mergeCell ref="B965:C965"/>
    <mergeCell ref="B945:E945"/>
    <mergeCell ref="B946:G946"/>
    <mergeCell ref="B947:G947"/>
    <mergeCell ref="B940:C940"/>
    <mergeCell ref="B941:C941"/>
    <mergeCell ref="B942:C942"/>
    <mergeCell ref="B943:C943"/>
    <mergeCell ref="B953:G953"/>
    <mergeCell ref="B954:F954"/>
    <mergeCell ref="B936:G936"/>
    <mergeCell ref="B937:C937"/>
    <mergeCell ref="B938:C938"/>
    <mergeCell ref="B931:C931"/>
    <mergeCell ref="B932:C934"/>
    <mergeCell ref="D932:E932"/>
    <mergeCell ref="D933:E933"/>
    <mergeCell ref="D934:E934"/>
    <mergeCell ref="B944:C944"/>
    <mergeCell ref="B927:C927"/>
    <mergeCell ref="B928:C928"/>
    <mergeCell ref="B929:C929"/>
    <mergeCell ref="B930:C930"/>
    <mergeCell ref="B923:C923"/>
    <mergeCell ref="B924:C924"/>
    <mergeCell ref="B925:C925"/>
    <mergeCell ref="B926:C926"/>
    <mergeCell ref="B935:G935"/>
    <mergeCell ref="B912:C912"/>
    <mergeCell ref="B913:C913"/>
    <mergeCell ref="B902:E902"/>
    <mergeCell ref="B903:F903"/>
    <mergeCell ref="B918:E918"/>
    <mergeCell ref="B919:G919"/>
    <mergeCell ref="B920:G920"/>
    <mergeCell ref="B921:C921"/>
    <mergeCell ref="B914:C914"/>
    <mergeCell ref="B915:C915"/>
    <mergeCell ref="B916:C916"/>
    <mergeCell ref="B917:C917"/>
    <mergeCell ref="B897:C897"/>
    <mergeCell ref="C904:E904"/>
    <mergeCell ref="C905:E905"/>
    <mergeCell ref="C906:G906"/>
    <mergeCell ref="B907:G907"/>
    <mergeCell ref="B900:G900"/>
    <mergeCell ref="B901:F901"/>
    <mergeCell ref="B908:G908"/>
    <mergeCell ref="B910:C910"/>
    <mergeCell ref="B898:C898"/>
    <mergeCell ref="B899:E899"/>
    <mergeCell ref="B794:G794"/>
    <mergeCell ref="B795:F795"/>
    <mergeCell ref="B796:E796"/>
    <mergeCell ref="B797:F797"/>
    <mergeCell ref="B789:C789"/>
    <mergeCell ref="B791:C791"/>
    <mergeCell ref="B792:C792"/>
    <mergeCell ref="B793:E793"/>
    <mergeCell ref="B895:C895"/>
    <mergeCell ref="B882:G882"/>
    <mergeCell ref="B883:G883"/>
    <mergeCell ref="B884:C884"/>
    <mergeCell ref="B885:C885"/>
    <mergeCell ref="B891:C891"/>
    <mergeCell ref="B892:E892"/>
    <mergeCell ref="B893:G893"/>
    <mergeCell ref="B894:G894"/>
    <mergeCell ref="B889:C889"/>
    <mergeCell ref="B890:C890"/>
    <mergeCell ref="B878:C878"/>
    <mergeCell ref="B879:C881"/>
    <mergeCell ref="D879:E879"/>
    <mergeCell ref="D880:E880"/>
    <mergeCell ref="D881:E881"/>
    <mergeCell ref="B772:C772"/>
    <mergeCell ref="B773:C775"/>
    <mergeCell ref="D773:E773"/>
    <mergeCell ref="D774:E774"/>
    <mergeCell ref="D775:E775"/>
    <mergeCell ref="B785:C785"/>
    <mergeCell ref="B786:E786"/>
    <mergeCell ref="B787:G787"/>
    <mergeCell ref="B788:G788"/>
    <mergeCell ref="B781:C781"/>
    <mergeCell ref="B782:C782"/>
    <mergeCell ref="B783:C783"/>
    <mergeCell ref="B784:C784"/>
    <mergeCell ref="B531:E531"/>
    <mergeCell ref="B532:F532"/>
    <mergeCell ref="B680:E680"/>
    <mergeCell ref="B681:G681"/>
    <mergeCell ref="B670:G670"/>
    <mergeCell ref="B671:G671"/>
    <mergeCell ref="B672:C672"/>
    <mergeCell ref="B666:C666"/>
    <mergeCell ref="B753:C753"/>
    <mergeCell ref="B687:E687"/>
    <mergeCell ref="B688:G688"/>
    <mergeCell ref="B689:F689"/>
    <mergeCell ref="B690:E690"/>
    <mergeCell ref="C745:E745"/>
    <mergeCell ref="C746:E746"/>
    <mergeCell ref="C692:E692"/>
    <mergeCell ref="C693:E693"/>
    <mergeCell ref="B667:C669"/>
    <mergeCell ref="D667:E667"/>
    <mergeCell ref="D668:E668"/>
    <mergeCell ref="D669:E669"/>
    <mergeCell ref="B662:C662"/>
    <mergeCell ref="B663:C663"/>
    <mergeCell ref="B664:C664"/>
    <mergeCell ref="B526:C526"/>
    <mergeCell ref="B527:C527"/>
    <mergeCell ref="B528:E528"/>
    <mergeCell ref="B520:C520"/>
    <mergeCell ref="B521:E521"/>
    <mergeCell ref="B522:G522"/>
    <mergeCell ref="B523:G523"/>
    <mergeCell ref="B529:G529"/>
    <mergeCell ref="B530:F530"/>
    <mergeCell ref="B516:C516"/>
    <mergeCell ref="B517:C517"/>
    <mergeCell ref="B518:C518"/>
    <mergeCell ref="B519:C519"/>
    <mergeCell ref="B511:G511"/>
    <mergeCell ref="B512:G512"/>
    <mergeCell ref="B513:C513"/>
    <mergeCell ref="B514:C514"/>
    <mergeCell ref="B524:C524"/>
    <mergeCell ref="B507:C507"/>
    <mergeCell ref="B508:C510"/>
    <mergeCell ref="D508:E508"/>
    <mergeCell ref="D509:E509"/>
    <mergeCell ref="D510:E510"/>
    <mergeCell ref="B503:C503"/>
    <mergeCell ref="B504:C504"/>
    <mergeCell ref="B505:C505"/>
    <mergeCell ref="B506:C506"/>
    <mergeCell ref="B493:C493"/>
    <mergeCell ref="B484:G484"/>
    <mergeCell ref="B486:C486"/>
    <mergeCell ref="B488:C488"/>
    <mergeCell ref="B489:C489"/>
    <mergeCell ref="B499:C499"/>
    <mergeCell ref="B500:C500"/>
    <mergeCell ref="B501:C501"/>
    <mergeCell ref="B502:C502"/>
    <mergeCell ref="B494:E494"/>
    <mergeCell ref="B495:G495"/>
    <mergeCell ref="B496:G496"/>
    <mergeCell ref="B497:C497"/>
    <mergeCell ref="C482:G482"/>
    <mergeCell ref="B483:G483"/>
    <mergeCell ref="B476:G476"/>
    <mergeCell ref="B477:F477"/>
    <mergeCell ref="B478:E478"/>
    <mergeCell ref="B479:F479"/>
    <mergeCell ref="B490:C490"/>
    <mergeCell ref="B491:C491"/>
    <mergeCell ref="B492:C492"/>
    <mergeCell ref="B473:C473"/>
    <mergeCell ref="B474:C474"/>
    <mergeCell ref="B475:E475"/>
    <mergeCell ref="B467:C467"/>
    <mergeCell ref="B468:E468"/>
    <mergeCell ref="B469:G469"/>
    <mergeCell ref="B470:G470"/>
    <mergeCell ref="C480:E480"/>
    <mergeCell ref="C481:E481"/>
    <mergeCell ref="B463:C463"/>
    <mergeCell ref="B464:C464"/>
    <mergeCell ref="B465:C465"/>
    <mergeCell ref="B466:C466"/>
    <mergeCell ref="B458:G458"/>
    <mergeCell ref="B459:G459"/>
    <mergeCell ref="B460:C460"/>
    <mergeCell ref="B461:C461"/>
    <mergeCell ref="B471:C471"/>
    <mergeCell ref="B454:C454"/>
    <mergeCell ref="B455:C457"/>
    <mergeCell ref="D455:E455"/>
    <mergeCell ref="D456:E456"/>
    <mergeCell ref="D457:E457"/>
    <mergeCell ref="B450:C450"/>
    <mergeCell ref="B451:C451"/>
    <mergeCell ref="B452:C452"/>
    <mergeCell ref="B453:C453"/>
    <mergeCell ref="B440:C440"/>
    <mergeCell ref="B431:G431"/>
    <mergeCell ref="B433:C433"/>
    <mergeCell ref="B435:C435"/>
    <mergeCell ref="B436:C436"/>
    <mergeCell ref="B446:C446"/>
    <mergeCell ref="B447:C447"/>
    <mergeCell ref="B448:C448"/>
    <mergeCell ref="B449:C449"/>
    <mergeCell ref="B441:E441"/>
    <mergeCell ref="B442:G442"/>
    <mergeCell ref="B443:G443"/>
    <mergeCell ref="B444:C444"/>
    <mergeCell ref="C429:G429"/>
    <mergeCell ref="B430:G430"/>
    <mergeCell ref="B423:G423"/>
    <mergeCell ref="B424:F424"/>
    <mergeCell ref="B425:E425"/>
    <mergeCell ref="B426:F426"/>
    <mergeCell ref="B437:C437"/>
    <mergeCell ref="B438:C438"/>
    <mergeCell ref="B439:C439"/>
    <mergeCell ref="B420:C420"/>
    <mergeCell ref="B421:C421"/>
    <mergeCell ref="B422:E422"/>
    <mergeCell ref="B414:C414"/>
    <mergeCell ref="B415:E415"/>
    <mergeCell ref="B416:G416"/>
    <mergeCell ref="B417:G417"/>
    <mergeCell ref="C427:E427"/>
    <mergeCell ref="C428:E428"/>
    <mergeCell ref="B410:C410"/>
    <mergeCell ref="B411:C411"/>
    <mergeCell ref="B412:C412"/>
    <mergeCell ref="B413:C413"/>
    <mergeCell ref="B405:G405"/>
    <mergeCell ref="B406:G406"/>
    <mergeCell ref="B407:C407"/>
    <mergeCell ref="B408:C408"/>
    <mergeCell ref="B418:C418"/>
    <mergeCell ref="B401:C401"/>
    <mergeCell ref="B402:C404"/>
    <mergeCell ref="D402:E402"/>
    <mergeCell ref="D403:E403"/>
    <mergeCell ref="D404:E404"/>
    <mergeCell ref="B397:C397"/>
    <mergeCell ref="B398:C398"/>
    <mergeCell ref="B399:C399"/>
    <mergeCell ref="B400:C400"/>
    <mergeCell ref="B387:C387"/>
    <mergeCell ref="B378:G378"/>
    <mergeCell ref="B380:C380"/>
    <mergeCell ref="B382:C382"/>
    <mergeCell ref="B383:C383"/>
    <mergeCell ref="B393:C393"/>
    <mergeCell ref="B394:C394"/>
    <mergeCell ref="B395:C395"/>
    <mergeCell ref="B396:C396"/>
    <mergeCell ref="B388:E388"/>
    <mergeCell ref="B389:G389"/>
    <mergeCell ref="B390:G390"/>
    <mergeCell ref="B391:C391"/>
    <mergeCell ref="C376:G376"/>
    <mergeCell ref="B377:G377"/>
    <mergeCell ref="B370:G370"/>
    <mergeCell ref="B371:F371"/>
    <mergeCell ref="B372:E372"/>
    <mergeCell ref="B373:F373"/>
    <mergeCell ref="B384:C384"/>
    <mergeCell ref="B385:C385"/>
    <mergeCell ref="B386:C386"/>
    <mergeCell ref="B367:C367"/>
    <mergeCell ref="B368:C368"/>
    <mergeCell ref="B369:E369"/>
    <mergeCell ref="B361:C361"/>
    <mergeCell ref="B362:E362"/>
    <mergeCell ref="B363:G363"/>
    <mergeCell ref="B364:G364"/>
    <mergeCell ref="C374:E374"/>
    <mergeCell ref="C375:E375"/>
    <mergeCell ref="B357:C357"/>
    <mergeCell ref="B358:C358"/>
    <mergeCell ref="B359:C359"/>
    <mergeCell ref="B360:C360"/>
    <mergeCell ref="B352:G352"/>
    <mergeCell ref="B353:G353"/>
    <mergeCell ref="B354:C354"/>
    <mergeCell ref="B355:C355"/>
    <mergeCell ref="B365:C365"/>
    <mergeCell ref="B334:C334"/>
    <mergeCell ref="B335:E335"/>
    <mergeCell ref="B691:F691"/>
    <mergeCell ref="C321:E321"/>
    <mergeCell ref="C322:E322"/>
    <mergeCell ref="C323:G323"/>
    <mergeCell ref="B324:G324"/>
    <mergeCell ref="B325:G325"/>
    <mergeCell ref="B341:C341"/>
    <mergeCell ref="B344:C344"/>
    <mergeCell ref="B345:C345"/>
    <mergeCell ref="B346:C346"/>
    <mergeCell ref="B336:G336"/>
    <mergeCell ref="B337:G337"/>
    <mergeCell ref="B338:C338"/>
    <mergeCell ref="B340:C340"/>
    <mergeCell ref="B342:C342"/>
    <mergeCell ref="B343:C343"/>
    <mergeCell ref="B347:C347"/>
    <mergeCell ref="B348:C348"/>
    <mergeCell ref="B349:C351"/>
    <mergeCell ref="D349:E349"/>
    <mergeCell ref="D350:E350"/>
    <mergeCell ref="D351:E351"/>
    <mergeCell ref="B665:C665"/>
    <mergeCell ref="B686:C686"/>
    <mergeCell ref="B673:C673"/>
    <mergeCell ref="B675:C675"/>
    <mergeCell ref="B676:C676"/>
    <mergeCell ref="B677:C677"/>
    <mergeCell ref="B678:C678"/>
    <mergeCell ref="B679:C679"/>
    <mergeCell ref="B682:G682"/>
    <mergeCell ref="B683:C683"/>
    <mergeCell ref="B685:C685"/>
    <mergeCell ref="B647:C647"/>
    <mergeCell ref="B648:C648"/>
    <mergeCell ref="B658:C658"/>
    <mergeCell ref="B659:C659"/>
    <mergeCell ref="B660:C660"/>
    <mergeCell ref="B661:C661"/>
    <mergeCell ref="B653:E653"/>
    <mergeCell ref="B654:G654"/>
    <mergeCell ref="B655:G655"/>
    <mergeCell ref="B656:C656"/>
    <mergeCell ref="B17:C17"/>
    <mergeCell ref="B18:C18"/>
    <mergeCell ref="B19:C19"/>
    <mergeCell ref="B20:E20"/>
    <mergeCell ref="B21:G21"/>
    <mergeCell ref="B22:G22"/>
    <mergeCell ref="B332:C332"/>
    <mergeCell ref="B333:C333"/>
    <mergeCell ref="C1:G1"/>
    <mergeCell ref="C2:G2"/>
    <mergeCell ref="C5:G5"/>
    <mergeCell ref="C6:E6"/>
    <mergeCell ref="C7:E7"/>
    <mergeCell ref="C8:G8"/>
    <mergeCell ref="B15:C15"/>
    <mergeCell ref="B16:C16"/>
    <mergeCell ref="C3:G3"/>
    <mergeCell ref="B4:G4"/>
    <mergeCell ref="B9:G9"/>
    <mergeCell ref="B10:G10"/>
    <mergeCell ref="B12:C12"/>
    <mergeCell ref="B14:C14"/>
    <mergeCell ref="B30:C30"/>
    <mergeCell ref="B31:C31"/>
    <mergeCell ref="B32:C32"/>
    <mergeCell ref="B33:C33"/>
    <mergeCell ref="B34:C36"/>
    <mergeCell ref="D34:E34"/>
    <mergeCell ref="D35:E35"/>
    <mergeCell ref="D36:E36"/>
    <mergeCell ref="B23:C23"/>
    <mergeCell ref="B25:C25"/>
    <mergeCell ref="B26:C26"/>
    <mergeCell ref="B27:C27"/>
    <mergeCell ref="B28:C28"/>
    <mergeCell ref="B29:C29"/>
    <mergeCell ref="B44:C44"/>
    <mergeCell ref="B45:C45"/>
    <mergeCell ref="B46:C46"/>
    <mergeCell ref="B47:E47"/>
    <mergeCell ref="B48:G48"/>
    <mergeCell ref="B49:G49"/>
    <mergeCell ref="B37:G37"/>
    <mergeCell ref="B38:G38"/>
    <mergeCell ref="B39:C39"/>
    <mergeCell ref="B40:C40"/>
    <mergeCell ref="B42:C42"/>
    <mergeCell ref="B43:C43"/>
    <mergeCell ref="B57:E57"/>
    <mergeCell ref="B58:F58"/>
    <mergeCell ref="C59:E59"/>
    <mergeCell ref="C60:E60"/>
    <mergeCell ref="C61:G61"/>
    <mergeCell ref="B62:G62"/>
    <mergeCell ref="B50:C50"/>
    <mergeCell ref="B52:C52"/>
    <mergeCell ref="B53:C53"/>
    <mergeCell ref="B54:E54"/>
    <mergeCell ref="B55:G55"/>
    <mergeCell ref="B56:F56"/>
    <mergeCell ref="B71:C71"/>
    <mergeCell ref="B72:C72"/>
    <mergeCell ref="B73:E73"/>
    <mergeCell ref="B74:G74"/>
    <mergeCell ref="B75:G75"/>
    <mergeCell ref="B76:C76"/>
    <mergeCell ref="B63:G63"/>
    <mergeCell ref="B65:C65"/>
    <mergeCell ref="B67:C67"/>
    <mergeCell ref="B68:C68"/>
    <mergeCell ref="B69:C69"/>
    <mergeCell ref="B70:C70"/>
    <mergeCell ref="B84:C84"/>
    <mergeCell ref="B85:C85"/>
    <mergeCell ref="B86:C86"/>
    <mergeCell ref="B87:C89"/>
    <mergeCell ref="D87:E87"/>
    <mergeCell ref="D88:E88"/>
    <mergeCell ref="D89:E89"/>
    <mergeCell ref="B78:C78"/>
    <mergeCell ref="B79:C79"/>
    <mergeCell ref="B80:C80"/>
    <mergeCell ref="B81:C81"/>
    <mergeCell ref="B82:C82"/>
    <mergeCell ref="B83:C83"/>
    <mergeCell ref="B97:C97"/>
    <mergeCell ref="B98:C98"/>
    <mergeCell ref="B99:C99"/>
    <mergeCell ref="B100:E100"/>
    <mergeCell ref="B101:G101"/>
    <mergeCell ref="B102:G102"/>
    <mergeCell ref="B90:G90"/>
    <mergeCell ref="B91:G91"/>
    <mergeCell ref="B92:C92"/>
    <mergeCell ref="B93:C93"/>
    <mergeCell ref="B95:C95"/>
    <mergeCell ref="B96:C96"/>
    <mergeCell ref="B110:E110"/>
    <mergeCell ref="B111:F111"/>
    <mergeCell ref="C112:E112"/>
    <mergeCell ref="C113:E113"/>
    <mergeCell ref="C114:G114"/>
    <mergeCell ref="B115:G115"/>
    <mergeCell ref="B103:C103"/>
    <mergeCell ref="B105:C105"/>
    <mergeCell ref="B106:C106"/>
    <mergeCell ref="B107:E107"/>
    <mergeCell ref="B108:G108"/>
    <mergeCell ref="B109:F109"/>
    <mergeCell ref="B124:C124"/>
    <mergeCell ref="B125:C125"/>
    <mergeCell ref="B126:E126"/>
    <mergeCell ref="B127:G127"/>
    <mergeCell ref="B128:G128"/>
    <mergeCell ref="B129:C129"/>
    <mergeCell ref="B116:G116"/>
    <mergeCell ref="B118:C118"/>
    <mergeCell ref="B120:C120"/>
    <mergeCell ref="B121:C121"/>
    <mergeCell ref="B122:C122"/>
    <mergeCell ref="B123:C123"/>
    <mergeCell ref="B137:C137"/>
    <mergeCell ref="B138:C138"/>
    <mergeCell ref="B139:C139"/>
    <mergeCell ref="B140:C142"/>
    <mergeCell ref="D140:E140"/>
    <mergeCell ref="D141:E141"/>
    <mergeCell ref="D142:E142"/>
    <mergeCell ref="B131:C131"/>
    <mergeCell ref="B132:C132"/>
    <mergeCell ref="B133:C133"/>
    <mergeCell ref="B134:C134"/>
    <mergeCell ref="B135:C135"/>
    <mergeCell ref="B136:C136"/>
    <mergeCell ref="B150:C150"/>
    <mergeCell ref="B151:C151"/>
    <mergeCell ref="B152:C152"/>
    <mergeCell ref="B153:E153"/>
    <mergeCell ref="B154:G154"/>
    <mergeCell ref="B155:G155"/>
    <mergeCell ref="B143:G143"/>
    <mergeCell ref="B144:G144"/>
    <mergeCell ref="B145:C145"/>
    <mergeCell ref="B146:C146"/>
    <mergeCell ref="B148:C148"/>
    <mergeCell ref="B149:C149"/>
    <mergeCell ref="B156:C156"/>
    <mergeCell ref="B158:C158"/>
    <mergeCell ref="B159:C159"/>
    <mergeCell ref="B160:E160"/>
    <mergeCell ref="B327:C327"/>
    <mergeCell ref="B329:C329"/>
    <mergeCell ref="B169:G169"/>
    <mergeCell ref="B171:C171"/>
    <mergeCell ref="B173:C173"/>
    <mergeCell ref="B174:C174"/>
    <mergeCell ref="B187:C187"/>
    <mergeCell ref="B215:E215"/>
    <mergeCell ref="B216:F216"/>
    <mergeCell ref="C217:E217"/>
    <mergeCell ref="C218:E218"/>
    <mergeCell ref="C219:G219"/>
    <mergeCell ref="B220:G220"/>
    <mergeCell ref="B208:C208"/>
    <mergeCell ref="B210:C210"/>
    <mergeCell ref="B211:C211"/>
    <mergeCell ref="B212:E212"/>
    <mergeCell ref="B213:G213"/>
    <mergeCell ref="B214:F214"/>
    <mergeCell ref="B229:C229"/>
    <mergeCell ref="B330:C330"/>
    <mergeCell ref="B331:C331"/>
    <mergeCell ref="B161:G161"/>
    <mergeCell ref="B162:F162"/>
    <mergeCell ref="B163:E163"/>
    <mergeCell ref="B164:F164"/>
    <mergeCell ref="C165:E165"/>
    <mergeCell ref="C166:E166"/>
    <mergeCell ref="C167:G167"/>
    <mergeCell ref="B168:G168"/>
    <mergeCell ref="B175:C175"/>
    <mergeCell ref="B176:C176"/>
    <mergeCell ref="B177:C177"/>
    <mergeCell ref="B178:E178"/>
    <mergeCell ref="B179:G179"/>
    <mergeCell ref="B180:G180"/>
    <mergeCell ref="D192:E192"/>
    <mergeCell ref="D193:E193"/>
    <mergeCell ref="D194:E194"/>
    <mergeCell ref="B181:C181"/>
    <mergeCell ref="B183:C183"/>
    <mergeCell ref="B184:C184"/>
    <mergeCell ref="B185:C185"/>
    <mergeCell ref="B186:C186"/>
    <mergeCell ref="B541:C541"/>
    <mergeCell ref="B542:C542"/>
    <mergeCell ref="B543:C543"/>
    <mergeCell ref="B544:C544"/>
    <mergeCell ref="B545:C545"/>
    <mergeCell ref="B546:C546"/>
    <mergeCell ref="C533:E533"/>
    <mergeCell ref="C534:E534"/>
    <mergeCell ref="C535:G535"/>
    <mergeCell ref="B536:G536"/>
    <mergeCell ref="B537:G537"/>
    <mergeCell ref="B539:C539"/>
    <mergeCell ref="B554:C554"/>
    <mergeCell ref="B555:C555"/>
    <mergeCell ref="B556:C556"/>
    <mergeCell ref="B557:C557"/>
    <mergeCell ref="B558:C558"/>
    <mergeCell ref="B559:C559"/>
    <mergeCell ref="B547:E547"/>
    <mergeCell ref="B548:G548"/>
    <mergeCell ref="B549:G549"/>
    <mergeCell ref="B550:C550"/>
    <mergeCell ref="B552:C552"/>
    <mergeCell ref="B553:C553"/>
    <mergeCell ref="B565:G565"/>
    <mergeCell ref="B566:C566"/>
    <mergeCell ref="B567:C567"/>
    <mergeCell ref="B569:C569"/>
    <mergeCell ref="B570:C570"/>
    <mergeCell ref="B571:C571"/>
    <mergeCell ref="B560:C560"/>
    <mergeCell ref="B561:C563"/>
    <mergeCell ref="D561:E561"/>
    <mergeCell ref="D562:E562"/>
    <mergeCell ref="D563:E563"/>
    <mergeCell ref="B564:G564"/>
    <mergeCell ref="B579:C579"/>
    <mergeCell ref="B580:C580"/>
    <mergeCell ref="B581:E581"/>
    <mergeCell ref="B582:G582"/>
    <mergeCell ref="B583:F583"/>
    <mergeCell ref="B584:E584"/>
    <mergeCell ref="B572:C572"/>
    <mergeCell ref="B573:C573"/>
    <mergeCell ref="B574:E574"/>
    <mergeCell ref="B575:G575"/>
    <mergeCell ref="B576:G576"/>
    <mergeCell ref="B577:C577"/>
    <mergeCell ref="B592:C592"/>
    <mergeCell ref="B594:C594"/>
    <mergeCell ref="B595:C595"/>
    <mergeCell ref="B596:C596"/>
    <mergeCell ref="B597:C597"/>
    <mergeCell ref="B598:C598"/>
    <mergeCell ref="B585:F585"/>
    <mergeCell ref="C586:E586"/>
    <mergeCell ref="C587:E587"/>
    <mergeCell ref="C588:G588"/>
    <mergeCell ref="B589:G589"/>
    <mergeCell ref="B590:G590"/>
    <mergeCell ref="B606:C606"/>
    <mergeCell ref="B607:C607"/>
    <mergeCell ref="B608:C608"/>
    <mergeCell ref="B609:C609"/>
    <mergeCell ref="B610:C610"/>
    <mergeCell ref="B611:C611"/>
    <mergeCell ref="B599:C599"/>
    <mergeCell ref="B600:E600"/>
    <mergeCell ref="B601:G601"/>
    <mergeCell ref="B602:G602"/>
    <mergeCell ref="B603:C603"/>
    <mergeCell ref="B605:C605"/>
    <mergeCell ref="B617:G617"/>
    <mergeCell ref="B618:G618"/>
    <mergeCell ref="B619:C619"/>
    <mergeCell ref="B620:C620"/>
    <mergeCell ref="B622:C622"/>
    <mergeCell ref="B623:C623"/>
    <mergeCell ref="B612:C612"/>
    <mergeCell ref="B613:C613"/>
    <mergeCell ref="B614:C616"/>
    <mergeCell ref="D614:E614"/>
    <mergeCell ref="D615:E615"/>
    <mergeCell ref="D616:E616"/>
    <mergeCell ref="B636:F636"/>
    <mergeCell ref="B637:E637"/>
    <mergeCell ref="B638:F638"/>
    <mergeCell ref="B624:C624"/>
    <mergeCell ref="B625:C625"/>
    <mergeCell ref="B626:C626"/>
    <mergeCell ref="B627:E627"/>
    <mergeCell ref="B628:G628"/>
    <mergeCell ref="B629:G629"/>
    <mergeCell ref="B739:C739"/>
    <mergeCell ref="B740:E740"/>
    <mergeCell ref="B728:C728"/>
    <mergeCell ref="B729:C729"/>
    <mergeCell ref="B730:C730"/>
    <mergeCell ref="B731:C731"/>
    <mergeCell ref="B736:C736"/>
    <mergeCell ref="B738:C738"/>
    <mergeCell ref="D720:E720"/>
    <mergeCell ref="D721:E721"/>
    <mergeCell ref="D722:E722"/>
    <mergeCell ref="B725:C725"/>
    <mergeCell ref="B726:C726"/>
    <mergeCell ref="B711:C711"/>
    <mergeCell ref="B712:C712"/>
    <mergeCell ref="B713:C713"/>
    <mergeCell ref="B714:C714"/>
    <mergeCell ref="B715:C715"/>
    <mergeCell ref="B716:C716"/>
    <mergeCell ref="B704:C704"/>
    <mergeCell ref="B188:C188"/>
    <mergeCell ref="B189:C189"/>
    <mergeCell ref="B190:C190"/>
    <mergeCell ref="B191:C191"/>
    <mergeCell ref="B192:C194"/>
    <mergeCell ref="B202:C202"/>
    <mergeCell ref="B203:C203"/>
    <mergeCell ref="B204:C204"/>
    <mergeCell ref="B205:E205"/>
    <mergeCell ref="B206:G206"/>
    <mergeCell ref="B207:G207"/>
    <mergeCell ref="B195:G195"/>
    <mergeCell ref="B196:G196"/>
    <mergeCell ref="B197:C197"/>
    <mergeCell ref="B198:C198"/>
    <mergeCell ref="B200:C200"/>
    <mergeCell ref="B201:C201"/>
    <mergeCell ref="B230:E230"/>
    <mergeCell ref="B231:G231"/>
    <mergeCell ref="B232:G232"/>
    <mergeCell ref="B233:C233"/>
    <mergeCell ref="B235:C235"/>
    <mergeCell ref="B221:G221"/>
    <mergeCell ref="B223:C223"/>
    <mergeCell ref="B225:C225"/>
    <mergeCell ref="B226:C226"/>
    <mergeCell ref="B227:C227"/>
    <mergeCell ref="B228:C228"/>
    <mergeCell ref="B242:C242"/>
    <mergeCell ref="B243:C243"/>
    <mergeCell ref="B244:C246"/>
    <mergeCell ref="D244:E244"/>
    <mergeCell ref="D245:E245"/>
    <mergeCell ref="D246:E246"/>
    <mergeCell ref="B236:C236"/>
    <mergeCell ref="B237:C237"/>
    <mergeCell ref="B238:C238"/>
    <mergeCell ref="B239:C239"/>
    <mergeCell ref="B240:C240"/>
    <mergeCell ref="B241:C241"/>
    <mergeCell ref="B254:C254"/>
    <mergeCell ref="B255:C255"/>
    <mergeCell ref="B256:C256"/>
    <mergeCell ref="B257:E257"/>
    <mergeCell ref="B258:G258"/>
    <mergeCell ref="B259:G259"/>
    <mergeCell ref="B247:G247"/>
    <mergeCell ref="B248:G248"/>
    <mergeCell ref="B249:C249"/>
    <mergeCell ref="B250:C250"/>
    <mergeCell ref="B252:C252"/>
    <mergeCell ref="B253:C253"/>
    <mergeCell ref="B267:E267"/>
    <mergeCell ref="B268:F268"/>
    <mergeCell ref="C269:E269"/>
    <mergeCell ref="C270:E270"/>
    <mergeCell ref="C271:G271"/>
    <mergeCell ref="B272:G272"/>
    <mergeCell ref="B260:C260"/>
    <mergeCell ref="B262:C262"/>
    <mergeCell ref="B263:C263"/>
    <mergeCell ref="B264:E264"/>
    <mergeCell ref="B265:G265"/>
    <mergeCell ref="B266:F266"/>
    <mergeCell ref="B281:C281"/>
    <mergeCell ref="B282:E282"/>
    <mergeCell ref="B283:G283"/>
    <mergeCell ref="B284:G284"/>
    <mergeCell ref="B285:C285"/>
    <mergeCell ref="B287:C287"/>
    <mergeCell ref="B273:G273"/>
    <mergeCell ref="B275:C275"/>
    <mergeCell ref="B277:C277"/>
    <mergeCell ref="B278:C278"/>
    <mergeCell ref="B279:C279"/>
    <mergeCell ref="B280:C280"/>
    <mergeCell ref="B294:C294"/>
    <mergeCell ref="B295:C295"/>
    <mergeCell ref="B296:C298"/>
    <mergeCell ref="D296:E296"/>
    <mergeCell ref="D297:E297"/>
    <mergeCell ref="D298:E298"/>
    <mergeCell ref="B288:C288"/>
    <mergeCell ref="B289:C289"/>
    <mergeCell ref="B290:C290"/>
    <mergeCell ref="B291:C291"/>
    <mergeCell ref="B292:C292"/>
    <mergeCell ref="B293:C293"/>
    <mergeCell ref="B306:C306"/>
    <mergeCell ref="B307:C307"/>
    <mergeCell ref="B308:C308"/>
    <mergeCell ref="B309:E309"/>
    <mergeCell ref="B310:G310"/>
    <mergeCell ref="B311:G311"/>
    <mergeCell ref="B299:G299"/>
    <mergeCell ref="B300:G300"/>
    <mergeCell ref="B301:C301"/>
    <mergeCell ref="B302:C302"/>
    <mergeCell ref="B304:C304"/>
    <mergeCell ref="B305:C305"/>
    <mergeCell ref="B312:C312"/>
    <mergeCell ref="B314:C314"/>
    <mergeCell ref="B315:C315"/>
    <mergeCell ref="B316:E316"/>
    <mergeCell ref="B743:E743"/>
    <mergeCell ref="B744:F744"/>
    <mergeCell ref="B732:C732"/>
    <mergeCell ref="B733:E733"/>
    <mergeCell ref="B734:G734"/>
    <mergeCell ref="B735:G735"/>
    <mergeCell ref="B705:C705"/>
    <mergeCell ref="B706:E706"/>
    <mergeCell ref="B707:G707"/>
    <mergeCell ref="B708:G708"/>
    <mergeCell ref="B709:C709"/>
    <mergeCell ref="B696:G696"/>
    <mergeCell ref="B698:C698"/>
    <mergeCell ref="B700:C700"/>
    <mergeCell ref="B701:C701"/>
    <mergeCell ref="B702:C702"/>
    <mergeCell ref="B703:C703"/>
    <mergeCell ref="C694:G694"/>
    <mergeCell ref="B695:G695"/>
    <mergeCell ref="C641:G641"/>
    <mergeCell ref="B317:G317"/>
    <mergeCell ref="B318:F318"/>
    <mergeCell ref="B319:E319"/>
    <mergeCell ref="B320:F320"/>
    <mergeCell ref="B723:G723"/>
    <mergeCell ref="B724:G724"/>
    <mergeCell ref="B717:C717"/>
    <mergeCell ref="B718:C718"/>
    <mergeCell ref="B719:C719"/>
    <mergeCell ref="B720:C722"/>
    <mergeCell ref="B642:G642"/>
    <mergeCell ref="B643:G643"/>
    <mergeCell ref="B645:C645"/>
    <mergeCell ref="B649:C649"/>
    <mergeCell ref="B650:C650"/>
    <mergeCell ref="B651:C651"/>
    <mergeCell ref="B652:C652"/>
    <mergeCell ref="B630:C630"/>
    <mergeCell ref="B632:C632"/>
    <mergeCell ref="B633:C633"/>
    <mergeCell ref="B634:E634"/>
    <mergeCell ref="C639:E639"/>
    <mergeCell ref="C640:E640"/>
    <mergeCell ref="B635:G635"/>
    <mergeCell ref="B741:G741"/>
    <mergeCell ref="B742:F742"/>
    <mergeCell ref="C747:G747"/>
    <mergeCell ref="B748:G748"/>
    <mergeCell ref="B754:C754"/>
    <mergeCell ref="B759:E759"/>
    <mergeCell ref="B760:G760"/>
    <mergeCell ref="B761:G761"/>
    <mergeCell ref="B762:C762"/>
    <mergeCell ref="B755:C755"/>
    <mergeCell ref="B756:C756"/>
    <mergeCell ref="B757:C757"/>
    <mergeCell ref="B749:G749"/>
    <mergeCell ref="B751:C751"/>
    <mergeCell ref="B887:C887"/>
    <mergeCell ref="B888:C888"/>
    <mergeCell ref="B758:C758"/>
    <mergeCell ref="B768:C768"/>
    <mergeCell ref="B769:C769"/>
    <mergeCell ref="B770:C770"/>
    <mergeCell ref="B771:C771"/>
    <mergeCell ref="B764:C764"/>
    <mergeCell ref="B765:C765"/>
    <mergeCell ref="B766:C766"/>
    <mergeCell ref="B767:C767"/>
    <mergeCell ref="B776:G776"/>
    <mergeCell ref="B777:G777"/>
    <mergeCell ref="B778:C778"/>
    <mergeCell ref="B779:C779"/>
    <mergeCell ref="B868:C868"/>
    <mergeCell ref="B861:C861"/>
    <mergeCell ref="B862:C862"/>
    <mergeCell ref="B863:C863"/>
    <mergeCell ref="B864:C864"/>
    <mergeCell ref="B874:C874"/>
    <mergeCell ref="B875:C875"/>
    <mergeCell ref="B876:C876"/>
    <mergeCell ref="B877:C877"/>
    <mergeCell ref="B870:C870"/>
    <mergeCell ref="B871:C871"/>
    <mergeCell ref="B872:C872"/>
    <mergeCell ref="B873:C873"/>
    <mergeCell ref="B859:C859"/>
    <mergeCell ref="B860:C860"/>
    <mergeCell ref="C851:E851"/>
    <mergeCell ref="C852:E852"/>
    <mergeCell ref="C853:G853"/>
    <mergeCell ref="B854:G854"/>
    <mergeCell ref="B865:E865"/>
    <mergeCell ref="B866:G866"/>
    <mergeCell ref="B867:G867"/>
    <mergeCell ref="B848:F848"/>
    <mergeCell ref="B849:E849"/>
    <mergeCell ref="B850:F850"/>
    <mergeCell ref="B842:C842"/>
    <mergeCell ref="B844:C844"/>
    <mergeCell ref="B845:C845"/>
    <mergeCell ref="B846:E846"/>
    <mergeCell ref="B855:G855"/>
    <mergeCell ref="B857:C857"/>
    <mergeCell ref="B838:C838"/>
    <mergeCell ref="B839:E839"/>
    <mergeCell ref="B840:G840"/>
    <mergeCell ref="B841:G841"/>
    <mergeCell ref="B834:C834"/>
    <mergeCell ref="B835:C835"/>
    <mergeCell ref="B836:C836"/>
    <mergeCell ref="B837:C837"/>
    <mergeCell ref="B847:G847"/>
    <mergeCell ref="B824:C824"/>
    <mergeCell ref="B817:C817"/>
    <mergeCell ref="B818:C818"/>
    <mergeCell ref="B819:C819"/>
    <mergeCell ref="B820:C820"/>
    <mergeCell ref="B829:G829"/>
    <mergeCell ref="B830:G830"/>
    <mergeCell ref="B831:C831"/>
    <mergeCell ref="B832:C832"/>
    <mergeCell ref="B825:C825"/>
    <mergeCell ref="B826:C828"/>
    <mergeCell ref="D826:E826"/>
    <mergeCell ref="D827:E827"/>
    <mergeCell ref="D828:E828"/>
    <mergeCell ref="B814:G814"/>
    <mergeCell ref="B815:C815"/>
    <mergeCell ref="B810:C810"/>
    <mergeCell ref="B811:C811"/>
    <mergeCell ref="B821:C821"/>
    <mergeCell ref="B822:C822"/>
    <mergeCell ref="B812:E812"/>
    <mergeCell ref="B813:G813"/>
    <mergeCell ref="B823:C823"/>
    <mergeCell ref="C798:E798"/>
    <mergeCell ref="C799:E799"/>
    <mergeCell ref="C800:G800"/>
    <mergeCell ref="B801:G801"/>
    <mergeCell ref="B808:C808"/>
    <mergeCell ref="B809:C809"/>
    <mergeCell ref="B802:G802"/>
    <mergeCell ref="B804:C804"/>
    <mergeCell ref="B806:C806"/>
    <mergeCell ref="B807:C807"/>
  </mergeCells>
  <phoneticPr fontId="0" type="noConversion"/>
  <hyperlinks>
    <hyperlink ref="H6" location="'ITEMS RESUMEN'!CIMIENTOS" display="volver"/>
    <hyperlink ref="H32" location="'ITEMS RESUMEN'!CIMIENTOS" display="volver"/>
    <hyperlink ref="H58" location="'ITEMS RESUMEN'!CIMIENTOS" display="volver"/>
    <hyperlink ref="H85" location="'ITEMS RESUMEN'!CIMIENTOS" display="volver"/>
    <hyperlink ref="H111" location="'ITEMS RESUMEN'!CIMIENTOS" display="volver"/>
    <hyperlink ref="H137" location="'ITEMS RESUMEN'!CIMIENTOS" display="volver"/>
    <hyperlink ref="H164" location="'ITEMS RESUMEN'!CIMIENTOS" display="volver"/>
    <hyperlink ref="H190" location="'ITEMS RESUMEN'!CIMIENTOS" display="volver"/>
    <hyperlink ref="H216" location="'ITEMS RESUMEN'!CIMIENTOS" display="volver"/>
    <hyperlink ref="H242" location="'ITEMS RESUMEN'!CIMIENTOS" display="volver"/>
    <hyperlink ref="H268" location="'ITEMS RESUMEN'!CIMIENTOS" display="volver"/>
    <hyperlink ref="H294" location="'ITEMS RESUMEN'!CIMIENTOS" display="volver"/>
    <hyperlink ref="H320" location="'ITEMS RESUMEN'!CIMIENTOS" display="volver"/>
    <hyperlink ref="H346" location="'ITEMS RESUMEN'!CIMIENTOS" display="volver"/>
    <hyperlink ref="H373" location="'ITEMS RESUMEN'!CIMIENTOS" display="volver"/>
    <hyperlink ref="H400" location="'ITEMS RESUMEN'!CIMIENTOS" display="volver"/>
    <hyperlink ref="H426" location="'ITEMS RESUMEN'!CIMIENTOS" display="volver"/>
    <hyperlink ref="H453" location="'ITEMS RESUMEN'!CIMIENTOS" display="volver"/>
    <hyperlink ref="H479" location="'ITEMS RESUMEN'!CIMIENTOS" display="volver"/>
    <hyperlink ref="H506" location="'ITEMS RESUMEN'!CIMIENTOS" display="volver"/>
    <hyperlink ref="H532" location="'ITEMS RESUMEN'!CIMIENTOS" display="volver"/>
    <hyperlink ref="H559" location="'ITEMS RESUMEN'!CIMIENTOS" display="volver"/>
    <hyperlink ref="H585" location="'ITEMS RESUMEN'!CIMIENTOS" display="volver"/>
    <hyperlink ref="H612" location="'ITEMS RESUMEN'!CIMIENTOS" display="volver"/>
    <hyperlink ref="H638" location="'ITEMS RESUMEN'!CIMIENTOS" display="volver"/>
    <hyperlink ref="H665" location="'ITEMS RESUMEN'!CIMIENTOS" display="volver"/>
    <hyperlink ref="H691" location="'ITEMS RESUMEN'!CIMIENTOS" display="volver"/>
    <hyperlink ref="H718" location="'ITEMS RESUMEN'!CIMIENTOS" display="volver"/>
    <hyperlink ref="H744" location="'ITEMS RESUMEN'!CIMIENTOS" display="volver"/>
    <hyperlink ref="H771" location="'ITEMS RESUMEN'!CIMIENTOS" display="volver"/>
    <hyperlink ref="H797" location="'ITEMS RESUMEN'!CIMIENTOS" display="volver"/>
    <hyperlink ref="H824" location="'ITEMS RESUMEN'!CIMIENTOS" display="volver"/>
    <hyperlink ref="H850" location="'ITEMS RESUMEN'!CIMIENTOS" display="volver"/>
    <hyperlink ref="H877" location="'ITEMS RESUMEN'!CIMIENTOS" display="volver"/>
    <hyperlink ref="H903" location="'ITEMS RESUMEN'!CIMIENTOS" display="volver"/>
    <hyperlink ref="H930" location="'ITEMS RESUMEN'!CIMIENTOS" display="volver"/>
    <hyperlink ref="H956" location="'ITEMS RESUMEN'!CIMIENTOS" display="volver"/>
    <hyperlink ref="H983" location="'ITEMS RESUMEN'!CIMIENTOS" display="volver"/>
    <hyperlink ref="H1009" location="'ITEMS RESUMEN'!CIMIENTOS" display="volver"/>
  </hyperlinks>
  <pageMargins left="0.98425196850393704" right="0.78740157480314965" top="0.59055118110236227" bottom="0.59055118110236227" header="0" footer="0"/>
  <pageSetup scale="85" orientation="portrait" r:id="rId1"/>
  <headerFooter alignWithMargins="0"/>
  <rowBreaks count="18" manualBreakCount="18">
    <brk id="58" max="16383" man="1"/>
    <brk id="111" min="1" max="6" man="1"/>
    <brk id="164" min="1" max="6" man="1"/>
    <brk id="216" min="1" max="6" man="1"/>
    <brk id="268" min="1" max="6" man="1"/>
    <brk id="320" min="1" max="6" man="1"/>
    <brk id="373" min="1" max="6" man="1"/>
    <brk id="426" min="1" max="6" man="1"/>
    <brk id="479" min="1" max="6" man="1"/>
    <brk id="532" min="1" max="6" man="1"/>
    <brk id="585" min="1" max="6" man="1"/>
    <brk id="638" min="1" max="6" man="1"/>
    <brk id="691" min="1" max="6" man="1"/>
    <brk id="744" min="1" max="6" man="1"/>
    <brk id="797" min="1" max="6" man="1"/>
    <brk id="850" min="1" max="6" man="1"/>
    <brk id="903" min="1" max="6" man="1"/>
    <brk id="956" min="1" max="6" man="1"/>
  </rowBreaks>
  <colBreaks count="1" manualBreakCount="1">
    <brk id="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9">
    <tabColor indexed="14"/>
  </sheetPr>
  <dimension ref="A1:I1156"/>
  <sheetViews>
    <sheetView topLeftCell="A633" zoomScale="115" zoomScaleNormal="115" zoomScaleSheetLayoutView="85" workbookViewId="0">
      <selection activeCell="H639" sqref="H639"/>
    </sheetView>
  </sheetViews>
  <sheetFormatPr baseColWidth="10" defaultRowHeight="12.75"/>
  <cols>
    <col min="2" max="2" width="12.7109375" style="231" customWidth="1"/>
    <col min="3" max="3" width="25.7109375" customWidth="1"/>
    <col min="4" max="4" width="12.7109375" customWidth="1"/>
    <col min="5" max="5" width="13.7109375" customWidth="1"/>
    <col min="6" max="6" width="14.7109375" customWidth="1"/>
    <col min="7" max="7" width="16.7109375" customWidth="1"/>
  </cols>
  <sheetData>
    <row r="1" spans="1:8" ht="19.5" thickTop="1">
      <c r="A1" s="95"/>
      <c r="B1" s="225"/>
      <c r="C1" s="848" t="s">
        <v>1054</v>
      </c>
      <c r="D1" s="848"/>
      <c r="E1" s="848"/>
      <c r="F1" s="848"/>
      <c r="G1" s="849"/>
    </row>
    <row r="2" spans="1:8" ht="18.75">
      <c r="A2" s="95"/>
      <c r="B2" s="226"/>
      <c r="C2" s="780" t="s">
        <v>1381</v>
      </c>
      <c r="D2" s="780"/>
      <c r="E2" s="780"/>
      <c r="F2" s="780"/>
      <c r="G2" s="850"/>
    </row>
    <row r="3" spans="1:8" ht="18.75">
      <c r="A3" s="95"/>
      <c r="B3" s="226"/>
      <c r="C3" s="781"/>
      <c r="D3" s="781"/>
      <c r="E3" s="781"/>
      <c r="F3" s="781"/>
      <c r="G3" s="851"/>
    </row>
    <row r="4" spans="1:8" ht="15.75">
      <c r="A4" s="95"/>
      <c r="B4" s="881" t="s">
        <v>780</v>
      </c>
      <c r="C4" s="852"/>
      <c r="D4" s="852"/>
      <c r="E4" s="852"/>
      <c r="F4" s="852"/>
      <c r="G4" s="853"/>
    </row>
    <row r="5" spans="1:8" ht="15.75" thickBot="1">
      <c r="A5" s="95"/>
      <c r="B5" s="227"/>
      <c r="C5" s="856"/>
      <c r="D5" s="856"/>
      <c r="E5" s="856"/>
      <c r="F5" s="856"/>
      <c r="G5" s="857"/>
    </row>
    <row r="6" spans="1:8" ht="13.5" thickTop="1">
      <c r="A6" s="95"/>
      <c r="B6" s="225" t="s">
        <v>303</v>
      </c>
      <c r="C6" s="843"/>
      <c r="D6" s="843"/>
      <c r="E6" s="843"/>
      <c r="F6" s="92" t="s">
        <v>781</v>
      </c>
      <c r="G6" s="93" t="s">
        <v>831</v>
      </c>
      <c r="H6" s="505" t="s">
        <v>1670</v>
      </c>
    </row>
    <row r="7" spans="1:8">
      <c r="A7" s="95"/>
      <c r="B7" s="226" t="s">
        <v>834</v>
      </c>
      <c r="C7" s="844" t="s">
        <v>355</v>
      </c>
      <c r="D7" s="844"/>
      <c r="E7" s="844"/>
      <c r="F7" s="15" t="s">
        <v>833</v>
      </c>
      <c r="G7" s="165" t="str">
        <f>'MANO DE OBRA'!D61</f>
        <v>Agosto de 2010</v>
      </c>
    </row>
    <row r="8" spans="1:8" ht="13.5" thickBot="1">
      <c r="A8" s="127"/>
      <c r="B8" s="228" t="s">
        <v>835</v>
      </c>
      <c r="C8" s="845" t="s">
        <v>356</v>
      </c>
      <c r="D8" s="845"/>
      <c r="E8" s="845"/>
      <c r="F8" s="845"/>
      <c r="G8" s="846"/>
    </row>
    <row r="9" spans="1:8" ht="14.25" thickTop="1" thickBot="1">
      <c r="A9" s="95"/>
      <c r="B9" s="847"/>
      <c r="C9" s="847"/>
      <c r="D9" s="847"/>
      <c r="E9" s="847"/>
      <c r="F9" s="847"/>
      <c r="G9" s="847"/>
    </row>
    <row r="10" spans="1:8" ht="13.5" thickTop="1">
      <c r="A10" s="95"/>
      <c r="B10" s="811" t="s">
        <v>304</v>
      </c>
      <c r="C10" s="812"/>
      <c r="D10" s="812"/>
      <c r="E10" s="812"/>
      <c r="F10" s="812"/>
      <c r="G10" s="825"/>
    </row>
    <row r="11" spans="1:8">
      <c r="A11" s="95"/>
      <c r="B11" s="229"/>
      <c r="C11" s="97"/>
      <c r="D11" s="98" t="s">
        <v>301</v>
      </c>
      <c r="E11" s="98" t="s">
        <v>1072</v>
      </c>
      <c r="F11" s="99" t="s">
        <v>839</v>
      </c>
      <c r="G11" s="107" t="s">
        <v>840</v>
      </c>
    </row>
    <row r="12" spans="1:8">
      <c r="A12" s="95"/>
      <c r="B12" s="821" t="s">
        <v>838</v>
      </c>
      <c r="C12" s="822"/>
      <c r="D12" s="100" t="s">
        <v>308</v>
      </c>
      <c r="E12" s="100" t="s">
        <v>305</v>
      </c>
      <c r="F12" s="101" t="s">
        <v>306</v>
      </c>
      <c r="G12" s="108" t="s">
        <v>310</v>
      </c>
    </row>
    <row r="13" spans="1:8">
      <c r="A13" s="95"/>
      <c r="B13" s="230"/>
      <c r="C13" s="102"/>
      <c r="D13" s="103"/>
      <c r="E13" s="103" t="s">
        <v>309</v>
      </c>
      <c r="F13" s="104" t="s">
        <v>307</v>
      </c>
      <c r="G13" s="109"/>
    </row>
    <row r="14" spans="1:8">
      <c r="A14" s="127"/>
      <c r="B14" s="823" t="str">
        <f>'MAQUINARIA Y EQUIPOS'!C28</f>
        <v>HERRAMIENTAS MENORES</v>
      </c>
      <c r="C14" s="824"/>
      <c r="D14" s="87">
        <v>1</v>
      </c>
      <c r="E14" s="82">
        <f>ROUND(G47*0.05,0)</f>
        <v>398</v>
      </c>
      <c r="F14" s="81">
        <v>1</v>
      </c>
      <c r="G14" s="110">
        <f>ROUND(D14*E14/F14,0)</f>
        <v>398</v>
      </c>
    </row>
    <row r="15" spans="1:8">
      <c r="A15" s="95"/>
      <c r="B15" s="835"/>
      <c r="C15" s="836"/>
      <c r="D15" s="37"/>
      <c r="E15" s="82"/>
      <c r="F15" s="83"/>
      <c r="G15" s="111"/>
    </row>
    <row r="16" spans="1:8">
      <c r="A16" s="95"/>
      <c r="B16" s="835"/>
      <c r="C16" s="836"/>
      <c r="D16" s="89"/>
      <c r="E16" s="82"/>
      <c r="F16" s="83"/>
      <c r="G16" s="111"/>
    </row>
    <row r="17" spans="1:8">
      <c r="A17" s="95"/>
      <c r="B17" s="835"/>
      <c r="C17" s="836"/>
      <c r="D17" s="89"/>
      <c r="E17" s="82"/>
      <c r="F17" s="83"/>
      <c r="G17" s="111"/>
    </row>
    <row r="18" spans="1:8">
      <c r="A18" s="95"/>
      <c r="B18" s="835" t="s">
        <v>841</v>
      </c>
      <c r="C18" s="836"/>
      <c r="D18" s="37"/>
      <c r="E18" s="82"/>
      <c r="F18" s="83"/>
      <c r="G18" s="111"/>
    </row>
    <row r="19" spans="1:8" ht="13.5" thickBot="1">
      <c r="A19" s="95"/>
      <c r="B19" s="839" t="s">
        <v>841</v>
      </c>
      <c r="C19" s="840"/>
      <c r="D19" s="77"/>
      <c r="E19" s="106"/>
      <c r="F19" s="86"/>
      <c r="G19" s="112"/>
    </row>
    <row r="20" spans="1:8" ht="14.25" thickTop="1" thickBot="1">
      <c r="A20" s="95"/>
      <c r="B20" s="808"/>
      <c r="C20" s="808"/>
      <c r="D20" s="808"/>
      <c r="E20" s="809"/>
      <c r="F20" s="119" t="s">
        <v>856</v>
      </c>
      <c r="G20" s="118">
        <f>SUM(G14:G19)</f>
        <v>398</v>
      </c>
    </row>
    <row r="21" spans="1:8" ht="14.25" thickTop="1" thickBot="1">
      <c r="A21" s="95"/>
      <c r="B21" s="830"/>
      <c r="C21" s="830"/>
      <c r="D21" s="830"/>
      <c r="E21" s="830"/>
      <c r="F21" s="830"/>
      <c r="G21" s="830"/>
    </row>
    <row r="22" spans="1:8" ht="13.5" thickTop="1">
      <c r="A22" s="95"/>
      <c r="B22" s="811" t="s">
        <v>311</v>
      </c>
      <c r="C22" s="812"/>
      <c r="D22" s="812"/>
      <c r="E22" s="812"/>
      <c r="F22" s="812"/>
      <c r="G22" s="825"/>
    </row>
    <row r="23" spans="1:8">
      <c r="A23" s="95"/>
      <c r="B23" s="817" t="s">
        <v>838</v>
      </c>
      <c r="C23" s="818"/>
      <c r="D23" s="98" t="s">
        <v>842</v>
      </c>
      <c r="E23" s="98" t="s">
        <v>853</v>
      </c>
      <c r="F23" s="99" t="s">
        <v>1047</v>
      </c>
      <c r="G23" s="107" t="s">
        <v>840</v>
      </c>
    </row>
    <row r="24" spans="1:8">
      <c r="A24" s="95"/>
      <c r="B24" s="230"/>
      <c r="C24" s="102"/>
      <c r="D24" s="100"/>
      <c r="E24" s="100" t="s">
        <v>312</v>
      </c>
      <c r="F24" s="101" t="s">
        <v>313</v>
      </c>
      <c r="G24" s="108" t="s">
        <v>314</v>
      </c>
    </row>
    <row r="25" spans="1:8" ht="14.25">
      <c r="A25" s="125"/>
      <c r="B25" s="841" t="str">
        <f>MATERIALES2!C49</f>
        <v>MORTERO 1:3 (MATERIALES)</v>
      </c>
      <c r="C25" s="842"/>
      <c r="D25" s="87" t="s">
        <v>1066</v>
      </c>
      <c r="E25" s="10">
        <v>2E-3</v>
      </c>
      <c r="F25" s="80">
        <f>MATERIALES2!E49</f>
        <v>365000</v>
      </c>
      <c r="G25" s="110">
        <f>ROUND(E25*F25,0)</f>
        <v>730</v>
      </c>
    </row>
    <row r="26" spans="1:8">
      <c r="A26" s="123"/>
      <c r="B26" s="854" t="str">
        <f>MATERIALES2!C560</f>
        <v>TUBO GRESS DE 3"</v>
      </c>
      <c r="C26" s="855"/>
      <c r="D26" s="88" t="s">
        <v>865</v>
      </c>
      <c r="E26" s="83">
        <v>1</v>
      </c>
      <c r="F26" s="82">
        <f>MATERIALES2!E560</f>
        <v>4294</v>
      </c>
      <c r="G26" s="111">
        <f>ROUND(E26*F26,0)</f>
        <v>4294</v>
      </c>
    </row>
    <row r="27" spans="1:8">
      <c r="A27" s="95"/>
      <c r="B27" s="835"/>
      <c r="C27" s="836"/>
      <c r="D27" s="37"/>
      <c r="E27" s="55"/>
      <c r="F27" s="82"/>
      <c r="G27" s="111"/>
    </row>
    <row r="28" spans="1:8">
      <c r="A28" s="95"/>
      <c r="B28" s="835"/>
      <c r="C28" s="836"/>
      <c r="D28" s="37"/>
      <c r="E28" s="55"/>
      <c r="F28" s="82"/>
      <c r="G28" s="111"/>
    </row>
    <row r="29" spans="1:8">
      <c r="A29" s="95"/>
      <c r="B29" s="837"/>
      <c r="C29" s="838"/>
      <c r="D29" s="37"/>
      <c r="E29" s="55"/>
      <c r="F29" s="82"/>
      <c r="G29" s="111"/>
    </row>
    <row r="30" spans="1:8">
      <c r="A30" s="95"/>
      <c r="B30" s="837"/>
      <c r="C30" s="838"/>
      <c r="D30" s="53" t="s">
        <v>841</v>
      </c>
      <c r="E30" s="53"/>
      <c r="F30" s="82"/>
      <c r="G30" s="111"/>
    </row>
    <row r="31" spans="1:8">
      <c r="A31" s="95"/>
      <c r="B31" s="837" t="s">
        <v>841</v>
      </c>
      <c r="C31" s="838"/>
      <c r="D31" s="53" t="s">
        <v>841</v>
      </c>
      <c r="E31" s="53"/>
      <c r="F31" s="82"/>
      <c r="G31" s="111"/>
    </row>
    <row r="32" spans="1:8">
      <c r="A32" s="95"/>
      <c r="B32" s="837" t="s">
        <v>841</v>
      </c>
      <c r="C32" s="838"/>
      <c r="D32" s="53" t="s">
        <v>841</v>
      </c>
      <c r="E32" s="53"/>
      <c r="F32" s="82"/>
      <c r="G32" s="111"/>
      <c r="H32" s="505" t="s">
        <v>1670</v>
      </c>
    </row>
    <row r="33" spans="1:7" ht="13.5" thickBot="1">
      <c r="A33" s="95"/>
      <c r="B33" s="839" t="s">
        <v>841</v>
      </c>
      <c r="C33" s="840"/>
      <c r="D33" s="84" t="s">
        <v>841</v>
      </c>
      <c r="E33" s="84"/>
      <c r="F33" s="85"/>
      <c r="G33" s="112"/>
    </row>
    <row r="34" spans="1:7" ht="13.5" thickTop="1">
      <c r="A34" s="95"/>
      <c r="B34" s="808"/>
      <c r="C34" s="809"/>
      <c r="D34" s="801" t="s">
        <v>856</v>
      </c>
      <c r="E34" s="802"/>
      <c r="F34" s="9"/>
      <c r="G34" s="113">
        <f>SUM(G25:G33)</f>
        <v>5024</v>
      </c>
    </row>
    <row r="35" spans="1:7">
      <c r="A35" s="95"/>
      <c r="B35" s="819"/>
      <c r="C35" s="820"/>
      <c r="D35" s="801" t="s">
        <v>857</v>
      </c>
      <c r="E35" s="802"/>
      <c r="F35" s="79">
        <f>'MANO DE OBRA'!D60</f>
        <v>0.05</v>
      </c>
      <c r="G35" s="113">
        <f>ROUND(G34*F35,0)</f>
        <v>251</v>
      </c>
    </row>
    <row r="36" spans="1:7" ht="13.5" thickBot="1">
      <c r="A36" s="95"/>
      <c r="B36" s="819"/>
      <c r="C36" s="820"/>
      <c r="D36" s="803" t="s">
        <v>320</v>
      </c>
      <c r="E36" s="804"/>
      <c r="F36" s="114"/>
      <c r="G36" s="118">
        <f>+G34+G35</f>
        <v>5275</v>
      </c>
    </row>
    <row r="37" spans="1:7" ht="14.25" thickTop="1" thickBot="1">
      <c r="A37" s="95"/>
      <c r="B37" s="830"/>
      <c r="C37" s="830"/>
      <c r="D37" s="830"/>
      <c r="E37" s="830"/>
      <c r="F37" s="830"/>
      <c r="G37" s="830"/>
    </row>
    <row r="38" spans="1:7" ht="13.5" thickTop="1">
      <c r="A38" s="95"/>
      <c r="B38" s="811" t="s">
        <v>858</v>
      </c>
      <c r="C38" s="812"/>
      <c r="D38" s="812"/>
      <c r="E38" s="812"/>
      <c r="F38" s="812"/>
      <c r="G38" s="825"/>
    </row>
    <row r="39" spans="1:7">
      <c r="A39" s="95"/>
      <c r="B39" s="817"/>
      <c r="C39" s="818"/>
      <c r="D39" s="98" t="s">
        <v>301</v>
      </c>
      <c r="E39" s="98" t="s">
        <v>859</v>
      </c>
      <c r="F39" s="99" t="s">
        <v>839</v>
      </c>
      <c r="G39" s="107" t="s">
        <v>840</v>
      </c>
    </row>
    <row r="40" spans="1:7">
      <c r="A40" s="95"/>
      <c r="B40" s="821" t="s">
        <v>838</v>
      </c>
      <c r="C40" s="822"/>
      <c r="D40" s="100" t="s">
        <v>316</v>
      </c>
      <c r="E40" s="100" t="s">
        <v>315</v>
      </c>
      <c r="F40" s="101" t="s">
        <v>306</v>
      </c>
      <c r="G40" s="108" t="s">
        <v>319</v>
      </c>
    </row>
    <row r="41" spans="1:7">
      <c r="A41" s="95"/>
      <c r="B41" s="230"/>
      <c r="C41" s="102"/>
      <c r="D41" s="103"/>
      <c r="E41" s="103" t="s">
        <v>317</v>
      </c>
      <c r="F41" s="104" t="s">
        <v>318</v>
      </c>
      <c r="G41" s="109"/>
    </row>
    <row r="42" spans="1:7">
      <c r="A42" s="95"/>
      <c r="B42" s="823" t="str">
        <f>'MANO DE OBRA'!B10</f>
        <v>AYUDANTE CUAD. TIPO AA</v>
      </c>
      <c r="C42" s="824"/>
      <c r="D42" s="87">
        <v>1</v>
      </c>
      <c r="E42" s="80">
        <f>'MANO DE OBRA'!E10</f>
        <v>34680</v>
      </c>
      <c r="F42" s="81">
        <v>13.33</v>
      </c>
      <c r="G42" s="110">
        <f>ROUND(D42*E42/F42,0)</f>
        <v>2602</v>
      </c>
    </row>
    <row r="43" spans="1:7">
      <c r="A43" s="95"/>
      <c r="B43" s="835" t="str">
        <f>'MANO DE OBRA'!B15</f>
        <v xml:space="preserve">OFICIAL CUAD. TIPO AA </v>
      </c>
      <c r="C43" s="836"/>
      <c r="D43" s="37">
        <v>1</v>
      </c>
      <c r="E43" s="82">
        <f>'MANO DE OBRA'!E15</f>
        <v>71474</v>
      </c>
      <c r="F43" s="83">
        <v>13.33</v>
      </c>
      <c r="G43" s="111">
        <f>ROUND(D43*E43/F43,0)</f>
        <v>5362</v>
      </c>
    </row>
    <row r="44" spans="1:7">
      <c r="A44" s="95"/>
      <c r="B44" s="835"/>
      <c r="C44" s="836"/>
      <c r="D44" s="89"/>
      <c r="E44" s="82"/>
      <c r="F44" s="83"/>
      <c r="G44" s="111"/>
    </row>
    <row r="45" spans="1:7">
      <c r="A45" s="95"/>
      <c r="B45" s="835" t="s">
        <v>841</v>
      </c>
      <c r="C45" s="836"/>
      <c r="D45" s="37"/>
      <c r="E45" s="82"/>
      <c r="F45" s="83"/>
      <c r="G45" s="111"/>
    </row>
    <row r="46" spans="1:7" ht="13.5" thickBot="1">
      <c r="A46" s="95"/>
      <c r="B46" s="828" t="s">
        <v>841</v>
      </c>
      <c r="C46" s="829"/>
      <c r="D46" s="77"/>
      <c r="E46" s="82"/>
      <c r="F46" s="86"/>
      <c r="G46" s="112"/>
    </row>
    <row r="47" spans="1:7" ht="14.25" thickTop="1" thickBot="1">
      <c r="A47" s="95"/>
      <c r="B47" s="808"/>
      <c r="C47" s="808"/>
      <c r="D47" s="808"/>
      <c r="E47" s="809"/>
      <c r="F47" s="120" t="s">
        <v>856</v>
      </c>
      <c r="G47" s="118">
        <f>SUM(G42:G46)</f>
        <v>7964</v>
      </c>
    </row>
    <row r="48" spans="1:7" ht="14.25" thickTop="1" thickBot="1">
      <c r="A48" s="95"/>
      <c r="B48" s="810"/>
      <c r="C48" s="810"/>
      <c r="D48" s="810"/>
      <c r="E48" s="810"/>
      <c r="F48" s="810"/>
      <c r="G48" s="810"/>
    </row>
    <row r="49" spans="1:8" ht="13.5" thickTop="1">
      <c r="A49" s="95"/>
      <c r="B49" s="811" t="s">
        <v>321</v>
      </c>
      <c r="C49" s="812"/>
      <c r="D49" s="812"/>
      <c r="E49" s="812"/>
      <c r="F49" s="812"/>
      <c r="G49" s="825"/>
    </row>
    <row r="50" spans="1:8">
      <c r="A50" s="95"/>
      <c r="B50" s="817" t="s">
        <v>838</v>
      </c>
      <c r="C50" s="818"/>
      <c r="D50" s="98" t="s">
        <v>301</v>
      </c>
      <c r="E50" s="98" t="s">
        <v>297</v>
      </c>
      <c r="F50" s="99" t="s">
        <v>839</v>
      </c>
      <c r="G50" s="107" t="s">
        <v>840</v>
      </c>
    </row>
    <row r="51" spans="1:8">
      <c r="A51" s="95"/>
      <c r="B51" s="230"/>
      <c r="C51" s="102"/>
      <c r="D51" s="103" t="s">
        <v>322</v>
      </c>
      <c r="E51" s="103" t="s">
        <v>323</v>
      </c>
      <c r="F51" s="104" t="s">
        <v>324</v>
      </c>
      <c r="G51" s="109" t="s">
        <v>325</v>
      </c>
    </row>
    <row r="52" spans="1:8">
      <c r="A52" s="95"/>
      <c r="B52" s="826"/>
      <c r="C52" s="827"/>
      <c r="D52" s="96"/>
      <c r="E52" s="96"/>
      <c r="F52" s="96"/>
      <c r="G52" s="116"/>
    </row>
    <row r="53" spans="1:8" ht="13.5" thickBot="1">
      <c r="A53" s="95"/>
      <c r="B53" s="828" t="s">
        <v>841</v>
      </c>
      <c r="C53" s="829"/>
      <c r="D53" s="77"/>
      <c r="E53" s="82"/>
      <c r="F53" s="86"/>
      <c r="G53" s="112"/>
    </row>
    <row r="54" spans="1:8" ht="14.25" thickTop="1" thickBot="1">
      <c r="A54" s="95"/>
      <c r="B54" s="808"/>
      <c r="C54" s="808"/>
      <c r="D54" s="808"/>
      <c r="E54" s="809"/>
      <c r="F54" s="120" t="s">
        <v>856</v>
      </c>
      <c r="G54" s="118">
        <f>SUM(G49:G53)</f>
        <v>0</v>
      </c>
    </row>
    <row r="55" spans="1:8" ht="14.25" thickTop="1" thickBot="1">
      <c r="A55" s="95"/>
      <c r="B55" s="810"/>
      <c r="C55" s="810"/>
      <c r="D55" s="810"/>
      <c r="E55" s="810"/>
      <c r="F55" s="810"/>
      <c r="G55" s="834"/>
    </row>
    <row r="56" spans="1:8" ht="13.5" thickTop="1">
      <c r="A56" s="95"/>
      <c r="B56" s="811" t="s">
        <v>326</v>
      </c>
      <c r="C56" s="812"/>
      <c r="D56" s="812"/>
      <c r="E56" s="812"/>
      <c r="F56" s="813"/>
      <c r="G56" s="121">
        <f>+G20+G36+G47</f>
        <v>13637</v>
      </c>
    </row>
    <row r="57" spans="1:8">
      <c r="A57" s="95"/>
      <c r="B57" s="814" t="s">
        <v>861</v>
      </c>
      <c r="C57" s="815"/>
      <c r="D57" s="815"/>
      <c r="E57" s="816"/>
      <c r="F57" s="128">
        <f>'MANO DE OBRA'!D59</f>
        <v>0</v>
      </c>
      <c r="G57" s="122">
        <f>ROUND(G56*F57,0)</f>
        <v>0</v>
      </c>
    </row>
    <row r="58" spans="1:8" ht="13.5" thickBot="1">
      <c r="A58" s="95"/>
      <c r="B58" s="805" t="s">
        <v>1049</v>
      </c>
      <c r="C58" s="806"/>
      <c r="D58" s="806"/>
      <c r="E58" s="806"/>
      <c r="F58" s="807"/>
      <c r="G58" s="118">
        <f>ROUND(G56+G57,-2)</f>
        <v>13600</v>
      </c>
      <c r="H58" s="505" t="s">
        <v>1670</v>
      </c>
    </row>
    <row r="59" spans="1:8" ht="13.5" thickTop="1">
      <c r="A59" s="95"/>
      <c r="B59" s="225" t="s">
        <v>303</v>
      </c>
      <c r="C59" s="843"/>
      <c r="D59" s="843"/>
      <c r="E59" s="843"/>
      <c r="F59" s="92" t="s">
        <v>781</v>
      </c>
      <c r="G59" s="93" t="s">
        <v>865</v>
      </c>
    </row>
    <row r="60" spans="1:8">
      <c r="A60" s="95"/>
      <c r="B60" s="226" t="s">
        <v>834</v>
      </c>
      <c r="C60" s="844" t="s">
        <v>355</v>
      </c>
      <c r="D60" s="844"/>
      <c r="E60" s="844"/>
      <c r="F60" s="15" t="s">
        <v>833</v>
      </c>
      <c r="G60" s="165" t="str">
        <f>'MANO DE OBRA'!D61</f>
        <v>Agosto de 2010</v>
      </c>
    </row>
    <row r="61" spans="1:8" ht="13.5" thickBot="1">
      <c r="A61" s="127"/>
      <c r="B61" s="228" t="s">
        <v>835</v>
      </c>
      <c r="C61" s="845" t="s">
        <v>358</v>
      </c>
      <c r="D61" s="845"/>
      <c r="E61" s="845"/>
      <c r="F61" s="845"/>
      <c r="G61" s="846"/>
    </row>
    <row r="62" spans="1:8" ht="14.25" thickTop="1" thickBot="1">
      <c r="A62" s="95"/>
      <c r="B62" s="847"/>
      <c r="C62" s="847"/>
      <c r="D62" s="847"/>
      <c r="E62" s="847"/>
      <c r="F62" s="847"/>
      <c r="G62" s="847"/>
    </row>
    <row r="63" spans="1:8" ht="13.5" thickTop="1">
      <c r="A63" s="95"/>
      <c r="B63" s="811" t="s">
        <v>304</v>
      </c>
      <c r="C63" s="812"/>
      <c r="D63" s="812"/>
      <c r="E63" s="812"/>
      <c r="F63" s="812"/>
      <c r="G63" s="825"/>
    </row>
    <row r="64" spans="1:8">
      <c r="A64" s="95"/>
      <c r="B64" s="229"/>
      <c r="C64" s="97"/>
      <c r="D64" s="98" t="s">
        <v>301</v>
      </c>
      <c r="E64" s="98" t="s">
        <v>1072</v>
      </c>
      <c r="F64" s="99" t="s">
        <v>839</v>
      </c>
      <c r="G64" s="107" t="s">
        <v>840</v>
      </c>
    </row>
    <row r="65" spans="1:7">
      <c r="A65" s="95"/>
      <c r="B65" s="821" t="s">
        <v>838</v>
      </c>
      <c r="C65" s="822"/>
      <c r="D65" s="100" t="s">
        <v>308</v>
      </c>
      <c r="E65" s="100" t="s">
        <v>305</v>
      </c>
      <c r="F65" s="101" t="s">
        <v>306</v>
      </c>
      <c r="G65" s="108" t="s">
        <v>310</v>
      </c>
    </row>
    <row r="66" spans="1:7">
      <c r="A66" s="95"/>
      <c r="B66" s="230"/>
      <c r="C66" s="102"/>
      <c r="D66" s="103"/>
      <c r="E66" s="103" t="s">
        <v>309</v>
      </c>
      <c r="F66" s="104" t="s">
        <v>307</v>
      </c>
      <c r="G66" s="109"/>
    </row>
    <row r="67" spans="1:7">
      <c r="A67" s="127"/>
      <c r="B67" s="823" t="str">
        <f>'MAQUINARIA Y EQUIPOS'!C28</f>
        <v>HERRAMIENTAS MENORES</v>
      </c>
      <c r="C67" s="824"/>
      <c r="D67" s="87">
        <v>1</v>
      </c>
      <c r="E67" s="82">
        <f>ROUND(G100*0.05,0)</f>
        <v>398</v>
      </c>
      <c r="F67" s="81">
        <v>1</v>
      </c>
      <c r="G67" s="110">
        <f>ROUND(D67*E67/F67,0)</f>
        <v>398</v>
      </c>
    </row>
    <row r="68" spans="1:7">
      <c r="A68" s="95"/>
      <c r="B68" s="835"/>
      <c r="C68" s="836"/>
      <c r="D68" s="37"/>
      <c r="E68" s="82"/>
      <c r="F68" s="83"/>
      <c r="G68" s="111"/>
    </row>
    <row r="69" spans="1:7">
      <c r="A69" s="95"/>
      <c r="B69" s="835"/>
      <c r="C69" s="836"/>
      <c r="D69" s="89"/>
      <c r="E69" s="82"/>
      <c r="F69" s="83"/>
      <c r="G69" s="111"/>
    </row>
    <row r="70" spans="1:7">
      <c r="A70" s="95"/>
      <c r="B70" s="835"/>
      <c r="C70" s="836"/>
      <c r="D70" s="89"/>
      <c r="E70" s="82"/>
      <c r="F70" s="83"/>
      <c r="G70" s="111"/>
    </row>
    <row r="71" spans="1:7">
      <c r="A71" s="95"/>
      <c r="B71" s="835" t="s">
        <v>841</v>
      </c>
      <c r="C71" s="836"/>
      <c r="D71" s="37"/>
      <c r="E71" s="82"/>
      <c r="F71" s="83"/>
      <c r="G71" s="111"/>
    </row>
    <row r="72" spans="1:7" ht="13.5" thickBot="1">
      <c r="A72" s="95"/>
      <c r="B72" s="839" t="s">
        <v>841</v>
      </c>
      <c r="C72" s="840"/>
      <c r="D72" s="77"/>
      <c r="E72" s="106"/>
      <c r="F72" s="86"/>
      <c r="G72" s="112"/>
    </row>
    <row r="73" spans="1:7" ht="14.25" thickTop="1" thickBot="1">
      <c r="A73" s="95"/>
      <c r="B73" s="808"/>
      <c r="C73" s="808"/>
      <c r="D73" s="808"/>
      <c r="E73" s="809"/>
      <c r="F73" s="119" t="s">
        <v>856</v>
      </c>
      <c r="G73" s="118">
        <f>SUM(G67:G72)</f>
        <v>398</v>
      </c>
    </row>
    <row r="74" spans="1:7" ht="14.25" thickTop="1" thickBot="1">
      <c r="A74" s="95"/>
      <c r="B74" s="830"/>
      <c r="C74" s="830"/>
      <c r="D74" s="830"/>
      <c r="E74" s="830"/>
      <c r="F74" s="830"/>
      <c r="G74" s="830"/>
    </row>
    <row r="75" spans="1:7" ht="13.5" thickTop="1">
      <c r="A75" s="95"/>
      <c r="B75" s="811" t="s">
        <v>311</v>
      </c>
      <c r="C75" s="812"/>
      <c r="D75" s="812"/>
      <c r="E75" s="812"/>
      <c r="F75" s="812"/>
      <c r="G75" s="825"/>
    </row>
    <row r="76" spans="1:7">
      <c r="A76" s="95"/>
      <c r="B76" s="817" t="s">
        <v>838</v>
      </c>
      <c r="C76" s="818"/>
      <c r="D76" s="98" t="s">
        <v>842</v>
      </c>
      <c r="E76" s="98" t="s">
        <v>853</v>
      </c>
      <c r="F76" s="99" t="s">
        <v>1047</v>
      </c>
      <c r="G76" s="107" t="s">
        <v>840</v>
      </c>
    </row>
    <row r="77" spans="1:7">
      <c r="A77" s="95"/>
      <c r="B77" s="230"/>
      <c r="C77" s="102"/>
      <c r="D77" s="100"/>
      <c r="E77" s="100" t="s">
        <v>312</v>
      </c>
      <c r="F77" s="101" t="s">
        <v>313</v>
      </c>
      <c r="G77" s="108" t="s">
        <v>314</v>
      </c>
    </row>
    <row r="78" spans="1:7" ht="14.25">
      <c r="A78" s="125"/>
      <c r="B78" s="841" t="str">
        <f>MATERIALES2!C49</f>
        <v>MORTERO 1:3 (MATERIALES)</v>
      </c>
      <c r="C78" s="842"/>
      <c r="D78" s="87" t="s">
        <v>1066</v>
      </c>
      <c r="E78" s="10">
        <v>2E-3</v>
      </c>
      <c r="F78" s="80">
        <f>MATERIALES2!E49</f>
        <v>365000</v>
      </c>
      <c r="G78" s="110">
        <f>ROUND(E78*F78,0)</f>
        <v>730</v>
      </c>
    </row>
    <row r="79" spans="1:7">
      <c r="A79" s="123"/>
      <c r="B79" s="854" t="str">
        <f>MATERIALES2!C561</f>
        <v>ACCESORIO GRES DE 3"</v>
      </c>
      <c r="C79" s="855"/>
      <c r="D79" s="88" t="s">
        <v>865</v>
      </c>
      <c r="E79" s="83">
        <v>1</v>
      </c>
      <c r="F79" s="82">
        <f>MATERIALES2!E561</f>
        <v>4341</v>
      </c>
      <c r="G79" s="111">
        <f>ROUND(E79*F79,0)</f>
        <v>4341</v>
      </c>
    </row>
    <row r="80" spans="1:7">
      <c r="A80" s="95"/>
      <c r="B80" s="835"/>
      <c r="C80" s="836"/>
      <c r="D80" s="37"/>
      <c r="E80" s="55"/>
      <c r="F80" s="82"/>
      <c r="G80" s="111"/>
    </row>
    <row r="81" spans="1:8">
      <c r="A81" s="95"/>
      <c r="B81" s="835"/>
      <c r="C81" s="836"/>
      <c r="D81" s="37"/>
      <c r="E81" s="55"/>
      <c r="F81" s="82"/>
      <c r="G81" s="111"/>
    </row>
    <row r="82" spans="1:8">
      <c r="A82" s="95"/>
      <c r="B82" s="837"/>
      <c r="C82" s="838"/>
      <c r="D82" s="37"/>
      <c r="E82" s="55"/>
      <c r="F82" s="82"/>
      <c r="G82" s="111"/>
    </row>
    <row r="83" spans="1:8">
      <c r="A83" s="95"/>
      <c r="B83" s="837"/>
      <c r="C83" s="838"/>
      <c r="D83" s="53" t="s">
        <v>841</v>
      </c>
      <c r="E83" s="53"/>
      <c r="F83" s="82"/>
      <c r="G83" s="111"/>
    </row>
    <row r="84" spans="1:8">
      <c r="A84" s="95"/>
      <c r="B84" s="837" t="s">
        <v>841</v>
      </c>
      <c r="C84" s="838"/>
      <c r="D84" s="53" t="s">
        <v>841</v>
      </c>
      <c r="E84" s="53"/>
      <c r="F84" s="82"/>
      <c r="G84" s="111"/>
    </row>
    <row r="85" spans="1:8">
      <c r="A85" s="95"/>
      <c r="B85" s="837" t="s">
        <v>841</v>
      </c>
      <c r="C85" s="838"/>
      <c r="D85" s="53" t="s">
        <v>841</v>
      </c>
      <c r="E85" s="53"/>
      <c r="F85" s="82"/>
      <c r="G85" s="111"/>
      <c r="H85" s="505" t="s">
        <v>1670</v>
      </c>
    </row>
    <row r="86" spans="1:8" ht="13.5" thickBot="1">
      <c r="A86" s="95"/>
      <c r="B86" s="839" t="s">
        <v>841</v>
      </c>
      <c r="C86" s="840"/>
      <c r="D86" s="84" t="s">
        <v>841</v>
      </c>
      <c r="E86" s="84"/>
      <c r="F86" s="85"/>
      <c r="G86" s="112"/>
    </row>
    <row r="87" spans="1:8" ht="13.5" thickTop="1">
      <c r="A87" s="95"/>
      <c r="B87" s="808"/>
      <c r="C87" s="809"/>
      <c r="D87" s="801" t="s">
        <v>856</v>
      </c>
      <c r="E87" s="802"/>
      <c r="F87" s="9"/>
      <c r="G87" s="113">
        <f>SUM(G78:G86)</f>
        <v>5071</v>
      </c>
    </row>
    <row r="88" spans="1:8">
      <c r="A88" s="95"/>
      <c r="B88" s="819"/>
      <c r="C88" s="820"/>
      <c r="D88" s="801" t="s">
        <v>857</v>
      </c>
      <c r="E88" s="802"/>
      <c r="F88" s="79">
        <f>'MANO DE OBRA'!D60</f>
        <v>0.05</v>
      </c>
      <c r="G88" s="113">
        <f>ROUND(G87*F88,0)</f>
        <v>254</v>
      </c>
    </row>
    <row r="89" spans="1:8" ht="13.5" thickBot="1">
      <c r="A89" s="95"/>
      <c r="B89" s="819"/>
      <c r="C89" s="820"/>
      <c r="D89" s="803" t="s">
        <v>320</v>
      </c>
      <c r="E89" s="804"/>
      <c r="F89" s="114"/>
      <c r="G89" s="118">
        <f>+G87+G88</f>
        <v>5325</v>
      </c>
    </row>
    <row r="90" spans="1:8" ht="14.25" thickTop="1" thickBot="1">
      <c r="A90" s="95"/>
      <c r="B90" s="830"/>
      <c r="C90" s="830"/>
      <c r="D90" s="830"/>
      <c r="E90" s="830"/>
      <c r="F90" s="830"/>
      <c r="G90" s="830"/>
    </row>
    <row r="91" spans="1:8" ht="13.5" thickTop="1">
      <c r="A91" s="95"/>
      <c r="B91" s="811" t="s">
        <v>858</v>
      </c>
      <c r="C91" s="812"/>
      <c r="D91" s="812"/>
      <c r="E91" s="812"/>
      <c r="F91" s="812"/>
      <c r="G91" s="825"/>
    </row>
    <row r="92" spans="1:8">
      <c r="A92" s="95"/>
      <c r="B92" s="817"/>
      <c r="C92" s="818"/>
      <c r="D92" s="98" t="s">
        <v>301</v>
      </c>
      <c r="E92" s="98" t="s">
        <v>859</v>
      </c>
      <c r="F92" s="99" t="s">
        <v>839</v>
      </c>
      <c r="G92" s="107" t="s">
        <v>840</v>
      </c>
    </row>
    <row r="93" spans="1:8">
      <c r="A93" s="95"/>
      <c r="B93" s="821" t="s">
        <v>838</v>
      </c>
      <c r="C93" s="822"/>
      <c r="D93" s="100" t="s">
        <v>316</v>
      </c>
      <c r="E93" s="100" t="s">
        <v>315</v>
      </c>
      <c r="F93" s="101" t="s">
        <v>306</v>
      </c>
      <c r="G93" s="108" t="s">
        <v>319</v>
      </c>
    </row>
    <row r="94" spans="1:8">
      <c r="A94" s="95"/>
      <c r="B94" s="230"/>
      <c r="C94" s="102"/>
      <c r="D94" s="103"/>
      <c r="E94" s="103" t="s">
        <v>317</v>
      </c>
      <c r="F94" s="104" t="s">
        <v>318</v>
      </c>
      <c r="G94" s="109"/>
    </row>
    <row r="95" spans="1:8">
      <c r="A95" s="95"/>
      <c r="B95" s="823" t="str">
        <f>'MANO DE OBRA'!B10</f>
        <v>AYUDANTE CUAD. TIPO AA</v>
      </c>
      <c r="C95" s="824"/>
      <c r="D95" s="87">
        <v>1</v>
      </c>
      <c r="E95" s="80">
        <f>'MANO DE OBRA'!E10</f>
        <v>34680</v>
      </c>
      <c r="F95" s="81">
        <v>13.33</v>
      </c>
      <c r="G95" s="110">
        <f>ROUND(D95*E95/F95,0)</f>
        <v>2602</v>
      </c>
    </row>
    <row r="96" spans="1:8">
      <c r="A96" s="95"/>
      <c r="B96" s="835" t="str">
        <f>'MANO DE OBRA'!B15</f>
        <v xml:space="preserve">OFICIAL CUAD. TIPO AA </v>
      </c>
      <c r="C96" s="836"/>
      <c r="D96" s="37">
        <v>1</v>
      </c>
      <c r="E96" s="82">
        <f>'MANO DE OBRA'!E15</f>
        <v>71474</v>
      </c>
      <c r="F96" s="83">
        <v>13.33</v>
      </c>
      <c r="G96" s="111">
        <f>ROUND(D96*E96/F96,0)</f>
        <v>5362</v>
      </c>
    </row>
    <row r="97" spans="1:8">
      <c r="A97" s="95"/>
      <c r="B97" s="835"/>
      <c r="C97" s="836"/>
      <c r="D97" s="89"/>
      <c r="E97" s="82"/>
      <c r="F97" s="83"/>
      <c r="G97" s="111"/>
    </row>
    <row r="98" spans="1:8">
      <c r="A98" s="95"/>
      <c r="B98" s="835" t="s">
        <v>841</v>
      </c>
      <c r="C98" s="836"/>
      <c r="D98" s="37"/>
      <c r="E98" s="82"/>
      <c r="F98" s="83"/>
      <c r="G98" s="111"/>
    </row>
    <row r="99" spans="1:8" ht="13.5" thickBot="1">
      <c r="A99" s="95"/>
      <c r="B99" s="828" t="s">
        <v>841</v>
      </c>
      <c r="C99" s="829"/>
      <c r="D99" s="77"/>
      <c r="E99" s="82"/>
      <c r="F99" s="86"/>
      <c r="G99" s="112"/>
    </row>
    <row r="100" spans="1:8" ht="14.25" thickTop="1" thickBot="1">
      <c r="A100" s="95"/>
      <c r="B100" s="808"/>
      <c r="C100" s="808"/>
      <c r="D100" s="808"/>
      <c r="E100" s="809"/>
      <c r="F100" s="120" t="s">
        <v>856</v>
      </c>
      <c r="G100" s="118">
        <f>SUM(G95:G99)</f>
        <v>7964</v>
      </c>
    </row>
    <row r="101" spans="1:8" ht="14.25" thickTop="1" thickBot="1">
      <c r="A101" s="95"/>
      <c r="B101" s="810"/>
      <c r="C101" s="810"/>
      <c r="D101" s="810"/>
      <c r="E101" s="810"/>
      <c r="F101" s="810"/>
      <c r="G101" s="810"/>
    </row>
    <row r="102" spans="1:8" ht="13.5" thickTop="1">
      <c r="A102" s="95"/>
      <c r="B102" s="811" t="s">
        <v>321</v>
      </c>
      <c r="C102" s="812"/>
      <c r="D102" s="812"/>
      <c r="E102" s="812"/>
      <c r="F102" s="812"/>
      <c r="G102" s="825"/>
    </row>
    <row r="103" spans="1:8">
      <c r="A103" s="95"/>
      <c r="B103" s="817" t="s">
        <v>838</v>
      </c>
      <c r="C103" s="818"/>
      <c r="D103" s="98" t="s">
        <v>301</v>
      </c>
      <c r="E103" s="98" t="s">
        <v>297</v>
      </c>
      <c r="F103" s="99" t="s">
        <v>839</v>
      </c>
      <c r="G103" s="107" t="s">
        <v>840</v>
      </c>
    </row>
    <row r="104" spans="1:8">
      <c r="A104" s="95"/>
      <c r="B104" s="230"/>
      <c r="C104" s="102"/>
      <c r="D104" s="103" t="s">
        <v>322</v>
      </c>
      <c r="E104" s="103" t="s">
        <v>323</v>
      </c>
      <c r="F104" s="104" t="s">
        <v>324</v>
      </c>
      <c r="G104" s="109" t="s">
        <v>325</v>
      </c>
    </row>
    <row r="105" spans="1:8">
      <c r="A105" s="95"/>
      <c r="B105" s="826"/>
      <c r="C105" s="827"/>
      <c r="D105" s="96"/>
      <c r="E105" s="96"/>
      <c r="F105" s="96"/>
      <c r="G105" s="116"/>
    </row>
    <row r="106" spans="1:8" ht="13.5" thickBot="1">
      <c r="A106" s="95"/>
      <c r="B106" s="828" t="s">
        <v>841</v>
      </c>
      <c r="C106" s="829"/>
      <c r="D106" s="77"/>
      <c r="E106" s="82"/>
      <c r="F106" s="86"/>
      <c r="G106" s="112"/>
    </row>
    <row r="107" spans="1:8" ht="14.25" thickTop="1" thickBot="1">
      <c r="A107" s="95"/>
      <c r="B107" s="808"/>
      <c r="C107" s="808"/>
      <c r="D107" s="808"/>
      <c r="E107" s="809"/>
      <c r="F107" s="120" t="s">
        <v>856</v>
      </c>
      <c r="G107" s="118">
        <f>SUM(G102:G106)</f>
        <v>0</v>
      </c>
    </row>
    <row r="108" spans="1:8" ht="14.25" thickTop="1" thickBot="1">
      <c r="A108" s="95"/>
      <c r="B108" s="810"/>
      <c r="C108" s="810"/>
      <c r="D108" s="810"/>
      <c r="E108" s="810"/>
      <c r="F108" s="810"/>
      <c r="G108" s="834"/>
    </row>
    <row r="109" spans="1:8" ht="13.5" thickTop="1">
      <c r="A109" s="95"/>
      <c r="B109" s="811" t="s">
        <v>326</v>
      </c>
      <c r="C109" s="812"/>
      <c r="D109" s="812"/>
      <c r="E109" s="812"/>
      <c r="F109" s="813"/>
      <c r="G109" s="121">
        <f>+G73+G89+G100</f>
        <v>13687</v>
      </c>
    </row>
    <row r="110" spans="1:8">
      <c r="A110" s="95"/>
      <c r="B110" s="814" t="s">
        <v>861</v>
      </c>
      <c r="C110" s="815"/>
      <c r="D110" s="815"/>
      <c r="E110" s="816"/>
      <c r="F110" s="128">
        <f>'MANO DE OBRA'!D59</f>
        <v>0</v>
      </c>
      <c r="G110" s="122">
        <f>ROUND(G109*F110,0)</f>
        <v>0</v>
      </c>
    </row>
    <row r="111" spans="1:8" ht="13.5" thickBot="1">
      <c r="A111" s="95"/>
      <c r="B111" s="805" t="s">
        <v>1049</v>
      </c>
      <c r="C111" s="806"/>
      <c r="D111" s="806"/>
      <c r="E111" s="806"/>
      <c r="F111" s="807"/>
      <c r="G111" s="118">
        <f>ROUND(G109+G110,-2)</f>
        <v>13700</v>
      </c>
      <c r="H111" s="505" t="s">
        <v>1670</v>
      </c>
    </row>
    <row r="112" spans="1:8" ht="13.5" thickTop="1">
      <c r="A112" s="95"/>
      <c r="B112" s="225" t="s">
        <v>303</v>
      </c>
      <c r="C112" s="843"/>
      <c r="D112" s="843"/>
      <c r="E112" s="843"/>
      <c r="F112" s="92" t="s">
        <v>781</v>
      </c>
      <c r="G112" s="93" t="s">
        <v>831</v>
      </c>
    </row>
    <row r="113" spans="1:7">
      <c r="A113" s="95"/>
      <c r="B113" s="226" t="s">
        <v>834</v>
      </c>
      <c r="C113" s="844" t="s">
        <v>355</v>
      </c>
      <c r="D113" s="844"/>
      <c r="E113" s="844"/>
      <c r="F113" s="15" t="s">
        <v>833</v>
      </c>
      <c r="G113" s="165" t="str">
        <f>'MANO DE OBRA'!D61</f>
        <v>Agosto de 2010</v>
      </c>
    </row>
    <row r="114" spans="1:7" ht="13.5" thickBot="1">
      <c r="A114" s="127"/>
      <c r="B114" s="228" t="s">
        <v>835</v>
      </c>
      <c r="C114" s="845" t="s">
        <v>357</v>
      </c>
      <c r="D114" s="845"/>
      <c r="E114" s="845"/>
      <c r="F114" s="845"/>
      <c r="G114" s="846"/>
    </row>
    <row r="115" spans="1:7" ht="14.25" thickTop="1" thickBot="1">
      <c r="A115" s="95"/>
      <c r="B115" s="847"/>
      <c r="C115" s="847"/>
      <c r="D115" s="847"/>
      <c r="E115" s="847"/>
      <c r="F115" s="847"/>
      <c r="G115" s="847"/>
    </row>
    <row r="116" spans="1:7" ht="13.5" thickTop="1">
      <c r="A116" s="95"/>
      <c r="B116" s="811" t="s">
        <v>304</v>
      </c>
      <c r="C116" s="812"/>
      <c r="D116" s="812"/>
      <c r="E116" s="812"/>
      <c r="F116" s="812"/>
      <c r="G116" s="825"/>
    </row>
    <row r="117" spans="1:7">
      <c r="A117" s="95"/>
      <c r="B117" s="229"/>
      <c r="C117" s="97"/>
      <c r="D117" s="98" t="s">
        <v>301</v>
      </c>
      <c r="E117" s="98" t="s">
        <v>1072</v>
      </c>
      <c r="F117" s="99" t="s">
        <v>839</v>
      </c>
      <c r="G117" s="107" t="s">
        <v>840</v>
      </c>
    </row>
    <row r="118" spans="1:7">
      <c r="A118" s="95"/>
      <c r="B118" s="821" t="s">
        <v>838</v>
      </c>
      <c r="C118" s="822"/>
      <c r="D118" s="100" t="s">
        <v>308</v>
      </c>
      <c r="E118" s="100" t="s">
        <v>305</v>
      </c>
      <c r="F118" s="101" t="s">
        <v>306</v>
      </c>
      <c r="G118" s="108" t="s">
        <v>310</v>
      </c>
    </row>
    <row r="119" spans="1:7">
      <c r="A119" s="95"/>
      <c r="B119" s="230"/>
      <c r="C119" s="102"/>
      <c r="D119" s="103"/>
      <c r="E119" s="103" t="s">
        <v>309</v>
      </c>
      <c r="F119" s="104" t="s">
        <v>307</v>
      </c>
      <c r="G119" s="109"/>
    </row>
    <row r="120" spans="1:7">
      <c r="A120" s="127"/>
      <c r="B120" s="823" t="str">
        <f>'MAQUINARIA Y EQUIPOS'!C28</f>
        <v>HERRAMIENTAS MENORES</v>
      </c>
      <c r="C120" s="824"/>
      <c r="D120" s="87">
        <v>1</v>
      </c>
      <c r="E120" s="82">
        <f>ROUND(G153*0.05,0)</f>
        <v>590</v>
      </c>
      <c r="F120" s="81">
        <v>1</v>
      </c>
      <c r="G120" s="110">
        <f>ROUND(D120*E120/F120,0)</f>
        <v>590</v>
      </c>
    </row>
    <row r="121" spans="1:7">
      <c r="A121" s="95"/>
      <c r="B121" s="835"/>
      <c r="C121" s="836"/>
      <c r="D121" s="37"/>
      <c r="E121" s="82"/>
      <c r="F121" s="83"/>
      <c r="G121" s="111"/>
    </row>
    <row r="122" spans="1:7">
      <c r="A122" s="95"/>
      <c r="B122" s="835"/>
      <c r="C122" s="836"/>
      <c r="D122" s="89"/>
      <c r="E122" s="82"/>
      <c r="F122" s="83"/>
      <c r="G122" s="111"/>
    </row>
    <row r="123" spans="1:7">
      <c r="A123" s="95"/>
      <c r="B123" s="835"/>
      <c r="C123" s="836"/>
      <c r="D123" s="89"/>
      <c r="E123" s="82"/>
      <c r="F123" s="83"/>
      <c r="G123" s="111"/>
    </row>
    <row r="124" spans="1:7">
      <c r="A124" s="95"/>
      <c r="B124" s="835" t="s">
        <v>841</v>
      </c>
      <c r="C124" s="836"/>
      <c r="D124" s="37"/>
      <c r="E124" s="82"/>
      <c r="F124" s="83"/>
      <c r="G124" s="111"/>
    </row>
    <row r="125" spans="1:7" ht="13.5" thickBot="1">
      <c r="A125" s="95"/>
      <c r="B125" s="839" t="s">
        <v>841</v>
      </c>
      <c r="C125" s="840"/>
      <c r="D125" s="77"/>
      <c r="E125" s="106"/>
      <c r="F125" s="86"/>
      <c r="G125" s="112"/>
    </row>
    <row r="126" spans="1:7" ht="14.25" thickTop="1" thickBot="1">
      <c r="A126" s="95"/>
      <c r="B126" s="808"/>
      <c r="C126" s="808"/>
      <c r="D126" s="808"/>
      <c r="E126" s="809"/>
      <c r="F126" s="119" t="s">
        <v>856</v>
      </c>
      <c r="G126" s="118">
        <f>SUM(G120:G125)</f>
        <v>590</v>
      </c>
    </row>
    <row r="127" spans="1:7" ht="14.25" thickTop="1" thickBot="1">
      <c r="A127" s="95"/>
      <c r="B127" s="830"/>
      <c r="C127" s="830"/>
      <c r="D127" s="830"/>
      <c r="E127" s="830"/>
      <c r="F127" s="830"/>
      <c r="G127" s="830"/>
    </row>
    <row r="128" spans="1:7" ht="13.5" thickTop="1">
      <c r="A128" s="95"/>
      <c r="B128" s="811" t="s">
        <v>311</v>
      </c>
      <c r="C128" s="812"/>
      <c r="D128" s="812"/>
      <c r="E128" s="812"/>
      <c r="F128" s="812"/>
      <c r="G128" s="825"/>
    </row>
    <row r="129" spans="1:8">
      <c r="A129" s="95"/>
      <c r="B129" s="817" t="s">
        <v>838</v>
      </c>
      <c r="C129" s="818"/>
      <c r="D129" s="98" t="s">
        <v>842</v>
      </c>
      <c r="E129" s="98" t="s">
        <v>853</v>
      </c>
      <c r="F129" s="99" t="s">
        <v>1047</v>
      </c>
      <c r="G129" s="107" t="s">
        <v>840</v>
      </c>
    </row>
    <row r="130" spans="1:8">
      <c r="A130" s="95"/>
      <c r="B130" s="230"/>
      <c r="C130" s="102"/>
      <c r="D130" s="100"/>
      <c r="E130" s="100" t="s">
        <v>312</v>
      </c>
      <c r="F130" s="101" t="s">
        <v>313</v>
      </c>
      <c r="G130" s="108" t="s">
        <v>314</v>
      </c>
    </row>
    <row r="131" spans="1:8" ht="14.25">
      <c r="A131" s="125"/>
      <c r="B131" s="841" t="str">
        <f>MATERIALES2!C49</f>
        <v>MORTERO 1:3 (MATERIALES)</v>
      </c>
      <c r="C131" s="842"/>
      <c r="D131" s="87" t="s">
        <v>1066</v>
      </c>
      <c r="E131" s="10">
        <v>2E-3</v>
      </c>
      <c r="F131" s="80">
        <f>MATERIALES2!E49</f>
        <v>365000</v>
      </c>
      <c r="G131" s="110">
        <f>ROUND(E131*F131,0)</f>
        <v>730</v>
      </c>
    </row>
    <row r="132" spans="1:8">
      <c r="A132" s="123"/>
      <c r="B132" s="854" t="str">
        <f>MATERIALES2!C562</f>
        <v>TUBO GRESS DE 4"</v>
      </c>
      <c r="C132" s="855"/>
      <c r="D132" s="88" t="s">
        <v>865</v>
      </c>
      <c r="E132" s="83">
        <v>1</v>
      </c>
      <c r="F132" s="82">
        <f>MATERIALES2!E562</f>
        <v>6254</v>
      </c>
      <c r="G132" s="111">
        <f>ROUND(E132*F132,0)</f>
        <v>6254</v>
      </c>
    </row>
    <row r="133" spans="1:8">
      <c r="A133" s="95"/>
      <c r="B133" s="835"/>
      <c r="C133" s="836"/>
      <c r="D133" s="37"/>
      <c r="E133" s="55"/>
      <c r="F133" s="82"/>
      <c r="G133" s="111"/>
    </row>
    <row r="134" spans="1:8">
      <c r="A134" s="95"/>
      <c r="B134" s="835"/>
      <c r="C134" s="836"/>
      <c r="D134" s="37"/>
      <c r="E134" s="55"/>
      <c r="F134" s="82"/>
      <c r="G134" s="111"/>
    </row>
    <row r="135" spans="1:8">
      <c r="A135" s="95"/>
      <c r="B135" s="837"/>
      <c r="C135" s="838"/>
      <c r="D135" s="37"/>
      <c r="E135" s="55"/>
      <c r="F135" s="82"/>
      <c r="G135" s="111"/>
    </row>
    <row r="136" spans="1:8">
      <c r="A136" s="95"/>
      <c r="B136" s="837"/>
      <c r="C136" s="838"/>
      <c r="D136" s="53" t="s">
        <v>841</v>
      </c>
      <c r="E136" s="53"/>
      <c r="F136" s="82"/>
      <c r="G136" s="111"/>
    </row>
    <row r="137" spans="1:8">
      <c r="A137" s="95"/>
      <c r="B137" s="837" t="s">
        <v>841</v>
      </c>
      <c r="C137" s="838"/>
      <c r="D137" s="53" t="s">
        <v>841</v>
      </c>
      <c r="E137" s="53"/>
      <c r="F137" s="82"/>
      <c r="G137" s="111"/>
    </row>
    <row r="138" spans="1:8">
      <c r="A138" s="95"/>
      <c r="B138" s="837" t="s">
        <v>841</v>
      </c>
      <c r="C138" s="838"/>
      <c r="D138" s="53" t="s">
        <v>841</v>
      </c>
      <c r="E138" s="53"/>
      <c r="F138" s="82"/>
      <c r="G138" s="111"/>
      <c r="H138" s="505" t="s">
        <v>1670</v>
      </c>
    </row>
    <row r="139" spans="1:8" ht="13.5" thickBot="1">
      <c r="A139" s="95"/>
      <c r="B139" s="839" t="s">
        <v>841</v>
      </c>
      <c r="C139" s="840"/>
      <c r="D139" s="84" t="s">
        <v>841</v>
      </c>
      <c r="E139" s="84"/>
      <c r="F139" s="85"/>
      <c r="G139" s="112"/>
    </row>
    <row r="140" spans="1:8" ht="13.5" thickTop="1">
      <c r="A140" s="95"/>
      <c r="B140" s="808"/>
      <c r="C140" s="809"/>
      <c r="D140" s="801" t="s">
        <v>856</v>
      </c>
      <c r="E140" s="802"/>
      <c r="F140" s="9"/>
      <c r="G140" s="113">
        <f>SUM(G131:G139)</f>
        <v>6984</v>
      </c>
    </row>
    <row r="141" spans="1:8">
      <c r="A141" s="95"/>
      <c r="B141" s="819"/>
      <c r="C141" s="820"/>
      <c r="D141" s="801" t="s">
        <v>857</v>
      </c>
      <c r="E141" s="802"/>
      <c r="F141" s="79">
        <f>'MANO DE OBRA'!D60</f>
        <v>0.05</v>
      </c>
      <c r="G141" s="113">
        <f>ROUND(G140*F141,0)</f>
        <v>349</v>
      </c>
    </row>
    <row r="142" spans="1:8" ht="13.5" thickBot="1">
      <c r="A142" s="95"/>
      <c r="B142" s="819"/>
      <c r="C142" s="820"/>
      <c r="D142" s="803" t="s">
        <v>320</v>
      </c>
      <c r="E142" s="804"/>
      <c r="F142" s="114"/>
      <c r="G142" s="118">
        <f>+G140+G141</f>
        <v>7333</v>
      </c>
    </row>
    <row r="143" spans="1:8" ht="14.25" thickTop="1" thickBot="1">
      <c r="A143" s="95"/>
      <c r="B143" s="830"/>
      <c r="C143" s="830"/>
      <c r="D143" s="830"/>
      <c r="E143" s="830"/>
      <c r="F143" s="830"/>
      <c r="G143" s="830"/>
    </row>
    <row r="144" spans="1:8" ht="13.5" thickTop="1">
      <c r="A144" s="95"/>
      <c r="B144" s="811" t="s">
        <v>858</v>
      </c>
      <c r="C144" s="812"/>
      <c r="D144" s="812"/>
      <c r="E144" s="812"/>
      <c r="F144" s="812"/>
      <c r="G144" s="825"/>
    </row>
    <row r="145" spans="1:7">
      <c r="A145" s="95"/>
      <c r="B145" s="817"/>
      <c r="C145" s="818"/>
      <c r="D145" s="98" t="s">
        <v>301</v>
      </c>
      <c r="E145" s="98" t="s">
        <v>859</v>
      </c>
      <c r="F145" s="99" t="s">
        <v>839</v>
      </c>
      <c r="G145" s="107" t="s">
        <v>840</v>
      </c>
    </row>
    <row r="146" spans="1:7">
      <c r="A146" s="95"/>
      <c r="B146" s="821" t="s">
        <v>838</v>
      </c>
      <c r="C146" s="822"/>
      <c r="D146" s="100" t="s">
        <v>316</v>
      </c>
      <c r="E146" s="100" t="s">
        <v>315</v>
      </c>
      <c r="F146" s="101" t="s">
        <v>306</v>
      </c>
      <c r="G146" s="108" t="s">
        <v>319</v>
      </c>
    </row>
    <row r="147" spans="1:7">
      <c r="A147" s="95"/>
      <c r="B147" s="230"/>
      <c r="C147" s="102"/>
      <c r="D147" s="103"/>
      <c r="E147" s="103" t="s">
        <v>317</v>
      </c>
      <c r="F147" s="104" t="s">
        <v>318</v>
      </c>
      <c r="G147" s="109"/>
    </row>
    <row r="148" spans="1:7">
      <c r="A148" s="95"/>
      <c r="B148" s="823" t="str">
        <f>'MANO DE OBRA'!B10</f>
        <v>AYUDANTE CUAD. TIPO AA</v>
      </c>
      <c r="C148" s="824"/>
      <c r="D148" s="87">
        <v>1</v>
      </c>
      <c r="E148" s="80">
        <f>'MANO DE OBRA'!E10</f>
        <v>34680</v>
      </c>
      <c r="F148" s="81">
        <v>9</v>
      </c>
      <c r="G148" s="110">
        <f>ROUND(D148*E148/F148,0)</f>
        <v>3853</v>
      </c>
    </row>
    <row r="149" spans="1:7">
      <c r="A149" s="95"/>
      <c r="B149" s="835" t="str">
        <f>'MANO DE OBRA'!B15</f>
        <v xml:space="preserve">OFICIAL CUAD. TIPO AA </v>
      </c>
      <c r="C149" s="836"/>
      <c r="D149" s="37">
        <v>1</v>
      </c>
      <c r="E149" s="82">
        <f>'MANO DE OBRA'!E15</f>
        <v>71474</v>
      </c>
      <c r="F149" s="83">
        <v>9</v>
      </c>
      <c r="G149" s="111">
        <f>ROUND(D149*E149/F149,0)</f>
        <v>7942</v>
      </c>
    </row>
    <row r="150" spans="1:7">
      <c r="A150" s="95"/>
      <c r="B150" s="835"/>
      <c r="C150" s="836"/>
      <c r="D150" s="89"/>
      <c r="E150" s="82"/>
      <c r="F150" s="83"/>
      <c r="G150" s="111"/>
    </row>
    <row r="151" spans="1:7">
      <c r="A151" s="95"/>
      <c r="B151" s="835" t="s">
        <v>841</v>
      </c>
      <c r="C151" s="836"/>
      <c r="D151" s="37"/>
      <c r="E151" s="82"/>
      <c r="F151" s="83"/>
      <c r="G151" s="111"/>
    </row>
    <row r="152" spans="1:7" ht="13.5" thickBot="1">
      <c r="A152" s="95"/>
      <c r="B152" s="828" t="s">
        <v>841</v>
      </c>
      <c r="C152" s="829"/>
      <c r="D152" s="77"/>
      <c r="E152" s="82"/>
      <c r="F152" s="86"/>
      <c r="G152" s="112"/>
    </row>
    <row r="153" spans="1:7" ht="14.25" thickTop="1" thickBot="1">
      <c r="A153" s="95"/>
      <c r="B153" s="808"/>
      <c r="C153" s="808"/>
      <c r="D153" s="808"/>
      <c r="E153" s="809"/>
      <c r="F153" s="120" t="s">
        <v>856</v>
      </c>
      <c r="G153" s="118">
        <f>SUM(G148:G152)</f>
        <v>11795</v>
      </c>
    </row>
    <row r="154" spans="1:7" ht="14.25" thickTop="1" thickBot="1">
      <c r="A154" s="95"/>
      <c r="B154" s="810"/>
      <c r="C154" s="810"/>
      <c r="D154" s="810"/>
      <c r="E154" s="810"/>
      <c r="F154" s="810"/>
      <c r="G154" s="810"/>
    </row>
    <row r="155" spans="1:7" ht="13.5" thickTop="1">
      <c r="A155" s="95"/>
      <c r="B155" s="811" t="s">
        <v>321</v>
      </c>
      <c r="C155" s="812"/>
      <c r="D155" s="812"/>
      <c r="E155" s="812"/>
      <c r="F155" s="812"/>
      <c r="G155" s="825"/>
    </row>
    <row r="156" spans="1:7">
      <c r="A156" s="95"/>
      <c r="B156" s="817" t="s">
        <v>838</v>
      </c>
      <c r="C156" s="818"/>
      <c r="D156" s="98" t="s">
        <v>301</v>
      </c>
      <c r="E156" s="98" t="s">
        <v>297</v>
      </c>
      <c r="F156" s="99" t="s">
        <v>839</v>
      </c>
      <c r="G156" s="107" t="s">
        <v>840</v>
      </c>
    </row>
    <row r="157" spans="1:7">
      <c r="A157" s="95"/>
      <c r="B157" s="230"/>
      <c r="C157" s="102"/>
      <c r="D157" s="103" t="s">
        <v>322</v>
      </c>
      <c r="E157" s="103" t="s">
        <v>323</v>
      </c>
      <c r="F157" s="104" t="s">
        <v>324</v>
      </c>
      <c r="G157" s="109" t="s">
        <v>325</v>
      </c>
    </row>
    <row r="158" spans="1:7">
      <c r="A158" s="95"/>
      <c r="B158" s="826"/>
      <c r="C158" s="827"/>
      <c r="D158" s="96"/>
      <c r="E158" s="96"/>
      <c r="F158" s="96"/>
      <c r="G158" s="116"/>
    </row>
    <row r="159" spans="1:7" ht="13.5" thickBot="1">
      <c r="A159" s="95"/>
      <c r="B159" s="828" t="s">
        <v>841</v>
      </c>
      <c r="C159" s="829"/>
      <c r="D159" s="77"/>
      <c r="E159" s="82"/>
      <c r="F159" s="86"/>
      <c r="G159" s="112"/>
    </row>
    <row r="160" spans="1:7" ht="14.25" thickTop="1" thickBot="1">
      <c r="A160" s="95"/>
      <c r="B160" s="808"/>
      <c r="C160" s="808"/>
      <c r="D160" s="808"/>
      <c r="E160" s="809"/>
      <c r="F160" s="120" t="s">
        <v>856</v>
      </c>
      <c r="G160" s="118">
        <f>SUM(G155:G159)</f>
        <v>0</v>
      </c>
    </row>
    <row r="161" spans="1:8" ht="14.25" thickTop="1" thickBot="1">
      <c r="A161" s="95"/>
      <c r="B161" s="810"/>
      <c r="C161" s="810"/>
      <c r="D161" s="810"/>
      <c r="E161" s="810"/>
      <c r="F161" s="810"/>
      <c r="G161" s="834"/>
    </row>
    <row r="162" spans="1:8" ht="13.5" thickTop="1">
      <c r="A162" s="95"/>
      <c r="B162" s="811" t="s">
        <v>326</v>
      </c>
      <c r="C162" s="812"/>
      <c r="D162" s="812"/>
      <c r="E162" s="812"/>
      <c r="F162" s="813"/>
      <c r="G162" s="121">
        <f>+G126+G142+G153</f>
        <v>19718</v>
      </c>
    </row>
    <row r="163" spans="1:8">
      <c r="A163" s="95"/>
      <c r="B163" s="814" t="s">
        <v>861</v>
      </c>
      <c r="C163" s="815"/>
      <c r="D163" s="815"/>
      <c r="E163" s="816"/>
      <c r="F163" s="128">
        <f>'MANO DE OBRA'!D59</f>
        <v>0</v>
      </c>
      <c r="G163" s="122">
        <f>ROUND(G162*F163,0)</f>
        <v>0</v>
      </c>
    </row>
    <row r="164" spans="1:8" ht="13.5" thickBot="1">
      <c r="A164" s="95"/>
      <c r="B164" s="805" t="s">
        <v>1049</v>
      </c>
      <c r="C164" s="806"/>
      <c r="D164" s="806"/>
      <c r="E164" s="806"/>
      <c r="F164" s="807"/>
      <c r="G164" s="118">
        <f>ROUND(G162+G163,-2)</f>
        <v>19700</v>
      </c>
      <c r="H164" s="505" t="s">
        <v>1670</v>
      </c>
    </row>
    <row r="165" spans="1:8" ht="13.5" thickTop="1">
      <c r="A165" s="95"/>
      <c r="B165" s="225" t="s">
        <v>303</v>
      </c>
      <c r="C165" s="843"/>
      <c r="D165" s="843"/>
      <c r="E165" s="843"/>
      <c r="F165" s="92" t="s">
        <v>781</v>
      </c>
      <c r="G165" s="93" t="s">
        <v>865</v>
      </c>
    </row>
    <row r="166" spans="1:8">
      <c r="A166" s="95"/>
      <c r="B166" s="226" t="s">
        <v>834</v>
      </c>
      <c r="C166" s="844" t="s">
        <v>355</v>
      </c>
      <c r="D166" s="844"/>
      <c r="E166" s="844"/>
      <c r="F166" s="15" t="s">
        <v>833</v>
      </c>
      <c r="G166" s="165" t="str">
        <f>'MANO DE OBRA'!D61</f>
        <v>Agosto de 2010</v>
      </c>
    </row>
    <row r="167" spans="1:8" ht="13.5" thickBot="1">
      <c r="A167" s="127"/>
      <c r="B167" s="228" t="s">
        <v>835</v>
      </c>
      <c r="C167" s="845" t="s">
        <v>359</v>
      </c>
      <c r="D167" s="845"/>
      <c r="E167" s="845"/>
      <c r="F167" s="845"/>
      <c r="G167" s="846"/>
    </row>
    <row r="168" spans="1:8" ht="14.25" thickTop="1" thickBot="1">
      <c r="A168" s="95"/>
      <c r="B168" s="847"/>
      <c r="C168" s="847"/>
      <c r="D168" s="847"/>
      <c r="E168" s="847"/>
      <c r="F168" s="847"/>
      <c r="G168" s="847"/>
    </row>
    <row r="169" spans="1:8" ht="13.5" thickTop="1">
      <c r="A169" s="95"/>
      <c r="B169" s="811" t="s">
        <v>304</v>
      </c>
      <c r="C169" s="812"/>
      <c r="D169" s="812"/>
      <c r="E169" s="812"/>
      <c r="F169" s="812"/>
      <c r="G169" s="825"/>
    </row>
    <row r="170" spans="1:8">
      <c r="A170" s="95"/>
      <c r="B170" s="229"/>
      <c r="C170" s="97"/>
      <c r="D170" s="98" t="s">
        <v>301</v>
      </c>
      <c r="E170" s="98" t="s">
        <v>1072</v>
      </c>
      <c r="F170" s="99" t="s">
        <v>839</v>
      </c>
      <c r="G170" s="107" t="s">
        <v>840</v>
      </c>
    </row>
    <row r="171" spans="1:8">
      <c r="A171" s="95"/>
      <c r="B171" s="821" t="s">
        <v>838</v>
      </c>
      <c r="C171" s="822"/>
      <c r="D171" s="100" t="s">
        <v>308</v>
      </c>
      <c r="E171" s="100" t="s">
        <v>305</v>
      </c>
      <c r="F171" s="101" t="s">
        <v>306</v>
      </c>
      <c r="G171" s="108" t="s">
        <v>310</v>
      </c>
    </row>
    <row r="172" spans="1:8">
      <c r="A172" s="95"/>
      <c r="B172" s="230"/>
      <c r="C172" s="102"/>
      <c r="D172" s="103"/>
      <c r="E172" s="103" t="s">
        <v>309</v>
      </c>
      <c r="F172" s="104" t="s">
        <v>307</v>
      </c>
      <c r="G172" s="109"/>
    </row>
    <row r="173" spans="1:8">
      <c r="A173" s="127"/>
      <c r="B173" s="823" t="str">
        <f>'MAQUINARIA Y EQUIPOS'!C28</f>
        <v>HERRAMIENTAS MENORES</v>
      </c>
      <c r="C173" s="824"/>
      <c r="D173" s="87">
        <v>1</v>
      </c>
      <c r="E173" s="82">
        <f>ROUND(G206*0.05,0)</f>
        <v>398</v>
      </c>
      <c r="F173" s="81">
        <v>1</v>
      </c>
      <c r="G173" s="110">
        <f>ROUND(D173*E173/F173,0)</f>
        <v>398</v>
      </c>
    </row>
    <row r="174" spans="1:8">
      <c r="A174" s="95"/>
      <c r="B174" s="835"/>
      <c r="C174" s="836"/>
      <c r="D174" s="37"/>
      <c r="E174" s="82"/>
      <c r="F174" s="83"/>
      <c r="G174" s="111"/>
    </row>
    <row r="175" spans="1:8">
      <c r="A175" s="95"/>
      <c r="B175" s="835"/>
      <c r="C175" s="836"/>
      <c r="D175" s="89"/>
      <c r="E175" s="82"/>
      <c r="F175" s="83"/>
      <c r="G175" s="111"/>
    </row>
    <row r="176" spans="1:8">
      <c r="A176" s="95"/>
      <c r="B176" s="835"/>
      <c r="C176" s="836"/>
      <c r="D176" s="89"/>
      <c r="E176" s="82"/>
      <c r="F176" s="83"/>
      <c r="G176" s="111"/>
    </row>
    <row r="177" spans="1:8">
      <c r="A177" s="95"/>
      <c r="B177" s="835" t="s">
        <v>841</v>
      </c>
      <c r="C177" s="836"/>
      <c r="D177" s="37"/>
      <c r="E177" s="82"/>
      <c r="F177" s="83"/>
      <c r="G177" s="111"/>
    </row>
    <row r="178" spans="1:8" ht="13.5" thickBot="1">
      <c r="A178" s="95"/>
      <c r="B178" s="839" t="s">
        <v>841</v>
      </c>
      <c r="C178" s="840"/>
      <c r="D178" s="77"/>
      <c r="E178" s="106"/>
      <c r="F178" s="86"/>
      <c r="G178" s="112"/>
    </row>
    <row r="179" spans="1:8" ht="14.25" thickTop="1" thickBot="1">
      <c r="A179" s="95"/>
      <c r="B179" s="808"/>
      <c r="C179" s="808"/>
      <c r="D179" s="808"/>
      <c r="E179" s="809"/>
      <c r="F179" s="119" t="s">
        <v>856</v>
      </c>
      <c r="G179" s="118">
        <f>SUM(G173:G178)</f>
        <v>398</v>
      </c>
    </row>
    <row r="180" spans="1:8" ht="14.25" thickTop="1" thickBot="1">
      <c r="A180" s="95"/>
      <c r="B180" s="830"/>
      <c r="C180" s="830"/>
      <c r="D180" s="830"/>
      <c r="E180" s="830"/>
      <c r="F180" s="830"/>
      <c r="G180" s="830"/>
    </row>
    <row r="181" spans="1:8" ht="13.5" thickTop="1">
      <c r="A181" s="95"/>
      <c r="B181" s="811" t="s">
        <v>311</v>
      </c>
      <c r="C181" s="812"/>
      <c r="D181" s="812"/>
      <c r="E181" s="812"/>
      <c r="F181" s="812"/>
      <c r="G181" s="825"/>
    </row>
    <row r="182" spans="1:8">
      <c r="A182" s="95"/>
      <c r="B182" s="817" t="s">
        <v>838</v>
      </c>
      <c r="C182" s="818"/>
      <c r="D182" s="98" t="s">
        <v>842</v>
      </c>
      <c r="E182" s="98" t="s">
        <v>853</v>
      </c>
      <c r="F182" s="99" t="s">
        <v>1047</v>
      </c>
      <c r="G182" s="107" t="s">
        <v>840</v>
      </c>
    </row>
    <row r="183" spans="1:8">
      <c r="A183" s="95"/>
      <c r="B183" s="230"/>
      <c r="C183" s="102"/>
      <c r="D183" s="100"/>
      <c r="E183" s="100" t="s">
        <v>312</v>
      </c>
      <c r="F183" s="101" t="s">
        <v>313</v>
      </c>
      <c r="G183" s="108" t="s">
        <v>314</v>
      </c>
    </row>
    <row r="184" spans="1:8" ht="14.25">
      <c r="A184" s="125"/>
      <c r="B184" s="841" t="str">
        <f>MATERIALES2!C49</f>
        <v>MORTERO 1:3 (MATERIALES)</v>
      </c>
      <c r="C184" s="842"/>
      <c r="D184" s="87" t="s">
        <v>1066</v>
      </c>
      <c r="E184" s="10">
        <v>2E-3</v>
      </c>
      <c r="F184" s="80">
        <f>MATERIALES2!E49</f>
        <v>365000</v>
      </c>
      <c r="G184" s="110">
        <f>ROUND(E184*F184,0)</f>
        <v>730</v>
      </c>
    </row>
    <row r="185" spans="1:8">
      <c r="A185" s="123"/>
      <c r="B185" s="854" t="str">
        <f>MATERIALES2!C563</f>
        <v>ACCESORIO GRES DE 4"</v>
      </c>
      <c r="C185" s="855"/>
      <c r="D185" s="88" t="s">
        <v>865</v>
      </c>
      <c r="E185" s="83">
        <v>1</v>
      </c>
      <c r="F185" s="82">
        <f>MATERIALES2!E563</f>
        <v>5773</v>
      </c>
      <c r="G185" s="111">
        <f>ROUND(E185*F185,0)</f>
        <v>5773</v>
      </c>
    </row>
    <row r="186" spans="1:8">
      <c r="A186" s="95"/>
      <c r="B186" s="835"/>
      <c r="C186" s="836"/>
      <c r="D186" s="37"/>
      <c r="E186" s="55"/>
      <c r="F186" s="82"/>
      <c r="G186" s="111"/>
    </row>
    <row r="187" spans="1:8">
      <c r="A187" s="95"/>
      <c r="B187" s="835"/>
      <c r="C187" s="836"/>
      <c r="D187" s="37"/>
      <c r="E187" s="55"/>
      <c r="F187" s="82"/>
      <c r="G187" s="111"/>
    </row>
    <row r="188" spans="1:8">
      <c r="A188" s="95"/>
      <c r="B188" s="837"/>
      <c r="C188" s="838"/>
      <c r="D188" s="37"/>
      <c r="E188" s="55"/>
      <c r="F188" s="82"/>
      <c r="G188" s="111"/>
    </row>
    <row r="189" spans="1:8">
      <c r="A189" s="95"/>
      <c r="B189" s="837"/>
      <c r="C189" s="838"/>
      <c r="D189" s="53" t="s">
        <v>841</v>
      </c>
      <c r="E189" s="53"/>
      <c r="F189" s="82"/>
      <c r="G189" s="111"/>
    </row>
    <row r="190" spans="1:8">
      <c r="A190" s="95"/>
      <c r="B190" s="837" t="s">
        <v>841</v>
      </c>
      <c r="C190" s="838"/>
      <c r="D190" s="53" t="s">
        <v>841</v>
      </c>
      <c r="E190" s="53"/>
      <c r="F190" s="82"/>
      <c r="G190" s="111"/>
    </row>
    <row r="191" spans="1:8">
      <c r="A191" s="95"/>
      <c r="B191" s="837" t="s">
        <v>841</v>
      </c>
      <c r="C191" s="838"/>
      <c r="D191" s="53" t="s">
        <v>841</v>
      </c>
      <c r="E191" s="53"/>
      <c r="F191" s="82"/>
      <c r="G191" s="111"/>
      <c r="H191" s="505" t="s">
        <v>1670</v>
      </c>
    </row>
    <row r="192" spans="1:8" ht="13.5" thickBot="1">
      <c r="A192" s="95"/>
      <c r="B192" s="839" t="s">
        <v>841</v>
      </c>
      <c r="C192" s="840"/>
      <c r="D192" s="84" t="s">
        <v>841</v>
      </c>
      <c r="E192" s="84"/>
      <c r="F192" s="85"/>
      <c r="G192" s="112"/>
    </row>
    <row r="193" spans="1:7" ht="13.5" thickTop="1">
      <c r="A193" s="95"/>
      <c r="B193" s="808"/>
      <c r="C193" s="809"/>
      <c r="D193" s="801" t="s">
        <v>856</v>
      </c>
      <c r="E193" s="802"/>
      <c r="F193" s="9"/>
      <c r="G193" s="113">
        <f>SUM(G184:G192)</f>
        <v>6503</v>
      </c>
    </row>
    <row r="194" spans="1:7">
      <c r="A194" s="95"/>
      <c r="B194" s="819"/>
      <c r="C194" s="820"/>
      <c r="D194" s="801" t="s">
        <v>857</v>
      </c>
      <c r="E194" s="802"/>
      <c r="F194" s="79">
        <f>'MANO DE OBRA'!D60</f>
        <v>0.05</v>
      </c>
      <c r="G194" s="113">
        <f>ROUND(G193*F194,0)</f>
        <v>325</v>
      </c>
    </row>
    <row r="195" spans="1:7" ht="13.5" thickBot="1">
      <c r="A195" s="95"/>
      <c r="B195" s="819"/>
      <c r="C195" s="820"/>
      <c r="D195" s="803" t="s">
        <v>320</v>
      </c>
      <c r="E195" s="804"/>
      <c r="F195" s="114"/>
      <c r="G195" s="118">
        <f>+G193+G194</f>
        <v>6828</v>
      </c>
    </row>
    <row r="196" spans="1:7" ht="14.25" thickTop="1" thickBot="1">
      <c r="A196" s="95"/>
      <c r="B196" s="830"/>
      <c r="C196" s="830"/>
      <c r="D196" s="830"/>
      <c r="E196" s="830"/>
      <c r="F196" s="830"/>
      <c r="G196" s="830"/>
    </row>
    <row r="197" spans="1:7" ht="13.5" thickTop="1">
      <c r="A197" s="95"/>
      <c r="B197" s="811" t="s">
        <v>858</v>
      </c>
      <c r="C197" s="812"/>
      <c r="D197" s="812"/>
      <c r="E197" s="812"/>
      <c r="F197" s="812"/>
      <c r="G197" s="825"/>
    </row>
    <row r="198" spans="1:7">
      <c r="A198" s="95"/>
      <c r="B198" s="817"/>
      <c r="C198" s="818"/>
      <c r="D198" s="98" t="s">
        <v>301</v>
      </c>
      <c r="E198" s="98" t="s">
        <v>859</v>
      </c>
      <c r="F198" s="99" t="s">
        <v>839</v>
      </c>
      <c r="G198" s="107" t="s">
        <v>840</v>
      </c>
    </row>
    <row r="199" spans="1:7">
      <c r="A199" s="95"/>
      <c r="B199" s="821" t="s">
        <v>838</v>
      </c>
      <c r="C199" s="822"/>
      <c r="D199" s="100" t="s">
        <v>316</v>
      </c>
      <c r="E199" s="100" t="s">
        <v>315</v>
      </c>
      <c r="F199" s="101" t="s">
        <v>306</v>
      </c>
      <c r="G199" s="108" t="s">
        <v>319</v>
      </c>
    </row>
    <row r="200" spans="1:7">
      <c r="A200" s="95"/>
      <c r="B200" s="230"/>
      <c r="C200" s="102"/>
      <c r="D200" s="103"/>
      <c r="E200" s="103" t="s">
        <v>317</v>
      </c>
      <c r="F200" s="104" t="s">
        <v>318</v>
      </c>
      <c r="G200" s="109"/>
    </row>
    <row r="201" spans="1:7">
      <c r="A201" s="95"/>
      <c r="B201" s="823" t="str">
        <f>'MANO DE OBRA'!B10</f>
        <v>AYUDANTE CUAD. TIPO AA</v>
      </c>
      <c r="C201" s="824"/>
      <c r="D201" s="87">
        <v>1</v>
      </c>
      <c r="E201" s="80">
        <f>'MANO DE OBRA'!E10</f>
        <v>34680</v>
      </c>
      <c r="F201" s="81">
        <v>13.33</v>
      </c>
      <c r="G201" s="110">
        <f>ROUND(D201*E201/F201,0)</f>
        <v>2602</v>
      </c>
    </row>
    <row r="202" spans="1:7">
      <c r="A202" s="95"/>
      <c r="B202" s="835" t="str">
        <f>'MANO DE OBRA'!B15</f>
        <v xml:space="preserve">OFICIAL CUAD. TIPO AA </v>
      </c>
      <c r="C202" s="836"/>
      <c r="D202" s="37">
        <v>1</v>
      </c>
      <c r="E202" s="82">
        <f>'MANO DE OBRA'!E15</f>
        <v>71474</v>
      </c>
      <c r="F202" s="83">
        <v>13.33</v>
      </c>
      <c r="G202" s="111">
        <f>ROUND(D202*E202/F202,0)</f>
        <v>5362</v>
      </c>
    </row>
    <row r="203" spans="1:7">
      <c r="A203" s="95"/>
      <c r="B203" s="835"/>
      <c r="C203" s="836"/>
      <c r="D203" s="89"/>
      <c r="E203" s="82"/>
      <c r="F203" s="83"/>
      <c r="G203" s="111"/>
    </row>
    <row r="204" spans="1:7">
      <c r="A204" s="95"/>
      <c r="B204" s="835" t="s">
        <v>841</v>
      </c>
      <c r="C204" s="836"/>
      <c r="D204" s="37"/>
      <c r="E204" s="82"/>
      <c r="F204" s="83"/>
      <c r="G204" s="111"/>
    </row>
    <row r="205" spans="1:7" ht="13.5" thickBot="1">
      <c r="A205" s="95"/>
      <c r="B205" s="828" t="s">
        <v>841</v>
      </c>
      <c r="C205" s="829"/>
      <c r="D205" s="77"/>
      <c r="E205" s="82"/>
      <c r="F205" s="86"/>
      <c r="G205" s="112"/>
    </row>
    <row r="206" spans="1:7" ht="14.25" thickTop="1" thickBot="1">
      <c r="A206" s="95"/>
      <c r="B206" s="808"/>
      <c r="C206" s="808"/>
      <c r="D206" s="808"/>
      <c r="E206" s="809"/>
      <c r="F206" s="120" t="s">
        <v>856</v>
      </c>
      <c r="G206" s="118">
        <f>SUM(G201:G205)</f>
        <v>7964</v>
      </c>
    </row>
    <row r="207" spans="1:7" ht="14.25" thickTop="1" thickBot="1">
      <c r="A207" s="95"/>
      <c r="B207" s="810"/>
      <c r="C207" s="810"/>
      <c r="D207" s="810"/>
      <c r="E207" s="810"/>
      <c r="F207" s="810"/>
      <c r="G207" s="810"/>
    </row>
    <row r="208" spans="1:7" ht="13.5" thickTop="1">
      <c r="A208" s="95"/>
      <c r="B208" s="811" t="s">
        <v>321</v>
      </c>
      <c r="C208" s="812"/>
      <c r="D208" s="812"/>
      <c r="E208" s="812"/>
      <c r="F208" s="812"/>
      <c r="G208" s="825"/>
    </row>
    <row r="209" spans="1:8">
      <c r="A209" s="95"/>
      <c r="B209" s="817" t="s">
        <v>838</v>
      </c>
      <c r="C209" s="818"/>
      <c r="D209" s="98" t="s">
        <v>301</v>
      </c>
      <c r="E209" s="98" t="s">
        <v>297</v>
      </c>
      <c r="F209" s="99" t="s">
        <v>839</v>
      </c>
      <c r="G209" s="107" t="s">
        <v>840</v>
      </c>
    </row>
    <row r="210" spans="1:8">
      <c r="A210" s="95"/>
      <c r="B210" s="230"/>
      <c r="C210" s="102"/>
      <c r="D210" s="103" t="s">
        <v>322</v>
      </c>
      <c r="E210" s="103" t="s">
        <v>323</v>
      </c>
      <c r="F210" s="104" t="s">
        <v>324</v>
      </c>
      <c r="G210" s="109" t="s">
        <v>325</v>
      </c>
    </row>
    <row r="211" spans="1:8">
      <c r="A211" s="95"/>
      <c r="B211" s="826"/>
      <c r="C211" s="827"/>
      <c r="D211" s="96"/>
      <c r="E211" s="96"/>
      <c r="F211" s="96"/>
      <c r="G211" s="116"/>
    </row>
    <row r="212" spans="1:8" ht="13.5" thickBot="1">
      <c r="A212" s="95"/>
      <c r="B212" s="828" t="s">
        <v>841</v>
      </c>
      <c r="C212" s="829"/>
      <c r="D212" s="77"/>
      <c r="E212" s="82"/>
      <c r="F212" s="86"/>
      <c r="G212" s="112"/>
    </row>
    <row r="213" spans="1:8" ht="14.25" thickTop="1" thickBot="1">
      <c r="A213" s="95"/>
      <c r="B213" s="808"/>
      <c r="C213" s="808"/>
      <c r="D213" s="808"/>
      <c r="E213" s="809"/>
      <c r="F213" s="120" t="s">
        <v>856</v>
      </c>
      <c r="G213" s="118">
        <f>SUM(G208:G212)</f>
        <v>0</v>
      </c>
    </row>
    <row r="214" spans="1:8" ht="14.25" thickTop="1" thickBot="1">
      <c r="A214" s="95"/>
      <c r="B214" s="810"/>
      <c r="C214" s="810"/>
      <c r="D214" s="810"/>
      <c r="E214" s="810"/>
      <c r="F214" s="810"/>
      <c r="G214" s="834"/>
    </row>
    <row r="215" spans="1:8" ht="13.5" thickTop="1">
      <c r="A215" s="95"/>
      <c r="B215" s="811" t="s">
        <v>326</v>
      </c>
      <c r="C215" s="812"/>
      <c r="D215" s="812"/>
      <c r="E215" s="812"/>
      <c r="F215" s="813"/>
      <c r="G215" s="121">
        <f>+G179+G195+G206</f>
        <v>15190</v>
      </c>
    </row>
    <row r="216" spans="1:8">
      <c r="A216" s="95"/>
      <c r="B216" s="814" t="s">
        <v>861</v>
      </c>
      <c r="C216" s="815"/>
      <c r="D216" s="815"/>
      <c r="E216" s="816"/>
      <c r="F216" s="128">
        <f>'MANO DE OBRA'!D59</f>
        <v>0</v>
      </c>
      <c r="G216" s="122">
        <f>ROUND(G215*F216,0)</f>
        <v>0</v>
      </c>
    </row>
    <row r="217" spans="1:8" ht="13.5" thickBot="1">
      <c r="A217" s="95"/>
      <c r="B217" s="805" t="s">
        <v>1049</v>
      </c>
      <c r="C217" s="806"/>
      <c r="D217" s="806"/>
      <c r="E217" s="806"/>
      <c r="F217" s="807"/>
      <c r="G217" s="118">
        <f>ROUND(G215+G216,-2)</f>
        <v>15200</v>
      </c>
      <c r="H217" s="505" t="s">
        <v>1670</v>
      </c>
    </row>
    <row r="218" spans="1:8" ht="13.5" thickTop="1">
      <c r="A218" s="95"/>
      <c r="B218" s="225" t="s">
        <v>303</v>
      </c>
      <c r="C218" s="843"/>
      <c r="D218" s="843"/>
      <c r="E218" s="843"/>
      <c r="F218" s="92" t="s">
        <v>781</v>
      </c>
      <c r="G218" s="93" t="s">
        <v>831</v>
      </c>
    </row>
    <row r="219" spans="1:8">
      <c r="A219" s="95"/>
      <c r="B219" s="226" t="s">
        <v>834</v>
      </c>
      <c r="C219" s="844" t="s">
        <v>355</v>
      </c>
      <c r="D219" s="844"/>
      <c r="E219" s="844"/>
      <c r="F219" s="15" t="s">
        <v>833</v>
      </c>
      <c r="G219" s="165" t="str">
        <f>'MANO DE OBRA'!D61</f>
        <v>Agosto de 2010</v>
      </c>
    </row>
    <row r="220" spans="1:8" ht="13.5" thickBot="1">
      <c r="A220" s="127"/>
      <c r="B220" s="228" t="s">
        <v>835</v>
      </c>
      <c r="C220" s="845" t="s">
        <v>360</v>
      </c>
      <c r="D220" s="845"/>
      <c r="E220" s="845"/>
      <c r="F220" s="845"/>
      <c r="G220" s="846"/>
    </row>
    <row r="221" spans="1:8" ht="14.25" thickTop="1" thickBot="1">
      <c r="A221" s="95"/>
      <c r="B221" s="847"/>
      <c r="C221" s="847"/>
      <c r="D221" s="847"/>
      <c r="E221" s="847"/>
      <c r="F221" s="847"/>
      <c r="G221" s="847"/>
    </row>
    <row r="222" spans="1:8" ht="13.5" thickTop="1">
      <c r="A222" s="95"/>
      <c r="B222" s="811" t="s">
        <v>304</v>
      </c>
      <c r="C222" s="812"/>
      <c r="D222" s="812"/>
      <c r="E222" s="812"/>
      <c r="F222" s="812"/>
      <c r="G222" s="825"/>
    </row>
    <row r="223" spans="1:8">
      <c r="A223" s="95"/>
      <c r="B223" s="229"/>
      <c r="C223" s="97"/>
      <c r="D223" s="98" t="s">
        <v>301</v>
      </c>
      <c r="E223" s="98" t="s">
        <v>1072</v>
      </c>
      <c r="F223" s="99" t="s">
        <v>839</v>
      </c>
      <c r="G223" s="107" t="s">
        <v>840</v>
      </c>
    </row>
    <row r="224" spans="1:8">
      <c r="A224" s="95"/>
      <c r="B224" s="821" t="s">
        <v>838</v>
      </c>
      <c r="C224" s="822"/>
      <c r="D224" s="100" t="s">
        <v>308</v>
      </c>
      <c r="E224" s="100" t="s">
        <v>305</v>
      </c>
      <c r="F224" s="101" t="s">
        <v>306</v>
      </c>
      <c r="G224" s="108" t="s">
        <v>310</v>
      </c>
    </row>
    <row r="225" spans="1:7">
      <c r="A225" s="95"/>
      <c r="B225" s="230"/>
      <c r="C225" s="102"/>
      <c r="D225" s="103"/>
      <c r="E225" s="103" t="s">
        <v>309</v>
      </c>
      <c r="F225" s="104" t="s">
        <v>307</v>
      </c>
      <c r="G225" s="109"/>
    </row>
    <row r="226" spans="1:7">
      <c r="A226" s="127"/>
      <c r="B226" s="823" t="str">
        <f>'MAQUINARIA Y EQUIPOS'!C28</f>
        <v>HERRAMIENTAS MENORES</v>
      </c>
      <c r="C226" s="824"/>
      <c r="D226" s="87">
        <v>1</v>
      </c>
      <c r="E226" s="82">
        <f>ROUND(G259*0.05,0)</f>
        <v>758</v>
      </c>
      <c r="F226" s="81">
        <v>1</v>
      </c>
      <c r="G226" s="110">
        <f>ROUND(D226*E226/F226,0)</f>
        <v>758</v>
      </c>
    </row>
    <row r="227" spans="1:7">
      <c r="A227" s="95"/>
      <c r="B227" s="835"/>
      <c r="C227" s="836"/>
      <c r="D227" s="37"/>
      <c r="E227" s="82"/>
      <c r="F227" s="83"/>
      <c r="G227" s="111"/>
    </row>
    <row r="228" spans="1:7">
      <c r="A228" s="95"/>
      <c r="B228" s="835"/>
      <c r="C228" s="836"/>
      <c r="D228" s="89"/>
      <c r="E228" s="82"/>
      <c r="F228" s="83"/>
      <c r="G228" s="111"/>
    </row>
    <row r="229" spans="1:7">
      <c r="A229" s="95"/>
      <c r="B229" s="835"/>
      <c r="C229" s="836"/>
      <c r="D229" s="89"/>
      <c r="E229" s="82"/>
      <c r="F229" s="83"/>
      <c r="G229" s="111"/>
    </row>
    <row r="230" spans="1:7">
      <c r="A230" s="95"/>
      <c r="B230" s="835" t="s">
        <v>841</v>
      </c>
      <c r="C230" s="836"/>
      <c r="D230" s="37"/>
      <c r="E230" s="82"/>
      <c r="F230" s="83"/>
      <c r="G230" s="111"/>
    </row>
    <row r="231" spans="1:7" ht="13.5" thickBot="1">
      <c r="A231" s="95"/>
      <c r="B231" s="839" t="s">
        <v>841</v>
      </c>
      <c r="C231" s="840"/>
      <c r="D231" s="77"/>
      <c r="E231" s="106"/>
      <c r="F231" s="86"/>
      <c r="G231" s="112"/>
    </row>
    <row r="232" spans="1:7" ht="14.25" thickTop="1" thickBot="1">
      <c r="A232" s="95"/>
      <c r="B232" s="808"/>
      <c r="C232" s="808"/>
      <c r="D232" s="808"/>
      <c r="E232" s="809"/>
      <c r="F232" s="119" t="s">
        <v>856</v>
      </c>
      <c r="G232" s="118">
        <f>SUM(G226:G231)</f>
        <v>758</v>
      </c>
    </row>
    <row r="233" spans="1:7" ht="14.25" thickTop="1" thickBot="1">
      <c r="A233" s="95"/>
      <c r="B233" s="830"/>
      <c r="C233" s="830"/>
      <c r="D233" s="830"/>
      <c r="E233" s="830"/>
      <c r="F233" s="830"/>
      <c r="G233" s="830"/>
    </row>
    <row r="234" spans="1:7" ht="13.5" thickTop="1">
      <c r="A234" s="95"/>
      <c r="B234" s="811" t="s">
        <v>311</v>
      </c>
      <c r="C234" s="812"/>
      <c r="D234" s="812"/>
      <c r="E234" s="812"/>
      <c r="F234" s="812"/>
      <c r="G234" s="825"/>
    </row>
    <row r="235" spans="1:7">
      <c r="A235" s="95"/>
      <c r="B235" s="817" t="s">
        <v>838</v>
      </c>
      <c r="C235" s="818"/>
      <c r="D235" s="98" t="s">
        <v>842</v>
      </c>
      <c r="E235" s="98" t="s">
        <v>853</v>
      </c>
      <c r="F235" s="99" t="s">
        <v>1047</v>
      </c>
      <c r="G235" s="107" t="s">
        <v>840</v>
      </c>
    </row>
    <row r="236" spans="1:7">
      <c r="A236" s="95"/>
      <c r="B236" s="230"/>
      <c r="C236" s="102"/>
      <c r="D236" s="100"/>
      <c r="E236" s="100" t="s">
        <v>312</v>
      </c>
      <c r="F236" s="101" t="s">
        <v>313</v>
      </c>
      <c r="G236" s="108" t="s">
        <v>314</v>
      </c>
    </row>
    <row r="237" spans="1:7" ht="14.25">
      <c r="A237" s="125"/>
      <c r="B237" s="841" t="str">
        <f>MATERIALES2!C49</f>
        <v>MORTERO 1:3 (MATERIALES)</v>
      </c>
      <c r="C237" s="842"/>
      <c r="D237" s="87" t="s">
        <v>1066</v>
      </c>
      <c r="E237" s="10">
        <v>4.1000000000000003E-3</v>
      </c>
      <c r="F237" s="80">
        <f>MATERIALES2!E49</f>
        <v>365000</v>
      </c>
      <c r="G237" s="110">
        <f>ROUND(E237*F237,0)</f>
        <v>1497</v>
      </c>
    </row>
    <row r="238" spans="1:7">
      <c r="A238" s="123"/>
      <c r="B238" s="854" t="str">
        <f>MATERIALES2!C566</f>
        <v>TUBO GRESS DE 6"</v>
      </c>
      <c r="C238" s="855"/>
      <c r="D238" s="88" t="s">
        <v>865</v>
      </c>
      <c r="E238" s="83">
        <v>1</v>
      </c>
      <c r="F238" s="82">
        <f>MATERIALES2!E566</f>
        <v>9665</v>
      </c>
      <c r="G238" s="111">
        <f>ROUND(E238*F238,0)</f>
        <v>9665</v>
      </c>
    </row>
    <row r="239" spans="1:7">
      <c r="A239" s="95"/>
      <c r="B239" s="835"/>
      <c r="C239" s="836"/>
      <c r="D239" s="37"/>
      <c r="E239" s="55"/>
      <c r="F239" s="82"/>
      <c r="G239" s="111"/>
    </row>
    <row r="240" spans="1:7">
      <c r="A240" s="95"/>
      <c r="B240" s="835"/>
      <c r="C240" s="836"/>
      <c r="D240" s="37"/>
      <c r="E240" s="55"/>
      <c r="F240" s="82"/>
      <c r="G240" s="111"/>
    </row>
    <row r="241" spans="1:8">
      <c r="A241" s="95"/>
      <c r="B241" s="837"/>
      <c r="C241" s="838"/>
      <c r="D241" s="37"/>
      <c r="E241" s="55"/>
      <c r="F241" s="82"/>
      <c r="G241" s="111"/>
    </row>
    <row r="242" spans="1:8">
      <c r="A242" s="95"/>
      <c r="B242" s="837"/>
      <c r="C242" s="838"/>
      <c r="D242" s="53" t="s">
        <v>841</v>
      </c>
      <c r="E242" s="53"/>
      <c r="F242" s="82"/>
      <c r="G242" s="111"/>
    </row>
    <row r="243" spans="1:8">
      <c r="A243" s="95"/>
      <c r="B243" s="837" t="s">
        <v>841</v>
      </c>
      <c r="C243" s="838"/>
      <c r="D243" s="53" t="s">
        <v>841</v>
      </c>
      <c r="E243" s="53"/>
      <c r="F243" s="82"/>
      <c r="G243" s="111"/>
      <c r="H243" s="505" t="s">
        <v>1670</v>
      </c>
    </row>
    <row r="244" spans="1:8">
      <c r="A244" s="95"/>
      <c r="B244" s="837" t="s">
        <v>841</v>
      </c>
      <c r="C244" s="838"/>
      <c r="D244" s="53" t="s">
        <v>841</v>
      </c>
      <c r="E244" s="53"/>
      <c r="F244" s="82"/>
      <c r="G244" s="111"/>
    </row>
    <row r="245" spans="1:8" ht="13.5" thickBot="1">
      <c r="A245" s="95"/>
      <c r="B245" s="839" t="s">
        <v>841</v>
      </c>
      <c r="C245" s="840"/>
      <c r="D245" s="84" t="s">
        <v>841</v>
      </c>
      <c r="E245" s="84"/>
      <c r="F245" s="85"/>
      <c r="G245" s="112"/>
    </row>
    <row r="246" spans="1:8" ht="13.5" thickTop="1">
      <c r="A246" s="95"/>
      <c r="B246" s="808"/>
      <c r="C246" s="809"/>
      <c r="D246" s="801" t="s">
        <v>856</v>
      </c>
      <c r="E246" s="802"/>
      <c r="F246" s="9"/>
      <c r="G246" s="113">
        <f>SUM(G237:G245)</f>
        <v>11162</v>
      </c>
    </row>
    <row r="247" spans="1:8">
      <c r="A247" s="95"/>
      <c r="B247" s="819"/>
      <c r="C247" s="820"/>
      <c r="D247" s="801" t="s">
        <v>857</v>
      </c>
      <c r="E247" s="802"/>
      <c r="F247" s="79">
        <f>'MANO DE OBRA'!D60</f>
        <v>0.05</v>
      </c>
      <c r="G247" s="113">
        <f>ROUND(G246*F247,0)</f>
        <v>558</v>
      </c>
    </row>
    <row r="248" spans="1:8" ht="13.5" thickBot="1">
      <c r="A248" s="95"/>
      <c r="B248" s="819"/>
      <c r="C248" s="820"/>
      <c r="D248" s="803" t="s">
        <v>320</v>
      </c>
      <c r="E248" s="804"/>
      <c r="F248" s="114"/>
      <c r="G248" s="118">
        <f>+G246+G247</f>
        <v>11720</v>
      </c>
    </row>
    <row r="249" spans="1:8" ht="14.25" thickTop="1" thickBot="1">
      <c r="A249" s="95"/>
      <c r="B249" s="830"/>
      <c r="C249" s="830"/>
      <c r="D249" s="830"/>
      <c r="E249" s="830"/>
      <c r="F249" s="830"/>
      <c r="G249" s="830"/>
    </row>
    <row r="250" spans="1:8" ht="13.5" thickTop="1">
      <c r="A250" s="95"/>
      <c r="B250" s="811" t="s">
        <v>858</v>
      </c>
      <c r="C250" s="812"/>
      <c r="D250" s="812"/>
      <c r="E250" s="812"/>
      <c r="F250" s="812"/>
      <c r="G250" s="825"/>
    </row>
    <row r="251" spans="1:8">
      <c r="A251" s="95"/>
      <c r="B251" s="817"/>
      <c r="C251" s="818"/>
      <c r="D251" s="98" t="s">
        <v>301</v>
      </c>
      <c r="E251" s="98" t="s">
        <v>859</v>
      </c>
      <c r="F251" s="99" t="s">
        <v>839</v>
      </c>
      <c r="G251" s="107" t="s">
        <v>840</v>
      </c>
    </row>
    <row r="252" spans="1:8">
      <c r="A252" s="95"/>
      <c r="B252" s="821" t="s">
        <v>838</v>
      </c>
      <c r="C252" s="822"/>
      <c r="D252" s="100" t="s">
        <v>316</v>
      </c>
      <c r="E252" s="100" t="s">
        <v>315</v>
      </c>
      <c r="F252" s="101" t="s">
        <v>306</v>
      </c>
      <c r="G252" s="108" t="s">
        <v>319</v>
      </c>
    </row>
    <row r="253" spans="1:8">
      <c r="A253" s="95"/>
      <c r="B253" s="230"/>
      <c r="C253" s="102"/>
      <c r="D253" s="103"/>
      <c r="E253" s="103" t="s">
        <v>317</v>
      </c>
      <c r="F253" s="104" t="s">
        <v>318</v>
      </c>
      <c r="G253" s="109"/>
    </row>
    <row r="254" spans="1:8">
      <c r="A254" s="95"/>
      <c r="B254" s="823" t="str">
        <f>'MANO DE OBRA'!B10</f>
        <v>AYUDANTE CUAD. TIPO AA</v>
      </c>
      <c r="C254" s="824"/>
      <c r="D254" s="87">
        <v>1</v>
      </c>
      <c r="E254" s="80">
        <f>'MANO DE OBRA'!E10</f>
        <v>34680</v>
      </c>
      <c r="F254" s="81">
        <v>7</v>
      </c>
      <c r="G254" s="110">
        <f>ROUND(D254*E254/F254,0)</f>
        <v>4954</v>
      </c>
    </row>
    <row r="255" spans="1:8">
      <c r="A255" s="95"/>
      <c r="B255" s="835" t="str">
        <f>'MANO DE OBRA'!B15</f>
        <v xml:space="preserve">OFICIAL CUAD. TIPO AA </v>
      </c>
      <c r="C255" s="836"/>
      <c r="D255" s="37">
        <v>1</v>
      </c>
      <c r="E255" s="82">
        <f>'MANO DE OBRA'!E15</f>
        <v>71474</v>
      </c>
      <c r="F255" s="83">
        <v>7</v>
      </c>
      <c r="G255" s="111">
        <f>ROUND(D255*E255/F255,0)</f>
        <v>10211</v>
      </c>
    </row>
    <row r="256" spans="1:8">
      <c r="A256" s="95"/>
      <c r="B256" s="835"/>
      <c r="C256" s="836"/>
      <c r="D256" s="89"/>
      <c r="E256" s="82"/>
      <c r="F256" s="83"/>
      <c r="G256" s="111"/>
    </row>
    <row r="257" spans="1:8">
      <c r="A257" s="95"/>
      <c r="B257" s="835" t="s">
        <v>841</v>
      </c>
      <c r="C257" s="836"/>
      <c r="D257" s="37"/>
      <c r="E257" s="82"/>
      <c r="F257" s="83"/>
      <c r="G257" s="111"/>
    </row>
    <row r="258" spans="1:8" ht="13.5" thickBot="1">
      <c r="A258" s="95"/>
      <c r="B258" s="828" t="s">
        <v>841</v>
      </c>
      <c r="C258" s="829"/>
      <c r="D258" s="77"/>
      <c r="E258" s="82"/>
      <c r="F258" s="86"/>
      <c r="G258" s="112"/>
    </row>
    <row r="259" spans="1:8" ht="14.25" thickTop="1" thickBot="1">
      <c r="A259" s="95"/>
      <c r="B259" s="808"/>
      <c r="C259" s="808"/>
      <c r="D259" s="808"/>
      <c r="E259" s="809"/>
      <c r="F259" s="120" t="s">
        <v>856</v>
      </c>
      <c r="G259" s="118">
        <f>SUM(G254:G258)</f>
        <v>15165</v>
      </c>
    </row>
    <row r="260" spans="1:8" ht="14.25" thickTop="1" thickBot="1">
      <c r="A260" s="95"/>
      <c r="B260" s="810"/>
      <c r="C260" s="810"/>
      <c r="D260" s="810"/>
      <c r="E260" s="810"/>
      <c r="F260" s="810"/>
      <c r="G260" s="810"/>
    </row>
    <row r="261" spans="1:8" ht="13.5" thickTop="1">
      <c r="A261" s="95"/>
      <c r="B261" s="811" t="s">
        <v>321</v>
      </c>
      <c r="C261" s="812"/>
      <c r="D261" s="812"/>
      <c r="E261" s="812"/>
      <c r="F261" s="812"/>
      <c r="G261" s="825"/>
    </row>
    <row r="262" spans="1:8">
      <c r="A262" s="95"/>
      <c r="B262" s="817" t="s">
        <v>838</v>
      </c>
      <c r="C262" s="818"/>
      <c r="D262" s="98" t="s">
        <v>301</v>
      </c>
      <c r="E262" s="98" t="s">
        <v>297</v>
      </c>
      <c r="F262" s="99" t="s">
        <v>839</v>
      </c>
      <c r="G262" s="107" t="s">
        <v>840</v>
      </c>
    </row>
    <row r="263" spans="1:8">
      <c r="A263" s="95"/>
      <c r="B263" s="230"/>
      <c r="C263" s="102"/>
      <c r="D263" s="103" t="s">
        <v>322</v>
      </c>
      <c r="E263" s="103" t="s">
        <v>323</v>
      </c>
      <c r="F263" s="104" t="s">
        <v>324</v>
      </c>
      <c r="G263" s="109" t="s">
        <v>325</v>
      </c>
    </row>
    <row r="264" spans="1:8">
      <c r="A264" s="95"/>
      <c r="B264" s="826"/>
      <c r="C264" s="827"/>
      <c r="D264" s="96"/>
      <c r="E264" s="96"/>
      <c r="F264" s="96"/>
      <c r="G264" s="116"/>
    </row>
    <row r="265" spans="1:8" ht="13.5" thickBot="1">
      <c r="A265" s="95"/>
      <c r="B265" s="828" t="s">
        <v>841</v>
      </c>
      <c r="C265" s="829"/>
      <c r="D265" s="77"/>
      <c r="E265" s="82"/>
      <c r="F265" s="86"/>
      <c r="G265" s="112"/>
    </row>
    <row r="266" spans="1:8" ht="14.25" thickTop="1" thickBot="1">
      <c r="A266" s="95"/>
      <c r="B266" s="808"/>
      <c r="C266" s="808"/>
      <c r="D266" s="808"/>
      <c r="E266" s="809"/>
      <c r="F266" s="120" t="s">
        <v>856</v>
      </c>
      <c r="G266" s="118">
        <f>SUM(G261:G265)</f>
        <v>0</v>
      </c>
    </row>
    <row r="267" spans="1:8" ht="14.25" thickTop="1" thickBot="1">
      <c r="A267" s="95"/>
      <c r="B267" s="810"/>
      <c r="C267" s="810"/>
      <c r="D267" s="810"/>
      <c r="E267" s="810"/>
      <c r="F267" s="810"/>
      <c r="G267" s="834"/>
    </row>
    <row r="268" spans="1:8" ht="13.5" thickTop="1">
      <c r="A268" s="95"/>
      <c r="B268" s="811" t="s">
        <v>326</v>
      </c>
      <c r="C268" s="812"/>
      <c r="D268" s="812"/>
      <c r="E268" s="812"/>
      <c r="F268" s="813"/>
      <c r="G268" s="121">
        <f>+G232+G248+G259</f>
        <v>27643</v>
      </c>
    </row>
    <row r="269" spans="1:8">
      <c r="A269" s="95"/>
      <c r="B269" s="814" t="s">
        <v>861</v>
      </c>
      <c r="C269" s="815"/>
      <c r="D269" s="815"/>
      <c r="E269" s="816"/>
      <c r="F269" s="128">
        <f>'MANO DE OBRA'!D59</f>
        <v>0</v>
      </c>
      <c r="G269" s="122">
        <f>ROUND(G268*F269,0)</f>
        <v>0</v>
      </c>
    </row>
    <row r="270" spans="1:8" ht="13.5" thickBot="1">
      <c r="A270" s="95"/>
      <c r="B270" s="805" t="s">
        <v>1049</v>
      </c>
      <c r="C270" s="806"/>
      <c r="D270" s="806"/>
      <c r="E270" s="806"/>
      <c r="F270" s="807"/>
      <c r="G270" s="118">
        <f>ROUND(G268+G269,-2)</f>
        <v>27600</v>
      </c>
      <c r="H270" s="505" t="s">
        <v>1670</v>
      </c>
    </row>
    <row r="271" spans="1:8" ht="13.5" thickTop="1">
      <c r="A271" s="95"/>
      <c r="B271" s="225" t="s">
        <v>303</v>
      </c>
      <c r="C271" s="843"/>
      <c r="D271" s="843"/>
      <c r="E271" s="843"/>
      <c r="F271" s="92" t="s">
        <v>781</v>
      </c>
      <c r="G271" s="93" t="s">
        <v>865</v>
      </c>
    </row>
    <row r="272" spans="1:8">
      <c r="A272" s="95"/>
      <c r="B272" s="226" t="s">
        <v>834</v>
      </c>
      <c r="C272" s="844" t="s">
        <v>355</v>
      </c>
      <c r="D272" s="844"/>
      <c r="E272" s="844"/>
      <c r="F272" s="15" t="s">
        <v>833</v>
      </c>
      <c r="G272" s="165" t="str">
        <f>'MANO DE OBRA'!D61</f>
        <v>Agosto de 2010</v>
      </c>
    </row>
    <row r="273" spans="1:7" ht="13.5" thickBot="1">
      <c r="A273" s="127"/>
      <c r="B273" s="228" t="s">
        <v>835</v>
      </c>
      <c r="C273" s="845" t="s">
        <v>361</v>
      </c>
      <c r="D273" s="845"/>
      <c r="E273" s="845"/>
      <c r="F273" s="845"/>
      <c r="G273" s="846"/>
    </row>
    <row r="274" spans="1:7" ht="14.25" thickTop="1" thickBot="1">
      <c r="A274" s="95"/>
      <c r="B274" s="847"/>
      <c r="C274" s="847"/>
      <c r="D274" s="847"/>
      <c r="E274" s="847"/>
      <c r="F274" s="847"/>
      <c r="G274" s="847"/>
    </row>
    <row r="275" spans="1:7" ht="13.5" thickTop="1">
      <c r="A275" s="95"/>
      <c r="B275" s="811" t="s">
        <v>304</v>
      </c>
      <c r="C275" s="812"/>
      <c r="D275" s="812"/>
      <c r="E275" s="812"/>
      <c r="F275" s="812"/>
      <c r="G275" s="825"/>
    </row>
    <row r="276" spans="1:7">
      <c r="A276" s="95"/>
      <c r="B276" s="229"/>
      <c r="C276" s="97"/>
      <c r="D276" s="98" t="s">
        <v>301</v>
      </c>
      <c r="E276" s="98" t="s">
        <v>1072</v>
      </c>
      <c r="F276" s="99" t="s">
        <v>839</v>
      </c>
      <c r="G276" s="107" t="s">
        <v>840</v>
      </c>
    </row>
    <row r="277" spans="1:7">
      <c r="A277" s="95"/>
      <c r="B277" s="821" t="s">
        <v>838</v>
      </c>
      <c r="C277" s="822"/>
      <c r="D277" s="100" t="s">
        <v>308</v>
      </c>
      <c r="E277" s="100" t="s">
        <v>305</v>
      </c>
      <c r="F277" s="101" t="s">
        <v>306</v>
      </c>
      <c r="G277" s="108" t="s">
        <v>310</v>
      </c>
    </row>
    <row r="278" spans="1:7">
      <c r="A278" s="95"/>
      <c r="B278" s="230"/>
      <c r="C278" s="102"/>
      <c r="D278" s="103"/>
      <c r="E278" s="103" t="s">
        <v>309</v>
      </c>
      <c r="F278" s="104" t="s">
        <v>307</v>
      </c>
      <c r="G278" s="109"/>
    </row>
    <row r="279" spans="1:7">
      <c r="A279" s="127"/>
      <c r="B279" s="823" t="str">
        <f>'MAQUINARIA Y EQUIPOS'!C28</f>
        <v>HERRAMIENTAS MENORES</v>
      </c>
      <c r="C279" s="824"/>
      <c r="D279" s="87">
        <v>1</v>
      </c>
      <c r="E279" s="82">
        <f>ROUND(G312*0.05,0)</f>
        <v>464</v>
      </c>
      <c r="F279" s="81">
        <v>1</v>
      </c>
      <c r="G279" s="110">
        <f>ROUND(D279*E279/F279,0)</f>
        <v>464</v>
      </c>
    </row>
    <row r="280" spans="1:7">
      <c r="A280" s="95"/>
      <c r="B280" s="835"/>
      <c r="C280" s="836"/>
      <c r="D280" s="37"/>
      <c r="E280" s="82"/>
      <c r="F280" s="83"/>
      <c r="G280" s="111"/>
    </row>
    <row r="281" spans="1:7">
      <c r="A281" s="95"/>
      <c r="B281" s="835"/>
      <c r="C281" s="836"/>
      <c r="D281" s="89"/>
      <c r="E281" s="82"/>
      <c r="F281" s="83"/>
      <c r="G281" s="111"/>
    </row>
    <row r="282" spans="1:7">
      <c r="A282" s="95"/>
      <c r="B282" s="835"/>
      <c r="C282" s="836"/>
      <c r="D282" s="89"/>
      <c r="E282" s="82"/>
      <c r="F282" s="83"/>
      <c r="G282" s="111"/>
    </row>
    <row r="283" spans="1:7">
      <c r="A283" s="95"/>
      <c r="B283" s="835" t="s">
        <v>841</v>
      </c>
      <c r="C283" s="836"/>
      <c r="D283" s="37"/>
      <c r="E283" s="82"/>
      <c r="F283" s="83"/>
      <c r="G283" s="111"/>
    </row>
    <row r="284" spans="1:7" ht="13.5" thickBot="1">
      <c r="A284" s="95"/>
      <c r="B284" s="839" t="s">
        <v>841</v>
      </c>
      <c r="C284" s="840"/>
      <c r="D284" s="77"/>
      <c r="E284" s="106"/>
      <c r="F284" s="86"/>
      <c r="G284" s="112"/>
    </row>
    <row r="285" spans="1:7" ht="14.25" thickTop="1" thickBot="1">
      <c r="A285" s="95"/>
      <c r="B285" s="808"/>
      <c r="C285" s="808"/>
      <c r="D285" s="808"/>
      <c r="E285" s="809"/>
      <c r="F285" s="119" t="s">
        <v>856</v>
      </c>
      <c r="G285" s="118">
        <f>SUM(G279:G284)</f>
        <v>464</v>
      </c>
    </row>
    <row r="286" spans="1:7" ht="14.25" thickTop="1" thickBot="1">
      <c r="A286" s="95"/>
      <c r="B286" s="830"/>
      <c r="C286" s="830"/>
      <c r="D286" s="830"/>
      <c r="E286" s="830"/>
      <c r="F286" s="830"/>
      <c r="G286" s="830"/>
    </row>
    <row r="287" spans="1:7" ht="13.5" thickTop="1">
      <c r="A287" s="95"/>
      <c r="B287" s="811" t="s">
        <v>311</v>
      </c>
      <c r="C287" s="812"/>
      <c r="D287" s="812"/>
      <c r="E287" s="812"/>
      <c r="F287" s="812"/>
      <c r="G287" s="825"/>
    </row>
    <row r="288" spans="1:7">
      <c r="A288" s="95"/>
      <c r="B288" s="817" t="s">
        <v>838</v>
      </c>
      <c r="C288" s="818"/>
      <c r="D288" s="98" t="s">
        <v>842</v>
      </c>
      <c r="E288" s="98" t="s">
        <v>853</v>
      </c>
      <c r="F288" s="99" t="s">
        <v>1047</v>
      </c>
      <c r="G288" s="107" t="s">
        <v>840</v>
      </c>
    </row>
    <row r="289" spans="1:8">
      <c r="A289" s="95"/>
      <c r="B289" s="230"/>
      <c r="C289" s="102"/>
      <c r="D289" s="100"/>
      <c r="E289" s="100" t="s">
        <v>312</v>
      </c>
      <c r="F289" s="101" t="s">
        <v>313</v>
      </c>
      <c r="G289" s="108" t="s">
        <v>314</v>
      </c>
    </row>
    <row r="290" spans="1:8" ht="14.25">
      <c r="A290" s="125"/>
      <c r="B290" s="841" t="str">
        <f>MATERIALES2!C49</f>
        <v>MORTERO 1:3 (MATERIALES)</v>
      </c>
      <c r="C290" s="842"/>
      <c r="D290" s="87" t="s">
        <v>1066</v>
      </c>
      <c r="E290" s="10">
        <v>4.1000000000000003E-3</v>
      </c>
      <c r="F290" s="80">
        <f>MATERIALES2!E49</f>
        <v>365000</v>
      </c>
      <c r="G290" s="110">
        <f>ROUND(E290*F290,0)</f>
        <v>1497</v>
      </c>
    </row>
    <row r="291" spans="1:8">
      <c r="A291" s="123"/>
      <c r="B291" s="854" t="str">
        <f>MATERIALES2!C567</f>
        <v>ACCESORIO GRES DE 6"</v>
      </c>
      <c r="C291" s="855"/>
      <c r="D291" s="88" t="s">
        <v>865</v>
      </c>
      <c r="E291" s="83">
        <v>1</v>
      </c>
      <c r="F291" s="82">
        <f>MATERIALES2!E567</f>
        <v>10079</v>
      </c>
      <c r="G291" s="111">
        <f>ROUND(E291*F291,0)</f>
        <v>10079</v>
      </c>
    </row>
    <row r="292" spans="1:8">
      <c r="A292" s="95"/>
      <c r="B292" s="835"/>
      <c r="C292" s="836"/>
      <c r="D292" s="37"/>
      <c r="E292" s="55"/>
      <c r="F292" s="82"/>
      <c r="G292" s="111"/>
    </row>
    <row r="293" spans="1:8">
      <c r="A293" s="95"/>
      <c r="B293" s="835"/>
      <c r="C293" s="836"/>
      <c r="D293" s="37"/>
      <c r="E293" s="55"/>
      <c r="F293" s="82"/>
      <c r="G293" s="111"/>
    </row>
    <row r="294" spans="1:8">
      <c r="A294" s="95"/>
      <c r="B294" s="837"/>
      <c r="C294" s="838"/>
      <c r="D294" s="37"/>
      <c r="E294" s="55"/>
      <c r="F294" s="82"/>
      <c r="G294" s="111"/>
    </row>
    <row r="295" spans="1:8">
      <c r="A295" s="95"/>
      <c r="B295" s="837"/>
      <c r="C295" s="838"/>
      <c r="D295" s="53" t="s">
        <v>841</v>
      </c>
      <c r="E295" s="53"/>
      <c r="F295" s="82"/>
      <c r="G295" s="111"/>
    </row>
    <row r="296" spans="1:8">
      <c r="A296" s="95"/>
      <c r="B296" s="837" t="s">
        <v>841</v>
      </c>
      <c r="C296" s="838"/>
      <c r="D296" s="53" t="s">
        <v>841</v>
      </c>
      <c r="E296" s="53"/>
      <c r="F296" s="82"/>
      <c r="G296" s="111"/>
    </row>
    <row r="297" spans="1:8">
      <c r="A297" s="95"/>
      <c r="B297" s="837" t="s">
        <v>841</v>
      </c>
      <c r="C297" s="838"/>
      <c r="D297" s="53" t="s">
        <v>841</v>
      </c>
      <c r="E297" s="53"/>
      <c r="F297" s="82"/>
      <c r="G297" s="111"/>
      <c r="H297" s="505" t="s">
        <v>1670</v>
      </c>
    </row>
    <row r="298" spans="1:8" ht="13.5" thickBot="1">
      <c r="A298" s="95"/>
      <c r="B298" s="839" t="s">
        <v>841</v>
      </c>
      <c r="C298" s="840"/>
      <c r="D298" s="84" t="s">
        <v>841</v>
      </c>
      <c r="E298" s="84"/>
      <c r="F298" s="85"/>
      <c r="G298" s="112"/>
    </row>
    <row r="299" spans="1:8" ht="13.5" thickTop="1">
      <c r="A299" s="95"/>
      <c r="B299" s="808"/>
      <c r="C299" s="809"/>
      <c r="D299" s="801" t="s">
        <v>856</v>
      </c>
      <c r="E299" s="802"/>
      <c r="F299" s="9"/>
      <c r="G299" s="113">
        <f>SUM(G290:G298)</f>
        <v>11576</v>
      </c>
    </row>
    <row r="300" spans="1:8">
      <c r="A300" s="95"/>
      <c r="B300" s="819"/>
      <c r="C300" s="820"/>
      <c r="D300" s="801" t="s">
        <v>857</v>
      </c>
      <c r="E300" s="802"/>
      <c r="F300" s="79">
        <f>'MANO DE OBRA'!D60</f>
        <v>0.05</v>
      </c>
      <c r="G300" s="113">
        <f>ROUND(G299*F300,0)</f>
        <v>579</v>
      </c>
    </row>
    <row r="301" spans="1:8" ht="13.5" thickBot="1">
      <c r="A301" s="95"/>
      <c r="B301" s="819"/>
      <c r="C301" s="820"/>
      <c r="D301" s="803" t="s">
        <v>320</v>
      </c>
      <c r="E301" s="804"/>
      <c r="F301" s="114"/>
      <c r="G301" s="118">
        <f>+G299+G300</f>
        <v>12155</v>
      </c>
    </row>
    <row r="302" spans="1:8" ht="14.25" thickTop="1" thickBot="1">
      <c r="A302" s="95"/>
      <c r="B302" s="830"/>
      <c r="C302" s="830"/>
      <c r="D302" s="830"/>
      <c r="E302" s="830"/>
      <c r="F302" s="830"/>
      <c r="G302" s="830"/>
    </row>
    <row r="303" spans="1:8" ht="13.5" thickTop="1">
      <c r="A303" s="95"/>
      <c r="B303" s="811" t="s">
        <v>858</v>
      </c>
      <c r="C303" s="812"/>
      <c r="D303" s="812"/>
      <c r="E303" s="812"/>
      <c r="F303" s="812"/>
      <c r="G303" s="825"/>
    </row>
    <row r="304" spans="1:8">
      <c r="A304" s="95"/>
      <c r="B304" s="817"/>
      <c r="C304" s="818"/>
      <c r="D304" s="98" t="s">
        <v>301</v>
      </c>
      <c r="E304" s="98" t="s">
        <v>859</v>
      </c>
      <c r="F304" s="99" t="s">
        <v>839</v>
      </c>
      <c r="G304" s="107" t="s">
        <v>840</v>
      </c>
    </row>
    <row r="305" spans="1:7">
      <c r="A305" s="95"/>
      <c r="B305" s="821" t="s">
        <v>838</v>
      </c>
      <c r="C305" s="822"/>
      <c r="D305" s="100" t="s">
        <v>316</v>
      </c>
      <c r="E305" s="100" t="s">
        <v>315</v>
      </c>
      <c r="F305" s="101" t="s">
        <v>306</v>
      </c>
      <c r="G305" s="108" t="s">
        <v>319</v>
      </c>
    </row>
    <row r="306" spans="1:7">
      <c r="A306" s="95"/>
      <c r="B306" s="230"/>
      <c r="C306" s="102"/>
      <c r="D306" s="103"/>
      <c r="E306" s="103" t="s">
        <v>317</v>
      </c>
      <c r="F306" s="104" t="s">
        <v>318</v>
      </c>
      <c r="G306" s="109"/>
    </row>
    <row r="307" spans="1:7">
      <c r="A307" s="95"/>
      <c r="B307" s="823" t="str">
        <f>'MANO DE OBRA'!B10</f>
        <v>AYUDANTE CUAD. TIPO AA</v>
      </c>
      <c r="C307" s="824"/>
      <c r="D307" s="87">
        <v>1</v>
      </c>
      <c r="E307" s="80">
        <f>'MANO DE OBRA'!E10</f>
        <v>34680</v>
      </c>
      <c r="F307" s="81">
        <v>11.43</v>
      </c>
      <c r="G307" s="110">
        <f>ROUND(D307*E307/F307,0)</f>
        <v>3034</v>
      </c>
    </row>
    <row r="308" spans="1:7">
      <c r="A308" s="95"/>
      <c r="B308" s="835" t="str">
        <f>'MANO DE OBRA'!B15</f>
        <v xml:space="preserve">OFICIAL CUAD. TIPO AA </v>
      </c>
      <c r="C308" s="836"/>
      <c r="D308" s="37">
        <v>1</v>
      </c>
      <c r="E308" s="82">
        <f>'MANO DE OBRA'!E15</f>
        <v>71474</v>
      </c>
      <c r="F308" s="83">
        <v>11.43</v>
      </c>
      <c r="G308" s="111">
        <f>ROUND(D308*E308/F308,0)</f>
        <v>6253</v>
      </c>
    </row>
    <row r="309" spans="1:7">
      <c r="A309" s="95"/>
      <c r="B309" s="835"/>
      <c r="C309" s="836"/>
      <c r="D309" s="89"/>
      <c r="E309" s="82"/>
      <c r="F309" s="83"/>
      <c r="G309" s="111"/>
    </row>
    <row r="310" spans="1:7">
      <c r="A310" s="95"/>
      <c r="B310" s="835" t="s">
        <v>841</v>
      </c>
      <c r="C310" s="836"/>
      <c r="D310" s="37"/>
      <c r="E310" s="82"/>
      <c r="F310" s="83"/>
      <c r="G310" s="111"/>
    </row>
    <row r="311" spans="1:7" ht="13.5" thickBot="1">
      <c r="A311" s="95"/>
      <c r="B311" s="828" t="s">
        <v>841</v>
      </c>
      <c r="C311" s="829"/>
      <c r="D311" s="77"/>
      <c r="E311" s="82"/>
      <c r="F311" s="86"/>
      <c r="G311" s="112"/>
    </row>
    <row r="312" spans="1:7" ht="14.25" thickTop="1" thickBot="1">
      <c r="A312" s="95"/>
      <c r="B312" s="808"/>
      <c r="C312" s="808"/>
      <c r="D312" s="808"/>
      <c r="E312" s="809"/>
      <c r="F312" s="120" t="s">
        <v>856</v>
      </c>
      <c r="G312" s="118">
        <f>SUM(G307:G311)</f>
        <v>9287</v>
      </c>
    </row>
    <row r="313" spans="1:7" ht="14.25" thickTop="1" thickBot="1">
      <c r="A313" s="95"/>
      <c r="B313" s="810"/>
      <c r="C313" s="810"/>
      <c r="D313" s="810"/>
      <c r="E313" s="810"/>
      <c r="F313" s="810"/>
      <c r="G313" s="810"/>
    </row>
    <row r="314" spans="1:7" ht="13.5" thickTop="1">
      <c r="A314" s="95"/>
      <c r="B314" s="811" t="s">
        <v>321</v>
      </c>
      <c r="C314" s="812"/>
      <c r="D314" s="812"/>
      <c r="E314" s="812"/>
      <c r="F314" s="812"/>
      <c r="G314" s="825"/>
    </row>
    <row r="315" spans="1:7">
      <c r="A315" s="95"/>
      <c r="B315" s="817" t="s">
        <v>838</v>
      </c>
      <c r="C315" s="818"/>
      <c r="D315" s="98" t="s">
        <v>301</v>
      </c>
      <c r="E315" s="98" t="s">
        <v>297</v>
      </c>
      <c r="F315" s="99" t="s">
        <v>839</v>
      </c>
      <c r="G315" s="107" t="s">
        <v>840</v>
      </c>
    </row>
    <row r="316" spans="1:7">
      <c r="A316" s="95"/>
      <c r="B316" s="230"/>
      <c r="C316" s="102"/>
      <c r="D316" s="103" t="s">
        <v>322</v>
      </c>
      <c r="E316" s="103" t="s">
        <v>323</v>
      </c>
      <c r="F316" s="104" t="s">
        <v>324</v>
      </c>
      <c r="G316" s="109" t="s">
        <v>325</v>
      </c>
    </row>
    <row r="317" spans="1:7">
      <c r="A317" s="95"/>
      <c r="B317" s="826"/>
      <c r="C317" s="827"/>
      <c r="D317" s="96"/>
      <c r="E317" s="96"/>
      <c r="F317" s="96"/>
      <c r="G317" s="116"/>
    </row>
    <row r="318" spans="1:7" ht="13.5" thickBot="1">
      <c r="A318" s="95"/>
      <c r="B318" s="828" t="s">
        <v>841</v>
      </c>
      <c r="C318" s="829"/>
      <c r="D318" s="77"/>
      <c r="E318" s="82"/>
      <c r="F318" s="86"/>
      <c r="G318" s="112"/>
    </row>
    <row r="319" spans="1:7" ht="14.25" thickTop="1" thickBot="1">
      <c r="A319" s="95"/>
      <c r="B319" s="808"/>
      <c r="C319" s="808"/>
      <c r="D319" s="808"/>
      <c r="E319" s="809"/>
      <c r="F319" s="120" t="s">
        <v>856</v>
      </c>
      <c r="G319" s="118">
        <f>SUM(G314:G318)</f>
        <v>0</v>
      </c>
    </row>
    <row r="320" spans="1:7" ht="14.25" thickTop="1" thickBot="1">
      <c r="A320" s="95"/>
      <c r="B320" s="810"/>
      <c r="C320" s="810"/>
      <c r="D320" s="810"/>
      <c r="E320" s="810"/>
      <c r="F320" s="810"/>
      <c r="G320" s="834"/>
    </row>
    <row r="321" spans="1:8" ht="13.5" thickTop="1">
      <c r="A321" s="95"/>
      <c r="B321" s="811" t="s">
        <v>326</v>
      </c>
      <c r="C321" s="812"/>
      <c r="D321" s="812"/>
      <c r="E321" s="812"/>
      <c r="F321" s="813"/>
      <c r="G321" s="121">
        <f>+G285+G301+G312</f>
        <v>21906</v>
      </c>
    </row>
    <row r="322" spans="1:8">
      <c r="A322" s="95"/>
      <c r="B322" s="814" t="s">
        <v>861</v>
      </c>
      <c r="C322" s="815"/>
      <c r="D322" s="815"/>
      <c r="E322" s="816"/>
      <c r="F322" s="128">
        <f>'MANO DE OBRA'!D59</f>
        <v>0</v>
      </c>
      <c r="G322" s="122">
        <f>ROUND(G321*F322,0)</f>
        <v>0</v>
      </c>
    </row>
    <row r="323" spans="1:8" ht="13.5" thickBot="1">
      <c r="A323" s="95"/>
      <c r="B323" s="805" t="s">
        <v>1049</v>
      </c>
      <c r="C323" s="806"/>
      <c r="D323" s="806"/>
      <c r="E323" s="806"/>
      <c r="F323" s="807"/>
      <c r="G323" s="118">
        <f>ROUND(G321+G322,-2)</f>
        <v>21900</v>
      </c>
      <c r="H323" s="505" t="s">
        <v>1670</v>
      </c>
    </row>
    <row r="324" spans="1:8" ht="13.5" thickTop="1">
      <c r="A324" s="95"/>
      <c r="B324" s="225" t="s">
        <v>303</v>
      </c>
      <c r="C324" s="843"/>
      <c r="D324" s="843"/>
      <c r="E324" s="843"/>
      <c r="F324" s="92" t="s">
        <v>781</v>
      </c>
      <c r="G324" s="93" t="s">
        <v>831</v>
      </c>
    </row>
    <row r="325" spans="1:8">
      <c r="A325" s="95"/>
      <c r="B325" s="226" t="s">
        <v>834</v>
      </c>
      <c r="C325" s="844" t="s">
        <v>355</v>
      </c>
      <c r="D325" s="844"/>
      <c r="E325" s="844"/>
      <c r="F325" s="15" t="s">
        <v>833</v>
      </c>
      <c r="G325" s="165" t="str">
        <f>'MANO DE OBRA'!D61</f>
        <v>Agosto de 2010</v>
      </c>
    </row>
    <row r="326" spans="1:8" ht="13.5" thickBot="1">
      <c r="A326" s="127"/>
      <c r="B326" s="228" t="s">
        <v>835</v>
      </c>
      <c r="C326" s="845" t="s">
        <v>362</v>
      </c>
      <c r="D326" s="845"/>
      <c r="E326" s="845"/>
      <c r="F326" s="845"/>
      <c r="G326" s="846"/>
    </row>
    <row r="327" spans="1:8" ht="14.25" thickTop="1" thickBot="1">
      <c r="A327" s="95"/>
      <c r="B327" s="847"/>
      <c r="C327" s="847"/>
      <c r="D327" s="847"/>
      <c r="E327" s="847"/>
      <c r="F327" s="847"/>
      <c r="G327" s="847"/>
    </row>
    <row r="328" spans="1:8" ht="13.5" thickTop="1">
      <c r="A328" s="95"/>
      <c r="B328" s="811" t="s">
        <v>304</v>
      </c>
      <c r="C328" s="812"/>
      <c r="D328" s="812"/>
      <c r="E328" s="812"/>
      <c r="F328" s="812"/>
      <c r="G328" s="825"/>
    </row>
    <row r="329" spans="1:8">
      <c r="A329" s="95"/>
      <c r="B329" s="229"/>
      <c r="C329" s="97"/>
      <c r="D329" s="98" t="s">
        <v>301</v>
      </c>
      <c r="E329" s="98" t="s">
        <v>1072</v>
      </c>
      <c r="F329" s="99" t="s">
        <v>839</v>
      </c>
      <c r="G329" s="107" t="s">
        <v>840</v>
      </c>
    </row>
    <row r="330" spans="1:8">
      <c r="A330" s="95"/>
      <c r="B330" s="821" t="s">
        <v>838</v>
      </c>
      <c r="C330" s="822"/>
      <c r="D330" s="100" t="s">
        <v>308</v>
      </c>
      <c r="E330" s="100" t="s">
        <v>305</v>
      </c>
      <c r="F330" s="101" t="s">
        <v>306</v>
      </c>
      <c r="G330" s="108" t="s">
        <v>310</v>
      </c>
    </row>
    <row r="331" spans="1:8">
      <c r="A331" s="95"/>
      <c r="B331" s="230"/>
      <c r="C331" s="102"/>
      <c r="D331" s="103"/>
      <c r="E331" s="103" t="s">
        <v>309</v>
      </c>
      <c r="F331" s="104" t="s">
        <v>307</v>
      </c>
      <c r="G331" s="109"/>
    </row>
    <row r="332" spans="1:8">
      <c r="A332" s="127"/>
      <c r="B332" s="823" t="str">
        <f>'MAQUINARIA Y EQUIPOS'!C28</f>
        <v>HERRAMIENTAS MENORES</v>
      </c>
      <c r="C332" s="824"/>
      <c r="D332" s="87">
        <v>1</v>
      </c>
      <c r="E332" s="82">
        <f>ROUND(G365*0.05,0)</f>
        <v>758</v>
      </c>
      <c r="F332" s="81">
        <v>1</v>
      </c>
      <c r="G332" s="110">
        <f>ROUND(D332*E332/F332,0)</f>
        <v>758</v>
      </c>
    </row>
    <row r="333" spans="1:8">
      <c r="A333" s="95"/>
      <c r="B333" s="835"/>
      <c r="C333" s="836"/>
      <c r="D333" s="37"/>
      <c r="E333" s="82"/>
      <c r="F333" s="83"/>
      <c r="G333" s="111"/>
    </row>
    <row r="334" spans="1:8">
      <c r="A334" s="95"/>
      <c r="B334" s="835"/>
      <c r="C334" s="836"/>
      <c r="D334" s="89"/>
      <c r="E334" s="82"/>
      <c r="F334" s="83"/>
      <c r="G334" s="111"/>
    </row>
    <row r="335" spans="1:8">
      <c r="A335" s="95"/>
      <c r="B335" s="835"/>
      <c r="C335" s="836"/>
      <c r="D335" s="89"/>
      <c r="E335" s="82"/>
      <c r="F335" s="83"/>
      <c r="G335" s="111"/>
    </row>
    <row r="336" spans="1:8">
      <c r="A336" s="95"/>
      <c r="B336" s="835" t="s">
        <v>841</v>
      </c>
      <c r="C336" s="836"/>
      <c r="D336" s="37"/>
      <c r="E336" s="82"/>
      <c r="F336" s="83"/>
      <c r="G336" s="111"/>
    </row>
    <row r="337" spans="1:8" ht="13.5" thickBot="1">
      <c r="A337" s="95"/>
      <c r="B337" s="839" t="s">
        <v>841</v>
      </c>
      <c r="C337" s="840"/>
      <c r="D337" s="77"/>
      <c r="E337" s="106"/>
      <c r="F337" s="86"/>
      <c r="G337" s="112"/>
    </row>
    <row r="338" spans="1:8" ht="14.25" thickTop="1" thickBot="1">
      <c r="A338" s="95"/>
      <c r="B338" s="808"/>
      <c r="C338" s="808"/>
      <c r="D338" s="808"/>
      <c r="E338" s="809"/>
      <c r="F338" s="119" t="s">
        <v>856</v>
      </c>
      <c r="G338" s="118">
        <f>SUM(G332:G337)</f>
        <v>758</v>
      </c>
    </row>
    <row r="339" spans="1:8" ht="14.25" thickTop="1" thickBot="1">
      <c r="A339" s="95"/>
      <c r="B339" s="830"/>
      <c r="C339" s="830"/>
      <c r="D339" s="830"/>
      <c r="E339" s="830"/>
      <c r="F339" s="830"/>
      <c r="G339" s="830"/>
    </row>
    <row r="340" spans="1:8" ht="13.5" thickTop="1">
      <c r="A340" s="95"/>
      <c r="B340" s="811" t="s">
        <v>311</v>
      </c>
      <c r="C340" s="812"/>
      <c r="D340" s="812"/>
      <c r="E340" s="812"/>
      <c r="F340" s="812"/>
      <c r="G340" s="825"/>
    </row>
    <row r="341" spans="1:8">
      <c r="A341" s="95"/>
      <c r="B341" s="817" t="s">
        <v>838</v>
      </c>
      <c r="C341" s="818"/>
      <c r="D341" s="98" t="s">
        <v>842</v>
      </c>
      <c r="E341" s="98" t="s">
        <v>853</v>
      </c>
      <c r="F341" s="99" t="s">
        <v>1047</v>
      </c>
      <c r="G341" s="107" t="s">
        <v>840</v>
      </c>
    </row>
    <row r="342" spans="1:8">
      <c r="A342" s="95"/>
      <c r="B342" s="230"/>
      <c r="C342" s="102"/>
      <c r="D342" s="100"/>
      <c r="E342" s="100" t="s">
        <v>312</v>
      </c>
      <c r="F342" s="101" t="s">
        <v>313</v>
      </c>
      <c r="G342" s="108" t="s">
        <v>314</v>
      </c>
    </row>
    <row r="343" spans="1:8" ht="14.25">
      <c r="A343" s="125"/>
      <c r="B343" s="841" t="str">
        <f>MATERIALES2!C49</f>
        <v>MORTERO 1:3 (MATERIALES)</v>
      </c>
      <c r="C343" s="842"/>
      <c r="D343" s="87" t="s">
        <v>1066</v>
      </c>
      <c r="E343" s="10">
        <v>5.4999999999999997E-3</v>
      </c>
      <c r="F343" s="80">
        <f>MATERIALES2!E49</f>
        <v>365000</v>
      </c>
      <c r="G343" s="110">
        <f>ROUND(E343*F343,0)</f>
        <v>2008</v>
      </c>
    </row>
    <row r="344" spans="1:8">
      <c r="A344" s="123"/>
      <c r="B344" s="854" t="str">
        <f>MATERIALES2!C571</f>
        <v>TUBO GRESS DE 8"</v>
      </c>
      <c r="C344" s="855"/>
      <c r="D344" s="88" t="s">
        <v>865</v>
      </c>
      <c r="E344" s="83">
        <v>1</v>
      </c>
      <c r="F344" s="82">
        <f>MATERIALES2!E571</f>
        <v>16478</v>
      </c>
      <c r="G344" s="111">
        <f>ROUND(E344*F344,0)</f>
        <v>16478</v>
      </c>
    </row>
    <row r="345" spans="1:8">
      <c r="A345" s="95"/>
      <c r="B345" s="835"/>
      <c r="C345" s="836"/>
      <c r="D345" s="37"/>
      <c r="E345" s="55"/>
      <c r="F345" s="82"/>
      <c r="G345" s="111"/>
    </row>
    <row r="346" spans="1:8">
      <c r="A346" s="95"/>
      <c r="B346" s="835"/>
      <c r="C346" s="836"/>
      <c r="D346" s="37"/>
      <c r="E346" s="55"/>
      <c r="F346" s="82"/>
      <c r="G346" s="111"/>
    </row>
    <row r="347" spans="1:8">
      <c r="A347" s="95"/>
      <c r="B347" s="837"/>
      <c r="C347" s="838"/>
      <c r="D347" s="37"/>
      <c r="E347" s="55"/>
      <c r="F347" s="82"/>
      <c r="G347" s="111"/>
    </row>
    <row r="348" spans="1:8">
      <c r="A348" s="95"/>
      <c r="B348" s="837"/>
      <c r="C348" s="838"/>
      <c r="D348" s="53" t="s">
        <v>841</v>
      </c>
      <c r="E348" s="53"/>
      <c r="F348" s="82"/>
      <c r="G348" s="111"/>
    </row>
    <row r="349" spans="1:8">
      <c r="A349" s="95"/>
      <c r="B349" s="837" t="s">
        <v>841</v>
      </c>
      <c r="C349" s="838"/>
      <c r="D349" s="53" t="s">
        <v>841</v>
      </c>
      <c r="E349" s="53"/>
      <c r="F349" s="82"/>
      <c r="G349" s="111"/>
    </row>
    <row r="350" spans="1:8">
      <c r="A350" s="95"/>
      <c r="B350" s="837" t="s">
        <v>841</v>
      </c>
      <c r="C350" s="838"/>
      <c r="D350" s="53" t="s">
        <v>841</v>
      </c>
      <c r="E350" s="53"/>
      <c r="F350" s="82"/>
      <c r="G350" s="111"/>
      <c r="H350" s="505" t="s">
        <v>1670</v>
      </c>
    </row>
    <row r="351" spans="1:8" ht="13.5" thickBot="1">
      <c r="A351" s="95"/>
      <c r="B351" s="839" t="s">
        <v>841</v>
      </c>
      <c r="C351" s="840"/>
      <c r="D351" s="84" t="s">
        <v>841</v>
      </c>
      <c r="E351" s="84"/>
      <c r="F351" s="85"/>
      <c r="G351" s="112"/>
    </row>
    <row r="352" spans="1:8" ht="13.5" thickTop="1">
      <c r="A352" s="95"/>
      <c r="B352" s="808"/>
      <c r="C352" s="809"/>
      <c r="D352" s="801" t="s">
        <v>856</v>
      </c>
      <c r="E352" s="802"/>
      <c r="F352" s="9"/>
      <c r="G352" s="113">
        <f>SUM(G343:G351)</f>
        <v>18486</v>
      </c>
    </row>
    <row r="353" spans="1:7">
      <c r="A353" s="95"/>
      <c r="B353" s="819"/>
      <c r="C353" s="820"/>
      <c r="D353" s="801" t="s">
        <v>857</v>
      </c>
      <c r="E353" s="802"/>
      <c r="F353" s="79">
        <f>'MANO DE OBRA'!D60</f>
        <v>0.05</v>
      </c>
      <c r="G353" s="113">
        <f>ROUND(G352*F353,0)</f>
        <v>924</v>
      </c>
    </row>
    <row r="354" spans="1:7" ht="13.5" thickBot="1">
      <c r="A354" s="95"/>
      <c r="B354" s="819"/>
      <c r="C354" s="820"/>
      <c r="D354" s="803" t="s">
        <v>320</v>
      </c>
      <c r="E354" s="804"/>
      <c r="F354" s="114"/>
      <c r="G354" s="118">
        <f>+G352+G353</f>
        <v>19410</v>
      </c>
    </row>
    <row r="355" spans="1:7" ht="14.25" thickTop="1" thickBot="1">
      <c r="A355" s="95"/>
      <c r="B355" s="830"/>
      <c r="C355" s="830"/>
      <c r="D355" s="830"/>
      <c r="E355" s="830"/>
      <c r="F355" s="830"/>
      <c r="G355" s="830"/>
    </row>
    <row r="356" spans="1:7" ht="13.5" thickTop="1">
      <c r="A356" s="95"/>
      <c r="B356" s="811" t="s">
        <v>858</v>
      </c>
      <c r="C356" s="812"/>
      <c r="D356" s="812"/>
      <c r="E356" s="812"/>
      <c r="F356" s="812"/>
      <c r="G356" s="825"/>
    </row>
    <row r="357" spans="1:7">
      <c r="A357" s="95"/>
      <c r="B357" s="817"/>
      <c r="C357" s="818"/>
      <c r="D357" s="98" t="s">
        <v>301</v>
      </c>
      <c r="E357" s="98" t="s">
        <v>859</v>
      </c>
      <c r="F357" s="99" t="s">
        <v>839</v>
      </c>
      <c r="G357" s="107" t="s">
        <v>840</v>
      </c>
    </row>
    <row r="358" spans="1:7">
      <c r="A358" s="95"/>
      <c r="B358" s="821" t="s">
        <v>838</v>
      </c>
      <c r="C358" s="822"/>
      <c r="D358" s="100" t="s">
        <v>316</v>
      </c>
      <c r="E358" s="100" t="s">
        <v>315</v>
      </c>
      <c r="F358" s="101" t="s">
        <v>306</v>
      </c>
      <c r="G358" s="108" t="s">
        <v>319</v>
      </c>
    </row>
    <row r="359" spans="1:7">
      <c r="A359" s="95"/>
      <c r="B359" s="230"/>
      <c r="C359" s="102"/>
      <c r="D359" s="103"/>
      <c r="E359" s="103" t="s">
        <v>317</v>
      </c>
      <c r="F359" s="104" t="s">
        <v>318</v>
      </c>
      <c r="G359" s="109"/>
    </row>
    <row r="360" spans="1:7">
      <c r="A360" s="95"/>
      <c r="B360" s="823" t="str">
        <f>'MANO DE OBRA'!B10</f>
        <v>AYUDANTE CUAD. TIPO AA</v>
      </c>
      <c r="C360" s="824"/>
      <c r="D360" s="87">
        <v>1</v>
      </c>
      <c r="E360" s="80">
        <f>'MANO DE OBRA'!E10</f>
        <v>34680</v>
      </c>
      <c r="F360" s="81">
        <v>7</v>
      </c>
      <c r="G360" s="110">
        <f>ROUND(D360*E360/F360,0)</f>
        <v>4954</v>
      </c>
    </row>
    <row r="361" spans="1:7">
      <c r="A361" s="95"/>
      <c r="B361" s="835" t="str">
        <f>'MANO DE OBRA'!B15</f>
        <v xml:space="preserve">OFICIAL CUAD. TIPO AA </v>
      </c>
      <c r="C361" s="836"/>
      <c r="D361" s="37">
        <v>1</v>
      </c>
      <c r="E361" s="82">
        <f>'MANO DE OBRA'!E15</f>
        <v>71474</v>
      </c>
      <c r="F361" s="83">
        <v>7</v>
      </c>
      <c r="G361" s="111">
        <f>ROUND(D361*E361/F361,0)</f>
        <v>10211</v>
      </c>
    </row>
    <row r="362" spans="1:7">
      <c r="A362" s="95"/>
      <c r="B362" s="835"/>
      <c r="C362" s="836"/>
      <c r="D362" s="89"/>
      <c r="E362" s="82"/>
      <c r="F362" s="83"/>
      <c r="G362" s="111"/>
    </row>
    <row r="363" spans="1:7">
      <c r="A363" s="95"/>
      <c r="B363" s="835" t="s">
        <v>841</v>
      </c>
      <c r="C363" s="836"/>
      <c r="D363" s="37"/>
      <c r="E363" s="82"/>
      <c r="F363" s="83"/>
      <c r="G363" s="111"/>
    </row>
    <row r="364" spans="1:7" ht="13.5" thickBot="1">
      <c r="A364" s="95"/>
      <c r="B364" s="828" t="s">
        <v>841</v>
      </c>
      <c r="C364" s="829"/>
      <c r="D364" s="77"/>
      <c r="E364" s="82"/>
      <c r="F364" s="86"/>
      <c r="G364" s="112"/>
    </row>
    <row r="365" spans="1:7" ht="14.25" thickTop="1" thickBot="1">
      <c r="A365" s="95"/>
      <c r="B365" s="808"/>
      <c r="C365" s="808"/>
      <c r="D365" s="808"/>
      <c r="E365" s="809"/>
      <c r="F365" s="120" t="s">
        <v>856</v>
      </c>
      <c r="G365" s="118">
        <f>SUM(G360:G364)</f>
        <v>15165</v>
      </c>
    </row>
    <row r="366" spans="1:7" ht="14.25" thickTop="1" thickBot="1">
      <c r="A366" s="95"/>
      <c r="B366" s="810"/>
      <c r="C366" s="810"/>
      <c r="D366" s="810"/>
      <c r="E366" s="810"/>
      <c r="F366" s="810"/>
      <c r="G366" s="810"/>
    </row>
    <row r="367" spans="1:7" ht="13.5" thickTop="1">
      <c r="A367" s="95"/>
      <c r="B367" s="811" t="s">
        <v>321</v>
      </c>
      <c r="C367" s="812"/>
      <c r="D367" s="812"/>
      <c r="E367" s="812"/>
      <c r="F367" s="812"/>
      <c r="G367" s="825"/>
    </row>
    <row r="368" spans="1:7">
      <c r="A368" s="95"/>
      <c r="B368" s="817" t="s">
        <v>838</v>
      </c>
      <c r="C368" s="818"/>
      <c r="D368" s="98" t="s">
        <v>301</v>
      </c>
      <c r="E368" s="98" t="s">
        <v>297</v>
      </c>
      <c r="F368" s="99" t="s">
        <v>839</v>
      </c>
      <c r="G368" s="107" t="s">
        <v>840</v>
      </c>
    </row>
    <row r="369" spans="1:8">
      <c r="A369" s="95"/>
      <c r="B369" s="230"/>
      <c r="C369" s="102"/>
      <c r="D369" s="103" t="s">
        <v>322</v>
      </c>
      <c r="E369" s="103" t="s">
        <v>323</v>
      </c>
      <c r="F369" s="104" t="s">
        <v>324</v>
      </c>
      <c r="G369" s="109" t="s">
        <v>325</v>
      </c>
    </row>
    <row r="370" spans="1:8">
      <c r="A370" s="95"/>
      <c r="B370" s="826"/>
      <c r="C370" s="827"/>
      <c r="D370" s="96"/>
      <c r="E370" s="96"/>
      <c r="F370" s="96"/>
      <c r="G370" s="116"/>
    </row>
    <row r="371" spans="1:8" ht="13.5" thickBot="1">
      <c r="A371" s="95"/>
      <c r="B371" s="828" t="s">
        <v>841</v>
      </c>
      <c r="C371" s="829"/>
      <c r="D371" s="77"/>
      <c r="E371" s="82"/>
      <c r="F371" s="86"/>
      <c r="G371" s="112"/>
    </row>
    <row r="372" spans="1:8" ht="14.25" thickTop="1" thickBot="1">
      <c r="A372" s="95"/>
      <c r="B372" s="808"/>
      <c r="C372" s="808"/>
      <c r="D372" s="808"/>
      <c r="E372" s="809"/>
      <c r="F372" s="120" t="s">
        <v>856</v>
      </c>
      <c r="G372" s="118">
        <f>SUM(G367:G371)</f>
        <v>0</v>
      </c>
    </row>
    <row r="373" spans="1:8" ht="14.25" thickTop="1" thickBot="1">
      <c r="A373" s="95"/>
      <c r="B373" s="810"/>
      <c r="C373" s="810"/>
      <c r="D373" s="810"/>
      <c r="E373" s="810"/>
      <c r="F373" s="810"/>
      <c r="G373" s="834"/>
    </row>
    <row r="374" spans="1:8" ht="13.5" thickTop="1">
      <c r="A374" s="95"/>
      <c r="B374" s="811" t="s">
        <v>326</v>
      </c>
      <c r="C374" s="812"/>
      <c r="D374" s="812"/>
      <c r="E374" s="812"/>
      <c r="F374" s="813"/>
      <c r="G374" s="121">
        <f>+G338+G354+G365</f>
        <v>35333</v>
      </c>
    </row>
    <row r="375" spans="1:8">
      <c r="A375" s="95"/>
      <c r="B375" s="814" t="s">
        <v>861</v>
      </c>
      <c r="C375" s="815"/>
      <c r="D375" s="815"/>
      <c r="E375" s="816"/>
      <c r="F375" s="128">
        <f>'MANO DE OBRA'!D59</f>
        <v>0</v>
      </c>
      <c r="G375" s="122">
        <f>ROUND(G374*F375,0)</f>
        <v>0</v>
      </c>
    </row>
    <row r="376" spans="1:8" ht="13.5" thickBot="1">
      <c r="A376" s="95"/>
      <c r="B376" s="805" t="s">
        <v>1049</v>
      </c>
      <c r="C376" s="806"/>
      <c r="D376" s="806"/>
      <c r="E376" s="806"/>
      <c r="F376" s="807"/>
      <c r="G376" s="118">
        <f>ROUND(G374+G375,-2)</f>
        <v>35300</v>
      </c>
      <c r="H376" s="505" t="s">
        <v>1670</v>
      </c>
    </row>
    <row r="377" spans="1:8" ht="13.5" thickTop="1">
      <c r="A377" s="95"/>
      <c r="B377" s="225" t="s">
        <v>303</v>
      </c>
      <c r="C377" s="843"/>
      <c r="D377" s="843"/>
      <c r="E377" s="843"/>
      <c r="F377" s="92" t="s">
        <v>781</v>
      </c>
      <c r="G377" s="93" t="s">
        <v>865</v>
      </c>
    </row>
    <row r="378" spans="1:8">
      <c r="A378" s="95"/>
      <c r="B378" s="226" t="s">
        <v>834</v>
      </c>
      <c r="C378" s="844" t="s">
        <v>355</v>
      </c>
      <c r="D378" s="844"/>
      <c r="E378" s="844"/>
      <c r="F378" s="15" t="s">
        <v>833</v>
      </c>
      <c r="G378" s="165" t="str">
        <f>'MANO DE OBRA'!D61</f>
        <v>Agosto de 2010</v>
      </c>
    </row>
    <row r="379" spans="1:8" ht="13.5" thickBot="1">
      <c r="A379" s="127"/>
      <c r="B379" s="228" t="s">
        <v>835</v>
      </c>
      <c r="C379" s="845" t="s">
        <v>363</v>
      </c>
      <c r="D379" s="845"/>
      <c r="E379" s="845"/>
      <c r="F379" s="845"/>
      <c r="G379" s="846"/>
    </row>
    <row r="380" spans="1:8" ht="14.25" thickTop="1" thickBot="1">
      <c r="A380" s="95"/>
      <c r="B380" s="847"/>
      <c r="C380" s="847"/>
      <c r="D380" s="847"/>
      <c r="E380" s="847"/>
      <c r="F380" s="847"/>
      <c r="G380" s="847"/>
    </row>
    <row r="381" spans="1:8" ht="13.5" thickTop="1">
      <c r="A381" s="95"/>
      <c r="B381" s="811" t="s">
        <v>304</v>
      </c>
      <c r="C381" s="812"/>
      <c r="D381" s="812"/>
      <c r="E381" s="812"/>
      <c r="F381" s="812"/>
      <c r="G381" s="825"/>
    </row>
    <row r="382" spans="1:8">
      <c r="A382" s="95"/>
      <c r="B382" s="229"/>
      <c r="C382" s="97"/>
      <c r="D382" s="98" t="s">
        <v>301</v>
      </c>
      <c r="E382" s="98" t="s">
        <v>1072</v>
      </c>
      <c r="F382" s="99" t="s">
        <v>839</v>
      </c>
      <c r="G382" s="107" t="s">
        <v>840</v>
      </c>
    </row>
    <row r="383" spans="1:8">
      <c r="A383" s="95"/>
      <c r="B383" s="821" t="s">
        <v>838</v>
      </c>
      <c r="C383" s="822"/>
      <c r="D383" s="100" t="s">
        <v>308</v>
      </c>
      <c r="E383" s="100" t="s">
        <v>305</v>
      </c>
      <c r="F383" s="101" t="s">
        <v>306</v>
      </c>
      <c r="G383" s="108" t="s">
        <v>310</v>
      </c>
    </row>
    <row r="384" spans="1:8">
      <c r="A384" s="95"/>
      <c r="B384" s="230"/>
      <c r="C384" s="102"/>
      <c r="D384" s="103"/>
      <c r="E384" s="103" t="s">
        <v>309</v>
      </c>
      <c r="F384" s="104" t="s">
        <v>307</v>
      </c>
      <c r="G384" s="109"/>
    </row>
    <row r="385" spans="1:7">
      <c r="A385" s="127"/>
      <c r="B385" s="823" t="str">
        <f>'MAQUINARIA Y EQUIPOS'!C28</f>
        <v>HERRAMIENTAS MENORES</v>
      </c>
      <c r="C385" s="824"/>
      <c r="D385" s="87">
        <v>1</v>
      </c>
      <c r="E385" s="82">
        <f>ROUND(G418*0.05,0)</f>
        <v>531</v>
      </c>
      <c r="F385" s="81">
        <v>1</v>
      </c>
      <c r="G385" s="110">
        <f>ROUND(D385*E385/F385,0)</f>
        <v>531</v>
      </c>
    </row>
    <row r="386" spans="1:7">
      <c r="A386" s="95"/>
      <c r="B386" s="835"/>
      <c r="C386" s="836"/>
      <c r="D386" s="37"/>
      <c r="E386" s="82"/>
      <c r="F386" s="83"/>
      <c r="G386" s="111"/>
    </row>
    <row r="387" spans="1:7">
      <c r="A387" s="95"/>
      <c r="B387" s="835"/>
      <c r="C387" s="836"/>
      <c r="D387" s="89"/>
      <c r="E387" s="82"/>
      <c r="F387" s="83"/>
      <c r="G387" s="111"/>
    </row>
    <row r="388" spans="1:7">
      <c r="A388" s="95"/>
      <c r="B388" s="835"/>
      <c r="C388" s="836"/>
      <c r="D388" s="89"/>
      <c r="E388" s="82"/>
      <c r="F388" s="83"/>
      <c r="G388" s="111"/>
    </row>
    <row r="389" spans="1:7">
      <c r="A389" s="95"/>
      <c r="B389" s="835" t="s">
        <v>841</v>
      </c>
      <c r="C389" s="836"/>
      <c r="D389" s="37"/>
      <c r="E389" s="82"/>
      <c r="F389" s="83"/>
      <c r="G389" s="111"/>
    </row>
    <row r="390" spans="1:7" ht="13.5" thickBot="1">
      <c r="A390" s="95"/>
      <c r="B390" s="839" t="s">
        <v>841</v>
      </c>
      <c r="C390" s="840"/>
      <c r="D390" s="77"/>
      <c r="E390" s="106"/>
      <c r="F390" s="86"/>
      <c r="G390" s="112"/>
    </row>
    <row r="391" spans="1:7" ht="14.25" thickTop="1" thickBot="1">
      <c r="A391" s="95"/>
      <c r="B391" s="808"/>
      <c r="C391" s="808"/>
      <c r="D391" s="808"/>
      <c r="E391" s="809"/>
      <c r="F391" s="119" t="s">
        <v>856</v>
      </c>
      <c r="G391" s="118">
        <f>SUM(G385:G390)</f>
        <v>531</v>
      </c>
    </row>
    <row r="392" spans="1:7" ht="14.25" thickTop="1" thickBot="1">
      <c r="A392" s="95"/>
      <c r="B392" s="830"/>
      <c r="C392" s="830"/>
      <c r="D392" s="830"/>
      <c r="E392" s="830"/>
      <c r="F392" s="830"/>
      <c r="G392" s="830"/>
    </row>
    <row r="393" spans="1:7" ht="13.5" thickTop="1">
      <c r="A393" s="95"/>
      <c r="B393" s="811" t="s">
        <v>311</v>
      </c>
      <c r="C393" s="812"/>
      <c r="D393" s="812"/>
      <c r="E393" s="812"/>
      <c r="F393" s="812"/>
      <c r="G393" s="825"/>
    </row>
    <row r="394" spans="1:7">
      <c r="A394" s="95"/>
      <c r="B394" s="817" t="s">
        <v>838</v>
      </c>
      <c r="C394" s="818"/>
      <c r="D394" s="98" t="s">
        <v>842</v>
      </c>
      <c r="E394" s="98" t="s">
        <v>853</v>
      </c>
      <c r="F394" s="99" t="s">
        <v>1047</v>
      </c>
      <c r="G394" s="107" t="s">
        <v>840</v>
      </c>
    </row>
    <row r="395" spans="1:7">
      <c r="A395" s="95"/>
      <c r="B395" s="230"/>
      <c r="C395" s="102"/>
      <c r="D395" s="100"/>
      <c r="E395" s="100" t="s">
        <v>312</v>
      </c>
      <c r="F395" s="101" t="s">
        <v>313</v>
      </c>
      <c r="G395" s="108" t="s">
        <v>314</v>
      </c>
    </row>
    <row r="396" spans="1:7" ht="14.25">
      <c r="A396" s="125"/>
      <c r="B396" s="841" t="str">
        <f>MATERIALES2!C49</f>
        <v>MORTERO 1:3 (MATERIALES)</v>
      </c>
      <c r="C396" s="842"/>
      <c r="D396" s="87" t="s">
        <v>1066</v>
      </c>
      <c r="E396" s="10">
        <v>5.4999999999999997E-3</v>
      </c>
      <c r="F396" s="80">
        <f>MATERIALES2!E49</f>
        <v>365000</v>
      </c>
      <c r="G396" s="110">
        <f>ROUND(E396*F396,0)</f>
        <v>2008</v>
      </c>
    </row>
    <row r="397" spans="1:7">
      <c r="A397" s="123"/>
      <c r="B397" s="854" t="str">
        <f>MATERIALES2!C572</f>
        <v>ACCESORIO GRES DE 8"</v>
      </c>
      <c r="C397" s="855"/>
      <c r="D397" s="88" t="s">
        <v>865</v>
      </c>
      <c r="E397" s="83">
        <v>1</v>
      </c>
      <c r="F397" s="82">
        <f>MATERIALES2!E572</f>
        <v>18992</v>
      </c>
      <c r="G397" s="111">
        <f>ROUND(E397*F397,0)</f>
        <v>18992</v>
      </c>
    </row>
    <row r="398" spans="1:7">
      <c r="A398" s="95"/>
      <c r="B398" s="835"/>
      <c r="C398" s="836"/>
      <c r="D398" s="37"/>
      <c r="E398" s="55"/>
      <c r="F398" s="82"/>
      <c r="G398" s="111"/>
    </row>
    <row r="399" spans="1:7">
      <c r="A399" s="95"/>
      <c r="B399" s="835"/>
      <c r="C399" s="836"/>
      <c r="D399" s="37"/>
      <c r="E399" s="55"/>
      <c r="F399" s="82"/>
      <c r="G399" s="111"/>
    </row>
    <row r="400" spans="1:7">
      <c r="A400" s="95"/>
      <c r="B400" s="837"/>
      <c r="C400" s="838"/>
      <c r="D400" s="37"/>
      <c r="E400" s="55"/>
      <c r="F400" s="82"/>
      <c r="G400" s="111"/>
    </row>
    <row r="401" spans="1:8">
      <c r="A401" s="95"/>
      <c r="B401" s="837"/>
      <c r="C401" s="838"/>
      <c r="D401" s="53" t="s">
        <v>841</v>
      </c>
      <c r="E401" s="53"/>
      <c r="F401" s="82"/>
      <c r="G401" s="111"/>
    </row>
    <row r="402" spans="1:8">
      <c r="A402" s="95"/>
      <c r="B402" s="837" t="s">
        <v>841</v>
      </c>
      <c r="C402" s="838"/>
      <c r="D402" s="53" t="s">
        <v>841</v>
      </c>
      <c r="E402" s="53"/>
      <c r="F402" s="82"/>
      <c r="G402" s="111"/>
    </row>
    <row r="403" spans="1:8">
      <c r="A403" s="95"/>
      <c r="B403" s="837" t="s">
        <v>841</v>
      </c>
      <c r="C403" s="838"/>
      <c r="D403" s="53" t="s">
        <v>841</v>
      </c>
      <c r="E403" s="53"/>
      <c r="F403" s="82"/>
      <c r="G403" s="111"/>
      <c r="H403" s="505" t="s">
        <v>1670</v>
      </c>
    </row>
    <row r="404" spans="1:8" ht="13.5" thickBot="1">
      <c r="A404" s="95"/>
      <c r="B404" s="839" t="s">
        <v>841</v>
      </c>
      <c r="C404" s="840"/>
      <c r="D404" s="84" t="s">
        <v>841</v>
      </c>
      <c r="E404" s="84"/>
      <c r="F404" s="85"/>
      <c r="G404" s="112"/>
    </row>
    <row r="405" spans="1:8" ht="13.5" thickTop="1">
      <c r="A405" s="95"/>
      <c r="B405" s="808"/>
      <c r="C405" s="809"/>
      <c r="D405" s="801" t="s">
        <v>856</v>
      </c>
      <c r="E405" s="802"/>
      <c r="F405" s="9"/>
      <c r="G405" s="113">
        <f>SUM(G396:G404)</f>
        <v>21000</v>
      </c>
    </row>
    <row r="406" spans="1:8">
      <c r="A406" s="95"/>
      <c r="B406" s="819"/>
      <c r="C406" s="820"/>
      <c r="D406" s="801" t="s">
        <v>857</v>
      </c>
      <c r="E406" s="802"/>
      <c r="F406" s="79">
        <f>'MANO DE OBRA'!D60</f>
        <v>0.05</v>
      </c>
      <c r="G406" s="113">
        <f>ROUND(G405*F406,0)</f>
        <v>1050</v>
      </c>
    </row>
    <row r="407" spans="1:8" ht="13.5" thickBot="1">
      <c r="A407" s="95"/>
      <c r="B407" s="819"/>
      <c r="C407" s="820"/>
      <c r="D407" s="803" t="s">
        <v>320</v>
      </c>
      <c r="E407" s="804"/>
      <c r="F407" s="114"/>
      <c r="G407" s="118">
        <f>+G405+G406</f>
        <v>22050</v>
      </c>
    </row>
    <row r="408" spans="1:8" ht="14.25" thickTop="1" thickBot="1">
      <c r="A408" s="95"/>
      <c r="B408" s="830"/>
      <c r="C408" s="830"/>
      <c r="D408" s="830"/>
      <c r="E408" s="830"/>
      <c r="F408" s="830"/>
      <c r="G408" s="830"/>
    </row>
    <row r="409" spans="1:8" ht="13.5" thickTop="1">
      <c r="A409" s="95"/>
      <c r="B409" s="811" t="s">
        <v>858</v>
      </c>
      <c r="C409" s="812"/>
      <c r="D409" s="812"/>
      <c r="E409" s="812"/>
      <c r="F409" s="812"/>
      <c r="G409" s="825"/>
    </row>
    <row r="410" spans="1:8">
      <c r="A410" s="95"/>
      <c r="B410" s="817"/>
      <c r="C410" s="818"/>
      <c r="D410" s="98" t="s">
        <v>301</v>
      </c>
      <c r="E410" s="98" t="s">
        <v>859</v>
      </c>
      <c r="F410" s="99" t="s">
        <v>839</v>
      </c>
      <c r="G410" s="107" t="s">
        <v>840</v>
      </c>
    </row>
    <row r="411" spans="1:8">
      <c r="A411" s="95"/>
      <c r="B411" s="821" t="s">
        <v>838</v>
      </c>
      <c r="C411" s="822"/>
      <c r="D411" s="100" t="s">
        <v>316</v>
      </c>
      <c r="E411" s="100" t="s">
        <v>315</v>
      </c>
      <c r="F411" s="101" t="s">
        <v>306</v>
      </c>
      <c r="G411" s="108" t="s">
        <v>319</v>
      </c>
    </row>
    <row r="412" spans="1:8">
      <c r="A412" s="95"/>
      <c r="B412" s="230"/>
      <c r="C412" s="102"/>
      <c r="D412" s="103"/>
      <c r="E412" s="103" t="s">
        <v>317</v>
      </c>
      <c r="F412" s="104" t="s">
        <v>318</v>
      </c>
      <c r="G412" s="109"/>
    </row>
    <row r="413" spans="1:8">
      <c r="A413" s="95"/>
      <c r="B413" s="823" t="str">
        <f>'MANO DE OBRA'!B10</f>
        <v>AYUDANTE CUAD. TIPO AA</v>
      </c>
      <c r="C413" s="824"/>
      <c r="D413" s="87">
        <v>1</v>
      </c>
      <c r="E413" s="80">
        <f>'MANO DE OBRA'!E10</f>
        <v>34680</v>
      </c>
      <c r="F413" s="81">
        <v>10</v>
      </c>
      <c r="G413" s="110">
        <f>ROUND(D413*E413/F413,0)</f>
        <v>3468</v>
      </c>
    </row>
    <row r="414" spans="1:8">
      <c r="A414" s="95"/>
      <c r="B414" s="835" t="str">
        <f>'MANO DE OBRA'!B15</f>
        <v xml:space="preserve">OFICIAL CUAD. TIPO AA </v>
      </c>
      <c r="C414" s="836"/>
      <c r="D414" s="37">
        <v>1</v>
      </c>
      <c r="E414" s="82">
        <f>'MANO DE OBRA'!E15</f>
        <v>71474</v>
      </c>
      <c r="F414" s="83">
        <v>10</v>
      </c>
      <c r="G414" s="111">
        <f>ROUND(D414*E414/F414,0)</f>
        <v>7147</v>
      </c>
    </row>
    <row r="415" spans="1:8">
      <c r="A415" s="95"/>
      <c r="B415" s="835"/>
      <c r="C415" s="836"/>
      <c r="D415" s="89"/>
      <c r="E415" s="82"/>
      <c r="F415" s="83"/>
      <c r="G415" s="111"/>
    </row>
    <row r="416" spans="1:8">
      <c r="A416" s="95"/>
      <c r="B416" s="835" t="s">
        <v>841</v>
      </c>
      <c r="C416" s="836"/>
      <c r="D416" s="37"/>
      <c r="E416" s="82"/>
      <c r="F416" s="83"/>
      <c r="G416" s="111"/>
    </row>
    <row r="417" spans="1:8" ht="13.5" thickBot="1">
      <c r="A417" s="95"/>
      <c r="B417" s="828" t="s">
        <v>841</v>
      </c>
      <c r="C417" s="829"/>
      <c r="D417" s="77"/>
      <c r="E417" s="82"/>
      <c r="F417" s="86"/>
      <c r="G417" s="112"/>
    </row>
    <row r="418" spans="1:8" ht="14.25" thickTop="1" thickBot="1">
      <c r="A418" s="95"/>
      <c r="B418" s="808"/>
      <c r="C418" s="808"/>
      <c r="D418" s="808"/>
      <c r="E418" s="809"/>
      <c r="F418" s="120" t="s">
        <v>856</v>
      </c>
      <c r="G418" s="118">
        <f>SUM(G413:G417)</f>
        <v>10615</v>
      </c>
    </row>
    <row r="419" spans="1:8" ht="14.25" thickTop="1" thickBot="1">
      <c r="A419" s="95"/>
      <c r="B419" s="810"/>
      <c r="C419" s="810"/>
      <c r="D419" s="810"/>
      <c r="E419" s="810"/>
      <c r="F419" s="810"/>
      <c r="G419" s="810"/>
    </row>
    <row r="420" spans="1:8" ht="13.5" thickTop="1">
      <c r="A420" s="95"/>
      <c r="B420" s="811" t="s">
        <v>321</v>
      </c>
      <c r="C420" s="812"/>
      <c r="D420" s="812"/>
      <c r="E420" s="812"/>
      <c r="F420" s="812"/>
      <c r="G420" s="825"/>
    </row>
    <row r="421" spans="1:8">
      <c r="A421" s="95"/>
      <c r="B421" s="817" t="s">
        <v>838</v>
      </c>
      <c r="C421" s="818"/>
      <c r="D421" s="98" t="s">
        <v>301</v>
      </c>
      <c r="E421" s="98" t="s">
        <v>297</v>
      </c>
      <c r="F421" s="99" t="s">
        <v>839</v>
      </c>
      <c r="G421" s="107" t="s">
        <v>840</v>
      </c>
    </row>
    <row r="422" spans="1:8">
      <c r="A422" s="95"/>
      <c r="B422" s="230"/>
      <c r="C422" s="102"/>
      <c r="D422" s="103" t="s">
        <v>322</v>
      </c>
      <c r="E422" s="103" t="s">
        <v>323</v>
      </c>
      <c r="F422" s="104" t="s">
        <v>324</v>
      </c>
      <c r="G422" s="109" t="s">
        <v>325</v>
      </c>
    </row>
    <row r="423" spans="1:8">
      <c r="A423" s="95"/>
      <c r="B423" s="826"/>
      <c r="C423" s="827"/>
      <c r="D423" s="96"/>
      <c r="E423" s="96"/>
      <c r="F423" s="96"/>
      <c r="G423" s="116"/>
    </row>
    <row r="424" spans="1:8" ht="13.5" thickBot="1">
      <c r="A424" s="95"/>
      <c r="B424" s="828" t="s">
        <v>841</v>
      </c>
      <c r="C424" s="829"/>
      <c r="D424" s="77"/>
      <c r="E424" s="82"/>
      <c r="F424" s="86"/>
      <c r="G424" s="112"/>
    </row>
    <row r="425" spans="1:8" ht="14.25" thickTop="1" thickBot="1">
      <c r="A425" s="95"/>
      <c r="B425" s="808"/>
      <c r="C425" s="808"/>
      <c r="D425" s="808"/>
      <c r="E425" s="809"/>
      <c r="F425" s="120" t="s">
        <v>856</v>
      </c>
      <c r="G425" s="118">
        <f>SUM(G420:G424)</f>
        <v>0</v>
      </c>
    </row>
    <row r="426" spans="1:8" ht="14.25" thickTop="1" thickBot="1">
      <c r="A426" s="95"/>
      <c r="B426" s="810"/>
      <c r="C426" s="810"/>
      <c r="D426" s="810"/>
      <c r="E426" s="810"/>
      <c r="F426" s="810"/>
      <c r="G426" s="834"/>
    </row>
    <row r="427" spans="1:8" ht="13.5" thickTop="1">
      <c r="A427" s="95"/>
      <c r="B427" s="811" t="s">
        <v>326</v>
      </c>
      <c r="C427" s="812"/>
      <c r="D427" s="812"/>
      <c r="E427" s="812"/>
      <c r="F427" s="813"/>
      <c r="G427" s="121">
        <f>+G391+G407+G418</f>
        <v>33196</v>
      </c>
    </row>
    <row r="428" spans="1:8">
      <c r="A428" s="95"/>
      <c r="B428" s="814" t="s">
        <v>861</v>
      </c>
      <c r="C428" s="815"/>
      <c r="D428" s="815"/>
      <c r="E428" s="816"/>
      <c r="F428" s="128">
        <f>'MANO DE OBRA'!D59</f>
        <v>0</v>
      </c>
      <c r="G428" s="122">
        <f>ROUND(G427*F428,0)</f>
        <v>0</v>
      </c>
    </row>
    <row r="429" spans="1:8" ht="13.5" thickBot="1">
      <c r="A429" s="95"/>
      <c r="B429" s="805" t="s">
        <v>1049</v>
      </c>
      <c r="C429" s="806"/>
      <c r="D429" s="806"/>
      <c r="E429" s="806"/>
      <c r="F429" s="807"/>
      <c r="G429" s="118">
        <f>ROUND(G427+G428,-2)</f>
        <v>33200</v>
      </c>
      <c r="H429" s="505" t="s">
        <v>1670</v>
      </c>
    </row>
    <row r="430" spans="1:8" ht="13.5" thickTop="1">
      <c r="A430" s="95"/>
      <c r="B430" s="225" t="s">
        <v>303</v>
      </c>
      <c r="C430" s="843"/>
      <c r="D430" s="843"/>
      <c r="E430" s="843"/>
      <c r="F430" s="92" t="s">
        <v>781</v>
      </c>
      <c r="G430" s="93" t="s">
        <v>831</v>
      </c>
    </row>
    <row r="431" spans="1:8">
      <c r="A431" s="95"/>
      <c r="B431" s="226" t="s">
        <v>834</v>
      </c>
      <c r="C431" s="844" t="s">
        <v>355</v>
      </c>
      <c r="D431" s="844"/>
      <c r="E431" s="844"/>
      <c r="F431" s="15" t="s">
        <v>833</v>
      </c>
      <c r="G431" s="165" t="str">
        <f>'MANO DE OBRA'!D61</f>
        <v>Agosto de 2010</v>
      </c>
    </row>
    <row r="432" spans="1:8" ht="13.5" thickBot="1">
      <c r="A432" s="127"/>
      <c r="B432" s="228" t="s">
        <v>835</v>
      </c>
      <c r="C432" s="845" t="s">
        <v>364</v>
      </c>
      <c r="D432" s="845"/>
      <c r="E432" s="845"/>
      <c r="F432" s="845"/>
      <c r="G432" s="846"/>
    </row>
    <row r="433" spans="1:7" ht="14.25" thickTop="1" thickBot="1">
      <c r="A433" s="95"/>
      <c r="B433" s="847"/>
      <c r="C433" s="847"/>
      <c r="D433" s="847"/>
      <c r="E433" s="847"/>
      <c r="F433" s="847"/>
      <c r="G433" s="847"/>
    </row>
    <row r="434" spans="1:7" ht="13.5" thickTop="1">
      <c r="A434" s="95"/>
      <c r="B434" s="811" t="s">
        <v>304</v>
      </c>
      <c r="C434" s="812"/>
      <c r="D434" s="812"/>
      <c r="E434" s="812"/>
      <c r="F434" s="812"/>
      <c r="G434" s="825"/>
    </row>
    <row r="435" spans="1:7">
      <c r="A435" s="95"/>
      <c r="B435" s="229"/>
      <c r="C435" s="97"/>
      <c r="D435" s="98" t="s">
        <v>301</v>
      </c>
      <c r="E435" s="98" t="s">
        <v>1072</v>
      </c>
      <c r="F435" s="99" t="s">
        <v>839</v>
      </c>
      <c r="G435" s="107" t="s">
        <v>840</v>
      </c>
    </row>
    <row r="436" spans="1:7">
      <c r="A436" s="95"/>
      <c r="B436" s="821" t="s">
        <v>838</v>
      </c>
      <c r="C436" s="822"/>
      <c r="D436" s="100" t="s">
        <v>308</v>
      </c>
      <c r="E436" s="100" t="s">
        <v>305</v>
      </c>
      <c r="F436" s="101" t="s">
        <v>306</v>
      </c>
      <c r="G436" s="108" t="s">
        <v>310</v>
      </c>
    </row>
    <row r="437" spans="1:7">
      <c r="A437" s="95"/>
      <c r="B437" s="230"/>
      <c r="C437" s="102"/>
      <c r="D437" s="103"/>
      <c r="E437" s="103" t="s">
        <v>309</v>
      </c>
      <c r="F437" s="104" t="s">
        <v>307</v>
      </c>
      <c r="G437" s="109"/>
    </row>
    <row r="438" spans="1:7">
      <c r="A438" s="127"/>
      <c r="B438" s="823" t="str">
        <f>'MAQUINARIA Y EQUIPOS'!C28</f>
        <v>HERRAMIENTAS MENORES</v>
      </c>
      <c r="C438" s="824"/>
      <c r="D438" s="87">
        <v>1</v>
      </c>
      <c r="E438" s="82">
        <f>ROUND(G471*0.05,0)</f>
        <v>590</v>
      </c>
      <c r="F438" s="81">
        <v>1</v>
      </c>
      <c r="G438" s="110">
        <f>ROUND(D438*E438/F438,0)</f>
        <v>590</v>
      </c>
    </row>
    <row r="439" spans="1:7">
      <c r="A439" s="95"/>
      <c r="B439" s="835"/>
      <c r="C439" s="836"/>
      <c r="D439" s="37"/>
      <c r="E439" s="82"/>
      <c r="F439" s="83"/>
      <c r="G439" s="111"/>
    </row>
    <row r="440" spans="1:7">
      <c r="A440" s="95"/>
      <c r="B440" s="835"/>
      <c r="C440" s="836"/>
      <c r="D440" s="89"/>
      <c r="E440" s="82"/>
      <c r="F440" s="83"/>
      <c r="G440" s="111"/>
    </row>
    <row r="441" spans="1:7">
      <c r="A441" s="95"/>
      <c r="B441" s="835"/>
      <c r="C441" s="836"/>
      <c r="D441" s="89"/>
      <c r="E441" s="82"/>
      <c r="F441" s="83"/>
      <c r="G441" s="111"/>
    </row>
    <row r="442" spans="1:7">
      <c r="A442" s="95"/>
      <c r="B442" s="835" t="s">
        <v>841</v>
      </c>
      <c r="C442" s="836"/>
      <c r="D442" s="37"/>
      <c r="E442" s="82"/>
      <c r="F442" s="83"/>
      <c r="G442" s="111"/>
    </row>
    <row r="443" spans="1:7" ht="13.5" thickBot="1">
      <c r="A443" s="95"/>
      <c r="B443" s="839" t="s">
        <v>841</v>
      </c>
      <c r="C443" s="840"/>
      <c r="D443" s="77"/>
      <c r="E443" s="106"/>
      <c r="F443" s="86"/>
      <c r="G443" s="112"/>
    </row>
    <row r="444" spans="1:7" ht="14.25" thickTop="1" thickBot="1">
      <c r="A444" s="95"/>
      <c r="B444" s="808"/>
      <c r="C444" s="808"/>
      <c r="D444" s="808"/>
      <c r="E444" s="809"/>
      <c r="F444" s="119" t="s">
        <v>856</v>
      </c>
      <c r="G444" s="118">
        <f>SUM(G438:G443)</f>
        <v>590</v>
      </c>
    </row>
    <row r="445" spans="1:7" ht="14.25" thickTop="1" thickBot="1">
      <c r="A445" s="95"/>
      <c r="B445" s="830"/>
      <c r="C445" s="830"/>
      <c r="D445" s="830"/>
      <c r="E445" s="830"/>
      <c r="F445" s="830"/>
      <c r="G445" s="830"/>
    </row>
    <row r="446" spans="1:7" ht="13.5" thickTop="1">
      <c r="A446" s="95"/>
      <c r="B446" s="811" t="s">
        <v>311</v>
      </c>
      <c r="C446" s="812"/>
      <c r="D446" s="812"/>
      <c r="E446" s="812"/>
      <c r="F446" s="812"/>
      <c r="G446" s="825"/>
    </row>
    <row r="447" spans="1:7">
      <c r="A447" s="95"/>
      <c r="B447" s="817" t="s">
        <v>838</v>
      </c>
      <c r="C447" s="818"/>
      <c r="D447" s="98" t="s">
        <v>842</v>
      </c>
      <c r="E447" s="98" t="s">
        <v>853</v>
      </c>
      <c r="F447" s="99" t="s">
        <v>1047</v>
      </c>
      <c r="G447" s="107" t="s">
        <v>840</v>
      </c>
    </row>
    <row r="448" spans="1:7">
      <c r="A448" s="95"/>
      <c r="B448" s="230"/>
      <c r="C448" s="102"/>
      <c r="D448" s="100"/>
      <c r="E448" s="100" t="s">
        <v>312</v>
      </c>
      <c r="F448" s="101" t="s">
        <v>313</v>
      </c>
      <c r="G448" s="108" t="s">
        <v>314</v>
      </c>
    </row>
    <row r="449" spans="1:8" ht="14.25">
      <c r="A449" s="125"/>
      <c r="B449" s="841" t="str">
        <f>MATERIALES2!C49</f>
        <v>MORTERO 1:3 (MATERIALES)</v>
      </c>
      <c r="C449" s="842"/>
      <c r="D449" s="87" t="s">
        <v>1066</v>
      </c>
      <c r="E449" s="10">
        <v>3.3E-3</v>
      </c>
      <c r="F449" s="80">
        <f>MATERIALES2!E49</f>
        <v>365000</v>
      </c>
      <c r="G449" s="110">
        <f>ROUND(E449*F449,0)</f>
        <v>1205</v>
      </c>
    </row>
    <row r="450" spans="1:8">
      <c r="A450" s="123"/>
      <c r="B450" s="854" t="str">
        <f>MATERIALES2!C565</f>
        <v>TUBERIA DRENAJE GRES DE 4"</v>
      </c>
      <c r="C450" s="855"/>
      <c r="D450" s="88" t="s">
        <v>865</v>
      </c>
      <c r="E450" s="83">
        <v>1</v>
      </c>
      <c r="F450" s="82">
        <f>MATERIALES2!E565</f>
        <v>6254</v>
      </c>
      <c r="G450" s="111">
        <f>ROUND(E450*F450,0)</f>
        <v>6254</v>
      </c>
    </row>
    <row r="451" spans="1:8">
      <c r="A451" s="95"/>
      <c r="B451" s="835"/>
      <c r="C451" s="836"/>
      <c r="D451" s="37"/>
      <c r="E451" s="55"/>
      <c r="F451" s="82"/>
      <c r="G451" s="111"/>
    </row>
    <row r="452" spans="1:8">
      <c r="A452" s="95"/>
      <c r="B452" s="835"/>
      <c r="C452" s="836"/>
      <c r="D452" s="37"/>
      <c r="E452" s="55"/>
      <c r="F452" s="82"/>
      <c r="G452" s="111"/>
    </row>
    <row r="453" spans="1:8">
      <c r="A453" s="95"/>
      <c r="B453" s="837"/>
      <c r="C453" s="838"/>
      <c r="D453" s="37"/>
      <c r="E453" s="55"/>
      <c r="F453" s="82"/>
      <c r="G453" s="111"/>
    </row>
    <row r="454" spans="1:8">
      <c r="A454" s="95"/>
      <c r="B454" s="837"/>
      <c r="C454" s="838"/>
      <c r="D454" s="53" t="s">
        <v>841</v>
      </c>
      <c r="E454" s="53"/>
      <c r="F454" s="82"/>
      <c r="G454" s="111"/>
    </row>
    <row r="455" spans="1:8">
      <c r="A455" s="95"/>
      <c r="B455" s="837" t="s">
        <v>841</v>
      </c>
      <c r="C455" s="838"/>
      <c r="D455" s="53" t="s">
        <v>841</v>
      </c>
      <c r="E455" s="53"/>
      <c r="F455" s="82"/>
      <c r="G455" s="111"/>
      <c r="H455" s="505" t="s">
        <v>1670</v>
      </c>
    </row>
    <row r="456" spans="1:8">
      <c r="A456" s="95"/>
      <c r="B456" s="837" t="s">
        <v>841</v>
      </c>
      <c r="C456" s="838"/>
      <c r="D456" s="53" t="s">
        <v>841</v>
      </c>
      <c r="E456" s="53"/>
      <c r="F456" s="82"/>
      <c r="G456" s="111"/>
    </row>
    <row r="457" spans="1:8" ht="13.5" thickBot="1">
      <c r="A457" s="95"/>
      <c r="B457" s="839" t="s">
        <v>841</v>
      </c>
      <c r="C457" s="840"/>
      <c r="D457" s="84" t="s">
        <v>841</v>
      </c>
      <c r="E457" s="84"/>
      <c r="F457" s="85"/>
      <c r="G457" s="112"/>
    </row>
    <row r="458" spans="1:8" ht="13.5" thickTop="1">
      <c r="A458" s="95"/>
      <c r="B458" s="808"/>
      <c r="C458" s="809"/>
      <c r="D458" s="801" t="s">
        <v>856</v>
      </c>
      <c r="E458" s="802"/>
      <c r="F458" s="9"/>
      <c r="G458" s="113">
        <f>SUM(G449:G457)</f>
        <v>7459</v>
      </c>
    </row>
    <row r="459" spans="1:8">
      <c r="A459" s="95"/>
      <c r="B459" s="819"/>
      <c r="C459" s="820"/>
      <c r="D459" s="801" t="s">
        <v>857</v>
      </c>
      <c r="E459" s="802"/>
      <c r="F459" s="79">
        <f>'MANO DE OBRA'!D60</f>
        <v>0.05</v>
      </c>
      <c r="G459" s="113">
        <f>ROUND(G458*F459,0)</f>
        <v>373</v>
      </c>
    </row>
    <row r="460" spans="1:8" ht="13.5" thickBot="1">
      <c r="A460" s="95"/>
      <c r="B460" s="819"/>
      <c r="C460" s="820"/>
      <c r="D460" s="803" t="s">
        <v>320</v>
      </c>
      <c r="E460" s="804"/>
      <c r="F460" s="114"/>
      <c r="G460" s="118">
        <f>+G458+G459</f>
        <v>7832</v>
      </c>
    </row>
    <row r="461" spans="1:8" ht="14.25" thickTop="1" thickBot="1">
      <c r="A461" s="95"/>
      <c r="B461" s="830"/>
      <c r="C461" s="830"/>
      <c r="D461" s="830"/>
      <c r="E461" s="830"/>
      <c r="F461" s="830"/>
      <c r="G461" s="830"/>
    </row>
    <row r="462" spans="1:8" ht="13.5" thickTop="1">
      <c r="A462" s="95"/>
      <c r="B462" s="811" t="s">
        <v>858</v>
      </c>
      <c r="C462" s="812"/>
      <c r="D462" s="812"/>
      <c r="E462" s="812"/>
      <c r="F462" s="812"/>
      <c r="G462" s="825"/>
    </row>
    <row r="463" spans="1:8">
      <c r="A463" s="95"/>
      <c r="B463" s="817"/>
      <c r="C463" s="818"/>
      <c r="D463" s="98" t="s">
        <v>301</v>
      </c>
      <c r="E463" s="98" t="s">
        <v>859</v>
      </c>
      <c r="F463" s="99" t="s">
        <v>839</v>
      </c>
      <c r="G463" s="107" t="s">
        <v>840</v>
      </c>
    </row>
    <row r="464" spans="1:8">
      <c r="A464" s="95"/>
      <c r="B464" s="821" t="s">
        <v>838</v>
      </c>
      <c r="C464" s="822"/>
      <c r="D464" s="100" t="s">
        <v>316</v>
      </c>
      <c r="E464" s="100" t="s">
        <v>315</v>
      </c>
      <c r="F464" s="101" t="s">
        <v>306</v>
      </c>
      <c r="G464" s="108" t="s">
        <v>319</v>
      </c>
    </row>
    <row r="465" spans="1:7">
      <c r="A465" s="95"/>
      <c r="B465" s="230"/>
      <c r="C465" s="102"/>
      <c r="D465" s="103"/>
      <c r="E465" s="103" t="s">
        <v>317</v>
      </c>
      <c r="F465" s="104" t="s">
        <v>318</v>
      </c>
      <c r="G465" s="109"/>
    </row>
    <row r="466" spans="1:7">
      <c r="A466" s="95"/>
      <c r="B466" s="823" t="str">
        <f>'MANO DE OBRA'!B10</f>
        <v>AYUDANTE CUAD. TIPO AA</v>
      </c>
      <c r="C466" s="824"/>
      <c r="D466" s="87">
        <v>1</v>
      </c>
      <c r="E466" s="80">
        <f>'MANO DE OBRA'!E10</f>
        <v>34680</v>
      </c>
      <c r="F466" s="81">
        <v>9</v>
      </c>
      <c r="G466" s="110">
        <f>ROUND(D466*E466/F466,0)</f>
        <v>3853</v>
      </c>
    </row>
    <row r="467" spans="1:7">
      <c r="A467" s="95"/>
      <c r="B467" s="835" t="str">
        <f>'MANO DE OBRA'!B15</f>
        <v xml:space="preserve">OFICIAL CUAD. TIPO AA </v>
      </c>
      <c r="C467" s="836"/>
      <c r="D467" s="37">
        <v>1</v>
      </c>
      <c r="E467" s="82">
        <f>'MANO DE OBRA'!E15</f>
        <v>71474</v>
      </c>
      <c r="F467" s="83">
        <v>9</v>
      </c>
      <c r="G467" s="111">
        <f>ROUND(D467*E467/F467,0)</f>
        <v>7942</v>
      </c>
    </row>
    <row r="468" spans="1:7">
      <c r="A468" s="95"/>
      <c r="B468" s="835"/>
      <c r="C468" s="836"/>
      <c r="D468" s="89"/>
      <c r="E468" s="82"/>
      <c r="F468" s="83"/>
      <c r="G468" s="111"/>
    </row>
    <row r="469" spans="1:7">
      <c r="A469" s="95"/>
      <c r="B469" s="835" t="s">
        <v>841</v>
      </c>
      <c r="C469" s="836"/>
      <c r="D469" s="37"/>
      <c r="E469" s="82"/>
      <c r="F469" s="83"/>
      <c r="G469" s="111"/>
    </row>
    <row r="470" spans="1:7" ht="13.5" thickBot="1">
      <c r="A470" s="95"/>
      <c r="B470" s="828" t="s">
        <v>841</v>
      </c>
      <c r="C470" s="829"/>
      <c r="D470" s="77"/>
      <c r="E470" s="82"/>
      <c r="F470" s="86"/>
      <c r="G470" s="112"/>
    </row>
    <row r="471" spans="1:7" ht="14.25" thickTop="1" thickBot="1">
      <c r="A471" s="95"/>
      <c r="B471" s="808"/>
      <c r="C471" s="808"/>
      <c r="D471" s="808"/>
      <c r="E471" s="809"/>
      <c r="F471" s="120" t="s">
        <v>856</v>
      </c>
      <c r="G471" s="118">
        <f>SUM(G466:G470)</f>
        <v>11795</v>
      </c>
    </row>
    <row r="472" spans="1:7" ht="14.25" thickTop="1" thickBot="1">
      <c r="A472" s="95"/>
      <c r="B472" s="810"/>
      <c r="C472" s="810"/>
      <c r="D472" s="810"/>
      <c r="E472" s="810"/>
      <c r="F472" s="810"/>
      <c r="G472" s="810"/>
    </row>
    <row r="473" spans="1:7" ht="13.5" thickTop="1">
      <c r="A473" s="95"/>
      <c r="B473" s="811" t="s">
        <v>321</v>
      </c>
      <c r="C473" s="812"/>
      <c r="D473" s="812"/>
      <c r="E473" s="812"/>
      <c r="F473" s="812"/>
      <c r="G473" s="825"/>
    </row>
    <row r="474" spans="1:7">
      <c r="A474" s="95"/>
      <c r="B474" s="817" t="s">
        <v>838</v>
      </c>
      <c r="C474" s="818"/>
      <c r="D474" s="98" t="s">
        <v>301</v>
      </c>
      <c r="E474" s="98" t="s">
        <v>297</v>
      </c>
      <c r="F474" s="99" t="s">
        <v>839</v>
      </c>
      <c r="G474" s="107" t="s">
        <v>840</v>
      </c>
    </row>
    <row r="475" spans="1:7">
      <c r="A475" s="95"/>
      <c r="B475" s="230"/>
      <c r="C475" s="102"/>
      <c r="D475" s="103" t="s">
        <v>322</v>
      </c>
      <c r="E475" s="103" t="s">
        <v>323</v>
      </c>
      <c r="F475" s="104" t="s">
        <v>324</v>
      </c>
      <c r="G475" s="109" t="s">
        <v>325</v>
      </c>
    </row>
    <row r="476" spans="1:7">
      <c r="A476" s="95"/>
      <c r="B476" s="826"/>
      <c r="C476" s="827"/>
      <c r="D476" s="96"/>
      <c r="E476" s="96"/>
      <c r="F476" s="96"/>
      <c r="G476" s="116"/>
    </row>
    <row r="477" spans="1:7" ht="13.5" thickBot="1">
      <c r="A477" s="95"/>
      <c r="B477" s="828" t="s">
        <v>841</v>
      </c>
      <c r="C477" s="829"/>
      <c r="D477" s="77"/>
      <c r="E477" s="82"/>
      <c r="F477" s="86"/>
      <c r="G477" s="112"/>
    </row>
    <row r="478" spans="1:7" ht="14.25" thickTop="1" thickBot="1">
      <c r="A478" s="95"/>
      <c r="B478" s="808"/>
      <c r="C478" s="808"/>
      <c r="D478" s="808"/>
      <c r="E478" s="809"/>
      <c r="F478" s="120" t="s">
        <v>856</v>
      </c>
      <c r="G478" s="118">
        <f>SUM(G473:G477)</f>
        <v>0</v>
      </c>
    </row>
    <row r="479" spans="1:7" ht="14.25" thickTop="1" thickBot="1">
      <c r="A479" s="95"/>
      <c r="B479" s="810"/>
      <c r="C479" s="810"/>
      <c r="D479" s="810"/>
      <c r="E479" s="810"/>
      <c r="F479" s="810"/>
      <c r="G479" s="834"/>
    </row>
    <row r="480" spans="1:7" ht="13.5" thickTop="1">
      <c r="A480" s="95"/>
      <c r="B480" s="811" t="s">
        <v>326</v>
      </c>
      <c r="C480" s="812"/>
      <c r="D480" s="812"/>
      <c r="E480" s="812"/>
      <c r="F480" s="813"/>
      <c r="G480" s="121">
        <f>+G444+G460+G471</f>
        <v>20217</v>
      </c>
    </row>
    <row r="481" spans="1:8">
      <c r="A481" s="95"/>
      <c r="B481" s="814" t="s">
        <v>861</v>
      </c>
      <c r="C481" s="815"/>
      <c r="D481" s="815"/>
      <c r="E481" s="816"/>
      <c r="F481" s="128">
        <f>'MANO DE OBRA'!D59</f>
        <v>0</v>
      </c>
      <c r="G481" s="122">
        <f>ROUND(G480*F481,0)</f>
        <v>0</v>
      </c>
    </row>
    <row r="482" spans="1:8" ht="13.5" thickBot="1">
      <c r="A482" s="95"/>
      <c r="B482" s="805" t="s">
        <v>1049</v>
      </c>
      <c r="C482" s="806"/>
      <c r="D482" s="806"/>
      <c r="E482" s="806"/>
      <c r="F482" s="807"/>
      <c r="G482" s="118">
        <f>ROUND(G480+G481,-2)</f>
        <v>20200</v>
      </c>
      <c r="H482" s="505" t="s">
        <v>1670</v>
      </c>
    </row>
    <row r="483" spans="1:8" ht="13.5" thickTop="1">
      <c r="A483" s="95"/>
      <c r="B483" s="225" t="s">
        <v>303</v>
      </c>
      <c r="C483" s="843"/>
      <c r="D483" s="843"/>
      <c r="E483" s="843"/>
      <c r="F483" s="92" t="s">
        <v>781</v>
      </c>
      <c r="G483" s="93" t="s">
        <v>831</v>
      </c>
    </row>
    <row r="484" spans="1:8">
      <c r="A484" s="95"/>
      <c r="B484" s="226" t="s">
        <v>834</v>
      </c>
      <c r="C484" s="844" t="s">
        <v>355</v>
      </c>
      <c r="D484" s="844"/>
      <c r="E484" s="844"/>
      <c r="F484" s="15" t="s">
        <v>833</v>
      </c>
      <c r="G484" s="165" t="str">
        <f>'MANO DE OBRA'!D61</f>
        <v>Agosto de 2010</v>
      </c>
    </row>
    <row r="485" spans="1:8" ht="13.5" thickBot="1">
      <c r="A485" s="127"/>
      <c r="B485" s="228" t="s">
        <v>835</v>
      </c>
      <c r="C485" s="845" t="s">
        <v>365</v>
      </c>
      <c r="D485" s="845"/>
      <c r="E485" s="845"/>
      <c r="F485" s="845"/>
      <c r="G485" s="846"/>
    </row>
    <row r="486" spans="1:8" ht="14.25" thickTop="1" thickBot="1">
      <c r="A486" s="95"/>
      <c r="B486" s="847"/>
      <c r="C486" s="847"/>
      <c r="D486" s="847"/>
      <c r="E486" s="847"/>
      <c r="F486" s="847"/>
      <c r="G486" s="847"/>
    </row>
    <row r="487" spans="1:8" ht="13.5" thickTop="1">
      <c r="A487" s="95"/>
      <c r="B487" s="811" t="s">
        <v>304</v>
      </c>
      <c r="C487" s="812"/>
      <c r="D487" s="812"/>
      <c r="E487" s="812"/>
      <c r="F487" s="812"/>
      <c r="G487" s="825"/>
    </row>
    <row r="488" spans="1:8">
      <c r="A488" s="95"/>
      <c r="B488" s="229"/>
      <c r="C488" s="97"/>
      <c r="D488" s="98" t="s">
        <v>301</v>
      </c>
      <c r="E488" s="98" t="s">
        <v>1072</v>
      </c>
      <c r="F488" s="99" t="s">
        <v>839</v>
      </c>
      <c r="G488" s="107" t="s">
        <v>840</v>
      </c>
    </row>
    <row r="489" spans="1:8">
      <c r="A489" s="95"/>
      <c r="B489" s="821" t="s">
        <v>838</v>
      </c>
      <c r="C489" s="822"/>
      <c r="D489" s="100" t="s">
        <v>308</v>
      </c>
      <c r="E489" s="100" t="s">
        <v>305</v>
      </c>
      <c r="F489" s="101" t="s">
        <v>306</v>
      </c>
      <c r="G489" s="108" t="s">
        <v>310</v>
      </c>
    </row>
    <row r="490" spans="1:8">
      <c r="A490" s="95"/>
      <c r="B490" s="230"/>
      <c r="C490" s="102"/>
      <c r="D490" s="103"/>
      <c r="E490" s="103" t="s">
        <v>309</v>
      </c>
      <c r="F490" s="104" t="s">
        <v>307</v>
      </c>
      <c r="G490" s="109"/>
    </row>
    <row r="491" spans="1:8">
      <c r="A491" s="127"/>
      <c r="B491" s="823" t="str">
        <f>'MAQUINARIA Y EQUIPOS'!C28</f>
        <v>HERRAMIENTAS MENORES</v>
      </c>
      <c r="C491" s="824"/>
      <c r="D491" s="87">
        <v>1</v>
      </c>
      <c r="E491" s="82">
        <f>ROUND(G524*0.05,0)</f>
        <v>758</v>
      </c>
      <c r="F491" s="81">
        <v>1</v>
      </c>
      <c r="G491" s="110">
        <f>ROUND(D491*E491/F491,0)</f>
        <v>758</v>
      </c>
    </row>
    <row r="492" spans="1:8">
      <c r="A492" s="95"/>
      <c r="B492" s="835"/>
      <c r="C492" s="836"/>
      <c r="D492" s="37"/>
      <c r="E492" s="82"/>
      <c r="F492" s="83"/>
      <c r="G492" s="111"/>
    </row>
    <row r="493" spans="1:8">
      <c r="A493" s="95"/>
      <c r="B493" s="835"/>
      <c r="C493" s="836"/>
      <c r="D493" s="89"/>
      <c r="E493" s="82"/>
      <c r="F493" s="83"/>
      <c r="G493" s="111"/>
    </row>
    <row r="494" spans="1:8">
      <c r="A494" s="95"/>
      <c r="B494" s="835"/>
      <c r="C494" s="836"/>
      <c r="D494" s="89"/>
      <c r="E494" s="82"/>
      <c r="F494" s="83"/>
      <c r="G494" s="111"/>
    </row>
    <row r="495" spans="1:8">
      <c r="A495" s="95"/>
      <c r="B495" s="835" t="s">
        <v>841</v>
      </c>
      <c r="C495" s="836"/>
      <c r="D495" s="37"/>
      <c r="E495" s="82"/>
      <c r="F495" s="83"/>
      <c r="G495" s="111"/>
    </row>
    <row r="496" spans="1:8" ht="13.5" thickBot="1">
      <c r="A496" s="95"/>
      <c r="B496" s="839" t="s">
        <v>841</v>
      </c>
      <c r="C496" s="840"/>
      <c r="D496" s="77"/>
      <c r="E496" s="106"/>
      <c r="F496" s="86"/>
      <c r="G496" s="112"/>
    </row>
    <row r="497" spans="1:8" ht="14.25" thickTop="1" thickBot="1">
      <c r="A497" s="95"/>
      <c r="B497" s="808"/>
      <c r="C497" s="808"/>
      <c r="D497" s="808"/>
      <c r="E497" s="809"/>
      <c r="F497" s="119" t="s">
        <v>856</v>
      </c>
      <c r="G497" s="118">
        <f>SUM(G491:G496)</f>
        <v>758</v>
      </c>
    </row>
    <row r="498" spans="1:8" ht="14.25" thickTop="1" thickBot="1">
      <c r="A498" s="95"/>
      <c r="B498" s="830"/>
      <c r="C498" s="830"/>
      <c r="D498" s="830"/>
      <c r="E498" s="830"/>
      <c r="F498" s="830"/>
      <c r="G498" s="830"/>
    </row>
    <row r="499" spans="1:8" ht="13.5" thickTop="1">
      <c r="A499" s="95"/>
      <c r="B499" s="811" t="s">
        <v>311</v>
      </c>
      <c r="C499" s="812"/>
      <c r="D499" s="812"/>
      <c r="E499" s="812"/>
      <c r="F499" s="812"/>
      <c r="G499" s="825"/>
    </row>
    <row r="500" spans="1:8">
      <c r="A500" s="95"/>
      <c r="B500" s="817" t="s">
        <v>838</v>
      </c>
      <c r="C500" s="818"/>
      <c r="D500" s="98" t="s">
        <v>842</v>
      </c>
      <c r="E500" s="98" t="s">
        <v>853</v>
      </c>
      <c r="F500" s="99" t="s">
        <v>1047</v>
      </c>
      <c r="G500" s="107" t="s">
        <v>840</v>
      </c>
    </row>
    <row r="501" spans="1:8">
      <c r="A501" s="95"/>
      <c r="B501" s="230"/>
      <c r="C501" s="102"/>
      <c r="D501" s="100"/>
      <c r="E501" s="100" t="s">
        <v>312</v>
      </c>
      <c r="F501" s="101" t="s">
        <v>313</v>
      </c>
      <c r="G501" s="108" t="s">
        <v>314</v>
      </c>
    </row>
    <row r="502" spans="1:8" ht="14.25">
      <c r="A502" s="125"/>
      <c r="B502" s="841" t="str">
        <f>MATERIALES2!C49</f>
        <v>MORTERO 1:3 (MATERIALES)</v>
      </c>
      <c r="C502" s="842"/>
      <c r="D502" s="87" t="s">
        <v>1066</v>
      </c>
      <c r="E502" s="10">
        <v>4.8999999999999998E-3</v>
      </c>
      <c r="F502" s="80">
        <f>MATERIALES2!E49</f>
        <v>365000</v>
      </c>
      <c r="G502" s="110">
        <f>ROUND(E502*F502,0)</f>
        <v>1789</v>
      </c>
    </row>
    <row r="503" spans="1:8">
      <c r="A503" s="123"/>
      <c r="B503" s="854" t="str">
        <f>MATERIALES2!C569</f>
        <v>TUBERIA DRENAJE GRES DE 6"</v>
      </c>
      <c r="C503" s="855"/>
      <c r="D503" s="88" t="s">
        <v>865</v>
      </c>
      <c r="E503" s="83">
        <v>1</v>
      </c>
      <c r="F503" s="82">
        <f>MATERIALES2!E569</f>
        <v>9665</v>
      </c>
      <c r="G503" s="111">
        <f>ROUND(E503*F503,0)</f>
        <v>9665</v>
      </c>
    </row>
    <row r="504" spans="1:8">
      <c r="A504" s="95"/>
      <c r="B504" s="854"/>
      <c r="C504" s="855"/>
      <c r="D504" s="37"/>
      <c r="E504" s="55"/>
      <c r="F504" s="82"/>
      <c r="G504" s="111"/>
    </row>
    <row r="505" spans="1:8">
      <c r="A505" s="95"/>
      <c r="B505" s="854"/>
      <c r="C505" s="855"/>
      <c r="D505" s="37"/>
      <c r="E505" s="55"/>
      <c r="F505" s="82"/>
      <c r="G505" s="111"/>
    </row>
    <row r="506" spans="1:8">
      <c r="A506" s="95"/>
      <c r="B506" s="837"/>
      <c r="C506" s="838"/>
      <c r="D506" s="37"/>
      <c r="E506" s="55"/>
      <c r="F506" s="82"/>
      <c r="G506" s="111"/>
    </row>
    <row r="507" spans="1:8">
      <c r="A507" s="95"/>
      <c r="B507" s="837"/>
      <c r="C507" s="838"/>
      <c r="D507" s="53" t="s">
        <v>841</v>
      </c>
      <c r="E507" s="53"/>
      <c r="F507" s="82"/>
      <c r="G507" s="111"/>
    </row>
    <row r="508" spans="1:8">
      <c r="A508" s="95"/>
      <c r="B508" s="837" t="s">
        <v>841</v>
      </c>
      <c r="C508" s="838"/>
      <c r="D508" s="53" t="s">
        <v>841</v>
      </c>
      <c r="E508" s="53"/>
      <c r="F508" s="82"/>
      <c r="G508" s="111"/>
    </row>
    <row r="509" spans="1:8">
      <c r="A509" s="95"/>
      <c r="B509" s="837" t="s">
        <v>841</v>
      </c>
      <c r="C509" s="838"/>
      <c r="D509" s="53" t="s">
        <v>841</v>
      </c>
      <c r="E509" s="53"/>
      <c r="F509" s="82"/>
      <c r="G509" s="111"/>
      <c r="H509" s="505" t="s">
        <v>1670</v>
      </c>
    </row>
    <row r="510" spans="1:8" ht="13.5" thickBot="1">
      <c r="A510" s="95"/>
      <c r="B510" s="839" t="s">
        <v>841</v>
      </c>
      <c r="C510" s="840"/>
      <c r="D510" s="84" t="s">
        <v>841</v>
      </c>
      <c r="E510" s="84"/>
      <c r="F510" s="85"/>
      <c r="G510" s="112"/>
    </row>
    <row r="511" spans="1:8" ht="13.5" thickTop="1">
      <c r="A511" s="95"/>
      <c r="B511" s="808"/>
      <c r="C511" s="809"/>
      <c r="D511" s="801" t="s">
        <v>856</v>
      </c>
      <c r="E511" s="802"/>
      <c r="F511" s="9"/>
      <c r="G511" s="113">
        <f>SUM(G502:G510)</f>
        <v>11454</v>
      </c>
    </row>
    <row r="512" spans="1:8">
      <c r="A512" s="95"/>
      <c r="B512" s="819"/>
      <c r="C512" s="820"/>
      <c r="D512" s="801" t="s">
        <v>857</v>
      </c>
      <c r="E512" s="802"/>
      <c r="F512" s="79">
        <f>'MANO DE OBRA'!D60</f>
        <v>0.05</v>
      </c>
      <c r="G512" s="113">
        <f>ROUND(G511*F512,0)</f>
        <v>573</v>
      </c>
    </row>
    <row r="513" spans="1:7" ht="13.5" thickBot="1">
      <c r="A513" s="95"/>
      <c r="B513" s="819"/>
      <c r="C513" s="820"/>
      <c r="D513" s="803" t="s">
        <v>320</v>
      </c>
      <c r="E513" s="804"/>
      <c r="F513" s="114"/>
      <c r="G513" s="118">
        <f>+G511+G512</f>
        <v>12027</v>
      </c>
    </row>
    <row r="514" spans="1:7" ht="14.25" thickTop="1" thickBot="1">
      <c r="A514" s="95"/>
      <c r="B514" s="830"/>
      <c r="C514" s="830"/>
      <c r="D514" s="830"/>
      <c r="E514" s="830"/>
      <c r="F514" s="830"/>
      <c r="G514" s="830"/>
    </row>
    <row r="515" spans="1:7" ht="13.5" thickTop="1">
      <c r="A515" s="95"/>
      <c r="B515" s="811" t="s">
        <v>858</v>
      </c>
      <c r="C515" s="812"/>
      <c r="D515" s="812"/>
      <c r="E515" s="812"/>
      <c r="F515" s="812"/>
      <c r="G515" s="825"/>
    </row>
    <row r="516" spans="1:7">
      <c r="A516" s="95"/>
      <c r="B516" s="817"/>
      <c r="C516" s="818"/>
      <c r="D516" s="98" t="s">
        <v>301</v>
      </c>
      <c r="E516" s="98" t="s">
        <v>859</v>
      </c>
      <c r="F516" s="99" t="s">
        <v>839</v>
      </c>
      <c r="G516" s="107" t="s">
        <v>840</v>
      </c>
    </row>
    <row r="517" spans="1:7">
      <c r="A517" s="95"/>
      <c r="B517" s="821" t="s">
        <v>838</v>
      </c>
      <c r="C517" s="822"/>
      <c r="D517" s="100" t="s">
        <v>316</v>
      </c>
      <c r="E517" s="100" t="s">
        <v>315</v>
      </c>
      <c r="F517" s="101" t="s">
        <v>306</v>
      </c>
      <c r="G517" s="108" t="s">
        <v>319</v>
      </c>
    </row>
    <row r="518" spans="1:7">
      <c r="A518" s="95"/>
      <c r="B518" s="230"/>
      <c r="C518" s="102"/>
      <c r="D518" s="103"/>
      <c r="E518" s="103" t="s">
        <v>317</v>
      </c>
      <c r="F518" s="104" t="s">
        <v>318</v>
      </c>
      <c r="G518" s="109"/>
    </row>
    <row r="519" spans="1:7">
      <c r="A519" s="95"/>
      <c r="B519" s="823" t="str">
        <f>'MANO DE OBRA'!B10</f>
        <v>AYUDANTE CUAD. TIPO AA</v>
      </c>
      <c r="C519" s="824"/>
      <c r="D519" s="87">
        <v>1</v>
      </c>
      <c r="E519" s="80">
        <f>'MANO DE OBRA'!E10</f>
        <v>34680</v>
      </c>
      <c r="F519" s="81">
        <v>7</v>
      </c>
      <c r="G519" s="110">
        <f>ROUND(D519*E519/F519,0)</f>
        <v>4954</v>
      </c>
    </row>
    <row r="520" spans="1:7">
      <c r="A520" s="95"/>
      <c r="B520" s="835" t="str">
        <f>'MANO DE OBRA'!B15</f>
        <v xml:space="preserve">OFICIAL CUAD. TIPO AA </v>
      </c>
      <c r="C520" s="836"/>
      <c r="D520" s="37">
        <v>1</v>
      </c>
      <c r="E520" s="82">
        <f>'MANO DE OBRA'!E15</f>
        <v>71474</v>
      </c>
      <c r="F520" s="83">
        <v>7</v>
      </c>
      <c r="G520" s="111">
        <f>ROUND(D520*E520/F520,0)</f>
        <v>10211</v>
      </c>
    </row>
    <row r="521" spans="1:7">
      <c r="A521" s="95"/>
      <c r="B521" s="835"/>
      <c r="C521" s="836"/>
      <c r="D521" s="89"/>
      <c r="E521" s="82"/>
      <c r="F521" s="83"/>
      <c r="G521" s="111"/>
    </row>
    <row r="522" spans="1:7">
      <c r="A522" s="95"/>
      <c r="B522" s="835" t="s">
        <v>841</v>
      </c>
      <c r="C522" s="836"/>
      <c r="D522" s="37"/>
      <c r="E522" s="82"/>
      <c r="F522" s="83"/>
      <c r="G522" s="111"/>
    </row>
    <row r="523" spans="1:7" ht="13.5" thickBot="1">
      <c r="A523" s="95"/>
      <c r="B523" s="828" t="s">
        <v>841</v>
      </c>
      <c r="C523" s="829"/>
      <c r="D523" s="77"/>
      <c r="E523" s="82"/>
      <c r="F523" s="86"/>
      <c r="G523" s="112"/>
    </row>
    <row r="524" spans="1:7" ht="14.25" thickTop="1" thickBot="1">
      <c r="A524" s="95"/>
      <c r="B524" s="808"/>
      <c r="C524" s="808"/>
      <c r="D524" s="808"/>
      <c r="E524" s="809"/>
      <c r="F524" s="120" t="s">
        <v>856</v>
      </c>
      <c r="G524" s="118">
        <f>SUM(G519:G523)</f>
        <v>15165</v>
      </c>
    </row>
    <row r="525" spans="1:7" ht="14.25" thickTop="1" thickBot="1">
      <c r="A525" s="95"/>
      <c r="B525" s="810"/>
      <c r="C525" s="810"/>
      <c r="D525" s="810"/>
      <c r="E525" s="810"/>
      <c r="F525" s="810"/>
      <c r="G525" s="810"/>
    </row>
    <row r="526" spans="1:7" ht="13.5" thickTop="1">
      <c r="A526" s="95"/>
      <c r="B526" s="811" t="s">
        <v>321</v>
      </c>
      <c r="C526" s="812"/>
      <c r="D526" s="812"/>
      <c r="E526" s="812"/>
      <c r="F526" s="812"/>
      <c r="G526" s="825"/>
    </row>
    <row r="527" spans="1:7">
      <c r="A527" s="95"/>
      <c r="B527" s="817" t="s">
        <v>838</v>
      </c>
      <c r="C527" s="818"/>
      <c r="D527" s="98" t="s">
        <v>301</v>
      </c>
      <c r="E527" s="98" t="s">
        <v>297</v>
      </c>
      <c r="F527" s="99" t="s">
        <v>839</v>
      </c>
      <c r="G527" s="107" t="s">
        <v>840</v>
      </c>
    </row>
    <row r="528" spans="1:7">
      <c r="A528" s="95"/>
      <c r="B528" s="230"/>
      <c r="C528" s="102"/>
      <c r="D528" s="103" t="s">
        <v>322</v>
      </c>
      <c r="E528" s="103" t="s">
        <v>323</v>
      </c>
      <c r="F528" s="104" t="s">
        <v>324</v>
      </c>
      <c r="G528" s="109" t="s">
        <v>325</v>
      </c>
    </row>
    <row r="529" spans="1:8">
      <c r="A529" s="95"/>
      <c r="B529" s="826"/>
      <c r="C529" s="827"/>
      <c r="D529" s="96"/>
      <c r="E529" s="96"/>
      <c r="F529" s="96"/>
      <c r="G529" s="116"/>
    </row>
    <row r="530" spans="1:8" ht="13.5" thickBot="1">
      <c r="A530" s="95"/>
      <c r="B530" s="828" t="s">
        <v>841</v>
      </c>
      <c r="C530" s="829"/>
      <c r="D530" s="77"/>
      <c r="E530" s="82"/>
      <c r="F530" s="86"/>
      <c r="G530" s="112"/>
    </row>
    <row r="531" spans="1:8" ht="14.25" thickTop="1" thickBot="1">
      <c r="A531" s="95"/>
      <c r="B531" s="808"/>
      <c r="C531" s="808"/>
      <c r="D531" s="808"/>
      <c r="E531" s="809"/>
      <c r="F531" s="120" t="s">
        <v>856</v>
      </c>
      <c r="G531" s="118">
        <f>SUM(G526:G530)</f>
        <v>0</v>
      </c>
    </row>
    <row r="532" spans="1:8" ht="14.25" thickTop="1" thickBot="1">
      <c r="A532" s="95"/>
      <c r="B532" s="810"/>
      <c r="C532" s="810"/>
      <c r="D532" s="810"/>
      <c r="E532" s="810"/>
      <c r="F532" s="810"/>
      <c r="G532" s="834"/>
    </row>
    <row r="533" spans="1:8" ht="13.5" thickTop="1">
      <c r="A533" s="95"/>
      <c r="B533" s="811" t="s">
        <v>326</v>
      </c>
      <c r="C533" s="812"/>
      <c r="D533" s="812"/>
      <c r="E533" s="812"/>
      <c r="F533" s="813"/>
      <c r="G533" s="121">
        <f>+G497+G513+G524</f>
        <v>27950</v>
      </c>
    </row>
    <row r="534" spans="1:8">
      <c r="A534" s="95"/>
      <c r="B534" s="814" t="s">
        <v>861</v>
      </c>
      <c r="C534" s="815"/>
      <c r="D534" s="815"/>
      <c r="E534" s="816"/>
      <c r="F534" s="128">
        <f>'MANO DE OBRA'!D59</f>
        <v>0</v>
      </c>
      <c r="G534" s="122">
        <f>ROUND(G533*F534,0)</f>
        <v>0</v>
      </c>
    </row>
    <row r="535" spans="1:8" ht="13.5" thickBot="1">
      <c r="A535" s="95"/>
      <c r="B535" s="805" t="s">
        <v>1049</v>
      </c>
      <c r="C535" s="806"/>
      <c r="D535" s="806"/>
      <c r="E535" s="806"/>
      <c r="F535" s="807"/>
      <c r="G535" s="118">
        <f>ROUND(G533+G534,-2)</f>
        <v>28000</v>
      </c>
      <c r="H535" s="505" t="s">
        <v>1670</v>
      </c>
    </row>
    <row r="536" spans="1:8" ht="13.5" thickTop="1">
      <c r="A536" s="95"/>
      <c r="B536" s="225" t="s">
        <v>303</v>
      </c>
      <c r="C536" s="843"/>
      <c r="D536" s="843"/>
      <c r="E536" s="843"/>
      <c r="F536" s="92" t="s">
        <v>781</v>
      </c>
      <c r="G536" s="93" t="s">
        <v>865</v>
      </c>
    </row>
    <row r="537" spans="1:8">
      <c r="A537" s="95"/>
      <c r="B537" s="226" t="s">
        <v>834</v>
      </c>
      <c r="C537" s="844" t="s">
        <v>355</v>
      </c>
      <c r="D537" s="844"/>
      <c r="E537" s="844"/>
      <c r="F537" s="15" t="s">
        <v>833</v>
      </c>
      <c r="G537" s="165" t="str">
        <f>'MANO DE OBRA'!$D$61</f>
        <v>Agosto de 2010</v>
      </c>
    </row>
    <row r="538" spans="1:8" ht="13.5" thickBot="1">
      <c r="A538" s="127"/>
      <c r="B538" s="228" t="s">
        <v>835</v>
      </c>
      <c r="C538" s="845" t="s">
        <v>824</v>
      </c>
      <c r="D538" s="845"/>
      <c r="E538" s="845"/>
      <c r="F538" s="845"/>
      <c r="G538" s="846"/>
    </row>
    <row r="539" spans="1:8" ht="14.25" thickTop="1" thickBot="1">
      <c r="A539" s="95"/>
      <c r="B539" s="847"/>
      <c r="C539" s="847"/>
      <c r="D539" s="847"/>
      <c r="E539" s="847"/>
      <c r="F539" s="847"/>
      <c r="G539" s="847"/>
    </row>
    <row r="540" spans="1:8" ht="13.5" thickTop="1">
      <c r="A540" s="95"/>
      <c r="B540" s="811" t="s">
        <v>304</v>
      </c>
      <c r="C540" s="812"/>
      <c r="D540" s="812"/>
      <c r="E540" s="812"/>
      <c r="F540" s="812"/>
      <c r="G540" s="825"/>
    </row>
    <row r="541" spans="1:8">
      <c r="A541" s="95"/>
      <c r="B541" s="229"/>
      <c r="C541" s="97"/>
      <c r="D541" s="98" t="s">
        <v>301</v>
      </c>
      <c r="E541" s="98" t="s">
        <v>1072</v>
      </c>
      <c r="F541" s="99" t="s">
        <v>839</v>
      </c>
      <c r="G541" s="107" t="s">
        <v>840</v>
      </c>
    </row>
    <row r="542" spans="1:8">
      <c r="A542" s="95"/>
      <c r="B542" s="821" t="s">
        <v>838</v>
      </c>
      <c r="C542" s="822"/>
      <c r="D542" s="100" t="s">
        <v>308</v>
      </c>
      <c r="E542" s="100" t="s">
        <v>305</v>
      </c>
      <c r="F542" s="101" t="s">
        <v>306</v>
      </c>
      <c r="G542" s="108" t="s">
        <v>310</v>
      </c>
    </row>
    <row r="543" spans="1:8">
      <c r="A543" s="95"/>
      <c r="B543" s="230"/>
      <c r="C543" s="102"/>
      <c r="D543" s="103"/>
      <c r="E543" s="103" t="s">
        <v>309</v>
      </c>
      <c r="F543" s="104" t="s">
        <v>307</v>
      </c>
      <c r="G543" s="109"/>
    </row>
    <row r="544" spans="1:8">
      <c r="A544" s="127"/>
      <c r="B544" s="823" t="str">
        <f>'MAQUINARIA Y EQUIPOS'!$C$28</f>
        <v>HERRAMIENTAS MENORES</v>
      </c>
      <c r="C544" s="824"/>
      <c r="D544" s="87">
        <v>1</v>
      </c>
      <c r="E544" s="82">
        <f>ROUND(G576*0.05,0)</f>
        <v>1594</v>
      </c>
      <c r="F544" s="81">
        <v>1</v>
      </c>
      <c r="G544" s="110">
        <f>ROUND(D544*E544/F544,0)</f>
        <v>1594</v>
      </c>
    </row>
    <row r="545" spans="1:7">
      <c r="A545" s="95"/>
      <c r="B545" s="835"/>
      <c r="C545" s="836"/>
      <c r="D545" s="37"/>
      <c r="E545" s="82"/>
      <c r="F545" s="83"/>
      <c r="G545" s="111"/>
    </row>
    <row r="546" spans="1:7">
      <c r="A546" s="95"/>
      <c r="B546" s="835"/>
      <c r="C546" s="836"/>
      <c r="D546" s="89"/>
      <c r="E546" s="82"/>
      <c r="F546" s="83"/>
      <c r="G546" s="111"/>
    </row>
    <row r="547" spans="1:7">
      <c r="A547" s="95"/>
      <c r="B547" s="835"/>
      <c r="C547" s="836"/>
      <c r="D547" s="89"/>
      <c r="E547" s="82"/>
      <c r="F547" s="83"/>
      <c r="G547" s="111"/>
    </row>
    <row r="548" spans="1:7">
      <c r="A548" s="95"/>
      <c r="B548" s="835" t="s">
        <v>841</v>
      </c>
      <c r="C548" s="836"/>
      <c r="D548" s="37"/>
      <c r="E548" s="82"/>
      <c r="F548" s="83"/>
      <c r="G548" s="111"/>
    </row>
    <row r="549" spans="1:7" ht="13.5" thickBot="1">
      <c r="A549" s="95"/>
      <c r="B549" s="839" t="s">
        <v>841</v>
      </c>
      <c r="C549" s="840"/>
      <c r="D549" s="77"/>
      <c r="E549" s="106"/>
      <c r="F549" s="86"/>
      <c r="G549" s="112"/>
    </row>
    <row r="550" spans="1:7" ht="14.25" thickTop="1" thickBot="1">
      <c r="A550" s="95"/>
      <c r="B550" s="808"/>
      <c r="C550" s="808"/>
      <c r="D550" s="808"/>
      <c r="E550" s="809"/>
      <c r="F550" s="119" t="s">
        <v>856</v>
      </c>
      <c r="G550" s="118">
        <f>SUM(G544:G549)</f>
        <v>1594</v>
      </c>
    </row>
    <row r="551" spans="1:7" ht="14.25" thickTop="1" thickBot="1">
      <c r="A551" s="95"/>
      <c r="B551" s="830"/>
      <c r="C551" s="830"/>
      <c r="D551" s="830"/>
      <c r="E551" s="830"/>
      <c r="F551" s="830"/>
      <c r="G551" s="830"/>
    </row>
    <row r="552" spans="1:7" ht="13.5" thickTop="1">
      <c r="A552" s="95"/>
      <c r="B552" s="811" t="s">
        <v>311</v>
      </c>
      <c r="C552" s="812"/>
      <c r="D552" s="812"/>
      <c r="E552" s="812"/>
      <c r="F552" s="812"/>
      <c r="G552" s="825"/>
    </row>
    <row r="553" spans="1:7">
      <c r="A553" s="95"/>
      <c r="B553" s="817" t="s">
        <v>838</v>
      </c>
      <c r="C553" s="818"/>
      <c r="D553" s="98" t="s">
        <v>842</v>
      </c>
      <c r="E553" s="98" t="s">
        <v>853</v>
      </c>
      <c r="F553" s="99" t="s">
        <v>1047</v>
      </c>
      <c r="G553" s="107" t="s">
        <v>840</v>
      </c>
    </row>
    <row r="554" spans="1:7">
      <c r="A554" s="95"/>
      <c r="B554" s="230"/>
      <c r="C554" s="102"/>
      <c r="D554" s="100"/>
      <c r="E554" s="100" t="s">
        <v>312</v>
      </c>
      <c r="F554" s="101" t="s">
        <v>313</v>
      </c>
      <c r="G554" s="108" t="s">
        <v>314</v>
      </c>
    </row>
    <row r="555" spans="1:7" ht="14.25">
      <c r="A555" s="125"/>
      <c r="B555" s="841" t="str">
        <f>MATERIALES2!$C$35</f>
        <v>CONCRETO 1:2:3-3000 psi(MATERIALES)</v>
      </c>
      <c r="C555" s="842"/>
      <c r="D555" s="87" t="s">
        <v>1066</v>
      </c>
      <c r="E555" s="10">
        <f>ROUND(0.41*0.41*0.1,3)</f>
        <v>1.7000000000000001E-2</v>
      </c>
      <c r="F555" s="80">
        <f>MATERIALES2!$E$35</f>
        <v>367600</v>
      </c>
      <c r="G555" s="110">
        <f t="shared" ref="G555:G562" si="0">ROUND(E555*F555,0)</f>
        <v>6249</v>
      </c>
    </row>
    <row r="556" spans="1:7" ht="14.25">
      <c r="A556" s="123"/>
      <c r="B556" s="854" t="str">
        <f>MATERIALES2!$C$49</f>
        <v>MORTERO 1:3 (MATERIALES)</v>
      </c>
      <c r="C556" s="855"/>
      <c r="D556" s="37" t="s">
        <v>1066</v>
      </c>
      <c r="E556" s="139">
        <f>0.013+0.017</f>
        <v>0.03</v>
      </c>
      <c r="F556" s="82">
        <f>MATERIALES2!$E$49</f>
        <v>365000</v>
      </c>
      <c r="G556" s="111">
        <f t="shared" si="0"/>
        <v>10950</v>
      </c>
    </row>
    <row r="557" spans="1:7">
      <c r="A557" s="95"/>
      <c r="B557" s="854" t="str">
        <f>MATERIALES2!$C$82</f>
        <v>HIERRO A-37</v>
      </c>
      <c r="C557" s="855"/>
      <c r="D557" s="88" t="s">
        <v>925</v>
      </c>
      <c r="E557" s="83">
        <f>0.36*4*2*0.56</f>
        <v>1.6128</v>
      </c>
      <c r="F557" s="82">
        <f>MATERIALES2!$E$82</f>
        <v>2800</v>
      </c>
      <c r="G557" s="111">
        <f t="shared" si="0"/>
        <v>4516</v>
      </c>
    </row>
    <row r="558" spans="1:7">
      <c r="A558" s="95"/>
      <c r="B558" s="854" t="str">
        <f>MATERIALES2!$C$92</f>
        <v>TOLETE COMUN</v>
      </c>
      <c r="C558" s="855"/>
      <c r="D558" s="88" t="s">
        <v>865</v>
      </c>
      <c r="E558" s="83">
        <v>24</v>
      </c>
      <c r="F558" s="82">
        <f>MATERIALES2!$E$92</f>
        <v>380</v>
      </c>
      <c r="G558" s="111">
        <f t="shared" si="0"/>
        <v>9120</v>
      </c>
    </row>
    <row r="559" spans="1:7">
      <c r="A559" s="95"/>
      <c r="B559" s="854" t="str">
        <f>MATERIALES2!$C$65</f>
        <v>ALAMBRE NEGRO</v>
      </c>
      <c r="C559" s="855"/>
      <c r="D559" s="88" t="s">
        <v>925</v>
      </c>
      <c r="E559" s="141">
        <f>16*0.5/105.26</f>
        <v>7.6002280068402053E-2</v>
      </c>
      <c r="F559" s="82">
        <f>MATERIALES2!$E$65</f>
        <v>2100</v>
      </c>
      <c r="G559" s="111">
        <f t="shared" si="0"/>
        <v>160</v>
      </c>
    </row>
    <row r="560" spans="1:7" ht="14.25">
      <c r="A560" s="95"/>
      <c r="B560" s="854" t="str">
        <f>MATERIALES2!$C$41</f>
        <v>CONCRETO 1:3:5-2000 PSI(MATERIALES)</v>
      </c>
      <c r="C560" s="855"/>
      <c r="D560" s="37" t="s">
        <v>1066</v>
      </c>
      <c r="E560" s="53">
        <f>ROUND(0.41*0.41*0.075,3)</f>
        <v>1.2999999999999999E-2</v>
      </c>
      <c r="F560" s="82">
        <f>MATERIALES2!$E$41</f>
        <v>319200</v>
      </c>
      <c r="G560" s="111">
        <f>ROUND(E560*F560,0)</f>
        <v>4150</v>
      </c>
    </row>
    <row r="561" spans="1:8" ht="27.75" customHeight="1">
      <c r="A561" s="158"/>
      <c r="B561" s="954" t="str">
        <f>EXCAVACIONES!$C$697</f>
        <v>EXCAVACION A MANO, EN CONGLOMERADO HASTA 2.00 M DE PROFUNDIDAD</v>
      </c>
      <c r="C561" s="955"/>
      <c r="D561" s="37" t="s">
        <v>1066</v>
      </c>
      <c r="E561" s="241">
        <f>ROUND(0.41*0.41*0.75,2)</f>
        <v>0.13</v>
      </c>
      <c r="F561" s="242">
        <f>EXCAVACIONES!$G$747</f>
        <v>18200</v>
      </c>
      <c r="G561" s="243">
        <f>ROUND(E561*F561,0)</f>
        <v>2366</v>
      </c>
      <c r="H561" s="505" t="s">
        <v>1670</v>
      </c>
    </row>
    <row r="562" spans="1:8" ht="15" thickBot="1">
      <c r="A562" s="95"/>
      <c r="B562" s="953" t="str">
        <f>EXCAVACIONES!$C$2430</f>
        <v>RELLENO DE LA MISMA EXCAVACION</v>
      </c>
      <c r="C562" s="855"/>
      <c r="D562" s="37" t="s">
        <v>1066</v>
      </c>
      <c r="E562" s="141">
        <f>ROUND(0.41*0.41*0.3,3)</f>
        <v>0.05</v>
      </c>
      <c r="F562" s="82">
        <f>EXCAVACIONES!$G$2480</f>
        <v>17000</v>
      </c>
      <c r="G562" s="111">
        <f t="shared" si="0"/>
        <v>850</v>
      </c>
    </row>
    <row r="563" spans="1:8" ht="13.5" thickTop="1">
      <c r="A563" s="95"/>
      <c r="B563" s="808"/>
      <c r="C563" s="809"/>
      <c r="D563" s="801" t="s">
        <v>856</v>
      </c>
      <c r="E563" s="802"/>
      <c r="F563" s="9"/>
      <c r="G563" s="113">
        <f>SUM(G555:G562)</f>
        <v>38361</v>
      </c>
    </row>
    <row r="564" spans="1:8">
      <c r="A564" s="95"/>
      <c r="B564" s="819"/>
      <c r="C564" s="820"/>
      <c r="D564" s="801" t="s">
        <v>857</v>
      </c>
      <c r="E564" s="802"/>
      <c r="F564" s="79">
        <f>'MANO DE OBRA'!$D$60</f>
        <v>0.05</v>
      </c>
      <c r="G564" s="113">
        <f>ROUND(G563*F564,0)</f>
        <v>1918</v>
      </c>
    </row>
    <row r="565" spans="1:8" ht="13.5" thickBot="1">
      <c r="A565" s="95"/>
      <c r="B565" s="819"/>
      <c r="C565" s="820"/>
      <c r="D565" s="803" t="s">
        <v>320</v>
      </c>
      <c r="E565" s="804"/>
      <c r="F565" s="114"/>
      <c r="G565" s="118">
        <f>+G563+G564</f>
        <v>40279</v>
      </c>
    </row>
    <row r="566" spans="1:8" ht="14.25" thickTop="1" thickBot="1">
      <c r="A566" s="95"/>
      <c r="B566" s="830"/>
      <c r="C566" s="830"/>
      <c r="D566" s="830"/>
      <c r="E566" s="830"/>
      <c r="F566" s="830"/>
      <c r="G566" s="830"/>
    </row>
    <row r="567" spans="1:8" ht="13.5" thickTop="1">
      <c r="A567" s="95"/>
      <c r="B567" s="811" t="s">
        <v>858</v>
      </c>
      <c r="C567" s="812"/>
      <c r="D567" s="812"/>
      <c r="E567" s="812"/>
      <c r="F567" s="812"/>
      <c r="G567" s="825"/>
    </row>
    <row r="568" spans="1:8">
      <c r="A568" s="95"/>
      <c r="B568" s="817"/>
      <c r="C568" s="818"/>
      <c r="D568" s="98" t="s">
        <v>301</v>
      </c>
      <c r="E568" s="98" t="s">
        <v>859</v>
      </c>
      <c r="F568" s="99" t="s">
        <v>839</v>
      </c>
      <c r="G568" s="107" t="s">
        <v>840</v>
      </c>
    </row>
    <row r="569" spans="1:8">
      <c r="A569" s="95"/>
      <c r="B569" s="821" t="s">
        <v>838</v>
      </c>
      <c r="C569" s="822"/>
      <c r="D569" s="100" t="s">
        <v>316</v>
      </c>
      <c r="E569" s="100" t="s">
        <v>315</v>
      </c>
      <c r="F569" s="101" t="s">
        <v>306</v>
      </c>
      <c r="G569" s="108" t="s">
        <v>319</v>
      </c>
    </row>
    <row r="570" spans="1:8">
      <c r="A570" s="95"/>
      <c r="B570" s="230"/>
      <c r="C570" s="102"/>
      <c r="D570" s="103"/>
      <c r="E570" s="103" t="s">
        <v>317</v>
      </c>
      <c r="F570" s="104" t="s">
        <v>318</v>
      </c>
      <c r="G570" s="109"/>
    </row>
    <row r="571" spans="1:8">
      <c r="A571" s="95"/>
      <c r="B571" s="823" t="str">
        <f>'MANO DE OBRA'!$B$10</f>
        <v>AYUDANTE CUAD. TIPO AA</v>
      </c>
      <c r="C571" s="824"/>
      <c r="D571" s="87">
        <v>1</v>
      </c>
      <c r="E571" s="80">
        <f>'MANO DE OBRA'!$E$10</f>
        <v>34680</v>
      </c>
      <c r="F571" s="81">
        <v>3.33</v>
      </c>
      <c r="G571" s="110">
        <f>ROUND(D571*E571/F571,0)</f>
        <v>10414</v>
      </c>
    </row>
    <row r="572" spans="1:8">
      <c r="A572" s="95"/>
      <c r="B572" s="835" t="str">
        <f>'MANO DE OBRA'!$B$15</f>
        <v xml:space="preserve">OFICIAL CUAD. TIPO AA </v>
      </c>
      <c r="C572" s="836"/>
      <c r="D572" s="37">
        <v>1</v>
      </c>
      <c r="E572" s="82">
        <f>'MANO DE OBRA'!$E$15</f>
        <v>71474</v>
      </c>
      <c r="F572" s="83">
        <v>3.33</v>
      </c>
      <c r="G572" s="111">
        <f>ROUND(D572*E572/F572,0)</f>
        <v>21464</v>
      </c>
    </row>
    <row r="573" spans="1:8">
      <c r="A573" s="95"/>
      <c r="B573" s="835"/>
      <c r="C573" s="836"/>
      <c r="D573" s="89"/>
      <c r="E573" s="82"/>
      <c r="F573" s="83"/>
      <c r="G573" s="111"/>
    </row>
    <row r="574" spans="1:8">
      <c r="A574" s="95"/>
      <c r="B574" s="835" t="s">
        <v>841</v>
      </c>
      <c r="C574" s="836"/>
      <c r="D574" s="37"/>
      <c r="E574" s="82"/>
      <c r="F574" s="83"/>
      <c r="G574" s="111"/>
    </row>
    <row r="575" spans="1:8" ht="13.5" thickBot="1">
      <c r="A575" s="95"/>
      <c r="B575" s="828" t="s">
        <v>841</v>
      </c>
      <c r="C575" s="829"/>
      <c r="D575" s="77"/>
      <c r="E575" s="82"/>
      <c r="F575" s="86"/>
      <c r="G575" s="112"/>
    </row>
    <row r="576" spans="1:8" ht="14.25" thickTop="1" thickBot="1">
      <c r="A576" s="95"/>
      <c r="B576" s="808"/>
      <c r="C576" s="808"/>
      <c r="D576" s="808"/>
      <c r="E576" s="809"/>
      <c r="F576" s="120" t="s">
        <v>856</v>
      </c>
      <c r="G576" s="118">
        <f>SUM(G571:G575)</f>
        <v>31878</v>
      </c>
    </row>
    <row r="577" spans="1:8" ht="14.25" thickTop="1" thickBot="1">
      <c r="A577" s="95"/>
      <c r="B577" s="810"/>
      <c r="C577" s="810"/>
      <c r="D577" s="810"/>
      <c r="E577" s="810"/>
      <c r="F577" s="810"/>
      <c r="G577" s="810"/>
    </row>
    <row r="578" spans="1:8" ht="13.5" thickTop="1">
      <c r="A578" s="95"/>
      <c r="B578" s="811" t="s">
        <v>321</v>
      </c>
      <c r="C578" s="812"/>
      <c r="D578" s="812"/>
      <c r="E578" s="812"/>
      <c r="F578" s="812"/>
      <c r="G578" s="825"/>
    </row>
    <row r="579" spans="1:8">
      <c r="A579" s="95"/>
      <c r="B579" s="817" t="s">
        <v>838</v>
      </c>
      <c r="C579" s="818"/>
      <c r="D579" s="98" t="s">
        <v>301</v>
      </c>
      <c r="E579" s="98" t="s">
        <v>297</v>
      </c>
      <c r="F579" s="99" t="s">
        <v>839</v>
      </c>
      <c r="G579" s="107" t="s">
        <v>840</v>
      </c>
    </row>
    <row r="580" spans="1:8">
      <c r="A580" s="95"/>
      <c r="B580" s="230"/>
      <c r="C580" s="102"/>
      <c r="D580" s="103" t="s">
        <v>322</v>
      </c>
      <c r="E580" s="103" t="s">
        <v>323</v>
      </c>
      <c r="F580" s="104" t="s">
        <v>324</v>
      </c>
      <c r="G580" s="109" t="s">
        <v>325</v>
      </c>
    </row>
    <row r="581" spans="1:8">
      <c r="A581" s="95"/>
      <c r="B581" s="826"/>
      <c r="C581" s="827"/>
      <c r="D581" s="96"/>
      <c r="E581" s="96"/>
      <c r="F581" s="96"/>
      <c r="G581" s="116"/>
    </row>
    <row r="582" spans="1:8" ht="13.5" thickBot="1">
      <c r="A582" s="95"/>
      <c r="B582" s="828" t="s">
        <v>841</v>
      </c>
      <c r="C582" s="829"/>
      <c r="D582" s="77"/>
      <c r="E582" s="82"/>
      <c r="F582" s="86"/>
      <c r="G582" s="112"/>
    </row>
    <row r="583" spans="1:8" ht="14.25" thickTop="1" thickBot="1">
      <c r="A583" s="95"/>
      <c r="B583" s="808"/>
      <c r="C583" s="808"/>
      <c r="D583" s="808"/>
      <c r="E583" s="809"/>
      <c r="F583" s="120" t="s">
        <v>856</v>
      </c>
      <c r="G583" s="118">
        <f>SUM(G578:G582)</f>
        <v>0</v>
      </c>
    </row>
    <row r="584" spans="1:8" ht="14.25" thickTop="1" thickBot="1">
      <c r="A584" s="95"/>
      <c r="B584" s="810"/>
      <c r="C584" s="810"/>
      <c r="D584" s="810"/>
      <c r="E584" s="810"/>
      <c r="F584" s="810"/>
      <c r="G584" s="834"/>
    </row>
    <row r="585" spans="1:8" ht="13.5" thickTop="1">
      <c r="A585" s="95"/>
      <c r="B585" s="811" t="s">
        <v>326</v>
      </c>
      <c r="C585" s="812"/>
      <c r="D585" s="812"/>
      <c r="E585" s="812"/>
      <c r="F585" s="813"/>
      <c r="G585" s="121">
        <f>+G550+G565+G576</f>
        <v>73751</v>
      </c>
    </row>
    <row r="586" spans="1:8">
      <c r="A586" s="95"/>
      <c r="B586" s="814" t="s">
        <v>861</v>
      </c>
      <c r="C586" s="815"/>
      <c r="D586" s="815"/>
      <c r="E586" s="816"/>
      <c r="F586" s="128">
        <f>'MANO DE OBRA'!$D$59</f>
        <v>0</v>
      </c>
      <c r="G586" s="122">
        <f>ROUND(G585*F586,0)</f>
        <v>0</v>
      </c>
    </row>
    <row r="587" spans="1:8" ht="13.5" thickBot="1">
      <c r="A587" s="95"/>
      <c r="B587" s="805" t="s">
        <v>1049</v>
      </c>
      <c r="C587" s="806"/>
      <c r="D587" s="806"/>
      <c r="E587" s="806"/>
      <c r="F587" s="807"/>
      <c r="G587" s="118">
        <f>ROUND(G585+G586,-2)</f>
        <v>73800</v>
      </c>
      <c r="H587" s="505" t="s">
        <v>1670</v>
      </c>
    </row>
    <row r="588" spans="1:8" ht="13.5" thickTop="1">
      <c r="A588" s="95"/>
      <c r="B588" s="225" t="s">
        <v>303</v>
      </c>
      <c r="C588" s="843"/>
      <c r="D588" s="843"/>
      <c r="E588" s="843"/>
      <c r="F588" s="92" t="s">
        <v>781</v>
      </c>
      <c r="G588" s="93" t="s">
        <v>865</v>
      </c>
    </row>
    <row r="589" spans="1:8">
      <c r="A589" s="95"/>
      <c r="B589" s="226" t="s">
        <v>834</v>
      </c>
      <c r="C589" s="844" t="s">
        <v>355</v>
      </c>
      <c r="D589" s="844"/>
      <c r="E589" s="844"/>
      <c r="F589" s="15" t="s">
        <v>833</v>
      </c>
      <c r="G589" s="165" t="str">
        <f>'MANO DE OBRA'!$D$61</f>
        <v>Agosto de 2010</v>
      </c>
    </row>
    <row r="590" spans="1:8" ht="13.5" thickBot="1">
      <c r="A590" s="127"/>
      <c r="B590" s="228" t="s">
        <v>835</v>
      </c>
      <c r="C590" s="845" t="s">
        <v>825</v>
      </c>
      <c r="D590" s="845"/>
      <c r="E590" s="845"/>
      <c r="F590" s="845"/>
      <c r="G590" s="846"/>
    </row>
    <row r="591" spans="1:8" ht="14.25" thickTop="1" thickBot="1">
      <c r="A591" s="95"/>
      <c r="B591" s="847"/>
      <c r="C591" s="847"/>
      <c r="D591" s="847"/>
      <c r="E591" s="847"/>
      <c r="F591" s="847"/>
      <c r="G591" s="847"/>
    </row>
    <row r="592" spans="1:8" ht="13.5" thickTop="1">
      <c r="A592" s="95"/>
      <c r="B592" s="811" t="s">
        <v>304</v>
      </c>
      <c r="C592" s="812"/>
      <c r="D592" s="812"/>
      <c r="E592" s="812"/>
      <c r="F592" s="812"/>
      <c r="G592" s="825"/>
    </row>
    <row r="593" spans="1:7">
      <c r="A593" s="95"/>
      <c r="B593" s="229"/>
      <c r="C593" s="97"/>
      <c r="D593" s="98" t="s">
        <v>301</v>
      </c>
      <c r="E593" s="98" t="s">
        <v>1072</v>
      </c>
      <c r="F593" s="99" t="s">
        <v>839</v>
      </c>
      <c r="G593" s="107" t="s">
        <v>840</v>
      </c>
    </row>
    <row r="594" spans="1:7">
      <c r="A594" s="95"/>
      <c r="B594" s="821" t="s">
        <v>838</v>
      </c>
      <c r="C594" s="822"/>
      <c r="D594" s="100" t="s">
        <v>308</v>
      </c>
      <c r="E594" s="100" t="s">
        <v>305</v>
      </c>
      <c r="F594" s="101" t="s">
        <v>306</v>
      </c>
      <c r="G594" s="108" t="s">
        <v>310</v>
      </c>
    </row>
    <row r="595" spans="1:7">
      <c r="A595" s="95"/>
      <c r="B595" s="230"/>
      <c r="C595" s="102"/>
      <c r="D595" s="103"/>
      <c r="E595" s="103" t="s">
        <v>309</v>
      </c>
      <c r="F595" s="104" t="s">
        <v>307</v>
      </c>
      <c r="G595" s="109"/>
    </row>
    <row r="596" spans="1:7">
      <c r="A596" s="127"/>
      <c r="B596" s="823" t="str">
        <f>'MAQUINARIA Y EQUIPOS'!$C$28</f>
        <v>HERRAMIENTAS MENORES</v>
      </c>
      <c r="C596" s="824"/>
      <c r="D596" s="87">
        <v>1</v>
      </c>
      <c r="E596" s="82">
        <f>ROUND(G628*0.05,0)</f>
        <v>3122</v>
      </c>
      <c r="F596" s="81">
        <v>1</v>
      </c>
      <c r="G596" s="110">
        <f>ROUND(D596*E596/F596,0)</f>
        <v>3122</v>
      </c>
    </row>
    <row r="597" spans="1:7">
      <c r="A597" s="95"/>
      <c r="B597" s="835"/>
      <c r="C597" s="836"/>
      <c r="D597" s="37"/>
      <c r="E597" s="82"/>
      <c r="F597" s="83"/>
      <c r="G597" s="111"/>
    </row>
    <row r="598" spans="1:7">
      <c r="A598" s="95"/>
      <c r="B598" s="835"/>
      <c r="C598" s="836"/>
      <c r="D598" s="89"/>
      <c r="E598" s="82"/>
      <c r="F598" s="83"/>
      <c r="G598" s="111"/>
    </row>
    <row r="599" spans="1:7">
      <c r="A599" s="95"/>
      <c r="B599" s="835"/>
      <c r="C599" s="836"/>
      <c r="D599" s="89"/>
      <c r="E599" s="82"/>
      <c r="F599" s="83"/>
      <c r="G599" s="111"/>
    </row>
    <row r="600" spans="1:7">
      <c r="A600" s="95"/>
      <c r="B600" s="835" t="s">
        <v>841</v>
      </c>
      <c r="C600" s="836"/>
      <c r="D600" s="37"/>
      <c r="E600" s="82"/>
      <c r="F600" s="83"/>
      <c r="G600" s="111"/>
    </row>
    <row r="601" spans="1:7" ht="13.5" thickBot="1">
      <c r="A601" s="95"/>
      <c r="B601" s="839" t="s">
        <v>841</v>
      </c>
      <c r="C601" s="840"/>
      <c r="D601" s="77"/>
      <c r="E601" s="106"/>
      <c r="F601" s="86"/>
      <c r="G601" s="112"/>
    </row>
    <row r="602" spans="1:7" ht="14.25" thickTop="1" thickBot="1">
      <c r="A602" s="95"/>
      <c r="B602" s="808"/>
      <c r="C602" s="808"/>
      <c r="D602" s="808"/>
      <c r="E602" s="809"/>
      <c r="F602" s="119" t="s">
        <v>856</v>
      </c>
      <c r="G602" s="118">
        <f>SUM(G596:G601)</f>
        <v>3122</v>
      </c>
    </row>
    <row r="603" spans="1:7" ht="14.25" thickTop="1" thickBot="1">
      <c r="A603" s="95"/>
      <c r="B603" s="830"/>
      <c r="C603" s="830"/>
      <c r="D603" s="830"/>
      <c r="E603" s="830"/>
      <c r="F603" s="830"/>
      <c r="G603" s="830"/>
    </row>
    <row r="604" spans="1:7" ht="13.5" thickTop="1">
      <c r="A604" s="95"/>
      <c r="B604" s="811" t="s">
        <v>311</v>
      </c>
      <c r="C604" s="812"/>
      <c r="D604" s="812"/>
      <c r="E604" s="812"/>
      <c r="F604" s="812"/>
      <c r="G604" s="825"/>
    </row>
    <row r="605" spans="1:7">
      <c r="A605" s="95"/>
      <c r="B605" s="817" t="s">
        <v>838</v>
      </c>
      <c r="C605" s="818"/>
      <c r="D605" s="98" t="s">
        <v>842</v>
      </c>
      <c r="E605" s="98" t="s">
        <v>853</v>
      </c>
      <c r="F605" s="99" t="s">
        <v>1047</v>
      </c>
      <c r="G605" s="107" t="s">
        <v>840</v>
      </c>
    </row>
    <row r="606" spans="1:7">
      <c r="A606" s="95"/>
      <c r="B606" s="230"/>
      <c r="C606" s="102"/>
      <c r="D606" s="100"/>
      <c r="E606" s="100" t="s">
        <v>312</v>
      </c>
      <c r="F606" s="101" t="s">
        <v>313</v>
      </c>
      <c r="G606" s="108" t="s">
        <v>314</v>
      </c>
    </row>
    <row r="607" spans="1:7" ht="14.25">
      <c r="A607" s="125"/>
      <c r="B607" s="841" t="str">
        <f>MATERIALES2!$C$35</f>
        <v>CONCRETO 1:2:3-3000 psi(MATERIALES)</v>
      </c>
      <c r="C607" s="842"/>
      <c r="D607" s="87" t="s">
        <v>1066</v>
      </c>
      <c r="E607" s="10">
        <f>ROUND(0.51*0.51*0.1,3)</f>
        <v>2.5999999999999999E-2</v>
      </c>
      <c r="F607" s="80">
        <f>MATERIALES2!$E$35</f>
        <v>367600</v>
      </c>
      <c r="G607" s="110">
        <f t="shared" ref="G607:G614" si="1">ROUND(E607*F607,0)</f>
        <v>9558</v>
      </c>
    </row>
    <row r="608" spans="1:7" ht="14.25">
      <c r="A608" s="123"/>
      <c r="B608" s="854" t="str">
        <f>MATERIALES2!$C$49</f>
        <v>MORTERO 1:3 (MATERIALES)</v>
      </c>
      <c r="C608" s="855"/>
      <c r="D608" s="37" t="s">
        <v>1066</v>
      </c>
      <c r="E608" s="139">
        <f>0.019+0.019</f>
        <v>3.7999999999999999E-2</v>
      </c>
      <c r="F608" s="82">
        <f>MATERIALES2!$E$49</f>
        <v>365000</v>
      </c>
      <c r="G608" s="111">
        <f t="shared" si="1"/>
        <v>13870</v>
      </c>
    </row>
    <row r="609" spans="1:8">
      <c r="A609" s="95"/>
      <c r="B609" s="854" t="str">
        <f>MATERIALES2!$C$82</f>
        <v>HIERRO A-37</v>
      </c>
      <c r="C609" s="855"/>
      <c r="D609" s="88" t="s">
        <v>925</v>
      </c>
      <c r="E609" s="83">
        <f>0.46*4*2*0.56</f>
        <v>2.0608000000000004</v>
      </c>
      <c r="F609" s="82">
        <f>MATERIALES2!$E$82</f>
        <v>2800</v>
      </c>
      <c r="G609" s="111">
        <f t="shared" si="1"/>
        <v>5770</v>
      </c>
    </row>
    <row r="610" spans="1:8">
      <c r="A610" s="95"/>
      <c r="B610" s="854" t="str">
        <f>MATERIALES2!$C$92</f>
        <v>TOLETE COMUN</v>
      </c>
      <c r="C610" s="855"/>
      <c r="D610" s="88" t="s">
        <v>865</v>
      </c>
      <c r="E610" s="83">
        <v>39</v>
      </c>
      <c r="F610" s="82">
        <f>MATERIALES2!$E$92</f>
        <v>380</v>
      </c>
      <c r="G610" s="111">
        <f t="shared" si="1"/>
        <v>14820</v>
      </c>
    </row>
    <row r="611" spans="1:8">
      <c r="A611" s="95"/>
      <c r="B611" s="854" t="str">
        <f>MATERIALES2!$C$65</f>
        <v>ALAMBRE NEGRO</v>
      </c>
      <c r="C611" s="855"/>
      <c r="D611" s="88" t="s">
        <v>925</v>
      </c>
      <c r="E611" s="141">
        <f>16*0.5/105.26</f>
        <v>7.6002280068402053E-2</v>
      </c>
      <c r="F611" s="82">
        <f>MATERIALES2!$E$65</f>
        <v>2100</v>
      </c>
      <c r="G611" s="111">
        <f t="shared" si="1"/>
        <v>160</v>
      </c>
    </row>
    <row r="612" spans="1:8" ht="14.25">
      <c r="A612" s="95"/>
      <c r="B612" s="854" t="str">
        <f>MATERIALES2!$C$41</f>
        <v>CONCRETO 1:3:5-2000 PSI(MATERIALES)</v>
      </c>
      <c r="C612" s="855"/>
      <c r="D612" s="37" t="s">
        <v>1066</v>
      </c>
      <c r="E612" s="141">
        <f>ROUND(0.51*0.51*0.075,3)</f>
        <v>0.02</v>
      </c>
      <c r="F612" s="82">
        <f>MATERIALES2!$E$41</f>
        <v>319200</v>
      </c>
      <c r="G612" s="111">
        <f t="shared" si="1"/>
        <v>6384</v>
      </c>
    </row>
    <row r="613" spans="1:8" ht="29.25" customHeight="1">
      <c r="A613" s="158"/>
      <c r="B613" s="954" t="str">
        <f>EXCAVACIONES!$C$697</f>
        <v>EXCAVACION A MANO, EN CONGLOMERADO HASTA 2.00 M DE PROFUNDIDAD</v>
      </c>
      <c r="C613" s="955"/>
      <c r="D613" s="37" t="s">
        <v>1066</v>
      </c>
      <c r="E613" s="241">
        <f>ROUND(0.51*0.51*0.75,2)</f>
        <v>0.2</v>
      </c>
      <c r="F613" s="242">
        <f>EXCAVACIONES!$G$747</f>
        <v>18200</v>
      </c>
      <c r="G613" s="243">
        <f t="shared" si="1"/>
        <v>3640</v>
      </c>
      <c r="H613" s="505" t="s">
        <v>1670</v>
      </c>
    </row>
    <row r="614" spans="1:8" ht="15" thickBot="1">
      <c r="A614" s="95"/>
      <c r="B614" s="953" t="str">
        <f>EXCAVACIONES!C2536</f>
        <v>RELLENO CON MATERIAL SELECCIONADO (RECEBO)</v>
      </c>
      <c r="C614" s="855"/>
      <c r="D614" s="37" t="s">
        <v>1066</v>
      </c>
      <c r="E614" s="141">
        <v>7.0000000000000007E-2</v>
      </c>
      <c r="F614" s="82">
        <f>EXCAVACIONES!$G$2586</f>
        <v>23400</v>
      </c>
      <c r="G614" s="111">
        <f t="shared" si="1"/>
        <v>1638</v>
      </c>
    </row>
    <row r="615" spans="1:8" ht="13.5" thickTop="1">
      <c r="A615" s="95"/>
      <c r="B615" s="808"/>
      <c r="C615" s="809"/>
      <c r="D615" s="801" t="s">
        <v>856</v>
      </c>
      <c r="E615" s="802"/>
      <c r="F615" s="9"/>
      <c r="G615" s="113">
        <f>SUM(G607:G614)</f>
        <v>55840</v>
      </c>
    </row>
    <row r="616" spans="1:8">
      <c r="A616" s="95"/>
      <c r="B616" s="819"/>
      <c r="C616" s="820"/>
      <c r="D616" s="801" t="s">
        <v>857</v>
      </c>
      <c r="E616" s="802"/>
      <c r="F616" s="79">
        <f>'MANO DE OBRA'!$D$60</f>
        <v>0.05</v>
      </c>
      <c r="G616" s="113">
        <f>ROUND(G615*F616,0)</f>
        <v>2792</v>
      </c>
    </row>
    <row r="617" spans="1:8" ht="13.5" thickBot="1">
      <c r="A617" s="95"/>
      <c r="B617" s="819"/>
      <c r="C617" s="820"/>
      <c r="D617" s="803" t="s">
        <v>320</v>
      </c>
      <c r="E617" s="804"/>
      <c r="F617" s="114"/>
      <c r="G617" s="118">
        <f>+G615+G616</f>
        <v>58632</v>
      </c>
    </row>
    <row r="618" spans="1:8" ht="14.25" thickTop="1" thickBot="1">
      <c r="A618" s="95"/>
      <c r="B618" s="830"/>
      <c r="C618" s="830"/>
      <c r="D618" s="830"/>
      <c r="E618" s="830"/>
      <c r="F618" s="830"/>
      <c r="G618" s="830"/>
    </row>
    <row r="619" spans="1:8" ht="13.5" thickTop="1">
      <c r="A619" s="95"/>
      <c r="B619" s="811" t="s">
        <v>858</v>
      </c>
      <c r="C619" s="812"/>
      <c r="D619" s="812"/>
      <c r="E619" s="812"/>
      <c r="F619" s="812"/>
      <c r="G619" s="825"/>
    </row>
    <row r="620" spans="1:8">
      <c r="A620" s="95"/>
      <c r="B620" s="817"/>
      <c r="C620" s="818"/>
      <c r="D620" s="98" t="s">
        <v>301</v>
      </c>
      <c r="E620" s="98" t="s">
        <v>859</v>
      </c>
      <c r="F620" s="99" t="s">
        <v>839</v>
      </c>
      <c r="G620" s="107" t="s">
        <v>840</v>
      </c>
    </row>
    <row r="621" spans="1:8">
      <c r="A621" s="95"/>
      <c r="B621" s="821" t="s">
        <v>838</v>
      </c>
      <c r="C621" s="822"/>
      <c r="D621" s="100" t="s">
        <v>316</v>
      </c>
      <c r="E621" s="100" t="s">
        <v>315</v>
      </c>
      <c r="F621" s="101" t="s">
        <v>306</v>
      </c>
      <c r="G621" s="108" t="s">
        <v>319</v>
      </c>
    </row>
    <row r="622" spans="1:8">
      <c r="A622" s="95"/>
      <c r="B622" s="230"/>
      <c r="C622" s="102"/>
      <c r="D622" s="103"/>
      <c r="E622" s="103" t="s">
        <v>317</v>
      </c>
      <c r="F622" s="104" t="s">
        <v>318</v>
      </c>
      <c r="G622" s="109"/>
    </row>
    <row r="623" spans="1:8">
      <c r="A623" s="95"/>
      <c r="B623" s="823" t="str">
        <f>'MANO DE OBRA'!$B$10</f>
        <v>AYUDANTE CUAD. TIPO AA</v>
      </c>
      <c r="C623" s="824"/>
      <c r="D623" s="87">
        <v>1</v>
      </c>
      <c r="E623" s="80">
        <f>'MANO DE OBRA'!$E$10</f>
        <v>34680</v>
      </c>
      <c r="F623" s="81">
        <v>1.7</v>
      </c>
      <c r="G623" s="110">
        <f>ROUND(D623*E623/F623,0)</f>
        <v>20400</v>
      </c>
    </row>
    <row r="624" spans="1:8">
      <c r="A624" s="95"/>
      <c r="B624" s="835" t="str">
        <f>'MANO DE OBRA'!$B$15</f>
        <v xml:space="preserve">OFICIAL CUAD. TIPO AA </v>
      </c>
      <c r="C624" s="836"/>
      <c r="D624" s="37">
        <v>1</v>
      </c>
      <c r="E624" s="82">
        <f>'MANO DE OBRA'!$E$15</f>
        <v>71474</v>
      </c>
      <c r="F624" s="83">
        <v>1.7</v>
      </c>
      <c r="G624" s="111">
        <f>ROUND(D624*E624/F624,0)</f>
        <v>42044</v>
      </c>
    </row>
    <row r="625" spans="1:8">
      <c r="A625" s="95"/>
      <c r="B625" s="835"/>
      <c r="C625" s="836"/>
      <c r="D625" s="89"/>
      <c r="E625" s="82"/>
      <c r="F625" s="83"/>
      <c r="G625" s="111"/>
    </row>
    <row r="626" spans="1:8">
      <c r="A626" s="95"/>
      <c r="B626" s="835" t="s">
        <v>841</v>
      </c>
      <c r="C626" s="836"/>
      <c r="D626" s="37"/>
      <c r="E626" s="82"/>
      <c r="F626" s="83"/>
      <c r="G626" s="111"/>
    </row>
    <row r="627" spans="1:8" ht="13.5" thickBot="1">
      <c r="A627" s="95"/>
      <c r="B627" s="828" t="s">
        <v>841</v>
      </c>
      <c r="C627" s="829"/>
      <c r="D627" s="77"/>
      <c r="E627" s="82"/>
      <c r="F627" s="86"/>
      <c r="G627" s="112"/>
    </row>
    <row r="628" spans="1:8" ht="14.25" thickTop="1" thickBot="1">
      <c r="A628" s="95"/>
      <c r="B628" s="808"/>
      <c r="C628" s="808"/>
      <c r="D628" s="808"/>
      <c r="E628" s="809"/>
      <c r="F628" s="120" t="s">
        <v>856</v>
      </c>
      <c r="G628" s="118">
        <f>SUM(G623:G627)</f>
        <v>62444</v>
      </c>
    </row>
    <row r="629" spans="1:8" ht="14.25" thickTop="1" thickBot="1">
      <c r="A629" s="95"/>
      <c r="B629" s="810"/>
      <c r="C629" s="810"/>
      <c r="D629" s="810"/>
      <c r="E629" s="810"/>
      <c r="F629" s="810"/>
      <c r="G629" s="810"/>
    </row>
    <row r="630" spans="1:8" ht="13.5" thickTop="1">
      <c r="A630" s="95"/>
      <c r="B630" s="811" t="s">
        <v>321</v>
      </c>
      <c r="C630" s="812"/>
      <c r="D630" s="812"/>
      <c r="E630" s="812"/>
      <c r="F630" s="812"/>
      <c r="G630" s="825"/>
    </row>
    <row r="631" spans="1:8">
      <c r="A631" s="95"/>
      <c r="B631" s="817" t="s">
        <v>838</v>
      </c>
      <c r="C631" s="818"/>
      <c r="D631" s="98" t="s">
        <v>301</v>
      </c>
      <c r="E631" s="98" t="s">
        <v>297</v>
      </c>
      <c r="F631" s="99" t="s">
        <v>839</v>
      </c>
      <c r="G631" s="107" t="s">
        <v>840</v>
      </c>
    </row>
    <row r="632" spans="1:8">
      <c r="A632" s="95"/>
      <c r="B632" s="230"/>
      <c r="C632" s="102"/>
      <c r="D632" s="103" t="s">
        <v>322</v>
      </c>
      <c r="E632" s="103" t="s">
        <v>323</v>
      </c>
      <c r="F632" s="104" t="s">
        <v>324</v>
      </c>
      <c r="G632" s="109" t="s">
        <v>325</v>
      </c>
    </row>
    <row r="633" spans="1:8">
      <c r="A633" s="95"/>
      <c r="B633" s="826"/>
      <c r="C633" s="827"/>
      <c r="D633" s="96"/>
      <c r="E633" s="96"/>
      <c r="F633" s="96"/>
      <c r="G633" s="116"/>
    </row>
    <row r="634" spans="1:8" ht="13.5" thickBot="1">
      <c r="A634" s="95"/>
      <c r="B634" s="828" t="s">
        <v>841</v>
      </c>
      <c r="C634" s="829"/>
      <c r="D634" s="77"/>
      <c r="E634" s="82"/>
      <c r="F634" s="86"/>
      <c r="G634" s="112"/>
    </row>
    <row r="635" spans="1:8" ht="14.25" thickTop="1" thickBot="1">
      <c r="A635" s="95"/>
      <c r="B635" s="808"/>
      <c r="C635" s="808"/>
      <c r="D635" s="808"/>
      <c r="E635" s="809"/>
      <c r="F635" s="120" t="s">
        <v>856</v>
      </c>
      <c r="G635" s="118">
        <f>SUM(G630:G634)</f>
        <v>0</v>
      </c>
    </row>
    <row r="636" spans="1:8" ht="14.25" thickTop="1" thickBot="1">
      <c r="A636" s="95"/>
      <c r="B636" s="810"/>
      <c r="C636" s="810"/>
      <c r="D636" s="810"/>
      <c r="E636" s="810"/>
      <c r="F636" s="810"/>
      <c r="G636" s="834"/>
    </row>
    <row r="637" spans="1:8" ht="13.5" thickTop="1">
      <c r="A637" s="95"/>
      <c r="B637" s="811" t="s">
        <v>326</v>
      </c>
      <c r="C637" s="812"/>
      <c r="D637" s="812"/>
      <c r="E637" s="812"/>
      <c r="F637" s="813"/>
      <c r="G637" s="121">
        <f>+G602+G617+G628</f>
        <v>124198</v>
      </c>
    </row>
    <row r="638" spans="1:8">
      <c r="A638" s="95"/>
      <c r="B638" s="814" t="s">
        <v>861</v>
      </c>
      <c r="C638" s="815"/>
      <c r="D638" s="815"/>
      <c r="E638" s="816"/>
      <c r="F638" s="128">
        <f>'MANO DE OBRA'!$D$59</f>
        <v>0</v>
      </c>
      <c r="G638" s="122">
        <f>ROUND(G637*F638,0)</f>
        <v>0</v>
      </c>
    </row>
    <row r="639" spans="1:8" ht="13.5" thickBot="1">
      <c r="A639" s="95"/>
      <c r="B639" s="805" t="s">
        <v>1049</v>
      </c>
      <c r="C639" s="806"/>
      <c r="D639" s="806"/>
      <c r="E639" s="806"/>
      <c r="F639" s="807"/>
      <c r="G639" s="118">
        <f>ROUND(G637+G638,-2)</f>
        <v>124200</v>
      </c>
      <c r="H639" s="505" t="s">
        <v>1670</v>
      </c>
    </row>
    <row r="640" spans="1:8" ht="13.5" thickTop="1">
      <c r="A640" s="95"/>
      <c r="B640" s="225" t="s">
        <v>303</v>
      </c>
      <c r="C640" s="843"/>
      <c r="D640" s="843"/>
      <c r="E640" s="843"/>
      <c r="F640" s="92" t="s">
        <v>781</v>
      </c>
      <c r="G640" s="93" t="s">
        <v>865</v>
      </c>
    </row>
    <row r="641" spans="1:7">
      <c r="A641" s="95"/>
      <c r="B641" s="226" t="s">
        <v>834</v>
      </c>
      <c r="C641" s="844" t="s">
        <v>355</v>
      </c>
      <c r="D641" s="844"/>
      <c r="E641" s="844"/>
      <c r="F641" s="15" t="s">
        <v>833</v>
      </c>
      <c r="G641" s="165" t="str">
        <f>'MANO DE OBRA'!$D$61</f>
        <v>Agosto de 2010</v>
      </c>
    </row>
    <row r="642" spans="1:7" ht="13.5" thickBot="1">
      <c r="A642" s="127"/>
      <c r="B642" s="228" t="s">
        <v>835</v>
      </c>
      <c r="C642" s="845" t="s">
        <v>826</v>
      </c>
      <c r="D642" s="845"/>
      <c r="E642" s="845"/>
      <c r="F642" s="845"/>
      <c r="G642" s="846"/>
    </row>
    <row r="643" spans="1:7" ht="14.25" thickTop="1" thickBot="1">
      <c r="A643" s="95"/>
      <c r="B643" s="847"/>
      <c r="C643" s="847"/>
      <c r="D643" s="847"/>
      <c r="E643" s="847"/>
      <c r="F643" s="847"/>
      <c r="G643" s="847"/>
    </row>
    <row r="644" spans="1:7" ht="13.5" thickTop="1">
      <c r="A644" s="95"/>
      <c r="B644" s="811" t="s">
        <v>304</v>
      </c>
      <c r="C644" s="812"/>
      <c r="D644" s="812"/>
      <c r="E644" s="812"/>
      <c r="F644" s="812"/>
      <c r="G644" s="825"/>
    </row>
    <row r="645" spans="1:7">
      <c r="A645" s="95"/>
      <c r="B645" s="229"/>
      <c r="C645" s="97"/>
      <c r="D645" s="98" t="s">
        <v>301</v>
      </c>
      <c r="E645" s="98" t="s">
        <v>1072</v>
      </c>
      <c r="F645" s="99" t="s">
        <v>839</v>
      </c>
      <c r="G645" s="107" t="s">
        <v>840</v>
      </c>
    </row>
    <row r="646" spans="1:7">
      <c r="A646" s="95"/>
      <c r="B646" s="821" t="s">
        <v>838</v>
      </c>
      <c r="C646" s="822"/>
      <c r="D646" s="100" t="s">
        <v>308</v>
      </c>
      <c r="E646" s="100" t="s">
        <v>305</v>
      </c>
      <c r="F646" s="101" t="s">
        <v>306</v>
      </c>
      <c r="G646" s="108" t="s">
        <v>310</v>
      </c>
    </row>
    <row r="647" spans="1:7">
      <c r="A647" s="95"/>
      <c r="B647" s="230"/>
      <c r="C647" s="102"/>
      <c r="D647" s="103"/>
      <c r="E647" s="103" t="s">
        <v>309</v>
      </c>
      <c r="F647" s="104" t="s">
        <v>307</v>
      </c>
      <c r="G647" s="109"/>
    </row>
    <row r="648" spans="1:7">
      <c r="A648" s="127"/>
      <c r="B648" s="823" t="str">
        <f>'MAQUINARIA Y EQUIPOS'!$C$28</f>
        <v>HERRAMIENTAS MENORES</v>
      </c>
      <c r="C648" s="824"/>
      <c r="D648" s="87">
        <v>1</v>
      </c>
      <c r="E648" s="82">
        <f>ROUND(G680*0.05,0)</f>
        <v>2123</v>
      </c>
      <c r="F648" s="81">
        <v>1</v>
      </c>
      <c r="G648" s="110">
        <f>ROUND(D648*E648/F648,0)</f>
        <v>2123</v>
      </c>
    </row>
    <row r="649" spans="1:7">
      <c r="A649" s="95"/>
      <c r="B649" s="835"/>
      <c r="C649" s="836"/>
      <c r="D649" s="37"/>
      <c r="E649" s="82"/>
      <c r="F649" s="83"/>
      <c r="G649" s="111"/>
    </row>
    <row r="650" spans="1:7">
      <c r="A650" s="95"/>
      <c r="B650" s="835"/>
      <c r="C650" s="836"/>
      <c r="D650" s="89"/>
      <c r="E650" s="82"/>
      <c r="F650" s="83"/>
      <c r="G650" s="111"/>
    </row>
    <row r="651" spans="1:7">
      <c r="A651" s="95"/>
      <c r="B651" s="835"/>
      <c r="C651" s="836"/>
      <c r="D651" s="89"/>
      <c r="E651" s="82"/>
      <c r="F651" s="83"/>
      <c r="G651" s="111"/>
    </row>
    <row r="652" spans="1:7">
      <c r="A652" s="95"/>
      <c r="B652" s="835" t="s">
        <v>841</v>
      </c>
      <c r="C652" s="836"/>
      <c r="D652" s="37"/>
      <c r="E652" s="82"/>
      <c r="F652" s="83"/>
      <c r="G652" s="111"/>
    </row>
    <row r="653" spans="1:7" ht="13.5" thickBot="1">
      <c r="A653" s="95"/>
      <c r="B653" s="839" t="s">
        <v>841</v>
      </c>
      <c r="C653" s="840"/>
      <c r="D653" s="77"/>
      <c r="E653" s="106"/>
      <c r="F653" s="86"/>
      <c r="G653" s="112"/>
    </row>
    <row r="654" spans="1:7" ht="14.25" thickTop="1" thickBot="1">
      <c r="A654" s="95"/>
      <c r="B654" s="808"/>
      <c r="C654" s="808"/>
      <c r="D654" s="808"/>
      <c r="E654" s="809"/>
      <c r="F654" s="119" t="s">
        <v>856</v>
      </c>
      <c r="G654" s="118">
        <f>SUM(G648:G653)</f>
        <v>2123</v>
      </c>
    </row>
    <row r="655" spans="1:7" ht="14.25" thickTop="1" thickBot="1">
      <c r="A655" s="95"/>
      <c r="B655" s="830"/>
      <c r="C655" s="830"/>
      <c r="D655" s="830"/>
      <c r="E655" s="830"/>
      <c r="F655" s="830"/>
      <c r="G655" s="830"/>
    </row>
    <row r="656" spans="1:7" ht="13.5" thickTop="1">
      <c r="A656" s="95"/>
      <c r="B656" s="811" t="s">
        <v>311</v>
      </c>
      <c r="C656" s="812"/>
      <c r="D656" s="812"/>
      <c r="E656" s="812"/>
      <c r="F656" s="812"/>
      <c r="G656" s="825"/>
    </row>
    <row r="657" spans="1:8">
      <c r="A657" s="95"/>
      <c r="B657" s="817" t="s">
        <v>838</v>
      </c>
      <c r="C657" s="818"/>
      <c r="D657" s="98" t="s">
        <v>842</v>
      </c>
      <c r="E657" s="98" t="s">
        <v>853</v>
      </c>
      <c r="F657" s="99" t="s">
        <v>1047</v>
      </c>
      <c r="G657" s="107" t="s">
        <v>840</v>
      </c>
    </row>
    <row r="658" spans="1:8">
      <c r="A658" s="95"/>
      <c r="B658" s="230"/>
      <c r="C658" s="102"/>
      <c r="D658" s="100"/>
      <c r="E658" s="100" t="s">
        <v>312</v>
      </c>
      <c r="F658" s="101" t="s">
        <v>313</v>
      </c>
      <c r="G658" s="108" t="s">
        <v>314</v>
      </c>
    </row>
    <row r="659" spans="1:8" ht="14.25">
      <c r="A659" s="125"/>
      <c r="B659" s="841" t="str">
        <f>MATERIALES2!$C$35</f>
        <v>CONCRETO 1:2:3-3000 psi(MATERIALES)</v>
      </c>
      <c r="C659" s="842"/>
      <c r="D659" s="87" t="s">
        <v>1066</v>
      </c>
      <c r="E659" s="10">
        <f>ROUND(0.61*0.61*0.1,3)</f>
        <v>3.6999999999999998E-2</v>
      </c>
      <c r="F659" s="80">
        <f>MATERIALES2!$E$35</f>
        <v>367600</v>
      </c>
      <c r="G659" s="110">
        <f t="shared" ref="G659:G666" si="2">ROUND(E659*F659,0)</f>
        <v>13601</v>
      </c>
    </row>
    <row r="660" spans="1:8" ht="14.25">
      <c r="A660" s="123"/>
      <c r="B660" s="854" t="str">
        <f>MATERIALES2!$C$49</f>
        <v>MORTERO 1:3 (MATERIALES)</v>
      </c>
      <c r="C660" s="855"/>
      <c r="D660" s="37" t="s">
        <v>1066</v>
      </c>
      <c r="E660" s="139">
        <f>0.023+0.026</f>
        <v>4.9000000000000002E-2</v>
      </c>
      <c r="F660" s="82">
        <f>MATERIALES2!$E$49</f>
        <v>365000</v>
      </c>
      <c r="G660" s="111">
        <f t="shared" si="2"/>
        <v>17885</v>
      </c>
    </row>
    <row r="661" spans="1:8">
      <c r="A661" s="95"/>
      <c r="B661" s="854" t="str">
        <f>MATERIALES2!$C$82</f>
        <v>HIERRO A-37</v>
      </c>
      <c r="C661" s="855"/>
      <c r="D661" s="88" t="s">
        <v>925</v>
      </c>
      <c r="E661" s="83">
        <f>0.56*5*2*0.56</f>
        <v>3.1360000000000006</v>
      </c>
      <c r="F661" s="82">
        <f>MATERIALES2!$E$82</f>
        <v>2800</v>
      </c>
      <c r="G661" s="111">
        <f t="shared" si="2"/>
        <v>8781</v>
      </c>
    </row>
    <row r="662" spans="1:8">
      <c r="A662" s="95"/>
      <c r="B662" s="854" t="str">
        <f>MATERIALES2!$C$92</f>
        <v>TOLETE COMUN</v>
      </c>
      <c r="C662" s="855"/>
      <c r="D662" s="88" t="s">
        <v>865</v>
      </c>
      <c r="E662" s="83">
        <v>47</v>
      </c>
      <c r="F662" s="82">
        <f>MATERIALES2!$E$92</f>
        <v>380</v>
      </c>
      <c r="G662" s="111">
        <f t="shared" si="2"/>
        <v>17860</v>
      </c>
    </row>
    <row r="663" spans="1:8">
      <c r="A663" s="95"/>
      <c r="B663" s="854" t="str">
        <f>MATERIALES2!$C$65</f>
        <v>ALAMBRE NEGRO</v>
      </c>
      <c r="C663" s="855"/>
      <c r="D663" s="88" t="s">
        <v>925</v>
      </c>
      <c r="E663" s="141">
        <f>25*0.5/105.26</f>
        <v>0.11875356260687821</v>
      </c>
      <c r="F663" s="82">
        <f>MATERIALES2!$E$65</f>
        <v>2100</v>
      </c>
      <c r="G663" s="111">
        <f t="shared" si="2"/>
        <v>249</v>
      </c>
    </row>
    <row r="664" spans="1:8" ht="14.25">
      <c r="A664" s="95"/>
      <c r="B664" s="854" t="str">
        <f>MATERIALES2!$C$41</f>
        <v>CONCRETO 1:3:5-2000 PSI(MATERIALES)</v>
      </c>
      <c r="C664" s="855"/>
      <c r="D664" s="37" t="s">
        <v>1066</v>
      </c>
      <c r="E664" s="141">
        <f>ROUND(0.61*0.61*0.075,3)</f>
        <v>2.8000000000000001E-2</v>
      </c>
      <c r="F664" s="82">
        <f>MATERIALES2!$E$41</f>
        <v>319200</v>
      </c>
      <c r="G664" s="111">
        <f t="shared" si="2"/>
        <v>8938</v>
      </c>
    </row>
    <row r="665" spans="1:8" ht="39" customHeight="1">
      <c r="A665" s="158"/>
      <c r="B665" s="954" t="str">
        <f>EXCAVACIONES!$C$697</f>
        <v>EXCAVACION A MANO, EN CONGLOMERADO HASTA 2.00 M DE PROFUNDIDAD</v>
      </c>
      <c r="C665" s="955"/>
      <c r="D665" s="37" t="s">
        <v>1066</v>
      </c>
      <c r="E665" s="241">
        <f>ROUND(0.61*0.61*0.75,2)</f>
        <v>0.28000000000000003</v>
      </c>
      <c r="F665" s="242">
        <f>EXCAVACIONES!$G$747</f>
        <v>18200</v>
      </c>
      <c r="G665" s="243">
        <f t="shared" si="2"/>
        <v>5096</v>
      </c>
      <c r="H665" s="505" t="s">
        <v>1670</v>
      </c>
    </row>
    <row r="666" spans="1:8" ht="15" thickBot="1">
      <c r="A666" s="95"/>
      <c r="B666" s="953" t="str">
        <f>EXCAVACIONES!$C$2430</f>
        <v>RELLENO DE LA MISMA EXCAVACION</v>
      </c>
      <c r="C666" s="855"/>
      <c r="D666" s="37" t="s">
        <v>1066</v>
      </c>
      <c r="E666" s="141">
        <f>ROUND(0.61*0.61*0.2,3)</f>
        <v>7.3999999999999996E-2</v>
      </c>
      <c r="F666" s="82">
        <f>EXCAVACIONES!$G$2480</f>
        <v>17000</v>
      </c>
      <c r="G666" s="111">
        <f t="shared" si="2"/>
        <v>1258</v>
      </c>
    </row>
    <row r="667" spans="1:8" ht="13.5" thickTop="1">
      <c r="A667" s="95"/>
      <c r="B667" s="808"/>
      <c r="C667" s="809"/>
      <c r="D667" s="801" t="s">
        <v>856</v>
      </c>
      <c r="E667" s="802"/>
      <c r="F667" s="9"/>
      <c r="G667" s="113">
        <f>SUM(G659:G666)</f>
        <v>73668</v>
      </c>
    </row>
    <row r="668" spans="1:8">
      <c r="A668" s="95"/>
      <c r="B668" s="819"/>
      <c r="C668" s="820"/>
      <c r="D668" s="801" t="s">
        <v>857</v>
      </c>
      <c r="E668" s="802"/>
      <c r="F668" s="79">
        <f>'MANO DE OBRA'!$D$60</f>
        <v>0.05</v>
      </c>
      <c r="G668" s="113">
        <f>ROUND(G667*F668,0)</f>
        <v>3683</v>
      </c>
    </row>
    <row r="669" spans="1:8" ht="13.5" thickBot="1">
      <c r="A669" s="95"/>
      <c r="B669" s="819"/>
      <c r="C669" s="820"/>
      <c r="D669" s="803" t="s">
        <v>320</v>
      </c>
      <c r="E669" s="804"/>
      <c r="F669" s="114"/>
      <c r="G669" s="118">
        <f>+G667+G668</f>
        <v>77351</v>
      </c>
    </row>
    <row r="670" spans="1:8" ht="14.25" thickTop="1" thickBot="1">
      <c r="A670" s="95"/>
      <c r="B670" s="830"/>
      <c r="C670" s="830"/>
      <c r="D670" s="830"/>
      <c r="E670" s="830"/>
      <c r="F670" s="830"/>
      <c r="G670" s="830"/>
    </row>
    <row r="671" spans="1:8" ht="13.5" thickTop="1">
      <c r="A671" s="95"/>
      <c r="B671" s="811" t="s">
        <v>858</v>
      </c>
      <c r="C671" s="812"/>
      <c r="D671" s="812"/>
      <c r="E671" s="812"/>
      <c r="F671" s="812"/>
      <c r="G671" s="825"/>
    </row>
    <row r="672" spans="1:8">
      <c r="A672" s="95"/>
      <c r="B672" s="817"/>
      <c r="C672" s="818"/>
      <c r="D672" s="98" t="s">
        <v>301</v>
      </c>
      <c r="E672" s="98" t="s">
        <v>859</v>
      </c>
      <c r="F672" s="99" t="s">
        <v>839</v>
      </c>
      <c r="G672" s="107" t="s">
        <v>840</v>
      </c>
    </row>
    <row r="673" spans="1:7">
      <c r="A673" s="95"/>
      <c r="B673" s="821" t="s">
        <v>838</v>
      </c>
      <c r="C673" s="822"/>
      <c r="D673" s="100" t="s">
        <v>316</v>
      </c>
      <c r="E673" s="100" t="s">
        <v>315</v>
      </c>
      <c r="F673" s="101" t="s">
        <v>306</v>
      </c>
      <c r="G673" s="108" t="s">
        <v>319</v>
      </c>
    </row>
    <row r="674" spans="1:7">
      <c r="A674" s="95"/>
      <c r="B674" s="230"/>
      <c r="C674" s="102"/>
      <c r="D674" s="103"/>
      <c r="E674" s="103" t="s">
        <v>317</v>
      </c>
      <c r="F674" s="104" t="s">
        <v>318</v>
      </c>
      <c r="G674" s="109"/>
    </row>
    <row r="675" spans="1:7">
      <c r="A675" s="95"/>
      <c r="B675" s="823" t="str">
        <f>'MANO DE OBRA'!$B$10</f>
        <v>AYUDANTE CUAD. TIPO AA</v>
      </c>
      <c r="C675" s="824"/>
      <c r="D675" s="87">
        <v>1</v>
      </c>
      <c r="E675" s="80">
        <f>'MANO DE OBRA'!$E$10</f>
        <v>34680</v>
      </c>
      <c r="F675" s="81">
        <v>2.5</v>
      </c>
      <c r="G675" s="110">
        <f>ROUND(D675*E675/F675,0)</f>
        <v>13872</v>
      </c>
    </row>
    <row r="676" spans="1:7">
      <c r="A676" s="95"/>
      <c r="B676" s="835" t="str">
        <f>'MANO DE OBRA'!$B$15</f>
        <v xml:space="preserve">OFICIAL CUAD. TIPO AA </v>
      </c>
      <c r="C676" s="836"/>
      <c r="D676" s="37">
        <v>1</v>
      </c>
      <c r="E676" s="82">
        <f>'MANO DE OBRA'!$E$15</f>
        <v>71474</v>
      </c>
      <c r="F676" s="83">
        <v>2.5</v>
      </c>
      <c r="G676" s="111">
        <f>ROUND(D676*E676/F676,0)</f>
        <v>28590</v>
      </c>
    </row>
    <row r="677" spans="1:7">
      <c r="A677" s="95"/>
      <c r="B677" s="835"/>
      <c r="C677" s="836"/>
      <c r="D677" s="89"/>
      <c r="E677" s="82"/>
      <c r="F677" s="83"/>
      <c r="G677" s="111"/>
    </row>
    <row r="678" spans="1:7">
      <c r="A678" s="95"/>
      <c r="B678" s="835" t="s">
        <v>841</v>
      </c>
      <c r="C678" s="836"/>
      <c r="D678" s="37"/>
      <c r="E678" s="82"/>
      <c r="F678" s="83"/>
      <c r="G678" s="111"/>
    </row>
    <row r="679" spans="1:7" ht="13.5" thickBot="1">
      <c r="A679" s="95"/>
      <c r="B679" s="828" t="s">
        <v>841</v>
      </c>
      <c r="C679" s="829"/>
      <c r="D679" s="77"/>
      <c r="E679" s="82"/>
      <c r="F679" s="86"/>
      <c r="G679" s="112"/>
    </row>
    <row r="680" spans="1:7" ht="14.25" thickTop="1" thickBot="1">
      <c r="A680" s="95"/>
      <c r="B680" s="808"/>
      <c r="C680" s="808"/>
      <c r="D680" s="808"/>
      <c r="E680" s="809"/>
      <c r="F680" s="120" t="s">
        <v>856</v>
      </c>
      <c r="G680" s="118">
        <f>SUM(G675:G679)</f>
        <v>42462</v>
      </c>
    </row>
    <row r="681" spans="1:7" ht="14.25" thickTop="1" thickBot="1">
      <c r="A681" s="95"/>
      <c r="B681" s="810"/>
      <c r="C681" s="810"/>
      <c r="D681" s="810"/>
      <c r="E681" s="810"/>
      <c r="F681" s="810"/>
      <c r="G681" s="810"/>
    </row>
    <row r="682" spans="1:7" ht="13.5" thickTop="1">
      <c r="A682" s="95"/>
      <c r="B682" s="811" t="s">
        <v>321</v>
      </c>
      <c r="C682" s="812"/>
      <c r="D682" s="812"/>
      <c r="E682" s="812"/>
      <c r="F682" s="812"/>
      <c r="G682" s="825"/>
    </row>
    <row r="683" spans="1:7">
      <c r="A683" s="95"/>
      <c r="B683" s="817" t="s">
        <v>838</v>
      </c>
      <c r="C683" s="818"/>
      <c r="D683" s="98" t="s">
        <v>301</v>
      </c>
      <c r="E683" s="98" t="s">
        <v>297</v>
      </c>
      <c r="F683" s="99" t="s">
        <v>839</v>
      </c>
      <c r="G683" s="107" t="s">
        <v>840</v>
      </c>
    </row>
    <row r="684" spans="1:7">
      <c r="A684" s="95"/>
      <c r="B684" s="230"/>
      <c r="C684" s="102"/>
      <c r="D684" s="103" t="s">
        <v>322</v>
      </c>
      <c r="E684" s="103" t="s">
        <v>323</v>
      </c>
      <c r="F684" s="104" t="s">
        <v>324</v>
      </c>
      <c r="G684" s="109" t="s">
        <v>325</v>
      </c>
    </row>
    <row r="685" spans="1:7">
      <c r="A685" s="95"/>
      <c r="B685" s="826"/>
      <c r="C685" s="827"/>
      <c r="D685" s="96"/>
      <c r="E685" s="96"/>
      <c r="F685" s="96"/>
      <c r="G685" s="116"/>
    </row>
    <row r="686" spans="1:7" ht="13.5" thickBot="1">
      <c r="A686" s="95"/>
      <c r="B686" s="828" t="s">
        <v>841</v>
      </c>
      <c r="C686" s="829"/>
      <c r="D686" s="77"/>
      <c r="E686" s="82"/>
      <c r="F686" s="86"/>
      <c r="G686" s="112"/>
    </row>
    <row r="687" spans="1:7" ht="14.25" thickTop="1" thickBot="1">
      <c r="A687" s="95"/>
      <c r="B687" s="808"/>
      <c r="C687" s="808"/>
      <c r="D687" s="808"/>
      <c r="E687" s="809"/>
      <c r="F687" s="120" t="s">
        <v>856</v>
      </c>
      <c r="G687" s="118">
        <f>SUM(G682:G686)</f>
        <v>0</v>
      </c>
    </row>
    <row r="688" spans="1:7" ht="14.25" thickTop="1" thickBot="1">
      <c r="A688" s="95"/>
      <c r="B688" s="810"/>
      <c r="C688" s="810"/>
      <c r="D688" s="810"/>
      <c r="E688" s="810"/>
      <c r="F688" s="810"/>
      <c r="G688" s="834"/>
    </row>
    <row r="689" spans="1:8" ht="13.5" thickTop="1">
      <c r="A689" s="95"/>
      <c r="B689" s="811" t="s">
        <v>326</v>
      </c>
      <c r="C689" s="812"/>
      <c r="D689" s="812"/>
      <c r="E689" s="812"/>
      <c r="F689" s="813"/>
      <c r="G689" s="121">
        <f>+G654+G669+G680</f>
        <v>121936</v>
      </c>
    </row>
    <row r="690" spans="1:8">
      <c r="A690" s="95"/>
      <c r="B690" s="814" t="s">
        <v>861</v>
      </c>
      <c r="C690" s="815"/>
      <c r="D690" s="815"/>
      <c r="E690" s="816"/>
      <c r="F690" s="128">
        <f>'MANO DE OBRA'!$D$59</f>
        <v>0</v>
      </c>
      <c r="G690" s="122">
        <f>ROUND(G689*F690,0)</f>
        <v>0</v>
      </c>
    </row>
    <row r="691" spans="1:8" ht="13.5" thickBot="1">
      <c r="A691" s="95"/>
      <c r="B691" s="805" t="s">
        <v>1049</v>
      </c>
      <c r="C691" s="806"/>
      <c r="D691" s="806"/>
      <c r="E691" s="806"/>
      <c r="F691" s="807"/>
      <c r="G691" s="118">
        <f>ROUND(G689+G690,-2)</f>
        <v>121900</v>
      </c>
      <c r="H691" s="505" t="s">
        <v>1670</v>
      </c>
    </row>
    <row r="692" spans="1:8" ht="13.5" thickTop="1">
      <c r="A692" s="95"/>
      <c r="B692" s="225" t="s">
        <v>303</v>
      </c>
      <c r="C692" s="843"/>
      <c r="D692" s="843"/>
      <c r="E692" s="843"/>
      <c r="F692" s="92" t="s">
        <v>781</v>
      </c>
      <c r="G692" s="93" t="s">
        <v>865</v>
      </c>
    </row>
    <row r="693" spans="1:8">
      <c r="A693" s="95"/>
      <c r="B693" s="226" t="s">
        <v>834</v>
      </c>
      <c r="C693" s="844" t="s">
        <v>355</v>
      </c>
      <c r="D693" s="844"/>
      <c r="E693" s="844"/>
      <c r="F693" s="15" t="s">
        <v>833</v>
      </c>
      <c r="G693" s="165" t="str">
        <f>'MANO DE OBRA'!$D$61</f>
        <v>Agosto de 2010</v>
      </c>
    </row>
    <row r="694" spans="1:8" ht="13.5" thickBot="1">
      <c r="A694" s="127"/>
      <c r="B694" s="228" t="s">
        <v>835</v>
      </c>
      <c r="C694" s="845" t="s">
        <v>827</v>
      </c>
      <c r="D694" s="845"/>
      <c r="E694" s="845"/>
      <c r="F694" s="845"/>
      <c r="G694" s="846"/>
    </row>
    <row r="695" spans="1:8" ht="14.25" thickTop="1" thickBot="1">
      <c r="A695" s="95"/>
      <c r="B695" s="847"/>
      <c r="C695" s="847"/>
      <c r="D695" s="847"/>
      <c r="E695" s="847"/>
      <c r="F695" s="847"/>
      <c r="G695" s="847"/>
    </row>
    <row r="696" spans="1:8" ht="13.5" thickTop="1">
      <c r="A696" s="95"/>
      <c r="B696" s="811" t="s">
        <v>304</v>
      </c>
      <c r="C696" s="812"/>
      <c r="D696" s="812"/>
      <c r="E696" s="812"/>
      <c r="F696" s="812"/>
      <c r="G696" s="825"/>
    </row>
    <row r="697" spans="1:8">
      <c r="A697" s="95"/>
      <c r="B697" s="229"/>
      <c r="C697" s="97"/>
      <c r="D697" s="98" t="s">
        <v>301</v>
      </c>
      <c r="E697" s="98" t="s">
        <v>1072</v>
      </c>
      <c r="F697" s="99" t="s">
        <v>839</v>
      </c>
      <c r="G697" s="107" t="s">
        <v>840</v>
      </c>
    </row>
    <row r="698" spans="1:8">
      <c r="A698" s="95"/>
      <c r="B698" s="821" t="s">
        <v>838</v>
      </c>
      <c r="C698" s="822"/>
      <c r="D698" s="100" t="s">
        <v>308</v>
      </c>
      <c r="E698" s="100" t="s">
        <v>305</v>
      </c>
      <c r="F698" s="101" t="s">
        <v>306</v>
      </c>
      <c r="G698" s="108" t="s">
        <v>310</v>
      </c>
    </row>
    <row r="699" spans="1:8">
      <c r="A699" s="95"/>
      <c r="B699" s="230"/>
      <c r="C699" s="102"/>
      <c r="D699" s="103"/>
      <c r="E699" s="103" t="s">
        <v>309</v>
      </c>
      <c r="F699" s="104" t="s">
        <v>307</v>
      </c>
      <c r="G699" s="109"/>
    </row>
    <row r="700" spans="1:8">
      <c r="A700" s="127"/>
      <c r="B700" s="823" t="str">
        <f>'MAQUINARIA Y EQUIPOS'!$C$28</f>
        <v>HERRAMIENTAS MENORES</v>
      </c>
      <c r="C700" s="824"/>
      <c r="D700" s="87">
        <v>1</v>
      </c>
      <c r="E700" s="82">
        <f>ROUND(G732*0.05,0)</f>
        <v>2123</v>
      </c>
      <c r="F700" s="81">
        <v>1</v>
      </c>
      <c r="G700" s="110">
        <f>ROUND(D700*E700/F700,0)</f>
        <v>2123</v>
      </c>
    </row>
    <row r="701" spans="1:8">
      <c r="A701" s="95"/>
      <c r="B701" s="835"/>
      <c r="C701" s="836"/>
      <c r="D701" s="37"/>
      <c r="E701" s="82"/>
      <c r="F701" s="83"/>
      <c r="G701" s="111"/>
    </row>
    <row r="702" spans="1:8">
      <c r="A702" s="95"/>
      <c r="B702" s="835"/>
      <c r="C702" s="836"/>
      <c r="D702" s="89"/>
      <c r="E702" s="82"/>
      <c r="F702" s="83"/>
      <c r="G702" s="111"/>
    </row>
    <row r="703" spans="1:8">
      <c r="A703" s="95"/>
      <c r="B703" s="835"/>
      <c r="C703" s="836"/>
      <c r="D703" s="89"/>
      <c r="E703" s="82"/>
      <c r="F703" s="83"/>
      <c r="G703" s="111"/>
    </row>
    <row r="704" spans="1:8">
      <c r="A704" s="95"/>
      <c r="B704" s="835" t="s">
        <v>841</v>
      </c>
      <c r="C704" s="836"/>
      <c r="D704" s="37"/>
      <c r="E704" s="82"/>
      <c r="F704" s="83"/>
      <c r="G704" s="111"/>
    </row>
    <row r="705" spans="1:8" ht="13.5" thickBot="1">
      <c r="A705" s="95"/>
      <c r="B705" s="839" t="s">
        <v>841</v>
      </c>
      <c r="C705" s="840"/>
      <c r="D705" s="77"/>
      <c r="E705" s="106"/>
      <c r="F705" s="86"/>
      <c r="G705" s="112"/>
    </row>
    <row r="706" spans="1:8" ht="14.25" thickTop="1" thickBot="1">
      <c r="A706" s="95"/>
      <c r="B706" s="808"/>
      <c r="C706" s="808"/>
      <c r="D706" s="808"/>
      <c r="E706" s="809"/>
      <c r="F706" s="119" t="s">
        <v>856</v>
      </c>
      <c r="G706" s="118">
        <f>SUM(G700:G705)</f>
        <v>2123</v>
      </c>
    </row>
    <row r="707" spans="1:8" ht="14.25" thickTop="1" thickBot="1">
      <c r="A707" s="95"/>
      <c r="B707" s="830"/>
      <c r="C707" s="830"/>
      <c r="D707" s="830"/>
      <c r="E707" s="830"/>
      <c r="F707" s="830"/>
      <c r="G707" s="830"/>
    </row>
    <row r="708" spans="1:8" ht="13.5" thickTop="1">
      <c r="A708" s="95"/>
      <c r="B708" s="811" t="s">
        <v>311</v>
      </c>
      <c r="C708" s="812"/>
      <c r="D708" s="812"/>
      <c r="E708" s="812"/>
      <c r="F708" s="812"/>
      <c r="G708" s="825"/>
    </row>
    <row r="709" spans="1:8">
      <c r="A709" s="95"/>
      <c r="B709" s="817" t="s">
        <v>838</v>
      </c>
      <c r="C709" s="818"/>
      <c r="D709" s="98" t="s">
        <v>842</v>
      </c>
      <c r="E709" s="98" t="s">
        <v>853</v>
      </c>
      <c r="F709" s="99" t="s">
        <v>1047</v>
      </c>
      <c r="G709" s="107" t="s">
        <v>840</v>
      </c>
    </row>
    <row r="710" spans="1:8">
      <c r="A710" s="95"/>
      <c r="B710" s="230"/>
      <c r="C710" s="102"/>
      <c r="D710" s="100"/>
      <c r="E710" s="100" t="s">
        <v>312</v>
      </c>
      <c r="F710" s="101" t="s">
        <v>313</v>
      </c>
      <c r="G710" s="108" t="s">
        <v>314</v>
      </c>
    </row>
    <row r="711" spans="1:8" ht="14.25">
      <c r="A711" s="125"/>
      <c r="B711" s="841" t="str">
        <f>MATERIALES2!$C$35</f>
        <v>CONCRETO 1:2:3-3000 psi(MATERIALES)</v>
      </c>
      <c r="C711" s="842"/>
      <c r="D711" s="87" t="s">
        <v>1066</v>
      </c>
      <c r="E711" s="10">
        <f>ROUND(0.61*0.61*0.1,3)</f>
        <v>3.6999999999999998E-2</v>
      </c>
      <c r="F711" s="80">
        <f>MATERIALES2!$E$35</f>
        <v>367600</v>
      </c>
      <c r="G711" s="110">
        <f t="shared" ref="G711:G718" si="3">ROUND(E711*F711,0)</f>
        <v>13601</v>
      </c>
    </row>
    <row r="712" spans="1:8" ht="14.25">
      <c r="A712" s="123"/>
      <c r="B712" s="854" t="str">
        <f>MATERIALES2!$C$49</f>
        <v>MORTERO 1:3 (MATERIALES)</v>
      </c>
      <c r="C712" s="855"/>
      <c r="D712" s="37" t="s">
        <v>1066</v>
      </c>
      <c r="E712" s="139">
        <f>0.027+0.03</f>
        <v>5.6999999999999995E-2</v>
      </c>
      <c r="F712" s="82">
        <f>MATERIALES2!$E$49</f>
        <v>365000</v>
      </c>
      <c r="G712" s="111">
        <f t="shared" si="3"/>
        <v>20805</v>
      </c>
    </row>
    <row r="713" spans="1:8">
      <c r="A713" s="95"/>
      <c r="B713" s="854" t="str">
        <f>MATERIALES2!$C$82</f>
        <v>HIERRO A-37</v>
      </c>
      <c r="C713" s="855"/>
      <c r="D713" s="88" t="s">
        <v>925</v>
      </c>
      <c r="E713" s="83">
        <f>0.56*5*2*0.56</f>
        <v>3.1360000000000006</v>
      </c>
      <c r="F713" s="82">
        <f>MATERIALES2!$E$82</f>
        <v>2800</v>
      </c>
      <c r="G713" s="111">
        <f t="shared" si="3"/>
        <v>8781</v>
      </c>
    </row>
    <row r="714" spans="1:8">
      <c r="A714" s="95"/>
      <c r="B714" s="854" t="str">
        <f>MATERIALES2!$C$92</f>
        <v>TOLETE COMUN</v>
      </c>
      <c r="C714" s="855"/>
      <c r="D714" s="88" t="s">
        <v>865</v>
      </c>
      <c r="E714" s="83">
        <v>57</v>
      </c>
      <c r="F714" s="82">
        <f>MATERIALES2!$E$92</f>
        <v>380</v>
      </c>
      <c r="G714" s="111">
        <f t="shared" si="3"/>
        <v>21660</v>
      </c>
    </row>
    <row r="715" spans="1:8">
      <c r="A715" s="95"/>
      <c r="B715" s="854" t="str">
        <f>MATERIALES2!$C$65</f>
        <v>ALAMBRE NEGRO</v>
      </c>
      <c r="C715" s="855"/>
      <c r="D715" s="88" t="s">
        <v>925</v>
      </c>
      <c r="E715" s="141">
        <f>25*0.5/105.26</f>
        <v>0.11875356260687821</v>
      </c>
      <c r="F715" s="82">
        <f>MATERIALES2!$E$65</f>
        <v>2100</v>
      </c>
      <c r="G715" s="111">
        <f t="shared" si="3"/>
        <v>249</v>
      </c>
    </row>
    <row r="716" spans="1:8" ht="14.25">
      <c r="A716" s="95"/>
      <c r="B716" s="854" t="str">
        <f>MATERIALES2!$C$41</f>
        <v>CONCRETO 1:3:5-2000 PSI(MATERIALES)</v>
      </c>
      <c r="C716" s="855"/>
      <c r="D716" s="37" t="s">
        <v>1066</v>
      </c>
      <c r="E716" s="141">
        <f>ROUND(0.61*0.61*0.075,3)</f>
        <v>2.8000000000000001E-2</v>
      </c>
      <c r="F716" s="82">
        <f>MATERIALES2!$E$41</f>
        <v>319200</v>
      </c>
      <c r="G716" s="111">
        <f t="shared" si="3"/>
        <v>8938</v>
      </c>
    </row>
    <row r="717" spans="1:8" ht="29.25" customHeight="1">
      <c r="A717" s="158"/>
      <c r="B717" s="954" t="str">
        <f>EXCAVACIONES!$C$697</f>
        <v>EXCAVACION A MANO, EN CONGLOMERADO HASTA 2.00 M DE PROFUNDIDAD</v>
      </c>
      <c r="C717" s="955"/>
      <c r="D717" s="37" t="s">
        <v>1066</v>
      </c>
      <c r="E717" s="241">
        <f>ROUND(0.61*0.61*0.75,2)</f>
        <v>0.28000000000000003</v>
      </c>
      <c r="F717" s="242">
        <f>EXCAVACIONES!$G$747</f>
        <v>18200</v>
      </c>
      <c r="G717" s="243">
        <f t="shared" si="3"/>
        <v>5096</v>
      </c>
      <c r="H717" s="505" t="s">
        <v>1670</v>
      </c>
    </row>
    <row r="718" spans="1:8" ht="15" thickBot="1">
      <c r="A718" s="95"/>
      <c r="B718" s="953" t="str">
        <f>EXCAVACIONES!$C$2430</f>
        <v>RELLENO DE LA MISMA EXCAVACION</v>
      </c>
      <c r="C718" s="855"/>
      <c r="D718" s="37" t="s">
        <v>1066</v>
      </c>
      <c r="E718" s="141">
        <f>ROUND(0.61*0.61*0.1,3)</f>
        <v>3.6999999999999998E-2</v>
      </c>
      <c r="F718" s="82">
        <f>EXCAVACIONES!$G$2480</f>
        <v>17000</v>
      </c>
      <c r="G718" s="111">
        <f t="shared" si="3"/>
        <v>629</v>
      </c>
    </row>
    <row r="719" spans="1:8" ht="13.5" thickTop="1">
      <c r="A719" s="95"/>
      <c r="B719" s="808"/>
      <c r="C719" s="809"/>
      <c r="D719" s="801" t="s">
        <v>856</v>
      </c>
      <c r="E719" s="802"/>
      <c r="F719" s="9"/>
      <c r="G719" s="113">
        <f>SUM(G711:G718)</f>
        <v>79759</v>
      </c>
    </row>
    <row r="720" spans="1:8">
      <c r="A720" s="95"/>
      <c r="B720" s="819"/>
      <c r="C720" s="820"/>
      <c r="D720" s="801" t="s">
        <v>857</v>
      </c>
      <c r="E720" s="802"/>
      <c r="F720" s="79">
        <f>'MANO DE OBRA'!$D$60</f>
        <v>0.05</v>
      </c>
      <c r="G720" s="113">
        <f>ROUND(G719*F720,0)</f>
        <v>3988</v>
      </c>
    </row>
    <row r="721" spans="1:7" ht="13.5" thickBot="1">
      <c r="A721" s="95"/>
      <c r="B721" s="819"/>
      <c r="C721" s="820"/>
      <c r="D721" s="803" t="s">
        <v>320</v>
      </c>
      <c r="E721" s="804"/>
      <c r="F721" s="114"/>
      <c r="G721" s="118">
        <f>+G719+G720</f>
        <v>83747</v>
      </c>
    </row>
    <row r="722" spans="1:7" ht="14.25" thickTop="1" thickBot="1">
      <c r="A722" s="95"/>
      <c r="B722" s="830"/>
      <c r="C722" s="830"/>
      <c r="D722" s="830"/>
      <c r="E722" s="830"/>
      <c r="F722" s="830"/>
      <c r="G722" s="830"/>
    </row>
    <row r="723" spans="1:7" ht="13.5" thickTop="1">
      <c r="A723" s="95"/>
      <c r="B723" s="811" t="s">
        <v>858</v>
      </c>
      <c r="C723" s="812"/>
      <c r="D723" s="812"/>
      <c r="E723" s="812"/>
      <c r="F723" s="812"/>
      <c r="G723" s="825"/>
    </row>
    <row r="724" spans="1:7">
      <c r="A724" s="95"/>
      <c r="B724" s="817"/>
      <c r="C724" s="818"/>
      <c r="D724" s="98" t="s">
        <v>301</v>
      </c>
      <c r="E724" s="98" t="s">
        <v>859</v>
      </c>
      <c r="F724" s="99" t="s">
        <v>839</v>
      </c>
      <c r="G724" s="107" t="s">
        <v>840</v>
      </c>
    </row>
    <row r="725" spans="1:7">
      <c r="A725" s="95"/>
      <c r="B725" s="821" t="s">
        <v>838</v>
      </c>
      <c r="C725" s="822"/>
      <c r="D725" s="100" t="s">
        <v>316</v>
      </c>
      <c r="E725" s="100" t="s">
        <v>315</v>
      </c>
      <c r="F725" s="101" t="s">
        <v>306</v>
      </c>
      <c r="G725" s="108" t="s">
        <v>319</v>
      </c>
    </row>
    <row r="726" spans="1:7">
      <c r="A726" s="95"/>
      <c r="B726" s="230"/>
      <c r="C726" s="102"/>
      <c r="D726" s="103"/>
      <c r="E726" s="103" t="s">
        <v>317</v>
      </c>
      <c r="F726" s="104" t="s">
        <v>318</v>
      </c>
      <c r="G726" s="109"/>
    </row>
    <row r="727" spans="1:7">
      <c r="A727" s="95"/>
      <c r="B727" s="823" t="str">
        <f>'MANO DE OBRA'!$B$10</f>
        <v>AYUDANTE CUAD. TIPO AA</v>
      </c>
      <c r="C727" s="824"/>
      <c r="D727" s="87">
        <v>1</v>
      </c>
      <c r="E727" s="80">
        <f>'MANO DE OBRA'!$E$10</f>
        <v>34680</v>
      </c>
      <c r="F727" s="81">
        <v>2.5</v>
      </c>
      <c r="G727" s="110">
        <f>ROUND(D727*E727/F727,0)</f>
        <v>13872</v>
      </c>
    </row>
    <row r="728" spans="1:7">
      <c r="A728" s="95"/>
      <c r="B728" s="835" t="str">
        <f>'MANO DE OBRA'!$B$15</f>
        <v xml:space="preserve">OFICIAL CUAD. TIPO AA </v>
      </c>
      <c r="C728" s="836"/>
      <c r="D728" s="37">
        <v>1</v>
      </c>
      <c r="E728" s="82">
        <f>'MANO DE OBRA'!$E$15</f>
        <v>71474</v>
      </c>
      <c r="F728" s="83">
        <v>2.5</v>
      </c>
      <c r="G728" s="111">
        <f>ROUND(D728*E728/F728,0)</f>
        <v>28590</v>
      </c>
    </row>
    <row r="729" spans="1:7">
      <c r="A729" s="95"/>
      <c r="B729" s="835"/>
      <c r="C729" s="836"/>
      <c r="D729" s="89"/>
      <c r="E729" s="82"/>
      <c r="F729" s="83"/>
      <c r="G729" s="111"/>
    </row>
    <row r="730" spans="1:7">
      <c r="A730" s="95"/>
      <c r="B730" s="835" t="s">
        <v>841</v>
      </c>
      <c r="C730" s="836"/>
      <c r="D730" s="37"/>
      <c r="E730" s="82"/>
      <c r="F730" s="83"/>
      <c r="G730" s="111"/>
    </row>
    <row r="731" spans="1:7" ht="13.5" thickBot="1">
      <c r="A731" s="95"/>
      <c r="B731" s="828" t="s">
        <v>841</v>
      </c>
      <c r="C731" s="829"/>
      <c r="D731" s="77"/>
      <c r="E731" s="82"/>
      <c r="F731" s="86"/>
      <c r="G731" s="112"/>
    </row>
    <row r="732" spans="1:7" ht="14.25" thickTop="1" thickBot="1">
      <c r="A732" s="95"/>
      <c r="B732" s="808"/>
      <c r="C732" s="808"/>
      <c r="D732" s="808"/>
      <c r="E732" s="809"/>
      <c r="F732" s="120" t="s">
        <v>856</v>
      </c>
      <c r="G732" s="118">
        <f>SUM(G727:G731)</f>
        <v>42462</v>
      </c>
    </row>
    <row r="733" spans="1:7" ht="14.25" thickTop="1" thickBot="1">
      <c r="A733" s="95"/>
      <c r="B733" s="810"/>
      <c r="C733" s="810"/>
      <c r="D733" s="810"/>
      <c r="E733" s="810"/>
      <c r="F733" s="810"/>
      <c r="G733" s="810"/>
    </row>
    <row r="734" spans="1:7" ht="13.5" thickTop="1">
      <c r="A734" s="95"/>
      <c r="B734" s="811" t="s">
        <v>321</v>
      </c>
      <c r="C734" s="812"/>
      <c r="D734" s="812"/>
      <c r="E734" s="812"/>
      <c r="F734" s="812"/>
      <c r="G734" s="825"/>
    </row>
    <row r="735" spans="1:7">
      <c r="A735" s="95"/>
      <c r="B735" s="817" t="s">
        <v>838</v>
      </c>
      <c r="C735" s="818"/>
      <c r="D735" s="98" t="s">
        <v>301</v>
      </c>
      <c r="E735" s="98" t="s">
        <v>297</v>
      </c>
      <c r="F735" s="99" t="s">
        <v>839</v>
      </c>
      <c r="G735" s="107" t="s">
        <v>840</v>
      </c>
    </row>
    <row r="736" spans="1:7">
      <c r="A736" s="95"/>
      <c r="B736" s="230"/>
      <c r="C736" s="102"/>
      <c r="D736" s="103" t="s">
        <v>322</v>
      </c>
      <c r="E736" s="103" t="s">
        <v>323</v>
      </c>
      <c r="F736" s="104" t="s">
        <v>324</v>
      </c>
      <c r="G736" s="109" t="s">
        <v>325</v>
      </c>
    </row>
    <row r="737" spans="1:8">
      <c r="A737" s="95"/>
      <c r="B737" s="826"/>
      <c r="C737" s="827"/>
      <c r="D737" s="96"/>
      <c r="E737" s="96"/>
      <c r="F737" s="96"/>
      <c r="G737" s="116"/>
    </row>
    <row r="738" spans="1:8" ht="13.5" thickBot="1">
      <c r="A738" s="95"/>
      <c r="B738" s="828" t="s">
        <v>841</v>
      </c>
      <c r="C738" s="829"/>
      <c r="D738" s="77"/>
      <c r="E738" s="82"/>
      <c r="F738" s="86"/>
      <c r="G738" s="112"/>
    </row>
    <row r="739" spans="1:8" ht="14.25" thickTop="1" thickBot="1">
      <c r="A739" s="95"/>
      <c r="B739" s="808"/>
      <c r="C739" s="808"/>
      <c r="D739" s="808"/>
      <c r="E739" s="809"/>
      <c r="F739" s="120" t="s">
        <v>856</v>
      </c>
      <c r="G739" s="118">
        <f>SUM(G734:G738)</f>
        <v>0</v>
      </c>
    </row>
    <row r="740" spans="1:8" ht="14.25" thickTop="1" thickBot="1">
      <c r="A740" s="95"/>
      <c r="B740" s="810"/>
      <c r="C740" s="810"/>
      <c r="D740" s="810"/>
      <c r="E740" s="810"/>
      <c r="F740" s="810"/>
      <c r="G740" s="834"/>
    </row>
    <row r="741" spans="1:8" ht="13.5" thickTop="1">
      <c r="A741" s="95"/>
      <c r="B741" s="811" t="s">
        <v>326</v>
      </c>
      <c r="C741" s="812"/>
      <c r="D741" s="812"/>
      <c r="E741" s="812"/>
      <c r="F741" s="813"/>
      <c r="G741" s="121">
        <f>+G706+G721+G732</f>
        <v>128332</v>
      </c>
    </row>
    <row r="742" spans="1:8">
      <c r="A742" s="95"/>
      <c r="B742" s="814" t="s">
        <v>861</v>
      </c>
      <c r="C742" s="815"/>
      <c r="D742" s="815"/>
      <c r="E742" s="816"/>
      <c r="F742" s="128">
        <f>'MANO DE OBRA'!$D$59</f>
        <v>0</v>
      </c>
      <c r="G742" s="122">
        <f>ROUND(G741*F742,0)</f>
        <v>0</v>
      </c>
    </row>
    <row r="743" spans="1:8" ht="13.5" thickBot="1">
      <c r="A743" s="95"/>
      <c r="B743" s="805" t="s">
        <v>1049</v>
      </c>
      <c r="C743" s="806"/>
      <c r="D743" s="806"/>
      <c r="E743" s="806"/>
      <c r="F743" s="807"/>
      <c r="G743" s="118">
        <f>ROUND(G741+G742,-2)</f>
        <v>128300</v>
      </c>
      <c r="H743" s="505" t="s">
        <v>1670</v>
      </c>
    </row>
    <row r="744" spans="1:8" ht="13.5" thickTop="1">
      <c r="A744" s="95"/>
      <c r="B744" s="225" t="s">
        <v>303</v>
      </c>
      <c r="C744" s="843"/>
      <c r="D744" s="843"/>
      <c r="E744" s="843"/>
      <c r="F744" s="92" t="s">
        <v>781</v>
      </c>
      <c r="G744" s="93" t="s">
        <v>865</v>
      </c>
    </row>
    <row r="745" spans="1:8">
      <c r="A745" s="95"/>
      <c r="B745" s="226" t="s">
        <v>834</v>
      </c>
      <c r="C745" s="844" t="s">
        <v>382</v>
      </c>
      <c r="D745" s="844"/>
      <c r="E745" s="844"/>
      <c r="F745" s="15" t="s">
        <v>833</v>
      </c>
      <c r="G745" s="165" t="str">
        <f>'MANO DE OBRA'!$D$61</f>
        <v>Agosto de 2010</v>
      </c>
    </row>
    <row r="746" spans="1:8" ht="13.5" thickBot="1">
      <c r="A746" s="127"/>
      <c r="B746" s="228" t="s">
        <v>835</v>
      </c>
      <c r="C746" s="845" t="s">
        <v>392</v>
      </c>
      <c r="D746" s="845"/>
      <c r="E746" s="845"/>
      <c r="F746" s="845"/>
      <c r="G746" s="846"/>
    </row>
    <row r="747" spans="1:8" ht="14.25" thickTop="1" thickBot="1">
      <c r="A747" s="95"/>
      <c r="B747" s="847"/>
      <c r="C747" s="847"/>
      <c r="D747" s="847"/>
      <c r="E747" s="847"/>
      <c r="F747" s="847"/>
      <c r="G747" s="847"/>
    </row>
    <row r="748" spans="1:8" ht="13.5" thickTop="1">
      <c r="A748" s="95"/>
      <c r="B748" s="811" t="s">
        <v>304</v>
      </c>
      <c r="C748" s="812"/>
      <c r="D748" s="812"/>
      <c r="E748" s="812"/>
      <c r="F748" s="812"/>
      <c r="G748" s="825"/>
    </row>
    <row r="749" spans="1:8">
      <c r="A749" s="95"/>
      <c r="B749" s="229"/>
      <c r="C749" s="97"/>
      <c r="D749" s="98" t="s">
        <v>301</v>
      </c>
      <c r="E749" s="98" t="s">
        <v>1072</v>
      </c>
      <c r="F749" s="99" t="s">
        <v>839</v>
      </c>
      <c r="G749" s="107" t="s">
        <v>840</v>
      </c>
    </row>
    <row r="750" spans="1:8">
      <c r="A750" s="95"/>
      <c r="B750" s="821" t="s">
        <v>838</v>
      </c>
      <c r="C750" s="822"/>
      <c r="D750" s="100" t="s">
        <v>308</v>
      </c>
      <c r="E750" s="100" t="s">
        <v>305</v>
      </c>
      <c r="F750" s="101" t="s">
        <v>306</v>
      </c>
      <c r="G750" s="108" t="s">
        <v>310</v>
      </c>
    </row>
    <row r="751" spans="1:8">
      <c r="A751" s="95"/>
      <c r="B751" s="230"/>
      <c r="C751" s="102"/>
      <c r="D751" s="103"/>
      <c r="E751" s="103" t="s">
        <v>309</v>
      </c>
      <c r="F751" s="104" t="s">
        <v>307</v>
      </c>
      <c r="G751" s="109"/>
    </row>
    <row r="752" spans="1:8">
      <c r="A752" s="127"/>
      <c r="B752" s="823" t="str">
        <f>'MAQUINARIA Y EQUIPOS'!$C$28</f>
        <v>HERRAMIENTAS MENORES</v>
      </c>
      <c r="C752" s="824"/>
      <c r="D752" s="87">
        <v>1</v>
      </c>
      <c r="E752" s="82">
        <f>ROUND(G782*0.05,0)</f>
        <v>2949</v>
      </c>
      <c r="F752" s="81">
        <v>1.5</v>
      </c>
      <c r="G752" s="110">
        <f>ROUND(D752*E752/F752,0)</f>
        <v>1966</v>
      </c>
    </row>
    <row r="753" spans="1:8">
      <c r="A753" s="95"/>
      <c r="B753" s="835"/>
      <c r="C753" s="836"/>
      <c r="D753" s="37"/>
      <c r="E753" s="82"/>
      <c r="F753" s="83"/>
      <c r="G753" s="111"/>
    </row>
    <row r="754" spans="1:8">
      <c r="A754" s="95"/>
      <c r="B754" s="835"/>
      <c r="C754" s="836"/>
      <c r="D754" s="89"/>
      <c r="E754" s="82"/>
      <c r="F754" s="83"/>
      <c r="G754" s="111"/>
    </row>
    <row r="755" spans="1:8">
      <c r="A755" s="95"/>
      <c r="B755" s="835"/>
      <c r="C755" s="836"/>
      <c r="D755" s="89"/>
      <c r="E755" s="82"/>
      <c r="F755" s="83"/>
      <c r="G755" s="111"/>
    </row>
    <row r="756" spans="1:8">
      <c r="A756" s="95"/>
      <c r="B756" s="835" t="s">
        <v>841</v>
      </c>
      <c r="C756" s="836"/>
      <c r="D756" s="37"/>
      <c r="E756" s="82"/>
      <c r="F756" s="83"/>
      <c r="G756" s="111"/>
    </row>
    <row r="757" spans="1:8" ht="13.5" thickBot="1">
      <c r="A757" s="95"/>
      <c r="B757" s="839" t="s">
        <v>841</v>
      </c>
      <c r="C757" s="840"/>
      <c r="D757" s="77"/>
      <c r="E757" s="106"/>
      <c r="F757" s="86"/>
      <c r="G757" s="112"/>
    </row>
    <row r="758" spans="1:8" ht="14.25" thickTop="1" thickBot="1">
      <c r="A758" s="95"/>
      <c r="B758" s="808"/>
      <c r="C758" s="808"/>
      <c r="D758" s="808"/>
      <c r="E758" s="809"/>
      <c r="F758" s="119" t="s">
        <v>856</v>
      </c>
      <c r="G758" s="118">
        <f>SUM(G752:G757)</f>
        <v>1966</v>
      </c>
    </row>
    <row r="759" spans="1:8" ht="14.25" thickTop="1" thickBot="1">
      <c r="A759" s="95"/>
      <c r="B759" s="830"/>
      <c r="C759" s="830"/>
      <c r="D759" s="830"/>
      <c r="E759" s="830"/>
      <c r="F759" s="830"/>
      <c r="G759" s="830"/>
    </row>
    <row r="760" spans="1:8" ht="13.5" thickTop="1">
      <c r="A760" s="95"/>
      <c r="B760" s="811" t="s">
        <v>311</v>
      </c>
      <c r="C760" s="812"/>
      <c r="D760" s="812"/>
      <c r="E760" s="812"/>
      <c r="F760" s="812"/>
      <c r="G760" s="825"/>
    </row>
    <row r="761" spans="1:8">
      <c r="A761" s="95"/>
      <c r="B761" s="817" t="s">
        <v>838</v>
      </c>
      <c r="C761" s="818"/>
      <c r="D761" s="98" t="s">
        <v>842</v>
      </c>
      <c r="E761" s="98" t="s">
        <v>853</v>
      </c>
      <c r="F761" s="99" t="s">
        <v>1047</v>
      </c>
      <c r="G761" s="107" t="s">
        <v>840</v>
      </c>
    </row>
    <row r="762" spans="1:8">
      <c r="A762" s="95"/>
      <c r="B762" s="230"/>
      <c r="C762" s="102"/>
      <c r="D762" s="100"/>
      <c r="E762" s="100" t="s">
        <v>312</v>
      </c>
      <c r="F762" s="101" t="s">
        <v>313</v>
      </c>
      <c r="G762" s="108" t="s">
        <v>314</v>
      </c>
    </row>
    <row r="763" spans="1:8" ht="14.25">
      <c r="A763" s="125"/>
      <c r="B763" s="841" t="str">
        <f>MATERIALES2!$C$35</f>
        <v>CONCRETO 1:2:3-3000 psi(MATERIALES)</v>
      </c>
      <c r="C763" s="842"/>
      <c r="D763" s="87" t="s">
        <v>1066</v>
      </c>
      <c r="E763" s="140">
        <f>ROUND(0.71*0.71*0.1,3)</f>
        <v>0.05</v>
      </c>
      <c r="F763" s="80">
        <f>MATERIALES2!$E$35</f>
        <v>367600</v>
      </c>
      <c r="G763" s="110">
        <f t="shared" ref="G763:G768" si="4">ROUND(E763*F763,0)</f>
        <v>18380</v>
      </c>
    </row>
    <row r="764" spans="1:8" ht="14.25">
      <c r="A764" s="123"/>
      <c r="B764" s="854" t="str">
        <f>MATERIALES2!$C$49</f>
        <v>MORTERO 1:3 (MATERIALES)</v>
      </c>
      <c r="C764" s="855"/>
      <c r="D764" s="37" t="s">
        <v>1066</v>
      </c>
      <c r="E764" s="139">
        <f>0.039+0.043</f>
        <v>8.199999999999999E-2</v>
      </c>
      <c r="F764" s="82">
        <f>MATERIALES2!$E$49</f>
        <v>365000</v>
      </c>
      <c r="G764" s="111">
        <f t="shared" si="4"/>
        <v>29930</v>
      </c>
    </row>
    <row r="765" spans="1:8">
      <c r="A765" s="95"/>
      <c r="B765" s="854" t="str">
        <f>MATERIALES2!$C$82</f>
        <v>HIERRO A-37</v>
      </c>
      <c r="C765" s="855"/>
      <c r="D765" s="88" t="s">
        <v>925</v>
      </c>
      <c r="E765" s="83">
        <v>0.9</v>
      </c>
      <c r="F765" s="82">
        <f>MATERIALES2!$E$82</f>
        <v>2800</v>
      </c>
      <c r="G765" s="111">
        <f t="shared" si="4"/>
        <v>2520</v>
      </c>
    </row>
    <row r="766" spans="1:8">
      <c r="A766" s="95"/>
      <c r="B766" s="854" t="str">
        <f>MATERIALES2!$C$92</f>
        <v>TOLETE COMUN</v>
      </c>
      <c r="C766" s="855"/>
      <c r="D766" s="88" t="s">
        <v>865</v>
      </c>
      <c r="E766" s="83">
        <v>82</v>
      </c>
      <c r="F766" s="82">
        <f>MATERIALES2!$E$92</f>
        <v>380</v>
      </c>
      <c r="G766" s="111">
        <f t="shared" si="4"/>
        <v>31160</v>
      </c>
    </row>
    <row r="767" spans="1:8">
      <c r="A767" s="95"/>
      <c r="B767" s="854" t="str">
        <f>MATERIALES2!$C$65</f>
        <v>ALAMBRE NEGRO</v>
      </c>
      <c r="C767" s="855"/>
      <c r="D767" s="88" t="s">
        <v>925</v>
      </c>
      <c r="E767" s="141">
        <v>0.03</v>
      </c>
      <c r="F767" s="82">
        <f>MATERIALES2!$E$65</f>
        <v>2100</v>
      </c>
      <c r="G767" s="111">
        <f t="shared" si="4"/>
        <v>63</v>
      </c>
      <c r="H767" s="505" t="s">
        <v>1670</v>
      </c>
    </row>
    <row r="768" spans="1:8" ht="15" thickBot="1">
      <c r="A768" s="95"/>
      <c r="B768" s="854" t="str">
        <f>MATERIALES2!$C$41</f>
        <v>CONCRETO 1:3:5-2000 PSI(MATERIALES)</v>
      </c>
      <c r="C768" s="855"/>
      <c r="D768" s="37" t="s">
        <v>1066</v>
      </c>
      <c r="E768" s="141">
        <f>ROUND(0.71*0.71*0.075,3)</f>
        <v>3.7999999999999999E-2</v>
      </c>
      <c r="F768" s="82">
        <f>MATERIALES2!$E$41</f>
        <v>319200</v>
      </c>
      <c r="G768" s="111">
        <f t="shared" si="4"/>
        <v>12130</v>
      </c>
    </row>
    <row r="769" spans="1:7" ht="13.5" thickTop="1">
      <c r="A769" s="95"/>
      <c r="B769" s="808"/>
      <c r="C769" s="809"/>
      <c r="D769" s="801" t="s">
        <v>856</v>
      </c>
      <c r="E769" s="802"/>
      <c r="F769" s="9"/>
      <c r="G769" s="113">
        <f>SUM(G763:G768)</f>
        <v>94183</v>
      </c>
    </row>
    <row r="770" spans="1:7">
      <c r="A770" s="95"/>
      <c r="B770" s="819"/>
      <c r="C770" s="820"/>
      <c r="D770" s="801" t="s">
        <v>857</v>
      </c>
      <c r="E770" s="802"/>
      <c r="F770" s="79">
        <f>'MANO DE OBRA'!$D$60</f>
        <v>0.05</v>
      </c>
      <c r="G770" s="113">
        <f>ROUND(G769*F770,0)</f>
        <v>4709</v>
      </c>
    </row>
    <row r="771" spans="1:7" ht="13.5" thickBot="1">
      <c r="A771" s="95"/>
      <c r="B771" s="819"/>
      <c r="C771" s="820"/>
      <c r="D771" s="803" t="s">
        <v>320</v>
      </c>
      <c r="E771" s="804"/>
      <c r="F771" s="114"/>
      <c r="G771" s="118">
        <f>+G769+G770</f>
        <v>98892</v>
      </c>
    </row>
    <row r="772" spans="1:7" ht="14.25" thickTop="1" thickBot="1">
      <c r="A772" s="95"/>
      <c r="B772" s="830"/>
      <c r="C772" s="830"/>
      <c r="D772" s="830"/>
      <c r="E772" s="830"/>
      <c r="F772" s="830"/>
      <c r="G772" s="830"/>
    </row>
    <row r="773" spans="1:7" ht="13.5" thickTop="1">
      <c r="A773" s="95"/>
      <c r="B773" s="811" t="s">
        <v>858</v>
      </c>
      <c r="C773" s="812"/>
      <c r="D773" s="812"/>
      <c r="E773" s="812"/>
      <c r="F773" s="812"/>
      <c r="G773" s="825"/>
    </row>
    <row r="774" spans="1:7">
      <c r="A774" s="95"/>
      <c r="B774" s="817"/>
      <c r="C774" s="818"/>
      <c r="D774" s="98" t="s">
        <v>301</v>
      </c>
      <c r="E774" s="98" t="s">
        <v>859</v>
      </c>
      <c r="F774" s="99" t="s">
        <v>839</v>
      </c>
      <c r="G774" s="107" t="s">
        <v>840</v>
      </c>
    </row>
    <row r="775" spans="1:7">
      <c r="A775" s="95"/>
      <c r="B775" s="821" t="s">
        <v>838</v>
      </c>
      <c r="C775" s="822"/>
      <c r="D775" s="100" t="s">
        <v>316</v>
      </c>
      <c r="E775" s="100" t="s">
        <v>315</v>
      </c>
      <c r="F775" s="101" t="s">
        <v>306</v>
      </c>
      <c r="G775" s="108" t="s">
        <v>319</v>
      </c>
    </row>
    <row r="776" spans="1:7">
      <c r="A776" s="95"/>
      <c r="B776" s="230"/>
      <c r="C776" s="102"/>
      <c r="D776" s="103"/>
      <c r="E776" s="103" t="s">
        <v>317</v>
      </c>
      <c r="F776" s="104" t="s">
        <v>318</v>
      </c>
      <c r="G776" s="109"/>
    </row>
    <row r="777" spans="1:7">
      <c r="A777" s="95"/>
      <c r="B777" s="823" t="str">
        <f>'MANO DE OBRA'!$B$10</f>
        <v>AYUDANTE CUAD. TIPO AA</v>
      </c>
      <c r="C777" s="824"/>
      <c r="D777" s="87">
        <v>1</v>
      </c>
      <c r="E777" s="80">
        <f>'MANO DE OBRA'!$E$10</f>
        <v>34680</v>
      </c>
      <c r="F777" s="81">
        <v>1.8</v>
      </c>
      <c r="G777" s="110">
        <f>ROUND(D777*E777/F777,0)</f>
        <v>19267</v>
      </c>
    </row>
    <row r="778" spans="1:7">
      <c r="A778" s="95"/>
      <c r="B778" s="835" t="str">
        <f>'MANO DE OBRA'!$B$15</f>
        <v xml:space="preserve">OFICIAL CUAD. TIPO AA </v>
      </c>
      <c r="C778" s="836"/>
      <c r="D778" s="37">
        <v>1</v>
      </c>
      <c r="E778" s="82">
        <f>'MANO DE OBRA'!$E$15</f>
        <v>71474</v>
      </c>
      <c r="F778" s="83">
        <v>1.8</v>
      </c>
      <c r="G778" s="111">
        <f>ROUND(D778*E778/F778,0)</f>
        <v>39708</v>
      </c>
    </row>
    <row r="779" spans="1:7">
      <c r="A779" s="95"/>
      <c r="B779" s="835"/>
      <c r="C779" s="836"/>
      <c r="D779" s="89"/>
      <c r="E779" s="82"/>
      <c r="F779" s="83"/>
      <c r="G779" s="111"/>
    </row>
    <row r="780" spans="1:7">
      <c r="A780" s="95"/>
      <c r="B780" s="835" t="s">
        <v>841</v>
      </c>
      <c r="C780" s="836"/>
      <c r="D780" s="37"/>
      <c r="E780" s="82"/>
      <c r="F780" s="83"/>
      <c r="G780" s="111"/>
    </row>
    <row r="781" spans="1:7" ht="13.5" thickBot="1">
      <c r="A781" s="95"/>
      <c r="B781" s="828" t="s">
        <v>841</v>
      </c>
      <c r="C781" s="829"/>
      <c r="D781" s="77"/>
      <c r="E781" s="82"/>
      <c r="F781" s="86"/>
      <c r="G781" s="112"/>
    </row>
    <row r="782" spans="1:7" ht="14.25" thickTop="1" thickBot="1">
      <c r="A782" s="95"/>
      <c r="B782" s="808"/>
      <c r="C782" s="808"/>
      <c r="D782" s="808"/>
      <c r="E782" s="809"/>
      <c r="F782" s="120" t="s">
        <v>856</v>
      </c>
      <c r="G782" s="118">
        <f>SUM(G777:G781)</f>
        <v>58975</v>
      </c>
    </row>
    <row r="783" spans="1:7" ht="14.25" thickTop="1" thickBot="1">
      <c r="A783" s="95"/>
      <c r="B783" s="810"/>
      <c r="C783" s="810"/>
      <c r="D783" s="810"/>
      <c r="E783" s="810"/>
      <c r="F783" s="810"/>
      <c r="G783" s="810"/>
    </row>
    <row r="784" spans="1:7" ht="13.5" thickTop="1">
      <c r="A784" s="95"/>
      <c r="B784" s="811" t="s">
        <v>321</v>
      </c>
      <c r="C784" s="812"/>
      <c r="D784" s="812"/>
      <c r="E784" s="812"/>
      <c r="F784" s="812"/>
      <c r="G784" s="825"/>
    </row>
    <row r="785" spans="1:8">
      <c r="A785" s="95"/>
      <c r="B785" s="817" t="s">
        <v>838</v>
      </c>
      <c r="C785" s="818"/>
      <c r="D785" s="98" t="s">
        <v>301</v>
      </c>
      <c r="E785" s="98" t="s">
        <v>297</v>
      </c>
      <c r="F785" s="99" t="s">
        <v>839</v>
      </c>
      <c r="G785" s="107" t="s">
        <v>840</v>
      </c>
    </row>
    <row r="786" spans="1:8">
      <c r="A786" s="95"/>
      <c r="B786" s="230"/>
      <c r="C786" s="102"/>
      <c r="D786" s="103" t="s">
        <v>322</v>
      </c>
      <c r="E786" s="103" t="s">
        <v>323</v>
      </c>
      <c r="F786" s="104" t="s">
        <v>324</v>
      </c>
      <c r="G786" s="109" t="s">
        <v>325</v>
      </c>
    </row>
    <row r="787" spans="1:8">
      <c r="A787" s="95"/>
      <c r="B787" s="826"/>
      <c r="C787" s="827"/>
      <c r="D787" s="96"/>
      <c r="E787" s="96"/>
      <c r="F787" s="96"/>
      <c r="G787" s="116"/>
    </row>
    <row r="788" spans="1:8" ht="13.5" thickBot="1">
      <c r="A788" s="95"/>
      <c r="B788" s="828" t="s">
        <v>841</v>
      </c>
      <c r="C788" s="829"/>
      <c r="D788" s="77"/>
      <c r="E788" s="82"/>
      <c r="F788" s="86"/>
      <c r="G788" s="112"/>
    </row>
    <row r="789" spans="1:8" ht="14.25" thickTop="1" thickBot="1">
      <c r="A789" s="95"/>
      <c r="B789" s="808"/>
      <c r="C789" s="808"/>
      <c r="D789" s="808"/>
      <c r="E789" s="809"/>
      <c r="F789" s="120" t="s">
        <v>856</v>
      </c>
      <c r="G789" s="118">
        <f>SUM(G784:G788)</f>
        <v>0</v>
      </c>
    </row>
    <row r="790" spans="1:8" ht="14.25" thickTop="1" thickBot="1">
      <c r="A790" s="95"/>
      <c r="B790" s="810"/>
      <c r="C790" s="810"/>
      <c r="D790" s="810"/>
      <c r="E790" s="810"/>
      <c r="F790" s="810"/>
      <c r="G790" s="834"/>
    </row>
    <row r="791" spans="1:8" ht="13.5" thickTop="1">
      <c r="A791" s="95"/>
      <c r="B791" s="811" t="s">
        <v>326</v>
      </c>
      <c r="C791" s="812"/>
      <c r="D791" s="812"/>
      <c r="E791" s="812"/>
      <c r="F791" s="813"/>
      <c r="G791" s="121">
        <f>+G758+G771+G782</f>
        <v>159833</v>
      </c>
    </row>
    <row r="792" spans="1:8">
      <c r="A792" s="95"/>
      <c r="B792" s="814" t="s">
        <v>861</v>
      </c>
      <c r="C792" s="815"/>
      <c r="D792" s="815"/>
      <c r="E792" s="816"/>
      <c r="F792" s="128">
        <f>'MANO DE OBRA'!$D$59</f>
        <v>0</v>
      </c>
      <c r="G792" s="122">
        <f>ROUND(G791*F792,0)</f>
        <v>0</v>
      </c>
    </row>
    <row r="793" spans="1:8" ht="13.5" thickBot="1">
      <c r="A793" s="95"/>
      <c r="B793" s="805" t="s">
        <v>1049</v>
      </c>
      <c r="C793" s="806"/>
      <c r="D793" s="806"/>
      <c r="E793" s="806"/>
      <c r="F793" s="807"/>
      <c r="G793" s="118">
        <f>ROUND(G791+G792,-2)</f>
        <v>159800</v>
      </c>
      <c r="H793" s="505" t="s">
        <v>1670</v>
      </c>
    </row>
    <row r="794" spans="1:8" ht="13.5" thickTop="1">
      <c r="A794" s="95"/>
      <c r="B794" s="225" t="s">
        <v>303</v>
      </c>
      <c r="C794" s="843"/>
      <c r="D794" s="843"/>
      <c r="E794" s="843"/>
      <c r="F794" s="92" t="s">
        <v>781</v>
      </c>
      <c r="G794" s="93" t="s">
        <v>865</v>
      </c>
    </row>
    <row r="795" spans="1:8">
      <c r="A795" s="95"/>
      <c r="B795" s="226" t="s">
        <v>834</v>
      </c>
      <c r="C795" s="844" t="s">
        <v>355</v>
      </c>
      <c r="D795" s="844"/>
      <c r="E795" s="844"/>
      <c r="F795" s="15" t="s">
        <v>833</v>
      </c>
      <c r="G795" s="165" t="str">
        <f>'MANO DE OBRA'!$D$61</f>
        <v>Agosto de 2010</v>
      </c>
    </row>
    <row r="796" spans="1:8" ht="13.5" thickBot="1">
      <c r="A796" s="127"/>
      <c r="B796" s="228" t="s">
        <v>835</v>
      </c>
      <c r="C796" s="845" t="s">
        <v>828</v>
      </c>
      <c r="D796" s="845"/>
      <c r="E796" s="845"/>
      <c r="F796" s="845"/>
      <c r="G796" s="846"/>
    </row>
    <row r="797" spans="1:8" ht="14.25" thickTop="1" thickBot="1">
      <c r="A797" s="95"/>
      <c r="B797" s="847"/>
      <c r="C797" s="847"/>
      <c r="D797" s="847"/>
      <c r="E797" s="847"/>
      <c r="F797" s="847"/>
      <c r="G797" s="847"/>
    </row>
    <row r="798" spans="1:8" ht="13.5" thickTop="1">
      <c r="A798" s="95"/>
      <c r="B798" s="811" t="s">
        <v>304</v>
      </c>
      <c r="C798" s="812"/>
      <c r="D798" s="812"/>
      <c r="E798" s="812"/>
      <c r="F798" s="812"/>
      <c r="G798" s="825"/>
    </row>
    <row r="799" spans="1:8">
      <c r="A799" s="95"/>
      <c r="B799" s="229"/>
      <c r="C799" s="97"/>
      <c r="D799" s="98" t="s">
        <v>301</v>
      </c>
      <c r="E799" s="98" t="s">
        <v>1072</v>
      </c>
      <c r="F799" s="99" t="s">
        <v>839</v>
      </c>
      <c r="G799" s="107" t="s">
        <v>840</v>
      </c>
    </row>
    <row r="800" spans="1:8">
      <c r="A800" s="95"/>
      <c r="B800" s="821" t="s">
        <v>838</v>
      </c>
      <c r="C800" s="822"/>
      <c r="D800" s="100" t="s">
        <v>308</v>
      </c>
      <c r="E800" s="100" t="s">
        <v>305</v>
      </c>
      <c r="F800" s="101" t="s">
        <v>306</v>
      </c>
      <c r="G800" s="108" t="s">
        <v>310</v>
      </c>
    </row>
    <row r="801" spans="1:7">
      <c r="A801" s="95"/>
      <c r="B801" s="230"/>
      <c r="C801" s="102"/>
      <c r="D801" s="103"/>
      <c r="E801" s="103" t="s">
        <v>309</v>
      </c>
      <c r="F801" s="104" t="s">
        <v>307</v>
      </c>
      <c r="G801" s="109"/>
    </row>
    <row r="802" spans="1:7">
      <c r="A802" s="127"/>
      <c r="B802" s="823" t="str">
        <f>'MAQUINARIA Y EQUIPOS'!$C$28</f>
        <v>HERRAMIENTAS MENORES</v>
      </c>
      <c r="C802" s="824"/>
      <c r="D802" s="87">
        <v>1</v>
      </c>
      <c r="E802" s="82">
        <f>ROUND(G833*0.05,0)</f>
        <v>3317</v>
      </c>
      <c r="F802" s="81">
        <v>1</v>
      </c>
      <c r="G802" s="110">
        <f>ROUND(D802*E802/F802,0)</f>
        <v>3317</v>
      </c>
    </row>
    <row r="803" spans="1:7">
      <c r="A803" s="95"/>
      <c r="B803" s="835"/>
      <c r="C803" s="836"/>
      <c r="D803" s="37"/>
      <c r="E803" s="82"/>
      <c r="F803" s="83"/>
      <c r="G803" s="111"/>
    </row>
    <row r="804" spans="1:7">
      <c r="A804" s="95"/>
      <c r="B804" s="835"/>
      <c r="C804" s="836"/>
      <c r="D804" s="89"/>
      <c r="E804" s="82"/>
      <c r="F804" s="83"/>
      <c r="G804" s="111"/>
    </row>
    <row r="805" spans="1:7">
      <c r="A805" s="95"/>
      <c r="B805" s="835"/>
      <c r="C805" s="836"/>
      <c r="D805" s="89"/>
      <c r="E805" s="82"/>
      <c r="F805" s="83"/>
      <c r="G805" s="111"/>
    </row>
    <row r="806" spans="1:7">
      <c r="A806" s="95"/>
      <c r="B806" s="835" t="s">
        <v>841</v>
      </c>
      <c r="C806" s="836"/>
      <c r="D806" s="37"/>
      <c r="E806" s="82"/>
      <c r="F806" s="83"/>
      <c r="G806" s="111"/>
    </row>
    <row r="807" spans="1:7" ht="13.5" thickBot="1">
      <c r="A807" s="95"/>
      <c r="B807" s="839" t="s">
        <v>841</v>
      </c>
      <c r="C807" s="840"/>
      <c r="D807" s="77"/>
      <c r="E807" s="106"/>
      <c r="F807" s="86"/>
      <c r="G807" s="112"/>
    </row>
    <row r="808" spans="1:7" ht="14.25" thickTop="1" thickBot="1">
      <c r="A808" s="95"/>
      <c r="B808" s="808"/>
      <c r="C808" s="808"/>
      <c r="D808" s="808"/>
      <c r="E808" s="809"/>
      <c r="F808" s="119" t="s">
        <v>856</v>
      </c>
      <c r="G808" s="118">
        <f>SUM(G802:G807)</f>
        <v>3317</v>
      </c>
    </row>
    <row r="809" spans="1:7" ht="14.25" thickTop="1" thickBot="1">
      <c r="A809" s="95"/>
      <c r="B809" s="830"/>
      <c r="C809" s="830"/>
      <c r="D809" s="830"/>
      <c r="E809" s="830"/>
      <c r="F809" s="830"/>
      <c r="G809" s="830"/>
    </row>
    <row r="810" spans="1:7" ht="13.5" thickTop="1">
      <c r="A810" s="95"/>
      <c r="B810" s="811" t="s">
        <v>311</v>
      </c>
      <c r="C810" s="812"/>
      <c r="D810" s="812"/>
      <c r="E810" s="812"/>
      <c r="F810" s="812"/>
      <c r="G810" s="825"/>
    </row>
    <row r="811" spans="1:7">
      <c r="A811" s="95"/>
      <c r="B811" s="817" t="s">
        <v>838</v>
      </c>
      <c r="C811" s="818"/>
      <c r="D811" s="98" t="s">
        <v>842</v>
      </c>
      <c r="E811" s="98" t="s">
        <v>853</v>
      </c>
      <c r="F811" s="99" t="s">
        <v>1047</v>
      </c>
      <c r="G811" s="107" t="s">
        <v>840</v>
      </c>
    </row>
    <row r="812" spans="1:7">
      <c r="A812" s="95"/>
      <c r="B812" s="230"/>
      <c r="C812" s="102"/>
      <c r="D812" s="100"/>
      <c r="E812" s="100" t="s">
        <v>312</v>
      </c>
      <c r="F812" s="101" t="s">
        <v>313</v>
      </c>
      <c r="G812" s="108" t="s">
        <v>314</v>
      </c>
    </row>
    <row r="813" spans="1:7" ht="14.25">
      <c r="A813" s="125"/>
      <c r="B813" s="841" t="str">
        <f>MATERIALES2!$C$35</f>
        <v>CONCRETO 1:2:3-3000 psi(MATERIALES)</v>
      </c>
      <c r="C813" s="842"/>
      <c r="D813" s="87" t="s">
        <v>1066</v>
      </c>
      <c r="E813" s="140">
        <f>ROUND(0.81*0.81*0.1,3)</f>
        <v>6.6000000000000003E-2</v>
      </c>
      <c r="F813" s="80">
        <f>MATERIALES2!$E$35</f>
        <v>367600</v>
      </c>
      <c r="G813" s="110">
        <f t="shared" ref="G813:G820" si="5">ROUND(E813*F813,0)</f>
        <v>24262</v>
      </c>
    </row>
    <row r="814" spans="1:7" ht="14.25">
      <c r="A814" s="123"/>
      <c r="B814" s="854" t="str">
        <f>MATERIALES2!$C$49</f>
        <v>MORTERO 1:3 (MATERIALES)</v>
      </c>
      <c r="C814" s="855"/>
      <c r="D814" s="37" t="s">
        <v>1066</v>
      </c>
      <c r="E814" s="139">
        <f>0.052+0.059</f>
        <v>0.11099999999999999</v>
      </c>
      <c r="F814" s="82">
        <f>MATERIALES2!$E$49</f>
        <v>365000</v>
      </c>
      <c r="G814" s="111">
        <f t="shared" si="5"/>
        <v>40515</v>
      </c>
    </row>
    <row r="815" spans="1:7">
      <c r="A815" s="95"/>
      <c r="B815" s="854" t="str">
        <f>MATERIALES2!$C$82</f>
        <v>HIERRO A-37</v>
      </c>
      <c r="C815" s="855"/>
      <c r="D815" s="88" t="s">
        <v>925</v>
      </c>
      <c r="E815" s="83">
        <f>0.76*6*2*0.56</f>
        <v>5.1072000000000006</v>
      </c>
      <c r="F815" s="82">
        <f>MATERIALES2!$E$82</f>
        <v>2800</v>
      </c>
      <c r="G815" s="111">
        <f t="shared" si="5"/>
        <v>14300</v>
      </c>
    </row>
    <row r="816" spans="1:7">
      <c r="A816" s="95"/>
      <c r="B816" s="854" t="str">
        <f>MATERIALES2!$C$92</f>
        <v>TOLETE COMUN</v>
      </c>
      <c r="C816" s="855"/>
      <c r="D816" s="88" t="s">
        <v>865</v>
      </c>
      <c r="E816" s="83">
        <v>109</v>
      </c>
      <c r="F816" s="82">
        <f>MATERIALES2!$E$92</f>
        <v>380</v>
      </c>
      <c r="G816" s="111">
        <f t="shared" si="5"/>
        <v>41420</v>
      </c>
    </row>
    <row r="817" spans="1:9">
      <c r="A817" s="95"/>
      <c r="B817" s="854" t="str">
        <f>MATERIALES2!$C$65</f>
        <v>ALAMBRE NEGRO</v>
      </c>
      <c r="C817" s="855"/>
      <c r="D817" s="88" t="s">
        <v>925</v>
      </c>
      <c r="E817" s="141">
        <f>36*0.5/105.26</f>
        <v>0.17100513015390462</v>
      </c>
      <c r="F817" s="82">
        <f>MATERIALES2!$E$65</f>
        <v>2100</v>
      </c>
      <c r="G817" s="111">
        <f t="shared" si="5"/>
        <v>359</v>
      </c>
    </row>
    <row r="818" spans="1:9" ht="14.25">
      <c r="A818" s="95"/>
      <c r="B818" s="854" t="str">
        <f>MATERIALES2!$C$41</f>
        <v>CONCRETO 1:3:5-2000 PSI(MATERIALES)</v>
      </c>
      <c r="C818" s="855"/>
      <c r="D818" s="37" t="s">
        <v>1066</v>
      </c>
      <c r="E818" s="141">
        <f>ROUND(0.81*0.81*0.075,3)</f>
        <v>4.9000000000000002E-2</v>
      </c>
      <c r="F818" s="82">
        <f>MATERIALES2!$E$41</f>
        <v>319200</v>
      </c>
      <c r="G818" s="111">
        <f t="shared" si="5"/>
        <v>15641</v>
      </c>
      <c r="I818" s="322">
        <f>SUM(G813:G818)</f>
        <v>136497</v>
      </c>
    </row>
    <row r="819" spans="1:9" ht="38.25" customHeight="1">
      <c r="A819" s="158"/>
      <c r="B819" s="954" t="str">
        <f>EXCAVACIONES!$C$697</f>
        <v>EXCAVACION A MANO, EN CONGLOMERADO HASTA 2.00 M DE PROFUNDIDAD</v>
      </c>
      <c r="C819" s="955"/>
      <c r="D819" s="37" t="s">
        <v>1066</v>
      </c>
      <c r="E819" s="241">
        <f>ROUND(0.81*0.81*1,2)</f>
        <v>0.66</v>
      </c>
      <c r="F819" s="242">
        <f>EXCAVACIONES!$G$747</f>
        <v>18200</v>
      </c>
      <c r="G819" s="243">
        <f t="shared" si="5"/>
        <v>12012</v>
      </c>
      <c r="H819" s="505" t="s">
        <v>1670</v>
      </c>
    </row>
    <row r="820" spans="1:9" ht="15" thickBot="1">
      <c r="A820" s="95"/>
      <c r="B820" s="953" t="str">
        <f>EXCAVACIONES!$C$2430</f>
        <v>RELLENO DE LA MISMA EXCAVACION</v>
      </c>
      <c r="C820" s="855"/>
      <c r="D820" s="37" t="s">
        <v>1066</v>
      </c>
      <c r="E820" s="141">
        <f>ROUND(0.81*0.81*0.15,3)</f>
        <v>9.8000000000000004E-2</v>
      </c>
      <c r="F820" s="82">
        <f>EXCAVACIONES!$G$2480</f>
        <v>17000</v>
      </c>
      <c r="G820" s="111">
        <f t="shared" si="5"/>
        <v>1666</v>
      </c>
    </row>
    <row r="821" spans="1:9" ht="13.5" thickTop="1">
      <c r="A821" s="95"/>
      <c r="B821" s="808"/>
      <c r="C821" s="809"/>
      <c r="D821" s="801" t="s">
        <v>856</v>
      </c>
      <c r="E821" s="802"/>
      <c r="F821" s="9"/>
      <c r="G821" s="113">
        <f>SUM(G813:G820)</f>
        <v>150175</v>
      </c>
    </row>
    <row r="822" spans="1:9">
      <c r="A822" s="95"/>
      <c r="B822" s="819"/>
      <c r="C822" s="820"/>
      <c r="D822" s="801" t="s">
        <v>857</v>
      </c>
      <c r="E822" s="802"/>
      <c r="F822" s="79">
        <f>'MANO DE OBRA'!$D$60</f>
        <v>0.05</v>
      </c>
      <c r="G822" s="113">
        <f>ROUND(G821*F822,0)</f>
        <v>7509</v>
      </c>
    </row>
    <row r="823" spans="1:9" ht="13.5" thickBot="1">
      <c r="A823" s="95"/>
      <c r="B823" s="819"/>
      <c r="C823" s="820"/>
      <c r="D823" s="803" t="s">
        <v>320</v>
      </c>
      <c r="E823" s="804"/>
      <c r="F823" s="114"/>
      <c r="G823" s="118">
        <f>+G821+G822</f>
        <v>157684</v>
      </c>
    </row>
    <row r="824" spans="1:9" ht="14.25" thickTop="1" thickBot="1">
      <c r="A824" s="95"/>
      <c r="B824" s="830"/>
      <c r="C824" s="830"/>
      <c r="D824" s="830"/>
      <c r="E824" s="830"/>
      <c r="F824" s="830"/>
      <c r="G824" s="830"/>
    </row>
    <row r="825" spans="1:9" ht="13.5" thickTop="1">
      <c r="A825" s="95"/>
      <c r="B825" s="811" t="s">
        <v>858</v>
      </c>
      <c r="C825" s="812"/>
      <c r="D825" s="812"/>
      <c r="E825" s="812"/>
      <c r="F825" s="812"/>
      <c r="G825" s="825"/>
    </row>
    <row r="826" spans="1:9">
      <c r="A826" s="95"/>
      <c r="B826" s="817"/>
      <c r="C826" s="818"/>
      <c r="D826" s="98" t="s">
        <v>301</v>
      </c>
      <c r="E826" s="98" t="s">
        <v>859</v>
      </c>
      <c r="F826" s="99" t="s">
        <v>839</v>
      </c>
      <c r="G826" s="107" t="s">
        <v>840</v>
      </c>
    </row>
    <row r="827" spans="1:9">
      <c r="A827" s="95"/>
      <c r="B827" s="821" t="s">
        <v>838</v>
      </c>
      <c r="C827" s="822"/>
      <c r="D827" s="100" t="s">
        <v>316</v>
      </c>
      <c r="E827" s="100" t="s">
        <v>315</v>
      </c>
      <c r="F827" s="101" t="s">
        <v>306</v>
      </c>
      <c r="G827" s="108" t="s">
        <v>319</v>
      </c>
    </row>
    <row r="828" spans="1:9">
      <c r="A828" s="95"/>
      <c r="B828" s="230"/>
      <c r="C828" s="102"/>
      <c r="D828" s="103"/>
      <c r="E828" s="103" t="s">
        <v>317</v>
      </c>
      <c r="F828" s="104" t="s">
        <v>318</v>
      </c>
      <c r="G828" s="109"/>
    </row>
    <row r="829" spans="1:9">
      <c r="A829" s="95"/>
      <c r="B829" s="823" t="str">
        <f>'MANO DE OBRA'!$B$10</f>
        <v>AYUDANTE CUAD. TIPO AA</v>
      </c>
      <c r="C829" s="824"/>
      <c r="D829" s="87">
        <v>1</v>
      </c>
      <c r="E829" s="80">
        <f>'MANO DE OBRA'!$E$10</f>
        <v>34680</v>
      </c>
      <c r="F829" s="81">
        <v>1.6</v>
      </c>
      <c r="G829" s="110">
        <f>ROUND(D829*E829/F829,0)</f>
        <v>21675</v>
      </c>
    </row>
    <row r="830" spans="1:9">
      <c r="A830" s="95"/>
      <c r="B830" s="835" t="str">
        <f>'MANO DE OBRA'!$B$15</f>
        <v xml:space="preserve">OFICIAL CUAD. TIPO AA </v>
      </c>
      <c r="C830" s="836"/>
      <c r="D830" s="37">
        <v>1</v>
      </c>
      <c r="E830" s="82">
        <f>'MANO DE OBRA'!$E$15</f>
        <v>71474</v>
      </c>
      <c r="F830" s="83">
        <v>1.6</v>
      </c>
      <c r="G830" s="111">
        <f>ROUND(D830*E830/F830,0)</f>
        <v>44671</v>
      </c>
    </row>
    <row r="831" spans="1:9">
      <c r="A831" s="95"/>
      <c r="B831" s="835"/>
      <c r="C831" s="836"/>
      <c r="D831" s="89"/>
      <c r="E831" s="82"/>
      <c r="F831" s="83"/>
      <c r="G831" s="111"/>
    </row>
    <row r="832" spans="1:9" ht="13.5" thickBot="1">
      <c r="A832" s="95"/>
      <c r="B832" s="828" t="s">
        <v>841</v>
      </c>
      <c r="C832" s="829"/>
      <c r="D832" s="77"/>
      <c r="E832" s="82"/>
      <c r="F832" s="86"/>
      <c r="G832" s="112"/>
    </row>
    <row r="833" spans="1:8" ht="14.25" thickTop="1" thickBot="1">
      <c r="A833" s="95"/>
      <c r="B833" s="808"/>
      <c r="C833" s="808"/>
      <c r="D833" s="808"/>
      <c r="E833" s="809"/>
      <c r="F833" s="120" t="s">
        <v>856</v>
      </c>
      <c r="G833" s="118">
        <f>SUM(G829:G832)</f>
        <v>66346</v>
      </c>
    </row>
    <row r="834" spans="1:8" ht="14.25" thickTop="1" thickBot="1">
      <c r="A834" s="95"/>
      <c r="B834" s="810"/>
      <c r="C834" s="810"/>
      <c r="D834" s="810"/>
      <c r="E834" s="810"/>
      <c r="F834" s="810"/>
      <c r="G834" s="810"/>
    </row>
    <row r="835" spans="1:8" ht="13.5" thickTop="1">
      <c r="A835" s="95"/>
      <c r="B835" s="811" t="s">
        <v>321</v>
      </c>
      <c r="C835" s="812"/>
      <c r="D835" s="812"/>
      <c r="E835" s="812"/>
      <c r="F835" s="812"/>
      <c r="G835" s="825"/>
    </row>
    <row r="836" spans="1:8">
      <c r="A836" s="95"/>
      <c r="B836" s="817" t="s">
        <v>838</v>
      </c>
      <c r="C836" s="818"/>
      <c r="D836" s="98" t="s">
        <v>301</v>
      </c>
      <c r="E836" s="98" t="s">
        <v>297</v>
      </c>
      <c r="F836" s="99" t="s">
        <v>839</v>
      </c>
      <c r="G836" s="107" t="s">
        <v>840</v>
      </c>
    </row>
    <row r="837" spans="1:8">
      <c r="A837" s="95"/>
      <c r="B837" s="230"/>
      <c r="C837" s="102"/>
      <c r="D837" s="103" t="s">
        <v>322</v>
      </c>
      <c r="E837" s="103" t="s">
        <v>323</v>
      </c>
      <c r="F837" s="104" t="s">
        <v>324</v>
      </c>
      <c r="G837" s="109" t="s">
        <v>325</v>
      </c>
    </row>
    <row r="838" spans="1:8">
      <c r="A838" s="95"/>
      <c r="B838" s="826"/>
      <c r="C838" s="827"/>
      <c r="D838" s="96"/>
      <c r="E838" s="96"/>
      <c r="F838" s="96"/>
      <c r="G838" s="116"/>
    </row>
    <row r="839" spans="1:8" ht="13.5" thickBot="1">
      <c r="A839" s="95"/>
      <c r="B839" s="828" t="s">
        <v>841</v>
      </c>
      <c r="C839" s="829"/>
      <c r="D839" s="77"/>
      <c r="E839" s="82"/>
      <c r="F839" s="86"/>
      <c r="G839" s="112"/>
    </row>
    <row r="840" spans="1:8" ht="14.25" thickTop="1" thickBot="1">
      <c r="A840" s="95"/>
      <c r="B840" s="808"/>
      <c r="C840" s="808"/>
      <c r="D840" s="808"/>
      <c r="E840" s="809"/>
      <c r="F840" s="120" t="s">
        <v>856</v>
      </c>
      <c r="G840" s="118">
        <f>SUM(G835:G839)</f>
        <v>0</v>
      </c>
    </row>
    <row r="841" spans="1:8" ht="14.25" thickTop="1" thickBot="1">
      <c r="A841" s="95"/>
      <c r="B841" s="810"/>
      <c r="C841" s="810"/>
      <c r="D841" s="810"/>
      <c r="E841" s="810"/>
      <c r="F841" s="810"/>
      <c r="G841" s="834"/>
    </row>
    <row r="842" spans="1:8" ht="13.5" thickTop="1">
      <c r="A842" s="95"/>
      <c r="B842" s="811" t="s">
        <v>326</v>
      </c>
      <c r="C842" s="812"/>
      <c r="D842" s="812"/>
      <c r="E842" s="812"/>
      <c r="F842" s="813"/>
      <c r="G842" s="121">
        <f>+G808+G823+G833</f>
        <v>227347</v>
      </c>
    </row>
    <row r="843" spans="1:8">
      <c r="A843" s="95"/>
      <c r="B843" s="814" t="s">
        <v>861</v>
      </c>
      <c r="C843" s="815"/>
      <c r="D843" s="815"/>
      <c r="E843" s="816"/>
      <c r="F843" s="128">
        <f>'MANO DE OBRA'!$D$59</f>
        <v>0</v>
      </c>
      <c r="G843" s="122">
        <f>ROUND(G842*F843,0)</f>
        <v>0</v>
      </c>
    </row>
    <row r="844" spans="1:8" ht="13.5" thickBot="1">
      <c r="A844" s="95"/>
      <c r="B844" s="805" t="s">
        <v>1049</v>
      </c>
      <c r="C844" s="806"/>
      <c r="D844" s="806"/>
      <c r="E844" s="806"/>
      <c r="F844" s="807"/>
      <c r="G844" s="118">
        <f>ROUND(G842+G843,-2)</f>
        <v>227300</v>
      </c>
      <c r="H844" s="505" t="s">
        <v>1670</v>
      </c>
    </row>
    <row r="845" spans="1:8" ht="13.5" thickTop="1">
      <c r="A845" s="95"/>
      <c r="B845" s="225" t="s">
        <v>303</v>
      </c>
      <c r="C845" s="843"/>
      <c r="D845" s="843"/>
      <c r="E845" s="843"/>
      <c r="F845" s="92" t="s">
        <v>781</v>
      </c>
      <c r="G845" s="93" t="s">
        <v>865</v>
      </c>
    </row>
    <row r="846" spans="1:8">
      <c r="A846" s="95"/>
      <c r="B846" s="226" t="s">
        <v>834</v>
      </c>
      <c r="C846" s="844" t="s">
        <v>382</v>
      </c>
      <c r="D846" s="844"/>
      <c r="E846" s="844"/>
      <c r="F846" s="15" t="s">
        <v>833</v>
      </c>
      <c r="G846" s="165" t="str">
        <f>'MANO DE OBRA'!$D$61</f>
        <v>Agosto de 2010</v>
      </c>
    </row>
    <row r="847" spans="1:8" ht="13.5" thickBot="1">
      <c r="A847" s="127"/>
      <c r="B847" s="228" t="s">
        <v>835</v>
      </c>
      <c r="C847" s="845" t="s">
        <v>393</v>
      </c>
      <c r="D847" s="845"/>
      <c r="E847" s="845"/>
      <c r="F847" s="845"/>
      <c r="G847" s="846"/>
    </row>
    <row r="848" spans="1:8" ht="14.25" thickTop="1" thickBot="1">
      <c r="A848" s="95"/>
      <c r="B848" s="847"/>
      <c r="C848" s="847"/>
      <c r="D848" s="847"/>
      <c r="E848" s="847"/>
      <c r="F848" s="847"/>
      <c r="G848" s="847"/>
    </row>
    <row r="849" spans="1:7" ht="13.5" thickTop="1">
      <c r="A849" s="95"/>
      <c r="B849" s="811" t="s">
        <v>304</v>
      </c>
      <c r="C849" s="812"/>
      <c r="D849" s="812"/>
      <c r="E849" s="812"/>
      <c r="F849" s="812"/>
      <c r="G849" s="825"/>
    </row>
    <row r="850" spans="1:7">
      <c r="A850" s="95"/>
      <c r="B850" s="229"/>
      <c r="C850" s="97"/>
      <c r="D850" s="98" t="s">
        <v>301</v>
      </c>
      <c r="E850" s="98" t="s">
        <v>1072</v>
      </c>
      <c r="F850" s="99" t="s">
        <v>839</v>
      </c>
      <c r="G850" s="107" t="s">
        <v>840</v>
      </c>
    </row>
    <row r="851" spans="1:7">
      <c r="A851" s="95"/>
      <c r="B851" s="821" t="s">
        <v>838</v>
      </c>
      <c r="C851" s="822"/>
      <c r="D851" s="100" t="s">
        <v>308</v>
      </c>
      <c r="E851" s="100" t="s">
        <v>305</v>
      </c>
      <c r="F851" s="101" t="s">
        <v>306</v>
      </c>
      <c r="G851" s="108" t="s">
        <v>310</v>
      </c>
    </row>
    <row r="852" spans="1:7">
      <c r="A852" s="95"/>
      <c r="B852" s="230"/>
      <c r="C852" s="102"/>
      <c r="D852" s="103"/>
      <c r="E852" s="103" t="s">
        <v>309</v>
      </c>
      <c r="F852" s="104" t="s">
        <v>307</v>
      </c>
      <c r="G852" s="109"/>
    </row>
    <row r="853" spans="1:7">
      <c r="A853" s="127"/>
      <c r="B853" s="823" t="str">
        <f>'MAQUINARIA Y EQUIPOS'!$C$28</f>
        <v>HERRAMIENTAS MENORES</v>
      </c>
      <c r="C853" s="824"/>
      <c r="D853" s="87">
        <v>1</v>
      </c>
      <c r="E853" s="82">
        <f>ROUND(G883*0.05,0)</f>
        <v>2949</v>
      </c>
      <c r="F853" s="81">
        <v>1</v>
      </c>
      <c r="G853" s="110">
        <f>ROUND(D853*E853/F853,0)</f>
        <v>2949</v>
      </c>
    </row>
    <row r="854" spans="1:7">
      <c r="A854" s="95"/>
      <c r="B854" s="835"/>
      <c r="C854" s="836"/>
      <c r="D854" s="37"/>
      <c r="E854" s="82"/>
      <c r="F854" s="83"/>
      <c r="G854" s="111"/>
    </row>
    <row r="855" spans="1:7">
      <c r="A855" s="95"/>
      <c r="B855" s="835"/>
      <c r="C855" s="836"/>
      <c r="D855" s="89"/>
      <c r="E855" s="82"/>
      <c r="F855" s="83"/>
      <c r="G855" s="111"/>
    </row>
    <row r="856" spans="1:7">
      <c r="A856" s="95"/>
      <c r="B856" s="835"/>
      <c r="C856" s="836"/>
      <c r="D856" s="89"/>
      <c r="E856" s="82"/>
      <c r="F856" s="83"/>
      <c r="G856" s="111"/>
    </row>
    <row r="857" spans="1:7">
      <c r="A857" s="95"/>
      <c r="B857" s="835" t="s">
        <v>841</v>
      </c>
      <c r="C857" s="836"/>
      <c r="D857" s="37"/>
      <c r="E857" s="82"/>
      <c r="F857" s="83"/>
      <c r="G857" s="111"/>
    </row>
    <row r="858" spans="1:7" ht="13.5" thickBot="1">
      <c r="A858" s="95"/>
      <c r="B858" s="839" t="s">
        <v>841</v>
      </c>
      <c r="C858" s="840"/>
      <c r="D858" s="77"/>
      <c r="E858" s="106"/>
      <c r="F858" s="86"/>
      <c r="G858" s="112"/>
    </row>
    <row r="859" spans="1:7" ht="14.25" thickTop="1" thickBot="1">
      <c r="A859" s="95"/>
      <c r="B859" s="808"/>
      <c r="C859" s="808"/>
      <c r="D859" s="808"/>
      <c r="E859" s="809"/>
      <c r="F859" s="119" t="s">
        <v>856</v>
      </c>
      <c r="G859" s="118">
        <f>SUM(G853:G858)</f>
        <v>2949</v>
      </c>
    </row>
    <row r="860" spans="1:7" ht="14.25" thickTop="1" thickBot="1">
      <c r="A860" s="95"/>
      <c r="B860" s="830"/>
      <c r="C860" s="830"/>
      <c r="D860" s="830"/>
      <c r="E860" s="830"/>
      <c r="F860" s="830"/>
      <c r="G860" s="830"/>
    </row>
    <row r="861" spans="1:7" ht="13.5" thickTop="1">
      <c r="A861" s="95"/>
      <c r="B861" s="811" t="s">
        <v>311</v>
      </c>
      <c r="C861" s="812"/>
      <c r="D861" s="812"/>
      <c r="E861" s="812"/>
      <c r="F861" s="812"/>
      <c r="G861" s="825"/>
    </row>
    <row r="862" spans="1:7">
      <c r="A862" s="95"/>
      <c r="B862" s="817" t="s">
        <v>838</v>
      </c>
      <c r="C862" s="818"/>
      <c r="D862" s="98" t="s">
        <v>842</v>
      </c>
      <c r="E862" s="98" t="s">
        <v>853</v>
      </c>
      <c r="F862" s="99" t="s">
        <v>1047</v>
      </c>
      <c r="G862" s="107" t="s">
        <v>840</v>
      </c>
    </row>
    <row r="863" spans="1:7">
      <c r="A863" s="95"/>
      <c r="B863" s="230"/>
      <c r="C863" s="102"/>
      <c r="D863" s="100"/>
      <c r="E863" s="100" t="s">
        <v>312</v>
      </c>
      <c r="F863" s="101" t="s">
        <v>313</v>
      </c>
      <c r="G863" s="108" t="s">
        <v>314</v>
      </c>
    </row>
    <row r="864" spans="1:7" ht="14.25">
      <c r="A864" s="125"/>
      <c r="B864" s="841" t="str">
        <f>MATERIALES2!$C$35</f>
        <v>CONCRETO 1:2:3-3000 psi(MATERIALES)</v>
      </c>
      <c r="C864" s="842"/>
      <c r="D864" s="87" t="s">
        <v>1066</v>
      </c>
      <c r="E864" s="140">
        <f>ROUND(0.91*0.91*0.1,3)</f>
        <v>8.3000000000000004E-2</v>
      </c>
      <c r="F864" s="80">
        <f>MATERIALES2!$E$35</f>
        <v>367600</v>
      </c>
      <c r="G864" s="110">
        <f t="shared" ref="G864:G869" si="6">ROUND(E864*F864,0)</f>
        <v>30511</v>
      </c>
    </row>
    <row r="865" spans="1:8" ht="14.25">
      <c r="A865" s="123"/>
      <c r="B865" s="854" t="str">
        <f>MATERIALES2!$C$49</f>
        <v>MORTERO 1:3 (MATERIALES)</v>
      </c>
      <c r="C865" s="855"/>
      <c r="D865" s="37" t="s">
        <v>1066</v>
      </c>
      <c r="E865" s="139">
        <f>0.067+0.077</f>
        <v>0.14400000000000002</v>
      </c>
      <c r="F865" s="82">
        <f>MATERIALES2!$E$49</f>
        <v>365000</v>
      </c>
      <c r="G865" s="111">
        <f t="shared" si="6"/>
        <v>52560</v>
      </c>
    </row>
    <row r="866" spans="1:8">
      <c r="A866" s="95"/>
      <c r="B866" s="854" t="str">
        <f>MATERIALES2!$C$82</f>
        <v>HIERRO A-37</v>
      </c>
      <c r="C866" s="855"/>
      <c r="D866" s="88" t="s">
        <v>925</v>
      </c>
      <c r="E866" s="83">
        <v>3.5</v>
      </c>
      <c r="F866" s="82">
        <f>MATERIALES2!$E$82</f>
        <v>2800</v>
      </c>
      <c r="G866" s="111">
        <f t="shared" si="6"/>
        <v>9800</v>
      </c>
    </row>
    <row r="867" spans="1:8">
      <c r="A867" s="95"/>
      <c r="B867" s="854" t="str">
        <f>MATERIALES2!$C$92</f>
        <v>TOLETE COMUN</v>
      </c>
      <c r="C867" s="855"/>
      <c r="D867" s="88" t="s">
        <v>865</v>
      </c>
      <c r="E867" s="83">
        <v>140</v>
      </c>
      <c r="F867" s="82">
        <f>MATERIALES2!$E$92</f>
        <v>380</v>
      </c>
      <c r="G867" s="111">
        <f t="shared" si="6"/>
        <v>53200</v>
      </c>
    </row>
    <row r="868" spans="1:8">
      <c r="A868" s="95"/>
      <c r="B868" s="854" t="str">
        <f>MATERIALES2!$C$65</f>
        <v>ALAMBRE NEGRO</v>
      </c>
      <c r="C868" s="855"/>
      <c r="D868" s="88" t="s">
        <v>925</v>
      </c>
      <c r="E868" s="141">
        <v>0.1</v>
      </c>
      <c r="F868" s="82">
        <f>MATERIALES2!$E$65</f>
        <v>2100</v>
      </c>
      <c r="G868" s="111">
        <f t="shared" si="6"/>
        <v>210</v>
      </c>
      <c r="H868" s="505" t="s">
        <v>1670</v>
      </c>
    </row>
    <row r="869" spans="1:8" ht="15" thickBot="1">
      <c r="A869" s="95"/>
      <c r="B869" s="854" t="str">
        <f>MATERIALES2!$C$41</f>
        <v>CONCRETO 1:3:5-2000 PSI(MATERIALES)</v>
      </c>
      <c r="C869" s="855"/>
      <c r="D869" s="37" t="s">
        <v>1066</v>
      </c>
      <c r="E869" s="141">
        <f>ROUND(0.91*0.91*0.075,3)</f>
        <v>6.2E-2</v>
      </c>
      <c r="F869" s="82">
        <f>MATERIALES2!$E$41</f>
        <v>319200</v>
      </c>
      <c r="G869" s="111">
        <f t="shared" si="6"/>
        <v>19790</v>
      </c>
    </row>
    <row r="870" spans="1:8" ht="13.5" thickTop="1">
      <c r="A870" s="95"/>
      <c r="B870" s="808"/>
      <c r="C870" s="809"/>
      <c r="D870" s="801" t="s">
        <v>856</v>
      </c>
      <c r="E870" s="802"/>
      <c r="F870" s="9"/>
      <c r="G870" s="113">
        <f>SUM(G864:G869)</f>
        <v>166071</v>
      </c>
    </row>
    <row r="871" spans="1:8">
      <c r="A871" s="95"/>
      <c r="B871" s="819"/>
      <c r="C871" s="820"/>
      <c r="D871" s="801" t="s">
        <v>857</v>
      </c>
      <c r="E871" s="802"/>
      <c r="F871" s="79">
        <f>'MANO DE OBRA'!$D$60</f>
        <v>0.05</v>
      </c>
      <c r="G871" s="113">
        <f>ROUND(G870*F871,0)</f>
        <v>8304</v>
      </c>
    </row>
    <row r="872" spans="1:8" ht="13.5" thickBot="1">
      <c r="A872" s="95"/>
      <c r="B872" s="819"/>
      <c r="C872" s="820"/>
      <c r="D872" s="803" t="s">
        <v>320</v>
      </c>
      <c r="E872" s="804"/>
      <c r="F872" s="114"/>
      <c r="G872" s="118">
        <f>+G870+G871</f>
        <v>174375</v>
      </c>
    </row>
    <row r="873" spans="1:8" ht="14.25" thickTop="1" thickBot="1">
      <c r="A873" s="95"/>
      <c r="B873" s="830"/>
      <c r="C873" s="830"/>
      <c r="D873" s="830"/>
      <c r="E873" s="830"/>
      <c r="F873" s="830"/>
      <c r="G873" s="830"/>
    </row>
    <row r="874" spans="1:8" ht="13.5" thickTop="1">
      <c r="A874" s="95"/>
      <c r="B874" s="811" t="s">
        <v>858</v>
      </c>
      <c r="C874" s="812"/>
      <c r="D874" s="812"/>
      <c r="E874" s="812"/>
      <c r="F874" s="812"/>
      <c r="G874" s="825"/>
    </row>
    <row r="875" spans="1:8">
      <c r="A875" s="95"/>
      <c r="B875" s="817"/>
      <c r="C875" s="818"/>
      <c r="D875" s="98" t="s">
        <v>301</v>
      </c>
      <c r="E875" s="98" t="s">
        <v>859</v>
      </c>
      <c r="F875" s="99" t="s">
        <v>839</v>
      </c>
      <c r="G875" s="107" t="s">
        <v>840</v>
      </c>
    </row>
    <row r="876" spans="1:8">
      <c r="A876" s="95"/>
      <c r="B876" s="821" t="s">
        <v>838</v>
      </c>
      <c r="C876" s="822"/>
      <c r="D876" s="100" t="s">
        <v>316</v>
      </c>
      <c r="E876" s="100" t="s">
        <v>315</v>
      </c>
      <c r="F876" s="101" t="s">
        <v>306</v>
      </c>
      <c r="G876" s="108" t="s">
        <v>319</v>
      </c>
    </row>
    <row r="877" spans="1:8">
      <c r="A877" s="95"/>
      <c r="B877" s="230"/>
      <c r="C877" s="102"/>
      <c r="D877" s="103"/>
      <c r="E877" s="103" t="s">
        <v>317</v>
      </c>
      <c r="F877" s="104" t="s">
        <v>318</v>
      </c>
      <c r="G877" s="109"/>
    </row>
    <row r="878" spans="1:8">
      <c r="A878" s="95"/>
      <c r="B878" s="823" t="str">
        <f>'MANO DE OBRA'!$B$10</f>
        <v>AYUDANTE CUAD. TIPO AA</v>
      </c>
      <c r="C878" s="824"/>
      <c r="D878" s="87">
        <v>1</v>
      </c>
      <c r="E878" s="80">
        <f>'MANO DE OBRA'!$E$10</f>
        <v>34680</v>
      </c>
      <c r="F878" s="81">
        <v>1.8</v>
      </c>
      <c r="G878" s="110">
        <f>ROUND(D878*E878/F878,0)</f>
        <v>19267</v>
      </c>
    </row>
    <row r="879" spans="1:8">
      <c r="A879" s="95"/>
      <c r="B879" s="835" t="str">
        <f>'MANO DE OBRA'!$B$15</f>
        <v xml:space="preserve">OFICIAL CUAD. TIPO AA </v>
      </c>
      <c r="C879" s="836"/>
      <c r="D879" s="37">
        <v>1</v>
      </c>
      <c r="E879" s="82">
        <f>'MANO DE OBRA'!$E$15</f>
        <v>71474</v>
      </c>
      <c r="F879" s="83">
        <v>1.8</v>
      </c>
      <c r="G879" s="111">
        <f>ROUND(D879*E879/F879,0)</f>
        <v>39708</v>
      </c>
    </row>
    <row r="880" spans="1:8">
      <c r="A880" s="95"/>
      <c r="B880" s="835"/>
      <c r="C880" s="836"/>
      <c r="D880" s="89"/>
      <c r="E880" s="82"/>
      <c r="F880" s="83"/>
      <c r="G880" s="111"/>
    </row>
    <row r="881" spans="1:8">
      <c r="A881" s="95"/>
      <c r="B881" s="835" t="s">
        <v>841</v>
      </c>
      <c r="C881" s="836"/>
      <c r="D881" s="37"/>
      <c r="E881" s="82"/>
      <c r="F881" s="83"/>
      <c r="G881" s="111"/>
    </row>
    <row r="882" spans="1:8" ht="13.5" thickBot="1">
      <c r="A882" s="95"/>
      <c r="B882" s="828" t="s">
        <v>841</v>
      </c>
      <c r="C882" s="829"/>
      <c r="D882" s="77"/>
      <c r="E882" s="82"/>
      <c r="F882" s="86"/>
      <c r="G882" s="112"/>
    </row>
    <row r="883" spans="1:8" ht="14.25" thickTop="1" thickBot="1">
      <c r="A883" s="95"/>
      <c r="B883" s="808"/>
      <c r="C883" s="808"/>
      <c r="D883" s="808"/>
      <c r="E883" s="809"/>
      <c r="F883" s="120" t="s">
        <v>856</v>
      </c>
      <c r="G883" s="118">
        <f>SUM(G878:G882)</f>
        <v>58975</v>
      </c>
    </row>
    <row r="884" spans="1:8" ht="14.25" thickTop="1" thickBot="1">
      <c r="A884" s="95"/>
      <c r="B884" s="810"/>
      <c r="C884" s="810"/>
      <c r="D884" s="810"/>
      <c r="E884" s="810"/>
      <c r="F884" s="810"/>
      <c r="G884" s="810"/>
    </row>
    <row r="885" spans="1:8" ht="13.5" thickTop="1">
      <c r="A885" s="95"/>
      <c r="B885" s="811" t="s">
        <v>321</v>
      </c>
      <c r="C885" s="812"/>
      <c r="D885" s="812"/>
      <c r="E885" s="812"/>
      <c r="F885" s="812"/>
      <c r="G885" s="825"/>
    </row>
    <row r="886" spans="1:8">
      <c r="A886" s="95"/>
      <c r="B886" s="817" t="s">
        <v>838</v>
      </c>
      <c r="C886" s="818"/>
      <c r="D886" s="98" t="s">
        <v>301</v>
      </c>
      <c r="E886" s="98" t="s">
        <v>297</v>
      </c>
      <c r="F886" s="99" t="s">
        <v>839</v>
      </c>
      <c r="G886" s="107" t="s">
        <v>840</v>
      </c>
    </row>
    <row r="887" spans="1:8">
      <c r="A887" s="95"/>
      <c r="B887" s="230"/>
      <c r="C887" s="102"/>
      <c r="D887" s="103" t="s">
        <v>322</v>
      </c>
      <c r="E887" s="103" t="s">
        <v>323</v>
      </c>
      <c r="F887" s="104" t="s">
        <v>324</v>
      </c>
      <c r="G887" s="109" t="s">
        <v>325</v>
      </c>
    </row>
    <row r="888" spans="1:8">
      <c r="A888" s="95"/>
      <c r="B888" s="826"/>
      <c r="C888" s="827"/>
      <c r="D888" s="96"/>
      <c r="E888" s="96"/>
      <c r="F888" s="96"/>
      <c r="G888" s="116"/>
    </row>
    <row r="889" spans="1:8" ht="13.5" thickBot="1">
      <c r="A889" s="95"/>
      <c r="B889" s="828" t="s">
        <v>841</v>
      </c>
      <c r="C889" s="829"/>
      <c r="D889" s="77"/>
      <c r="E889" s="82"/>
      <c r="F889" s="86"/>
      <c r="G889" s="112"/>
    </row>
    <row r="890" spans="1:8" ht="14.25" thickTop="1" thickBot="1">
      <c r="A890" s="95"/>
      <c r="B890" s="808"/>
      <c r="C890" s="808"/>
      <c r="D890" s="808"/>
      <c r="E890" s="809"/>
      <c r="F890" s="120" t="s">
        <v>856</v>
      </c>
      <c r="G890" s="118">
        <f>SUM(G885:G889)</f>
        <v>0</v>
      </c>
    </row>
    <row r="891" spans="1:8" ht="14.25" thickTop="1" thickBot="1">
      <c r="A891" s="95"/>
      <c r="B891" s="810"/>
      <c r="C891" s="810"/>
      <c r="D891" s="810"/>
      <c r="E891" s="810"/>
      <c r="F891" s="810"/>
      <c r="G891" s="834"/>
    </row>
    <row r="892" spans="1:8" ht="13.5" thickTop="1">
      <c r="A892" s="95"/>
      <c r="B892" s="811" t="s">
        <v>326</v>
      </c>
      <c r="C892" s="812"/>
      <c r="D892" s="812"/>
      <c r="E892" s="812"/>
      <c r="F892" s="813"/>
      <c r="G892" s="121">
        <f>+G859+G872+G883</f>
        <v>236299</v>
      </c>
    </row>
    <row r="893" spans="1:8">
      <c r="A893" s="95"/>
      <c r="B893" s="814" t="s">
        <v>861</v>
      </c>
      <c r="C893" s="815"/>
      <c r="D893" s="815"/>
      <c r="E893" s="816"/>
      <c r="F893" s="128">
        <f>'MANO DE OBRA'!$D$59</f>
        <v>0</v>
      </c>
      <c r="G893" s="122">
        <f>ROUND(G892*F893,0)</f>
        <v>0</v>
      </c>
    </row>
    <row r="894" spans="1:8" ht="13.5" thickBot="1">
      <c r="A894" s="95"/>
      <c r="B894" s="805" t="s">
        <v>1049</v>
      </c>
      <c r="C894" s="806"/>
      <c r="D894" s="806"/>
      <c r="E894" s="806"/>
      <c r="F894" s="807"/>
      <c r="G894" s="118">
        <f>ROUND(G892+G893,-2)</f>
        <v>236300</v>
      </c>
      <c r="H894" s="505" t="s">
        <v>1670</v>
      </c>
    </row>
    <row r="895" spans="1:8" ht="13.5" thickTop="1">
      <c r="A895" s="95"/>
      <c r="B895" s="225" t="s">
        <v>303</v>
      </c>
      <c r="C895" s="843"/>
      <c r="D895" s="843"/>
      <c r="E895" s="843"/>
      <c r="F895" s="92" t="s">
        <v>781</v>
      </c>
      <c r="G895" s="93" t="s">
        <v>865</v>
      </c>
    </row>
    <row r="896" spans="1:8">
      <c r="A896" s="95"/>
      <c r="B896" s="226" t="s">
        <v>834</v>
      </c>
      <c r="C896" s="844" t="s">
        <v>355</v>
      </c>
      <c r="D896" s="844"/>
      <c r="E896" s="844"/>
      <c r="F896" s="15" t="s">
        <v>833</v>
      </c>
      <c r="G896" s="165" t="str">
        <f>'MANO DE OBRA'!$D$61</f>
        <v>Agosto de 2010</v>
      </c>
    </row>
    <row r="897" spans="1:7" ht="13.5" thickBot="1">
      <c r="A897" s="127"/>
      <c r="B897" s="228" t="s">
        <v>835</v>
      </c>
      <c r="C897" s="845" t="s">
        <v>829</v>
      </c>
      <c r="D897" s="845"/>
      <c r="E897" s="845"/>
      <c r="F897" s="845"/>
      <c r="G897" s="846"/>
    </row>
    <row r="898" spans="1:7" ht="14.25" thickTop="1" thickBot="1">
      <c r="A898" s="95"/>
      <c r="B898" s="847"/>
      <c r="C898" s="847"/>
      <c r="D898" s="847"/>
      <c r="E898" s="847"/>
      <c r="F898" s="847"/>
      <c r="G898" s="847"/>
    </row>
    <row r="899" spans="1:7" ht="13.5" thickTop="1">
      <c r="A899" s="95"/>
      <c r="B899" s="811" t="s">
        <v>304</v>
      </c>
      <c r="C899" s="812"/>
      <c r="D899" s="812"/>
      <c r="E899" s="812"/>
      <c r="F899" s="812"/>
      <c r="G899" s="825"/>
    </row>
    <row r="900" spans="1:7">
      <c r="A900" s="95"/>
      <c r="B900" s="229"/>
      <c r="C900" s="97"/>
      <c r="D900" s="98" t="s">
        <v>301</v>
      </c>
      <c r="E900" s="98" t="s">
        <v>1072</v>
      </c>
      <c r="F900" s="99" t="s">
        <v>839</v>
      </c>
      <c r="G900" s="107" t="s">
        <v>840</v>
      </c>
    </row>
    <row r="901" spans="1:7">
      <c r="A901" s="95"/>
      <c r="B901" s="821" t="s">
        <v>838</v>
      </c>
      <c r="C901" s="822"/>
      <c r="D901" s="100" t="s">
        <v>308</v>
      </c>
      <c r="E901" s="100" t="s">
        <v>305</v>
      </c>
      <c r="F901" s="101" t="s">
        <v>306</v>
      </c>
      <c r="G901" s="108" t="s">
        <v>310</v>
      </c>
    </row>
    <row r="902" spans="1:7">
      <c r="A902" s="95"/>
      <c r="B902" s="230"/>
      <c r="C902" s="102"/>
      <c r="D902" s="103"/>
      <c r="E902" s="103" t="s">
        <v>309</v>
      </c>
      <c r="F902" s="104" t="s">
        <v>307</v>
      </c>
      <c r="G902" s="109"/>
    </row>
    <row r="903" spans="1:7">
      <c r="A903" s="127"/>
      <c r="B903" s="823" t="str">
        <f>'MAQUINARIA Y EQUIPOS'!$C$28</f>
        <v>HERRAMIENTAS MENORES</v>
      </c>
      <c r="C903" s="824"/>
      <c r="D903" s="87">
        <v>1</v>
      </c>
      <c r="E903" s="82">
        <f>ROUND(G935*0.05,0)</f>
        <v>4656</v>
      </c>
      <c r="F903" s="81">
        <v>1</v>
      </c>
      <c r="G903" s="110">
        <f>ROUND(D903*E903/F903,0)</f>
        <v>4656</v>
      </c>
    </row>
    <row r="904" spans="1:7">
      <c r="A904" s="95"/>
      <c r="B904" s="835"/>
      <c r="C904" s="836"/>
      <c r="D904" s="37"/>
      <c r="E904" s="82"/>
      <c r="F904" s="83"/>
      <c r="G904" s="111"/>
    </row>
    <row r="905" spans="1:7">
      <c r="A905" s="95"/>
      <c r="B905" s="835"/>
      <c r="C905" s="836"/>
      <c r="D905" s="89"/>
      <c r="E905" s="82"/>
      <c r="F905" s="83"/>
      <c r="G905" s="111"/>
    </row>
    <row r="906" spans="1:7">
      <c r="A906" s="95"/>
      <c r="B906" s="835"/>
      <c r="C906" s="836"/>
      <c r="D906" s="89"/>
      <c r="E906" s="82"/>
      <c r="F906" s="83"/>
      <c r="G906" s="111"/>
    </row>
    <row r="907" spans="1:7">
      <c r="A907" s="95"/>
      <c r="B907" s="835" t="s">
        <v>841</v>
      </c>
      <c r="C907" s="836"/>
      <c r="D907" s="37"/>
      <c r="E907" s="82"/>
      <c r="F907" s="83"/>
      <c r="G907" s="111"/>
    </row>
    <row r="908" spans="1:7" ht="13.5" thickBot="1">
      <c r="A908" s="95"/>
      <c r="B908" s="839" t="s">
        <v>841</v>
      </c>
      <c r="C908" s="840"/>
      <c r="D908" s="77"/>
      <c r="E908" s="106"/>
      <c r="F908" s="86"/>
      <c r="G908" s="112"/>
    </row>
    <row r="909" spans="1:7" ht="14.25" thickTop="1" thickBot="1">
      <c r="A909" s="95"/>
      <c r="B909" s="808"/>
      <c r="C909" s="808"/>
      <c r="D909" s="808"/>
      <c r="E909" s="809"/>
      <c r="F909" s="119" t="s">
        <v>856</v>
      </c>
      <c r="G909" s="118">
        <f>SUM(G903:G908)</f>
        <v>4656</v>
      </c>
    </row>
    <row r="910" spans="1:7" ht="14.25" thickTop="1" thickBot="1">
      <c r="A910" s="95"/>
      <c r="B910" s="830"/>
      <c r="C910" s="830"/>
      <c r="D910" s="830"/>
      <c r="E910" s="830"/>
      <c r="F910" s="830"/>
      <c r="G910" s="830"/>
    </row>
    <row r="911" spans="1:7" ht="13.5" thickTop="1">
      <c r="A911" s="95"/>
      <c r="B911" s="811" t="s">
        <v>311</v>
      </c>
      <c r="C911" s="812"/>
      <c r="D911" s="812"/>
      <c r="E911" s="812"/>
      <c r="F911" s="812"/>
      <c r="G911" s="825"/>
    </row>
    <row r="912" spans="1:7">
      <c r="A912" s="95"/>
      <c r="B912" s="817" t="s">
        <v>838</v>
      </c>
      <c r="C912" s="818"/>
      <c r="D912" s="98" t="s">
        <v>842</v>
      </c>
      <c r="E912" s="98" t="s">
        <v>853</v>
      </c>
      <c r="F912" s="99" t="s">
        <v>1047</v>
      </c>
      <c r="G912" s="107" t="s">
        <v>840</v>
      </c>
    </row>
    <row r="913" spans="1:8">
      <c r="A913" s="95"/>
      <c r="B913" s="230"/>
      <c r="C913" s="102"/>
      <c r="D913" s="100"/>
      <c r="E913" s="100" t="s">
        <v>312</v>
      </c>
      <c r="F913" s="101" t="s">
        <v>313</v>
      </c>
      <c r="G913" s="108" t="s">
        <v>314</v>
      </c>
    </row>
    <row r="914" spans="1:8" ht="14.25">
      <c r="A914" s="125"/>
      <c r="B914" s="841" t="str">
        <f>MATERIALES2!$C$35</f>
        <v>CONCRETO 1:2:3-3000 psi(MATERIALES)</v>
      </c>
      <c r="C914" s="842"/>
      <c r="D914" s="87" t="s">
        <v>1066</v>
      </c>
      <c r="E914" s="140">
        <f>ROUND(1.01*1.01*0.1,3)</f>
        <v>0.10199999999999999</v>
      </c>
      <c r="F914" s="80">
        <f>MATERIALES2!$E$35</f>
        <v>367600</v>
      </c>
      <c r="G914" s="110">
        <f t="shared" ref="G914:G921" si="7">ROUND(E914*F914,0)</f>
        <v>37495</v>
      </c>
    </row>
    <row r="915" spans="1:8" ht="14.25">
      <c r="A915" s="123"/>
      <c r="B915" s="854" t="str">
        <f>MATERIALES2!$C$49</f>
        <v>MORTERO 1:3 (MATERIALES)</v>
      </c>
      <c r="C915" s="855"/>
      <c r="D915" s="37" t="s">
        <v>1066</v>
      </c>
      <c r="E915" s="139">
        <f>0.084+0.097</f>
        <v>0.18099999999999999</v>
      </c>
      <c r="F915" s="82">
        <f>MATERIALES2!$E$49</f>
        <v>365000</v>
      </c>
      <c r="G915" s="111">
        <f t="shared" si="7"/>
        <v>66065</v>
      </c>
    </row>
    <row r="916" spans="1:8">
      <c r="A916" s="95"/>
      <c r="B916" s="854" t="str">
        <f>MATERIALES2!$C$82</f>
        <v>HIERRO A-37</v>
      </c>
      <c r="C916" s="855"/>
      <c r="D916" s="88" t="s">
        <v>925</v>
      </c>
      <c r="E916" s="83">
        <f>0.96*7*2*0.56</f>
        <v>7.5264000000000006</v>
      </c>
      <c r="F916" s="82">
        <f>MATERIALES2!$E$82</f>
        <v>2800</v>
      </c>
      <c r="G916" s="111">
        <f t="shared" si="7"/>
        <v>21074</v>
      </c>
    </row>
    <row r="917" spans="1:8">
      <c r="A917" s="95"/>
      <c r="B917" s="854" t="str">
        <f>MATERIALES2!$C$92</f>
        <v>TOLETE COMUN</v>
      </c>
      <c r="C917" s="855"/>
      <c r="D917" s="88" t="s">
        <v>865</v>
      </c>
      <c r="E917" s="83">
        <v>175</v>
      </c>
      <c r="F917" s="82">
        <f>MATERIALES2!$E$92</f>
        <v>380</v>
      </c>
      <c r="G917" s="111">
        <f t="shared" si="7"/>
        <v>66500</v>
      </c>
    </row>
    <row r="918" spans="1:8">
      <c r="A918" s="95"/>
      <c r="B918" s="854" t="str">
        <f>MATERIALES2!$C$65</f>
        <v>ALAMBRE NEGRO</v>
      </c>
      <c r="C918" s="855"/>
      <c r="D918" s="88" t="s">
        <v>925</v>
      </c>
      <c r="E918" s="141">
        <f>49*0.5/105.26</f>
        <v>0.23275698270948128</v>
      </c>
      <c r="F918" s="82">
        <f>MATERIALES2!$E$65</f>
        <v>2100</v>
      </c>
      <c r="G918" s="111">
        <f t="shared" si="7"/>
        <v>489</v>
      </c>
    </row>
    <row r="919" spans="1:8" ht="14.25">
      <c r="A919" s="95"/>
      <c r="B919" s="854" t="str">
        <f>MATERIALES2!$C$41</f>
        <v>CONCRETO 1:3:5-2000 PSI(MATERIALES)</v>
      </c>
      <c r="C919" s="855"/>
      <c r="D919" s="37" t="s">
        <v>1066</v>
      </c>
      <c r="E919" s="141">
        <f>ROUND(1.01*1.01*0.075,3)</f>
        <v>7.6999999999999999E-2</v>
      </c>
      <c r="F919" s="82">
        <f>MATERIALES2!$E$41</f>
        <v>319200</v>
      </c>
      <c r="G919" s="111">
        <f t="shared" si="7"/>
        <v>24578</v>
      </c>
    </row>
    <row r="920" spans="1:8" ht="29.25" customHeight="1">
      <c r="A920" s="158"/>
      <c r="B920" s="954" t="str">
        <f>EXCAVACIONES!$C$697</f>
        <v>EXCAVACION A MANO, EN CONGLOMERADO HASTA 2.00 M DE PROFUNDIDAD</v>
      </c>
      <c r="C920" s="955"/>
      <c r="D920" s="37" t="s">
        <v>1066</v>
      </c>
      <c r="E920" s="241">
        <f>ROUND(1.01*1.01*1.25,2)</f>
        <v>1.28</v>
      </c>
      <c r="F920" s="242">
        <f>EXCAVACIONES!$G$747</f>
        <v>18200</v>
      </c>
      <c r="G920" s="243">
        <f t="shared" si="7"/>
        <v>23296</v>
      </c>
      <c r="H920" s="505" t="s">
        <v>1670</v>
      </c>
    </row>
    <row r="921" spans="1:8" ht="15" thickBot="1">
      <c r="A921" s="95"/>
      <c r="B921" s="953" t="str">
        <f>EXCAVACIONES!$C$2430</f>
        <v>RELLENO DE LA MISMA EXCAVACION</v>
      </c>
      <c r="C921" s="855"/>
      <c r="D921" s="37" t="s">
        <v>1066</v>
      </c>
      <c r="E921" s="141">
        <f>ROUND(1.01*1.01*0.2,3)</f>
        <v>0.20399999999999999</v>
      </c>
      <c r="F921" s="82">
        <f>EXCAVACIONES!$G$2480</f>
        <v>17000</v>
      </c>
      <c r="G921" s="111">
        <f t="shared" si="7"/>
        <v>3468</v>
      </c>
    </row>
    <row r="922" spans="1:8" ht="13.5" thickTop="1">
      <c r="A922" s="95"/>
      <c r="B922" s="808"/>
      <c r="C922" s="809"/>
      <c r="D922" s="801" t="s">
        <v>856</v>
      </c>
      <c r="E922" s="802"/>
      <c r="F922" s="9"/>
      <c r="G922" s="113">
        <f>SUM(G914:G921)</f>
        <v>242965</v>
      </c>
    </row>
    <row r="923" spans="1:8">
      <c r="A923" s="95"/>
      <c r="B923" s="819"/>
      <c r="C923" s="820"/>
      <c r="D923" s="801" t="s">
        <v>857</v>
      </c>
      <c r="E923" s="802"/>
      <c r="F923" s="79">
        <f>'MANO DE OBRA'!$D$60</f>
        <v>0.05</v>
      </c>
      <c r="G923" s="113">
        <f>ROUND(G922*F923,0)</f>
        <v>12148</v>
      </c>
    </row>
    <row r="924" spans="1:8" ht="13.5" thickBot="1">
      <c r="A924" s="95"/>
      <c r="B924" s="819"/>
      <c r="C924" s="820"/>
      <c r="D924" s="803" t="s">
        <v>320</v>
      </c>
      <c r="E924" s="804"/>
      <c r="F924" s="114"/>
      <c r="G924" s="118">
        <f>+G922+G923</f>
        <v>255113</v>
      </c>
    </row>
    <row r="925" spans="1:8" ht="14.25" thickTop="1" thickBot="1">
      <c r="A925" s="95"/>
      <c r="B925" s="830"/>
      <c r="C925" s="830"/>
      <c r="D925" s="830"/>
      <c r="E925" s="830"/>
      <c r="F925" s="830"/>
      <c r="G925" s="830"/>
    </row>
    <row r="926" spans="1:8" ht="13.5" thickTop="1">
      <c r="A926" s="95"/>
      <c r="B926" s="811" t="s">
        <v>858</v>
      </c>
      <c r="C926" s="812"/>
      <c r="D926" s="812"/>
      <c r="E926" s="812"/>
      <c r="F926" s="812"/>
      <c r="G926" s="825"/>
    </row>
    <row r="927" spans="1:8">
      <c r="A927" s="95"/>
      <c r="B927" s="817"/>
      <c r="C927" s="818"/>
      <c r="D927" s="98" t="s">
        <v>301</v>
      </c>
      <c r="E927" s="98" t="s">
        <v>859</v>
      </c>
      <c r="F927" s="99" t="s">
        <v>839</v>
      </c>
      <c r="G927" s="107" t="s">
        <v>840</v>
      </c>
    </row>
    <row r="928" spans="1:8">
      <c r="A928" s="95"/>
      <c r="B928" s="821" t="s">
        <v>838</v>
      </c>
      <c r="C928" s="822"/>
      <c r="D928" s="100" t="s">
        <v>316</v>
      </c>
      <c r="E928" s="100" t="s">
        <v>315</v>
      </c>
      <c r="F928" s="101" t="s">
        <v>306</v>
      </c>
      <c r="G928" s="108" t="s">
        <v>319</v>
      </c>
    </row>
    <row r="929" spans="1:7">
      <c r="A929" s="95"/>
      <c r="B929" s="230"/>
      <c r="C929" s="102"/>
      <c r="D929" s="103"/>
      <c r="E929" s="103" t="s">
        <v>317</v>
      </c>
      <c r="F929" s="104" t="s">
        <v>318</v>
      </c>
      <c r="G929" s="109"/>
    </row>
    <row r="930" spans="1:7">
      <c r="A930" s="95"/>
      <c r="B930" s="823" t="str">
        <f>'MANO DE OBRA'!$B$10</f>
        <v>AYUDANTE CUAD. TIPO AA</v>
      </c>
      <c r="C930" s="824"/>
      <c r="D930" s="87">
        <v>1</v>
      </c>
      <c r="E930" s="80">
        <f>'MANO DE OBRA'!$E$10</f>
        <v>34680</v>
      </c>
      <c r="F930" s="81">
        <v>1.1399999999999999</v>
      </c>
      <c r="G930" s="110">
        <f>ROUND(D930*E930/F930,0)</f>
        <v>30421</v>
      </c>
    </row>
    <row r="931" spans="1:7">
      <c r="A931" s="95"/>
      <c r="B931" s="835" t="str">
        <f>'MANO DE OBRA'!$B$15</f>
        <v xml:space="preserve">OFICIAL CUAD. TIPO AA </v>
      </c>
      <c r="C931" s="836"/>
      <c r="D931" s="37">
        <v>1</v>
      </c>
      <c r="E931" s="82">
        <f>'MANO DE OBRA'!$E$15</f>
        <v>71474</v>
      </c>
      <c r="F931" s="83">
        <v>1.1399999999999999</v>
      </c>
      <c r="G931" s="111">
        <f>ROUND(D931*E931/F931,0)</f>
        <v>62696</v>
      </c>
    </row>
    <row r="932" spans="1:7">
      <c r="A932" s="95"/>
      <c r="B932" s="835"/>
      <c r="C932" s="836"/>
      <c r="D932" s="89"/>
      <c r="E932" s="82"/>
      <c r="F932" s="83"/>
      <c r="G932" s="111"/>
    </row>
    <row r="933" spans="1:7">
      <c r="A933" s="95"/>
      <c r="B933" s="835" t="s">
        <v>841</v>
      </c>
      <c r="C933" s="836"/>
      <c r="D933" s="37"/>
      <c r="E933" s="82"/>
      <c r="F933" s="83"/>
      <c r="G933" s="111"/>
    </row>
    <row r="934" spans="1:7" ht="13.5" thickBot="1">
      <c r="A934" s="95"/>
      <c r="B934" s="828" t="s">
        <v>841</v>
      </c>
      <c r="C934" s="829"/>
      <c r="D934" s="77"/>
      <c r="E934" s="82"/>
      <c r="F934" s="86"/>
      <c r="G934" s="112"/>
    </row>
    <row r="935" spans="1:7" ht="14.25" thickTop="1" thickBot="1">
      <c r="A935" s="95"/>
      <c r="B935" s="808"/>
      <c r="C935" s="808"/>
      <c r="D935" s="808"/>
      <c r="E935" s="809"/>
      <c r="F935" s="120" t="s">
        <v>856</v>
      </c>
      <c r="G935" s="118">
        <f>SUM(G930:G934)</f>
        <v>93117</v>
      </c>
    </row>
    <row r="936" spans="1:7" ht="14.25" thickTop="1" thickBot="1">
      <c r="A936" s="95"/>
      <c r="B936" s="810"/>
      <c r="C936" s="810"/>
      <c r="D936" s="810"/>
      <c r="E936" s="810"/>
      <c r="F936" s="810"/>
      <c r="G936" s="810"/>
    </row>
    <row r="937" spans="1:7" ht="13.5" thickTop="1">
      <c r="A937" s="95"/>
      <c r="B937" s="811" t="s">
        <v>321</v>
      </c>
      <c r="C937" s="812"/>
      <c r="D937" s="812"/>
      <c r="E937" s="812"/>
      <c r="F937" s="812"/>
      <c r="G937" s="825"/>
    </row>
    <row r="938" spans="1:7">
      <c r="A938" s="95"/>
      <c r="B938" s="817" t="s">
        <v>838</v>
      </c>
      <c r="C938" s="818"/>
      <c r="D938" s="98" t="s">
        <v>301</v>
      </c>
      <c r="E938" s="98" t="s">
        <v>297</v>
      </c>
      <c r="F938" s="99" t="s">
        <v>839</v>
      </c>
      <c r="G938" s="107" t="s">
        <v>840</v>
      </c>
    </row>
    <row r="939" spans="1:7">
      <c r="A939" s="95"/>
      <c r="B939" s="230"/>
      <c r="C939" s="102"/>
      <c r="D939" s="103" t="s">
        <v>322</v>
      </c>
      <c r="E939" s="103" t="s">
        <v>323</v>
      </c>
      <c r="F939" s="104" t="s">
        <v>324</v>
      </c>
      <c r="G939" s="109" t="s">
        <v>325</v>
      </c>
    </row>
    <row r="940" spans="1:7">
      <c r="A940" s="95"/>
      <c r="B940" s="826"/>
      <c r="C940" s="827"/>
      <c r="D940" s="96"/>
      <c r="E940" s="96"/>
      <c r="F940" s="96"/>
      <c r="G940" s="116"/>
    </row>
    <row r="941" spans="1:7" ht="13.5" thickBot="1">
      <c r="A941" s="95"/>
      <c r="B941" s="828" t="s">
        <v>841</v>
      </c>
      <c r="C941" s="829"/>
      <c r="D941" s="77"/>
      <c r="E941" s="82"/>
      <c r="F941" s="86"/>
      <c r="G941" s="112"/>
    </row>
    <row r="942" spans="1:7" ht="14.25" thickTop="1" thickBot="1">
      <c r="A942" s="95"/>
      <c r="B942" s="808"/>
      <c r="C942" s="808"/>
      <c r="D942" s="808"/>
      <c r="E942" s="809"/>
      <c r="F942" s="120" t="s">
        <v>856</v>
      </c>
      <c r="G942" s="118">
        <f>SUM(G937:G941)</f>
        <v>0</v>
      </c>
    </row>
    <row r="943" spans="1:7" ht="14.25" thickTop="1" thickBot="1">
      <c r="A943" s="95"/>
      <c r="B943" s="810"/>
      <c r="C943" s="810"/>
      <c r="D943" s="810"/>
      <c r="E943" s="810"/>
      <c r="F943" s="810"/>
      <c r="G943" s="834"/>
    </row>
    <row r="944" spans="1:7" ht="13.5" thickTop="1">
      <c r="A944" s="95"/>
      <c r="B944" s="811" t="s">
        <v>326</v>
      </c>
      <c r="C944" s="812"/>
      <c r="D944" s="812"/>
      <c r="E944" s="812"/>
      <c r="F944" s="813"/>
      <c r="G944" s="121">
        <f>+G909+G924+G935</f>
        <v>352886</v>
      </c>
    </row>
    <row r="945" spans="1:8">
      <c r="A945" s="95"/>
      <c r="B945" s="814" t="s">
        <v>861</v>
      </c>
      <c r="C945" s="815"/>
      <c r="D945" s="815"/>
      <c r="E945" s="816"/>
      <c r="F945" s="128">
        <f>'MANO DE OBRA'!$D$59</f>
        <v>0</v>
      </c>
      <c r="G945" s="122">
        <f>ROUND(G944*F945,0)</f>
        <v>0</v>
      </c>
    </row>
    <row r="946" spans="1:8" ht="13.5" thickBot="1">
      <c r="A946" s="95"/>
      <c r="B946" s="805" t="s">
        <v>1049</v>
      </c>
      <c r="C946" s="806"/>
      <c r="D946" s="806"/>
      <c r="E946" s="806"/>
      <c r="F946" s="807"/>
      <c r="G946" s="118">
        <f>ROUND(G944+G945,-2)</f>
        <v>352900</v>
      </c>
      <c r="H946" s="505" t="s">
        <v>1670</v>
      </c>
    </row>
    <row r="947" spans="1:8" ht="13.5" thickTop="1">
      <c r="A947" s="95"/>
      <c r="B947" s="225" t="s">
        <v>303</v>
      </c>
      <c r="C947" s="843"/>
      <c r="D947" s="843"/>
      <c r="E947" s="843"/>
      <c r="F947" s="92" t="s">
        <v>781</v>
      </c>
      <c r="G947" s="93" t="s">
        <v>865</v>
      </c>
    </row>
    <row r="948" spans="1:8">
      <c r="A948" s="95"/>
      <c r="B948" s="226" t="s">
        <v>834</v>
      </c>
      <c r="C948" s="844" t="s">
        <v>382</v>
      </c>
      <c r="D948" s="844"/>
      <c r="E948" s="844"/>
      <c r="F948" s="15" t="s">
        <v>833</v>
      </c>
      <c r="G948" s="165" t="str">
        <f>'MANO DE OBRA'!$D$61</f>
        <v>Agosto de 2010</v>
      </c>
    </row>
    <row r="949" spans="1:8" ht="13.5" thickBot="1">
      <c r="A949" s="127"/>
      <c r="B949" s="228" t="s">
        <v>835</v>
      </c>
      <c r="C949" s="845" t="s">
        <v>394</v>
      </c>
      <c r="D949" s="845"/>
      <c r="E949" s="845"/>
      <c r="F949" s="845"/>
      <c r="G949" s="846"/>
    </row>
    <row r="950" spans="1:8" ht="14.25" thickTop="1" thickBot="1">
      <c r="A950" s="95"/>
      <c r="B950" s="847"/>
      <c r="C950" s="847"/>
      <c r="D950" s="847"/>
      <c r="E950" s="847"/>
      <c r="F950" s="847"/>
      <c r="G950" s="847"/>
    </row>
    <row r="951" spans="1:8" ht="13.5" thickTop="1">
      <c r="A951" s="95"/>
      <c r="B951" s="811" t="s">
        <v>304</v>
      </c>
      <c r="C951" s="812"/>
      <c r="D951" s="812"/>
      <c r="E951" s="812"/>
      <c r="F951" s="812"/>
      <c r="G951" s="825"/>
    </row>
    <row r="952" spans="1:8">
      <c r="A952" s="95"/>
      <c r="B952" s="229"/>
      <c r="C952" s="97"/>
      <c r="D952" s="98" t="s">
        <v>301</v>
      </c>
      <c r="E952" s="98" t="s">
        <v>1072</v>
      </c>
      <c r="F952" s="99" t="s">
        <v>839</v>
      </c>
      <c r="G952" s="107" t="s">
        <v>840</v>
      </c>
    </row>
    <row r="953" spans="1:8">
      <c r="A953" s="95"/>
      <c r="B953" s="821" t="s">
        <v>838</v>
      </c>
      <c r="C953" s="822"/>
      <c r="D953" s="100" t="s">
        <v>308</v>
      </c>
      <c r="E953" s="100" t="s">
        <v>305</v>
      </c>
      <c r="F953" s="101" t="s">
        <v>306</v>
      </c>
      <c r="G953" s="108" t="s">
        <v>310</v>
      </c>
    </row>
    <row r="954" spans="1:8">
      <c r="A954" s="95"/>
      <c r="B954" s="230"/>
      <c r="C954" s="102"/>
      <c r="D954" s="103"/>
      <c r="E954" s="103" t="s">
        <v>309</v>
      </c>
      <c r="F954" s="104" t="s">
        <v>307</v>
      </c>
      <c r="G954" s="109"/>
    </row>
    <row r="955" spans="1:8">
      <c r="A955" s="127"/>
      <c r="B955" s="823" t="str">
        <f>'MAQUINARIA Y EQUIPOS'!$C$28</f>
        <v>HERRAMIENTAS MENORES</v>
      </c>
      <c r="C955" s="824"/>
      <c r="D955" s="87">
        <v>1</v>
      </c>
      <c r="E955" s="82">
        <f>ROUND(G985*0.05,0)</f>
        <v>2949</v>
      </c>
      <c r="F955" s="81">
        <v>1</v>
      </c>
      <c r="G955" s="110">
        <f>ROUND(D955*E955/F955,0)</f>
        <v>2949</v>
      </c>
    </row>
    <row r="956" spans="1:8">
      <c r="A956" s="95"/>
      <c r="B956" s="835"/>
      <c r="C956" s="836"/>
      <c r="D956" s="37"/>
      <c r="E956" s="82"/>
      <c r="F956" s="83"/>
      <c r="G956" s="111"/>
    </row>
    <row r="957" spans="1:8">
      <c r="A957" s="95"/>
      <c r="B957" s="835"/>
      <c r="C957" s="836"/>
      <c r="D957" s="89"/>
      <c r="E957" s="82"/>
      <c r="F957" s="83"/>
      <c r="G957" s="111"/>
    </row>
    <row r="958" spans="1:8">
      <c r="A958" s="95"/>
      <c r="B958" s="835"/>
      <c r="C958" s="836"/>
      <c r="D958" s="89"/>
      <c r="E958" s="82"/>
      <c r="F958" s="83"/>
      <c r="G958" s="111"/>
    </row>
    <row r="959" spans="1:8">
      <c r="A959" s="95"/>
      <c r="B959" s="835" t="s">
        <v>841</v>
      </c>
      <c r="C959" s="836"/>
      <c r="D959" s="37"/>
      <c r="E959" s="82"/>
      <c r="F959" s="83"/>
      <c r="G959" s="111"/>
    </row>
    <row r="960" spans="1:8" ht="13.5" thickBot="1">
      <c r="A960" s="95"/>
      <c r="B960" s="839" t="s">
        <v>841</v>
      </c>
      <c r="C960" s="840"/>
      <c r="D960" s="77"/>
      <c r="E960" s="106"/>
      <c r="F960" s="86"/>
      <c r="G960" s="112"/>
    </row>
    <row r="961" spans="1:8" ht="14.25" thickTop="1" thickBot="1">
      <c r="A961" s="95"/>
      <c r="B961" s="808"/>
      <c r="C961" s="808"/>
      <c r="D961" s="808"/>
      <c r="E961" s="809"/>
      <c r="F961" s="119" t="s">
        <v>856</v>
      </c>
      <c r="G961" s="118">
        <f>SUM(G955:G960)</f>
        <v>2949</v>
      </c>
    </row>
    <row r="962" spans="1:8" ht="14.25" thickTop="1" thickBot="1">
      <c r="A962" s="95"/>
      <c r="B962" s="830"/>
      <c r="C962" s="830"/>
      <c r="D962" s="830"/>
      <c r="E962" s="830"/>
      <c r="F962" s="830"/>
      <c r="G962" s="830"/>
    </row>
    <row r="963" spans="1:8" ht="13.5" thickTop="1">
      <c r="A963" s="95"/>
      <c r="B963" s="811" t="s">
        <v>311</v>
      </c>
      <c r="C963" s="812"/>
      <c r="D963" s="812"/>
      <c r="E963" s="812"/>
      <c r="F963" s="812"/>
      <c r="G963" s="825"/>
    </row>
    <row r="964" spans="1:8">
      <c r="A964" s="95"/>
      <c r="B964" s="817" t="s">
        <v>838</v>
      </c>
      <c r="C964" s="818"/>
      <c r="D964" s="98" t="s">
        <v>842</v>
      </c>
      <c r="E964" s="98" t="s">
        <v>853</v>
      </c>
      <c r="F964" s="99" t="s">
        <v>1047</v>
      </c>
      <c r="G964" s="107" t="s">
        <v>840</v>
      </c>
    </row>
    <row r="965" spans="1:8">
      <c r="A965" s="95"/>
      <c r="B965" s="230"/>
      <c r="C965" s="102"/>
      <c r="D965" s="100"/>
      <c r="E965" s="100" t="s">
        <v>312</v>
      </c>
      <c r="F965" s="101" t="s">
        <v>313</v>
      </c>
      <c r="G965" s="108" t="s">
        <v>314</v>
      </c>
    </row>
    <row r="966" spans="1:8" ht="14.25">
      <c r="A966" s="125"/>
      <c r="B966" s="841" t="str">
        <f>MATERIALES2!$C$35</f>
        <v>CONCRETO 1:2:3-3000 psi(MATERIALES)</v>
      </c>
      <c r="C966" s="842"/>
      <c r="D966" s="87" t="s">
        <v>1066</v>
      </c>
      <c r="E966" s="140">
        <f>ROUND(1.11*1.11*0.1,3)</f>
        <v>0.123</v>
      </c>
      <c r="F966" s="80">
        <f>MATERIALES2!$E$35</f>
        <v>367600</v>
      </c>
      <c r="G966" s="110">
        <f t="shared" ref="G966:G971" si="8">ROUND(E966*F966,0)</f>
        <v>45215</v>
      </c>
    </row>
    <row r="967" spans="1:8" ht="14.25">
      <c r="A967" s="123"/>
      <c r="B967" s="854" t="str">
        <f>MATERIALES2!$C$49</f>
        <v>MORTERO 1:3 (MATERIALES)</v>
      </c>
      <c r="C967" s="855"/>
      <c r="D967" s="37" t="s">
        <v>1066</v>
      </c>
      <c r="E967" s="139">
        <f>0.1+0.12</f>
        <v>0.22</v>
      </c>
      <c r="F967" s="82">
        <f>MATERIALES2!$E$49</f>
        <v>365000</v>
      </c>
      <c r="G967" s="111">
        <f t="shared" si="8"/>
        <v>80300</v>
      </c>
    </row>
    <row r="968" spans="1:8">
      <c r="A968" s="95"/>
      <c r="B968" s="854" t="str">
        <f>MATERIALES2!$C$82</f>
        <v>HIERRO A-37</v>
      </c>
      <c r="C968" s="855"/>
      <c r="D968" s="88" t="s">
        <v>925</v>
      </c>
      <c r="E968" s="83">
        <v>4.1100000000000003</v>
      </c>
      <c r="F968" s="82">
        <f>MATERIALES2!$E$82</f>
        <v>2800</v>
      </c>
      <c r="G968" s="111">
        <f t="shared" si="8"/>
        <v>11508</v>
      </c>
    </row>
    <row r="969" spans="1:8">
      <c r="A969" s="95"/>
      <c r="B969" s="854" t="str">
        <f>MATERIALES2!$C$92</f>
        <v>TOLETE COMUN</v>
      </c>
      <c r="C969" s="855"/>
      <c r="D969" s="88" t="s">
        <v>865</v>
      </c>
      <c r="E969" s="83">
        <v>213</v>
      </c>
      <c r="F969" s="82">
        <f>MATERIALES2!$E$92</f>
        <v>380</v>
      </c>
      <c r="G969" s="111">
        <f t="shared" si="8"/>
        <v>80940</v>
      </c>
    </row>
    <row r="970" spans="1:8">
      <c r="A970" s="95"/>
      <c r="B970" s="854" t="str">
        <f>MATERIALES2!$C$65</f>
        <v>ALAMBRE NEGRO</v>
      </c>
      <c r="C970" s="855"/>
      <c r="D970" s="88" t="s">
        <v>925</v>
      </c>
      <c r="E970" s="141">
        <f>49*0.5/105.26</f>
        <v>0.23275698270948128</v>
      </c>
      <c r="F970" s="82">
        <f>MATERIALES2!$E$65</f>
        <v>2100</v>
      </c>
      <c r="G970" s="111">
        <f t="shared" si="8"/>
        <v>489</v>
      </c>
      <c r="H970" s="505" t="s">
        <v>1670</v>
      </c>
    </row>
    <row r="971" spans="1:8" ht="15" thickBot="1">
      <c r="A971" s="95"/>
      <c r="B971" s="854" t="str">
        <f>MATERIALES2!$C$41</f>
        <v>CONCRETO 1:3:5-2000 PSI(MATERIALES)</v>
      </c>
      <c r="C971" s="855"/>
      <c r="D971" s="37" t="s">
        <v>1066</v>
      </c>
      <c r="E971" s="141">
        <f>ROUND(1.11*1.11*0.075,3)</f>
        <v>9.1999999999999998E-2</v>
      </c>
      <c r="F971" s="82">
        <f>MATERIALES2!$E$41</f>
        <v>319200</v>
      </c>
      <c r="G971" s="111">
        <f t="shared" si="8"/>
        <v>29366</v>
      </c>
    </row>
    <row r="972" spans="1:8" ht="13.5" thickTop="1">
      <c r="A972" s="95"/>
      <c r="B972" s="808"/>
      <c r="C972" s="809"/>
      <c r="D972" s="801" t="s">
        <v>856</v>
      </c>
      <c r="E972" s="802"/>
      <c r="F972" s="9"/>
      <c r="G972" s="113">
        <f>SUM(G966:G971)</f>
        <v>247818</v>
      </c>
    </row>
    <row r="973" spans="1:8">
      <c r="A973" s="95"/>
      <c r="B973" s="819"/>
      <c r="C973" s="820"/>
      <c r="D973" s="801" t="s">
        <v>857</v>
      </c>
      <c r="E973" s="802"/>
      <c r="F973" s="79">
        <f>'MANO DE OBRA'!$D$60</f>
        <v>0.05</v>
      </c>
      <c r="G973" s="113">
        <f>ROUND(G972*F973,0)</f>
        <v>12391</v>
      </c>
    </row>
    <row r="974" spans="1:8" ht="13.5" thickBot="1">
      <c r="A974" s="95"/>
      <c r="B974" s="819"/>
      <c r="C974" s="820"/>
      <c r="D974" s="803" t="s">
        <v>320</v>
      </c>
      <c r="E974" s="804"/>
      <c r="F974" s="114"/>
      <c r="G974" s="118">
        <f>+G972+G973</f>
        <v>260209</v>
      </c>
    </row>
    <row r="975" spans="1:8" ht="14.25" thickTop="1" thickBot="1">
      <c r="A975" s="95"/>
      <c r="B975" s="830"/>
      <c r="C975" s="830"/>
      <c r="D975" s="830"/>
      <c r="E975" s="830"/>
      <c r="F975" s="830"/>
      <c r="G975" s="830"/>
    </row>
    <row r="976" spans="1:8" ht="13.5" thickTop="1">
      <c r="A976" s="95"/>
      <c r="B976" s="811" t="s">
        <v>858</v>
      </c>
      <c r="C976" s="812"/>
      <c r="D976" s="812"/>
      <c r="E976" s="812"/>
      <c r="F976" s="812"/>
      <c r="G976" s="825"/>
    </row>
    <row r="977" spans="1:7">
      <c r="A977" s="95"/>
      <c r="B977" s="817"/>
      <c r="C977" s="818"/>
      <c r="D977" s="98" t="s">
        <v>301</v>
      </c>
      <c r="E977" s="98" t="s">
        <v>859</v>
      </c>
      <c r="F977" s="99" t="s">
        <v>839</v>
      </c>
      <c r="G977" s="107" t="s">
        <v>840</v>
      </c>
    </row>
    <row r="978" spans="1:7">
      <c r="A978" s="95"/>
      <c r="B978" s="821" t="s">
        <v>838</v>
      </c>
      <c r="C978" s="822"/>
      <c r="D978" s="100" t="s">
        <v>316</v>
      </c>
      <c r="E978" s="100" t="s">
        <v>315</v>
      </c>
      <c r="F978" s="101" t="s">
        <v>306</v>
      </c>
      <c r="G978" s="108" t="s">
        <v>319</v>
      </c>
    </row>
    <row r="979" spans="1:7">
      <c r="A979" s="95"/>
      <c r="B979" s="230"/>
      <c r="C979" s="102"/>
      <c r="D979" s="103"/>
      <c r="E979" s="103" t="s">
        <v>317</v>
      </c>
      <c r="F979" s="104" t="s">
        <v>318</v>
      </c>
      <c r="G979" s="109"/>
    </row>
    <row r="980" spans="1:7">
      <c r="A980" s="95"/>
      <c r="B980" s="823" t="str">
        <f>'MANO DE OBRA'!$B$10</f>
        <v>AYUDANTE CUAD. TIPO AA</v>
      </c>
      <c r="C980" s="824"/>
      <c r="D980" s="87">
        <v>1</v>
      </c>
      <c r="E980" s="80">
        <f>'MANO DE OBRA'!$E$10</f>
        <v>34680</v>
      </c>
      <c r="F980" s="81">
        <v>1.8</v>
      </c>
      <c r="G980" s="110">
        <f>ROUND(D980*E980/F980,0)</f>
        <v>19267</v>
      </c>
    </row>
    <row r="981" spans="1:7">
      <c r="A981" s="95"/>
      <c r="B981" s="835" t="str">
        <f>'MANO DE OBRA'!$B$15</f>
        <v xml:space="preserve">OFICIAL CUAD. TIPO AA </v>
      </c>
      <c r="C981" s="836"/>
      <c r="D981" s="37">
        <v>1</v>
      </c>
      <c r="E981" s="82">
        <f>'MANO DE OBRA'!$E$15</f>
        <v>71474</v>
      </c>
      <c r="F981" s="83">
        <v>1.8</v>
      </c>
      <c r="G981" s="111">
        <f>ROUND(D981*E981/F981,0)</f>
        <v>39708</v>
      </c>
    </row>
    <row r="982" spans="1:7">
      <c r="A982" s="95"/>
      <c r="B982" s="835"/>
      <c r="C982" s="836"/>
      <c r="D982" s="89"/>
      <c r="E982" s="82"/>
      <c r="F982" s="83"/>
      <c r="G982" s="111"/>
    </row>
    <row r="983" spans="1:7">
      <c r="A983" s="95"/>
      <c r="B983" s="835" t="s">
        <v>841</v>
      </c>
      <c r="C983" s="836"/>
      <c r="D983" s="37"/>
      <c r="E983" s="82"/>
      <c r="F983" s="83"/>
      <c r="G983" s="111"/>
    </row>
    <row r="984" spans="1:7" ht="13.5" thickBot="1">
      <c r="A984" s="95"/>
      <c r="B984" s="828" t="s">
        <v>841</v>
      </c>
      <c r="C984" s="829"/>
      <c r="D984" s="77"/>
      <c r="E984" s="82"/>
      <c r="F984" s="86"/>
      <c r="G984" s="112"/>
    </row>
    <row r="985" spans="1:7" ht="14.25" thickTop="1" thickBot="1">
      <c r="A985" s="95"/>
      <c r="B985" s="808"/>
      <c r="C985" s="808"/>
      <c r="D985" s="808"/>
      <c r="E985" s="809"/>
      <c r="F985" s="120" t="s">
        <v>856</v>
      </c>
      <c r="G985" s="118">
        <f>SUM(G980:G984)</f>
        <v>58975</v>
      </c>
    </row>
    <row r="986" spans="1:7" ht="14.25" thickTop="1" thickBot="1">
      <c r="A986" s="95"/>
      <c r="B986" s="810"/>
      <c r="C986" s="810"/>
      <c r="D986" s="810"/>
      <c r="E986" s="810"/>
      <c r="F986" s="810"/>
      <c r="G986" s="810"/>
    </row>
    <row r="987" spans="1:7" ht="13.5" thickTop="1">
      <c r="A987" s="95"/>
      <c r="B987" s="811" t="s">
        <v>321</v>
      </c>
      <c r="C987" s="812"/>
      <c r="D987" s="812"/>
      <c r="E987" s="812"/>
      <c r="F987" s="812"/>
      <c r="G987" s="825"/>
    </row>
    <row r="988" spans="1:7">
      <c r="A988" s="95"/>
      <c r="B988" s="817" t="s">
        <v>838</v>
      </c>
      <c r="C988" s="818"/>
      <c r="D988" s="98" t="s">
        <v>301</v>
      </c>
      <c r="E988" s="98" t="s">
        <v>297</v>
      </c>
      <c r="F988" s="99" t="s">
        <v>839</v>
      </c>
      <c r="G988" s="107" t="s">
        <v>840</v>
      </c>
    </row>
    <row r="989" spans="1:7">
      <c r="A989" s="95"/>
      <c r="B989" s="230"/>
      <c r="C989" s="102"/>
      <c r="D989" s="103" t="s">
        <v>322</v>
      </c>
      <c r="E989" s="103" t="s">
        <v>323</v>
      </c>
      <c r="F989" s="104" t="s">
        <v>324</v>
      </c>
      <c r="G989" s="109" t="s">
        <v>325</v>
      </c>
    </row>
    <row r="990" spans="1:7">
      <c r="A990" s="95"/>
      <c r="B990" s="826"/>
      <c r="C990" s="827"/>
      <c r="D990" s="96"/>
      <c r="E990" s="96"/>
      <c r="F990" s="96"/>
      <c r="G990" s="116"/>
    </row>
    <row r="991" spans="1:7" ht="13.5" thickBot="1">
      <c r="A991" s="95"/>
      <c r="B991" s="828" t="s">
        <v>841</v>
      </c>
      <c r="C991" s="829"/>
      <c r="D991" s="77"/>
      <c r="E991" s="82"/>
      <c r="F991" s="86"/>
      <c r="G991" s="112"/>
    </row>
    <row r="992" spans="1:7" ht="14.25" thickTop="1" thickBot="1">
      <c r="A992" s="95"/>
      <c r="B992" s="808"/>
      <c r="C992" s="808"/>
      <c r="D992" s="808"/>
      <c r="E992" s="809"/>
      <c r="F992" s="120" t="s">
        <v>856</v>
      </c>
      <c r="G992" s="118">
        <f>SUM(G987:G991)</f>
        <v>0</v>
      </c>
    </row>
    <row r="993" spans="1:8" ht="14.25" thickTop="1" thickBot="1">
      <c r="A993" s="95"/>
      <c r="B993" s="810"/>
      <c r="C993" s="810"/>
      <c r="D993" s="810"/>
      <c r="E993" s="810"/>
      <c r="F993" s="810"/>
      <c r="G993" s="834"/>
    </row>
    <row r="994" spans="1:8" ht="13.5" thickTop="1">
      <c r="A994" s="95"/>
      <c r="B994" s="811" t="s">
        <v>326</v>
      </c>
      <c r="C994" s="812"/>
      <c r="D994" s="812"/>
      <c r="E994" s="812"/>
      <c r="F994" s="813"/>
      <c r="G994" s="121">
        <f>+G961+G974+G985</f>
        <v>322133</v>
      </c>
    </row>
    <row r="995" spans="1:8">
      <c r="A995" s="95"/>
      <c r="B995" s="814" t="s">
        <v>861</v>
      </c>
      <c r="C995" s="815"/>
      <c r="D995" s="815"/>
      <c r="E995" s="816"/>
      <c r="F995" s="128">
        <f>'MANO DE OBRA'!$D$59</f>
        <v>0</v>
      </c>
      <c r="G995" s="122">
        <f>ROUND(G994*F995,0)</f>
        <v>0</v>
      </c>
    </row>
    <row r="996" spans="1:8" ht="13.5" thickBot="1">
      <c r="A996" s="95"/>
      <c r="B996" s="805" t="s">
        <v>1049</v>
      </c>
      <c r="C996" s="806"/>
      <c r="D996" s="806"/>
      <c r="E996" s="806"/>
      <c r="F996" s="807"/>
      <c r="G996" s="118">
        <f>ROUND(G994+G995,-2)</f>
        <v>322100</v>
      </c>
      <c r="H996" s="505" t="s">
        <v>1670</v>
      </c>
    </row>
    <row r="997" spans="1:8" ht="13.5" thickTop="1">
      <c r="A997" s="95"/>
      <c r="B997" s="90" t="s">
        <v>303</v>
      </c>
      <c r="C997" s="843"/>
      <c r="D997" s="843"/>
      <c r="E997" s="843"/>
      <c r="F997" s="92" t="s">
        <v>781</v>
      </c>
      <c r="G997" s="93" t="s">
        <v>370</v>
      </c>
    </row>
    <row r="998" spans="1:8">
      <c r="A998" s="95"/>
      <c r="B998" s="91" t="s">
        <v>834</v>
      </c>
      <c r="C998" s="844" t="s">
        <v>369</v>
      </c>
      <c r="D998" s="844"/>
      <c r="E998" s="844"/>
      <c r="F998" s="15" t="s">
        <v>833</v>
      </c>
      <c r="G998" s="165" t="str">
        <f>'MANO DE OBRA'!D61</f>
        <v>Agosto de 2010</v>
      </c>
    </row>
    <row r="999" spans="1:8" ht="13.5" thickBot="1">
      <c r="A999" s="127"/>
      <c r="B999" s="94" t="s">
        <v>835</v>
      </c>
      <c r="C999" s="845" t="s">
        <v>132</v>
      </c>
      <c r="D999" s="845"/>
      <c r="E999" s="845"/>
      <c r="F999" s="845"/>
      <c r="G999" s="846"/>
    </row>
    <row r="1000" spans="1:8" ht="14.25" thickTop="1" thickBot="1">
      <c r="A1000" s="95"/>
      <c r="B1000" s="847"/>
      <c r="C1000" s="847"/>
      <c r="D1000" s="847"/>
      <c r="E1000" s="847"/>
      <c r="F1000" s="847"/>
      <c r="G1000" s="847"/>
    </row>
    <row r="1001" spans="1:8" ht="13.5" thickTop="1">
      <c r="A1001" s="95"/>
      <c r="B1001" s="811" t="s">
        <v>304</v>
      </c>
      <c r="C1001" s="812"/>
      <c r="D1001" s="812"/>
      <c r="E1001" s="812"/>
      <c r="F1001" s="812"/>
      <c r="G1001" s="825"/>
    </row>
    <row r="1002" spans="1:8">
      <c r="A1002" s="95"/>
      <c r="B1002" s="105"/>
      <c r="C1002" s="97"/>
      <c r="D1002" s="98" t="s">
        <v>301</v>
      </c>
      <c r="E1002" s="98" t="s">
        <v>1072</v>
      </c>
      <c r="F1002" s="99" t="s">
        <v>839</v>
      </c>
      <c r="G1002" s="107" t="s">
        <v>840</v>
      </c>
    </row>
    <row r="1003" spans="1:8">
      <c r="A1003" s="95"/>
      <c r="B1003" s="821" t="s">
        <v>838</v>
      </c>
      <c r="C1003" s="822"/>
      <c r="D1003" s="100" t="s">
        <v>308</v>
      </c>
      <c r="E1003" s="100" t="s">
        <v>305</v>
      </c>
      <c r="F1003" s="101" t="s">
        <v>306</v>
      </c>
      <c r="G1003" s="108" t="s">
        <v>310</v>
      </c>
    </row>
    <row r="1004" spans="1:8">
      <c r="A1004" s="95"/>
      <c r="B1004" s="115"/>
      <c r="C1004" s="102"/>
      <c r="D1004" s="103"/>
      <c r="E1004" s="103" t="s">
        <v>309</v>
      </c>
      <c r="F1004" s="104" t="s">
        <v>307</v>
      </c>
      <c r="G1004" s="109"/>
    </row>
    <row r="1005" spans="1:8">
      <c r="A1005" s="127"/>
      <c r="B1005" s="826" t="str">
        <f>'MAQUINARIA Y EQUIPOS'!C28</f>
        <v>HERRAMIENTAS MENORES</v>
      </c>
      <c r="C1005" s="824"/>
      <c r="D1005" s="87">
        <v>1</v>
      </c>
      <c r="E1005" s="82">
        <f>ROUND(G1038*0.05,0)</f>
        <v>1062</v>
      </c>
      <c r="F1005" s="81">
        <v>1</v>
      </c>
      <c r="G1005" s="110">
        <f>ROUND(D1005*E1005/F1005,0)</f>
        <v>1062</v>
      </c>
    </row>
    <row r="1006" spans="1:8">
      <c r="A1006" s="95"/>
      <c r="B1006" s="835"/>
      <c r="C1006" s="836"/>
      <c r="D1006" s="37"/>
      <c r="E1006" s="82"/>
      <c r="F1006" s="83"/>
      <c r="G1006" s="111"/>
    </row>
    <row r="1007" spans="1:8">
      <c r="A1007" s="95"/>
      <c r="B1007" s="835"/>
      <c r="C1007" s="836"/>
      <c r="D1007" s="89"/>
      <c r="E1007" s="82"/>
      <c r="F1007" s="83"/>
      <c r="G1007" s="111"/>
    </row>
    <row r="1008" spans="1:8">
      <c r="A1008" s="95"/>
      <c r="B1008" s="835"/>
      <c r="C1008" s="836"/>
      <c r="D1008" s="89"/>
      <c r="E1008" s="82"/>
      <c r="F1008" s="83"/>
      <c r="G1008" s="111"/>
    </row>
    <row r="1009" spans="1:8">
      <c r="A1009" s="95"/>
      <c r="B1009" s="835" t="s">
        <v>841</v>
      </c>
      <c r="C1009" s="836"/>
      <c r="D1009" s="37"/>
      <c r="E1009" s="82"/>
      <c r="F1009" s="83"/>
      <c r="G1009" s="111"/>
    </row>
    <row r="1010" spans="1:8" ht="13.5" thickBot="1">
      <c r="A1010" s="95"/>
      <c r="B1010" s="839" t="s">
        <v>841</v>
      </c>
      <c r="C1010" s="840"/>
      <c r="D1010" s="77"/>
      <c r="E1010" s="106"/>
      <c r="F1010" s="86"/>
      <c r="G1010" s="112"/>
    </row>
    <row r="1011" spans="1:8" ht="14.25" thickTop="1" thickBot="1">
      <c r="A1011" s="95"/>
      <c r="B1011" s="808"/>
      <c r="C1011" s="808"/>
      <c r="D1011" s="808"/>
      <c r="E1011" s="809"/>
      <c r="F1011" s="119" t="s">
        <v>856</v>
      </c>
      <c r="G1011" s="118">
        <f>SUM(G1005:G1010)</f>
        <v>1062</v>
      </c>
    </row>
    <row r="1012" spans="1:8" ht="14.25" thickTop="1" thickBot="1">
      <c r="A1012" s="95"/>
      <c r="B1012" s="830"/>
      <c r="C1012" s="830"/>
      <c r="D1012" s="830"/>
      <c r="E1012" s="830"/>
      <c r="F1012" s="830"/>
      <c r="G1012" s="830"/>
    </row>
    <row r="1013" spans="1:8" ht="13.5" thickTop="1">
      <c r="A1013" s="95"/>
      <c r="B1013" s="811" t="s">
        <v>311</v>
      </c>
      <c r="C1013" s="812"/>
      <c r="D1013" s="812"/>
      <c r="E1013" s="812"/>
      <c r="F1013" s="812"/>
      <c r="G1013" s="825"/>
    </row>
    <row r="1014" spans="1:8">
      <c r="A1014" s="95"/>
      <c r="B1014" s="817" t="s">
        <v>838</v>
      </c>
      <c r="C1014" s="818"/>
      <c r="D1014" s="98" t="s">
        <v>842</v>
      </c>
      <c r="E1014" s="98" t="s">
        <v>853</v>
      </c>
      <c r="F1014" s="99" t="s">
        <v>1047</v>
      </c>
      <c r="G1014" s="107" t="s">
        <v>840</v>
      </c>
    </row>
    <row r="1015" spans="1:8">
      <c r="A1015" s="95"/>
      <c r="B1015" s="115"/>
      <c r="C1015" s="102"/>
      <c r="D1015" s="100"/>
      <c r="E1015" s="100" t="s">
        <v>312</v>
      </c>
      <c r="F1015" s="101" t="s">
        <v>313</v>
      </c>
      <c r="G1015" s="108" t="s">
        <v>314</v>
      </c>
    </row>
    <row r="1016" spans="1:8">
      <c r="A1016" s="125"/>
      <c r="B1016" s="841" t="str">
        <f>MATERIALES2!C560</f>
        <v>TUBO GRESS DE 3"</v>
      </c>
      <c r="C1016" s="842"/>
      <c r="D1016" s="87" t="s">
        <v>865</v>
      </c>
      <c r="E1016" s="142">
        <v>1</v>
      </c>
      <c r="F1016" s="80">
        <f>MATERIALES2!E560</f>
        <v>4294</v>
      </c>
      <c r="G1016" s="110">
        <f>ROUND(E1016*F1016,0)</f>
        <v>4294</v>
      </c>
    </row>
    <row r="1017" spans="1:8">
      <c r="A1017" s="123"/>
      <c r="B1017" s="854" t="str">
        <f>MATERIALES2!C561</f>
        <v>ACCESORIO GRES DE 3"</v>
      </c>
      <c r="C1017" s="855"/>
      <c r="D1017" s="37" t="s">
        <v>865</v>
      </c>
      <c r="E1017" s="83">
        <v>2.77</v>
      </c>
      <c r="F1017" s="82">
        <f>MATERIALES2!E561</f>
        <v>4341</v>
      </c>
      <c r="G1017" s="111">
        <f>ROUND(E1017*F1017,0)</f>
        <v>12025</v>
      </c>
    </row>
    <row r="1018" spans="1:8">
      <c r="A1018" s="123"/>
      <c r="B1018" s="854" t="str">
        <f>MATERIALES2!C562</f>
        <v>TUBO GRESS DE 4"</v>
      </c>
      <c r="C1018" s="855"/>
      <c r="D1018" s="37" t="s">
        <v>865</v>
      </c>
      <c r="E1018" s="83">
        <v>2.5</v>
      </c>
      <c r="F1018" s="82">
        <f>MATERIALES2!E562</f>
        <v>6254</v>
      </c>
      <c r="G1018" s="111">
        <f>ROUND(E1018*F1018,0)</f>
        <v>15635</v>
      </c>
    </row>
    <row r="1019" spans="1:8">
      <c r="A1019" s="123"/>
      <c r="B1019" s="854" t="str">
        <f>MATERIALES2!C563</f>
        <v>ACCESORIO GRES DE 4"</v>
      </c>
      <c r="C1019" s="855"/>
      <c r="D1019" s="37" t="s">
        <v>865</v>
      </c>
      <c r="E1019" s="83">
        <v>1.37</v>
      </c>
      <c r="F1019" s="82">
        <f>MATERIALES2!E563</f>
        <v>5773</v>
      </c>
      <c r="G1019" s="111">
        <f>ROUND(E1019*F1019,0)</f>
        <v>7909</v>
      </c>
    </row>
    <row r="1020" spans="1:8">
      <c r="A1020" s="123"/>
      <c r="B1020" s="854" t="str">
        <f>MATERIALES2!C49</f>
        <v>MORTERO 1:3 (MATERIALES)</v>
      </c>
      <c r="C1020" s="855"/>
      <c r="D1020" s="37" t="s">
        <v>865</v>
      </c>
      <c r="E1020" s="83">
        <v>0.02</v>
      </c>
      <c r="F1020" s="82">
        <f>MATERIALES2!E49</f>
        <v>365000</v>
      </c>
      <c r="G1020" s="111">
        <f>ROUND(E1020*F1020,0)</f>
        <v>7300</v>
      </c>
    </row>
    <row r="1021" spans="1:8">
      <c r="A1021" s="95"/>
      <c r="B1021" s="938"/>
      <c r="C1021" s="939"/>
      <c r="D1021" s="53" t="s">
        <v>841</v>
      </c>
      <c r="E1021" s="53"/>
      <c r="F1021" s="82"/>
      <c r="G1021" s="111"/>
    </row>
    <row r="1022" spans="1:8">
      <c r="A1022" s="95"/>
      <c r="B1022" s="837" t="s">
        <v>841</v>
      </c>
      <c r="C1022" s="838"/>
      <c r="D1022" s="53" t="s">
        <v>841</v>
      </c>
      <c r="E1022" s="53"/>
      <c r="F1022" s="82"/>
      <c r="G1022" s="111"/>
    </row>
    <row r="1023" spans="1:8">
      <c r="A1023" s="95"/>
      <c r="B1023" s="837" t="s">
        <v>841</v>
      </c>
      <c r="C1023" s="838"/>
      <c r="D1023" s="53" t="s">
        <v>841</v>
      </c>
      <c r="E1023" s="53"/>
      <c r="F1023" s="82"/>
      <c r="G1023" s="111"/>
      <c r="H1023" s="505" t="s">
        <v>1670</v>
      </c>
    </row>
    <row r="1024" spans="1:8" ht="13.5" thickBot="1">
      <c r="A1024" s="95"/>
      <c r="B1024" s="839" t="s">
        <v>841</v>
      </c>
      <c r="C1024" s="840"/>
      <c r="D1024" s="84" t="s">
        <v>841</v>
      </c>
      <c r="E1024" s="84"/>
      <c r="F1024" s="85"/>
      <c r="G1024" s="112"/>
    </row>
    <row r="1025" spans="1:7" ht="13.5" thickTop="1">
      <c r="A1025" s="95"/>
      <c r="B1025" s="808"/>
      <c r="C1025" s="809"/>
      <c r="D1025" s="801" t="s">
        <v>856</v>
      </c>
      <c r="E1025" s="802"/>
      <c r="F1025" s="9"/>
      <c r="G1025" s="113">
        <f>SUM(G1016:G1024)</f>
        <v>47163</v>
      </c>
    </row>
    <row r="1026" spans="1:7">
      <c r="A1026" s="95"/>
      <c r="B1026" s="819"/>
      <c r="C1026" s="820"/>
      <c r="D1026" s="801" t="s">
        <v>857</v>
      </c>
      <c r="E1026" s="802"/>
      <c r="F1026" s="79">
        <f>'MANO DE OBRA'!D60</f>
        <v>0.05</v>
      </c>
      <c r="G1026" s="113">
        <f>ROUND(G1025*F1026,0)</f>
        <v>2358</v>
      </c>
    </row>
    <row r="1027" spans="1:7" ht="13.5" thickBot="1">
      <c r="A1027" s="95"/>
      <c r="B1027" s="819"/>
      <c r="C1027" s="820"/>
      <c r="D1027" s="803" t="s">
        <v>320</v>
      </c>
      <c r="E1027" s="804"/>
      <c r="F1027" s="114"/>
      <c r="G1027" s="118">
        <f>+G1025+G1026</f>
        <v>49521</v>
      </c>
    </row>
    <row r="1028" spans="1:7" ht="14.25" thickTop="1" thickBot="1">
      <c r="A1028" s="95"/>
      <c r="B1028" s="830"/>
      <c r="C1028" s="830"/>
      <c r="D1028" s="830"/>
      <c r="E1028" s="830"/>
      <c r="F1028" s="830"/>
      <c r="G1028" s="830"/>
    </row>
    <row r="1029" spans="1:7" ht="13.5" thickTop="1">
      <c r="A1029" s="95"/>
      <c r="B1029" s="811" t="s">
        <v>858</v>
      </c>
      <c r="C1029" s="812"/>
      <c r="D1029" s="812"/>
      <c r="E1029" s="812"/>
      <c r="F1029" s="812"/>
      <c r="G1029" s="825"/>
    </row>
    <row r="1030" spans="1:7">
      <c r="A1030" s="95"/>
      <c r="B1030" s="817"/>
      <c r="C1030" s="818"/>
      <c r="D1030" s="98" t="s">
        <v>301</v>
      </c>
      <c r="E1030" s="98" t="s">
        <v>859</v>
      </c>
      <c r="F1030" s="99" t="s">
        <v>839</v>
      </c>
      <c r="G1030" s="107" t="s">
        <v>840</v>
      </c>
    </row>
    <row r="1031" spans="1:7">
      <c r="A1031" s="95"/>
      <c r="B1031" s="821" t="s">
        <v>838</v>
      </c>
      <c r="C1031" s="822"/>
      <c r="D1031" s="100" t="s">
        <v>316</v>
      </c>
      <c r="E1031" s="100" t="s">
        <v>315</v>
      </c>
      <c r="F1031" s="101" t="s">
        <v>306</v>
      </c>
      <c r="G1031" s="108" t="s">
        <v>319</v>
      </c>
    </row>
    <row r="1032" spans="1:7">
      <c r="A1032" s="95"/>
      <c r="B1032" s="115"/>
      <c r="C1032" s="102"/>
      <c r="D1032" s="103"/>
      <c r="E1032" s="103" t="s">
        <v>317</v>
      </c>
      <c r="F1032" s="104" t="s">
        <v>318</v>
      </c>
      <c r="G1032" s="109"/>
    </row>
    <row r="1033" spans="1:7">
      <c r="A1033" s="95"/>
      <c r="B1033" s="823" t="str">
        <f>'MANO DE OBRA'!B10</f>
        <v>AYUDANTE CUAD. TIPO AA</v>
      </c>
      <c r="C1033" s="824"/>
      <c r="D1033" s="87">
        <v>1</v>
      </c>
      <c r="E1033" s="80">
        <f>'MANO DE OBRA'!E10</f>
        <v>34680</v>
      </c>
      <c r="F1033" s="81">
        <v>5</v>
      </c>
      <c r="G1033" s="110">
        <f>ROUND(D1033*E1033/F1033,0)</f>
        <v>6936</v>
      </c>
    </row>
    <row r="1034" spans="1:7">
      <c r="A1034" s="95"/>
      <c r="B1034" s="835" t="str">
        <f>'MANO DE OBRA'!B15</f>
        <v xml:space="preserve">OFICIAL CUAD. TIPO AA </v>
      </c>
      <c r="C1034" s="836"/>
      <c r="D1034" s="37">
        <v>1</v>
      </c>
      <c r="E1034" s="82">
        <f>'MANO DE OBRA'!E15</f>
        <v>71474</v>
      </c>
      <c r="F1034" s="83">
        <v>5</v>
      </c>
      <c r="G1034" s="111">
        <f>ROUND(D1034*E1034/F1034,0)</f>
        <v>14295</v>
      </c>
    </row>
    <row r="1035" spans="1:7">
      <c r="A1035" s="95"/>
      <c r="B1035" s="835"/>
      <c r="C1035" s="836"/>
      <c r="D1035" s="89"/>
      <c r="E1035" s="82"/>
      <c r="F1035" s="83"/>
      <c r="G1035" s="111"/>
    </row>
    <row r="1036" spans="1:7">
      <c r="A1036" s="95"/>
      <c r="B1036" s="835" t="s">
        <v>841</v>
      </c>
      <c r="C1036" s="836"/>
      <c r="D1036" s="37"/>
      <c r="E1036" s="82"/>
      <c r="F1036" s="83"/>
      <c r="G1036" s="111"/>
    </row>
    <row r="1037" spans="1:7" ht="13.5" thickBot="1">
      <c r="A1037" s="95"/>
      <c r="B1037" s="828" t="s">
        <v>841</v>
      </c>
      <c r="C1037" s="829"/>
      <c r="D1037" s="77"/>
      <c r="E1037" s="82"/>
      <c r="F1037" s="86"/>
      <c r="G1037" s="112"/>
    </row>
    <row r="1038" spans="1:7" ht="14.25" thickTop="1" thickBot="1">
      <c r="A1038" s="95"/>
      <c r="B1038" s="808"/>
      <c r="C1038" s="808"/>
      <c r="D1038" s="808"/>
      <c r="E1038" s="809"/>
      <c r="F1038" s="120" t="s">
        <v>856</v>
      </c>
      <c r="G1038" s="118">
        <f>SUM(G1033:G1037)</f>
        <v>21231</v>
      </c>
    </row>
    <row r="1039" spans="1:7" ht="14.25" thickTop="1" thickBot="1">
      <c r="A1039" s="95"/>
      <c r="B1039" s="810"/>
      <c r="C1039" s="810"/>
      <c r="D1039" s="810"/>
      <c r="E1039" s="810"/>
      <c r="F1039" s="810"/>
      <c r="G1039" s="810"/>
    </row>
    <row r="1040" spans="1:7" ht="13.5" thickTop="1">
      <c r="A1040" s="95"/>
      <c r="B1040" s="811" t="s">
        <v>321</v>
      </c>
      <c r="C1040" s="812"/>
      <c r="D1040" s="812"/>
      <c r="E1040" s="812"/>
      <c r="F1040" s="812"/>
      <c r="G1040" s="825"/>
    </row>
    <row r="1041" spans="1:8">
      <c r="A1041" s="95"/>
      <c r="B1041" s="817" t="s">
        <v>838</v>
      </c>
      <c r="C1041" s="818"/>
      <c r="D1041" s="98" t="s">
        <v>301</v>
      </c>
      <c r="E1041" s="98" t="s">
        <v>297</v>
      </c>
      <c r="F1041" s="99" t="s">
        <v>839</v>
      </c>
      <c r="G1041" s="107" t="s">
        <v>840</v>
      </c>
    </row>
    <row r="1042" spans="1:8">
      <c r="A1042" s="95"/>
      <c r="B1042" s="115"/>
      <c r="C1042" s="102"/>
      <c r="D1042" s="103" t="s">
        <v>322</v>
      </c>
      <c r="E1042" s="103" t="s">
        <v>323</v>
      </c>
      <c r="F1042" s="104" t="s">
        <v>324</v>
      </c>
      <c r="G1042" s="109" t="s">
        <v>325</v>
      </c>
    </row>
    <row r="1043" spans="1:8">
      <c r="A1043" s="95"/>
      <c r="B1043" s="826"/>
      <c r="C1043" s="827"/>
      <c r="D1043" s="96"/>
      <c r="E1043" s="96"/>
      <c r="F1043" s="96"/>
      <c r="G1043" s="116"/>
    </row>
    <row r="1044" spans="1:8" ht="13.5" thickBot="1">
      <c r="A1044" s="95"/>
      <c r="B1044" s="828" t="s">
        <v>841</v>
      </c>
      <c r="C1044" s="829"/>
      <c r="D1044" s="77"/>
      <c r="E1044" s="82"/>
      <c r="F1044" s="86"/>
      <c r="G1044" s="112"/>
    </row>
    <row r="1045" spans="1:8" ht="14.25" thickTop="1" thickBot="1">
      <c r="A1045" s="95"/>
      <c r="B1045" s="808"/>
      <c r="C1045" s="808"/>
      <c r="D1045" s="808"/>
      <c r="E1045" s="809"/>
      <c r="F1045" s="120" t="s">
        <v>856</v>
      </c>
      <c r="G1045" s="118">
        <f>SUM(G1040:G1044)</f>
        <v>0</v>
      </c>
    </row>
    <row r="1046" spans="1:8" ht="14.25" thickTop="1" thickBot="1">
      <c r="A1046" s="95"/>
      <c r="B1046" s="810"/>
      <c r="C1046" s="810"/>
      <c r="D1046" s="810"/>
      <c r="E1046" s="810"/>
      <c r="F1046" s="810"/>
      <c r="G1046" s="834"/>
    </row>
    <row r="1047" spans="1:8" ht="13.5" thickTop="1">
      <c r="A1047" s="95"/>
      <c r="B1047" s="811" t="s">
        <v>326</v>
      </c>
      <c r="C1047" s="812"/>
      <c r="D1047" s="812"/>
      <c r="E1047" s="812"/>
      <c r="F1047" s="813"/>
      <c r="G1047" s="121">
        <f>+G1011+G1027+G1038</f>
        <v>71814</v>
      </c>
    </row>
    <row r="1048" spans="1:8">
      <c r="A1048" s="95"/>
      <c r="B1048" s="814" t="s">
        <v>861</v>
      </c>
      <c r="C1048" s="815"/>
      <c r="D1048" s="815"/>
      <c r="E1048" s="816"/>
      <c r="F1048" s="128">
        <f>'MANO DE OBRA'!D324</f>
        <v>0</v>
      </c>
      <c r="G1048" s="122">
        <f>ROUND(G1047*F1048,0)</f>
        <v>0</v>
      </c>
    </row>
    <row r="1049" spans="1:8" ht="13.5" thickBot="1">
      <c r="A1049" s="95"/>
      <c r="B1049" s="805" t="s">
        <v>1049</v>
      </c>
      <c r="C1049" s="806"/>
      <c r="D1049" s="806"/>
      <c r="E1049" s="806"/>
      <c r="F1049" s="807"/>
      <c r="G1049" s="118">
        <f>ROUND(G1047+G1048,-2)</f>
        <v>71800</v>
      </c>
      <c r="H1049" s="505" t="s">
        <v>1670</v>
      </c>
    </row>
    <row r="1050" spans="1:8" ht="13.5" thickTop="1">
      <c r="A1050" s="95"/>
      <c r="B1050" s="90" t="s">
        <v>303</v>
      </c>
      <c r="C1050" s="843"/>
      <c r="D1050" s="843"/>
      <c r="E1050" s="843"/>
      <c r="F1050" s="92" t="s">
        <v>781</v>
      </c>
      <c r="G1050" s="93" t="s">
        <v>865</v>
      </c>
    </row>
    <row r="1051" spans="1:8">
      <c r="A1051" s="95"/>
      <c r="B1051" s="91" t="s">
        <v>834</v>
      </c>
      <c r="C1051" s="844" t="s">
        <v>369</v>
      </c>
      <c r="D1051" s="844"/>
      <c r="E1051" s="844"/>
      <c r="F1051" s="15" t="s">
        <v>833</v>
      </c>
      <c r="G1051" s="165" t="str">
        <f>'MANO DE OBRA'!D61</f>
        <v>Agosto de 2010</v>
      </c>
    </row>
    <row r="1052" spans="1:8" ht="13.5" thickBot="1">
      <c r="A1052" s="127"/>
      <c r="B1052" s="94" t="s">
        <v>835</v>
      </c>
      <c r="C1052" s="845" t="s">
        <v>773</v>
      </c>
      <c r="D1052" s="845"/>
      <c r="E1052" s="845"/>
      <c r="F1052" s="845"/>
      <c r="G1052" s="846"/>
    </row>
    <row r="1053" spans="1:8" ht="14.25" thickTop="1" thickBot="1">
      <c r="A1053" s="95"/>
      <c r="B1053" s="847"/>
      <c r="C1053" s="847"/>
      <c r="D1053" s="847"/>
      <c r="E1053" s="847"/>
      <c r="F1053" s="847"/>
      <c r="G1053" s="847"/>
    </row>
    <row r="1054" spans="1:8" ht="13.5" thickTop="1">
      <c r="A1054" s="95"/>
      <c r="B1054" s="811" t="s">
        <v>304</v>
      </c>
      <c r="C1054" s="812"/>
      <c r="D1054" s="812"/>
      <c r="E1054" s="812"/>
      <c r="F1054" s="812"/>
      <c r="G1054" s="825"/>
    </row>
    <row r="1055" spans="1:8">
      <c r="A1055" s="95"/>
      <c r="B1055" s="105"/>
      <c r="C1055" s="97"/>
      <c r="D1055" s="98" t="s">
        <v>301</v>
      </c>
      <c r="E1055" s="98" t="s">
        <v>1072</v>
      </c>
      <c r="F1055" s="99" t="s">
        <v>839</v>
      </c>
      <c r="G1055" s="107" t="s">
        <v>840</v>
      </c>
    </row>
    <row r="1056" spans="1:8">
      <c r="A1056" s="95"/>
      <c r="B1056" s="821" t="s">
        <v>838</v>
      </c>
      <c r="C1056" s="822"/>
      <c r="D1056" s="100" t="s">
        <v>308</v>
      </c>
      <c r="E1056" s="100" t="s">
        <v>305</v>
      </c>
      <c r="F1056" s="101" t="s">
        <v>306</v>
      </c>
      <c r="G1056" s="108" t="s">
        <v>310</v>
      </c>
    </row>
    <row r="1057" spans="1:7">
      <c r="A1057" s="95"/>
      <c r="B1057" s="115"/>
      <c r="C1057" s="102"/>
      <c r="D1057" s="103"/>
      <c r="E1057" s="103" t="s">
        <v>309</v>
      </c>
      <c r="F1057" s="104" t="s">
        <v>307</v>
      </c>
      <c r="G1057" s="109"/>
    </row>
    <row r="1058" spans="1:7">
      <c r="A1058" s="127"/>
      <c r="B1058" s="826" t="str">
        <f>'MAQUINARIA Y EQUIPOS'!C28</f>
        <v>HERRAMIENTAS MENORES</v>
      </c>
      <c r="C1058" s="824"/>
      <c r="D1058" s="87">
        <v>1</v>
      </c>
      <c r="E1058" s="82">
        <f>ROUND(G1091*0.05,0)</f>
        <v>833</v>
      </c>
      <c r="F1058" s="81">
        <v>1</v>
      </c>
      <c r="G1058" s="110">
        <f>ROUND(D1058*E1058/F1058,0)</f>
        <v>833</v>
      </c>
    </row>
    <row r="1059" spans="1:7">
      <c r="A1059" s="95"/>
      <c r="B1059" s="835"/>
      <c r="C1059" s="836"/>
      <c r="D1059" s="37"/>
      <c r="E1059" s="82"/>
      <c r="F1059" s="83"/>
      <c r="G1059" s="111"/>
    </row>
    <row r="1060" spans="1:7">
      <c r="A1060" s="95"/>
      <c r="B1060" s="835"/>
      <c r="C1060" s="836"/>
      <c r="D1060" s="89"/>
      <c r="E1060" s="82"/>
      <c r="F1060" s="83"/>
      <c r="G1060" s="111"/>
    </row>
    <row r="1061" spans="1:7">
      <c r="A1061" s="95"/>
      <c r="B1061" s="835"/>
      <c r="C1061" s="836"/>
      <c r="D1061" s="89"/>
      <c r="E1061" s="82"/>
      <c r="F1061" s="83"/>
      <c r="G1061" s="111"/>
    </row>
    <row r="1062" spans="1:7">
      <c r="A1062" s="95"/>
      <c r="B1062" s="835" t="s">
        <v>841</v>
      </c>
      <c r="C1062" s="836"/>
      <c r="D1062" s="37"/>
      <c r="E1062" s="82"/>
      <c r="F1062" s="83"/>
      <c r="G1062" s="111"/>
    </row>
    <row r="1063" spans="1:7" ht="13.5" thickBot="1">
      <c r="A1063" s="95"/>
      <c r="B1063" s="839" t="s">
        <v>841</v>
      </c>
      <c r="C1063" s="840"/>
      <c r="D1063" s="77"/>
      <c r="E1063" s="106"/>
      <c r="F1063" s="86"/>
      <c r="G1063" s="112"/>
    </row>
    <row r="1064" spans="1:7" ht="14.25" thickTop="1" thickBot="1">
      <c r="A1064" s="95"/>
      <c r="B1064" s="808"/>
      <c r="C1064" s="808"/>
      <c r="D1064" s="808"/>
      <c r="E1064" s="809"/>
      <c r="F1064" s="119" t="s">
        <v>856</v>
      </c>
      <c r="G1064" s="118">
        <f>SUM(G1058:G1063)</f>
        <v>833</v>
      </c>
    </row>
    <row r="1065" spans="1:7" ht="14.25" thickTop="1" thickBot="1">
      <c r="A1065" s="95"/>
      <c r="B1065" s="830"/>
      <c r="C1065" s="830"/>
      <c r="D1065" s="830"/>
      <c r="E1065" s="830"/>
      <c r="F1065" s="830"/>
      <c r="G1065" s="830"/>
    </row>
    <row r="1066" spans="1:7" ht="13.5" thickTop="1">
      <c r="A1066" s="95"/>
      <c r="B1066" s="811" t="s">
        <v>311</v>
      </c>
      <c r="C1066" s="812"/>
      <c r="D1066" s="812"/>
      <c r="E1066" s="812"/>
      <c r="F1066" s="812"/>
      <c r="G1066" s="825"/>
    </row>
    <row r="1067" spans="1:7">
      <c r="A1067" s="95"/>
      <c r="B1067" s="817" t="s">
        <v>838</v>
      </c>
      <c r="C1067" s="818"/>
      <c r="D1067" s="98" t="s">
        <v>842</v>
      </c>
      <c r="E1067" s="98" t="s">
        <v>853</v>
      </c>
      <c r="F1067" s="99" t="s">
        <v>1047</v>
      </c>
      <c r="G1067" s="107" t="s">
        <v>840</v>
      </c>
    </row>
    <row r="1068" spans="1:7">
      <c r="A1068" s="95"/>
      <c r="B1068" s="115"/>
      <c r="C1068" s="102"/>
      <c r="D1068" s="100"/>
      <c r="E1068" s="100" t="s">
        <v>312</v>
      </c>
      <c r="F1068" s="101" t="s">
        <v>313</v>
      </c>
      <c r="G1068" s="108" t="s">
        <v>314</v>
      </c>
    </row>
    <row r="1069" spans="1:7">
      <c r="A1069" s="125"/>
      <c r="B1069" s="841" t="str">
        <f>MATERIALES2!C601</f>
        <v>TUBO PVC SANITARIO 3"x 6.0 M Pesada</v>
      </c>
      <c r="C1069" s="842"/>
      <c r="D1069" s="87" t="s">
        <v>865</v>
      </c>
      <c r="E1069" s="142">
        <v>0.17</v>
      </c>
      <c r="F1069" s="80">
        <f>MATERIALES2!E601</f>
        <v>38000</v>
      </c>
      <c r="G1069" s="110">
        <f>ROUND(E1069*F1069,0)</f>
        <v>6460</v>
      </c>
    </row>
    <row r="1070" spans="1:7">
      <c r="A1070" s="123"/>
      <c r="B1070" s="854" t="str">
        <f>MATERIALES2!C793</f>
        <v>CODO SANITARIO 90ºx3"</v>
      </c>
      <c r="C1070" s="855"/>
      <c r="D1070" s="37" t="s">
        <v>865</v>
      </c>
      <c r="E1070" s="83">
        <v>2</v>
      </c>
      <c r="F1070" s="82">
        <f>MATERIALES2!E793</f>
        <v>5060</v>
      </c>
      <c r="G1070" s="111">
        <f>ROUND(E1070*F1070,0)</f>
        <v>10120</v>
      </c>
    </row>
    <row r="1071" spans="1:7">
      <c r="A1071" s="123"/>
      <c r="B1071" s="854" t="str">
        <f>MATERIALES2!C49</f>
        <v>MORTERO 1:3 (MATERIALES)</v>
      </c>
      <c r="C1071" s="855"/>
      <c r="D1071" s="37" t="s">
        <v>865</v>
      </c>
      <c r="E1071" s="83">
        <v>0.02</v>
      </c>
      <c r="F1071" s="82">
        <f>MATERIALES2!E49</f>
        <v>365000</v>
      </c>
      <c r="G1071" s="111">
        <f>ROUND(E1071*F1071,0)</f>
        <v>7300</v>
      </c>
    </row>
    <row r="1072" spans="1:7">
      <c r="A1072" s="123"/>
      <c r="B1072" s="854"/>
      <c r="C1072" s="855"/>
      <c r="D1072" s="37"/>
      <c r="E1072" s="83"/>
      <c r="F1072" s="82"/>
      <c r="G1072" s="111"/>
    </row>
    <row r="1073" spans="1:8">
      <c r="A1073" s="123"/>
      <c r="B1073" s="854"/>
      <c r="C1073" s="855"/>
      <c r="D1073" s="37"/>
      <c r="E1073" s="83"/>
      <c r="F1073" s="82"/>
      <c r="G1073" s="111"/>
    </row>
    <row r="1074" spans="1:8">
      <c r="A1074" s="95"/>
      <c r="B1074" s="938"/>
      <c r="C1074" s="939"/>
      <c r="D1074" s="53" t="s">
        <v>841</v>
      </c>
      <c r="E1074" s="53"/>
      <c r="F1074" s="82"/>
      <c r="G1074" s="111"/>
    </row>
    <row r="1075" spans="1:8">
      <c r="A1075" s="95"/>
      <c r="B1075" s="837" t="s">
        <v>841</v>
      </c>
      <c r="C1075" s="838"/>
      <c r="D1075" s="53" t="s">
        <v>841</v>
      </c>
      <c r="E1075" s="53"/>
      <c r="F1075" s="82"/>
      <c r="G1075" s="111"/>
      <c r="H1075" s="505" t="s">
        <v>1670</v>
      </c>
    </row>
    <row r="1076" spans="1:8">
      <c r="A1076" s="95"/>
      <c r="B1076" s="837" t="s">
        <v>841</v>
      </c>
      <c r="C1076" s="838"/>
      <c r="D1076" s="53" t="s">
        <v>841</v>
      </c>
      <c r="E1076" s="53"/>
      <c r="F1076" s="82"/>
      <c r="G1076" s="111"/>
    </row>
    <row r="1077" spans="1:8" ht="13.5" thickBot="1">
      <c r="A1077" s="95"/>
      <c r="B1077" s="839" t="s">
        <v>841</v>
      </c>
      <c r="C1077" s="840"/>
      <c r="D1077" s="84" t="s">
        <v>841</v>
      </c>
      <c r="E1077" s="84"/>
      <c r="F1077" s="85"/>
      <c r="G1077" s="112"/>
    </row>
    <row r="1078" spans="1:8" ht="13.5" thickTop="1">
      <c r="A1078" s="95"/>
      <c r="B1078" s="808"/>
      <c r="C1078" s="809"/>
      <c r="D1078" s="801" t="s">
        <v>856</v>
      </c>
      <c r="E1078" s="802"/>
      <c r="F1078" s="9"/>
      <c r="G1078" s="113">
        <f>SUM(G1069:G1077)</f>
        <v>23880</v>
      </c>
    </row>
    <row r="1079" spans="1:8">
      <c r="A1079" s="95"/>
      <c r="B1079" s="819"/>
      <c r="C1079" s="820"/>
      <c r="D1079" s="801" t="s">
        <v>857</v>
      </c>
      <c r="E1079" s="802"/>
      <c r="F1079" s="79">
        <f>'MANO DE OBRA'!D60</f>
        <v>0.05</v>
      </c>
      <c r="G1079" s="113">
        <f>ROUND(G1078*F1079,0)</f>
        <v>1194</v>
      </c>
    </row>
    <row r="1080" spans="1:8" ht="13.5" thickBot="1">
      <c r="A1080" s="95"/>
      <c r="B1080" s="819"/>
      <c r="C1080" s="820"/>
      <c r="D1080" s="803" t="s">
        <v>320</v>
      </c>
      <c r="E1080" s="804"/>
      <c r="F1080" s="114"/>
      <c r="G1080" s="118">
        <f>+G1078+G1079</f>
        <v>25074</v>
      </c>
    </row>
    <row r="1081" spans="1:8" ht="14.25" thickTop="1" thickBot="1">
      <c r="A1081" s="95"/>
      <c r="B1081" s="830"/>
      <c r="C1081" s="830"/>
      <c r="D1081" s="830"/>
      <c r="E1081" s="830"/>
      <c r="F1081" s="830"/>
      <c r="G1081" s="830"/>
    </row>
    <row r="1082" spans="1:8" ht="13.5" thickTop="1">
      <c r="A1082" s="95"/>
      <c r="B1082" s="811" t="s">
        <v>858</v>
      </c>
      <c r="C1082" s="812"/>
      <c r="D1082" s="812"/>
      <c r="E1082" s="812"/>
      <c r="F1082" s="812"/>
      <c r="G1082" s="825"/>
    </row>
    <row r="1083" spans="1:8">
      <c r="A1083" s="95"/>
      <c r="B1083" s="817"/>
      <c r="C1083" s="818"/>
      <c r="D1083" s="98" t="s">
        <v>301</v>
      </c>
      <c r="E1083" s="98" t="s">
        <v>859</v>
      </c>
      <c r="F1083" s="99" t="s">
        <v>839</v>
      </c>
      <c r="G1083" s="107" t="s">
        <v>840</v>
      </c>
    </row>
    <row r="1084" spans="1:8">
      <c r="A1084" s="95"/>
      <c r="B1084" s="821" t="s">
        <v>838</v>
      </c>
      <c r="C1084" s="822"/>
      <c r="D1084" s="100" t="s">
        <v>316</v>
      </c>
      <c r="E1084" s="100" t="s">
        <v>315</v>
      </c>
      <c r="F1084" s="101" t="s">
        <v>306</v>
      </c>
      <c r="G1084" s="108" t="s">
        <v>319</v>
      </c>
    </row>
    <row r="1085" spans="1:8">
      <c r="A1085" s="95"/>
      <c r="B1085" s="115"/>
      <c r="C1085" s="102"/>
      <c r="D1085" s="103"/>
      <c r="E1085" s="103" t="s">
        <v>317</v>
      </c>
      <c r="F1085" s="104" t="s">
        <v>318</v>
      </c>
      <c r="G1085" s="109"/>
    </row>
    <row r="1086" spans="1:8">
      <c r="A1086" s="95"/>
      <c r="B1086" s="823" t="str">
        <f>'MANO DE OBRA'!B10</f>
        <v>AYUDANTE CUAD. TIPO AA</v>
      </c>
      <c r="C1086" s="824"/>
      <c r="D1086" s="87">
        <v>1</v>
      </c>
      <c r="E1086" s="80">
        <f>'MANO DE OBRA'!E10</f>
        <v>34680</v>
      </c>
      <c r="F1086" s="81">
        <v>45</v>
      </c>
      <c r="G1086" s="110">
        <f>ROUND(D1086*E1086/F1086,0)</f>
        <v>771</v>
      </c>
    </row>
    <row r="1087" spans="1:8">
      <c r="A1087" s="95"/>
      <c r="B1087" s="835" t="str">
        <f>'MANO DE OBRA'!B15</f>
        <v xml:space="preserve">OFICIAL CUAD. TIPO AA </v>
      </c>
      <c r="C1087" s="836"/>
      <c r="D1087" s="37">
        <v>1</v>
      </c>
      <c r="E1087" s="82">
        <f>'MANO DE OBRA'!E15</f>
        <v>71474</v>
      </c>
      <c r="F1087" s="83">
        <v>4.5</v>
      </c>
      <c r="G1087" s="111">
        <f>ROUND(D1087*E1087/F1087,0)</f>
        <v>15883</v>
      </c>
    </row>
    <row r="1088" spans="1:8">
      <c r="A1088" s="95"/>
      <c r="B1088" s="835"/>
      <c r="C1088" s="836"/>
      <c r="D1088" s="89"/>
      <c r="E1088" s="82"/>
      <c r="F1088" s="83"/>
      <c r="G1088" s="111"/>
    </row>
    <row r="1089" spans="1:8">
      <c r="A1089" s="95"/>
      <c r="B1089" s="835" t="s">
        <v>841</v>
      </c>
      <c r="C1089" s="836"/>
      <c r="D1089" s="37"/>
      <c r="E1089" s="82"/>
      <c r="F1089" s="83"/>
      <c r="G1089" s="111"/>
    </row>
    <row r="1090" spans="1:8" ht="13.5" thickBot="1">
      <c r="A1090" s="95"/>
      <c r="B1090" s="828" t="s">
        <v>841</v>
      </c>
      <c r="C1090" s="829"/>
      <c r="D1090" s="77"/>
      <c r="E1090" s="82"/>
      <c r="F1090" s="86"/>
      <c r="G1090" s="112"/>
    </row>
    <row r="1091" spans="1:8" ht="14.25" thickTop="1" thickBot="1">
      <c r="A1091" s="95"/>
      <c r="B1091" s="808"/>
      <c r="C1091" s="808"/>
      <c r="D1091" s="808"/>
      <c r="E1091" s="809"/>
      <c r="F1091" s="120" t="s">
        <v>856</v>
      </c>
      <c r="G1091" s="118">
        <f>SUM(G1086:G1090)</f>
        <v>16654</v>
      </c>
    </row>
    <row r="1092" spans="1:8" ht="14.25" thickTop="1" thickBot="1">
      <c r="A1092" s="95"/>
      <c r="B1092" s="810"/>
      <c r="C1092" s="810"/>
      <c r="D1092" s="810"/>
      <c r="E1092" s="810"/>
      <c r="F1092" s="810"/>
      <c r="G1092" s="810"/>
    </row>
    <row r="1093" spans="1:8" ht="13.5" thickTop="1">
      <c r="A1093" s="95"/>
      <c r="B1093" s="811" t="s">
        <v>321</v>
      </c>
      <c r="C1093" s="812"/>
      <c r="D1093" s="812"/>
      <c r="E1093" s="812"/>
      <c r="F1093" s="812"/>
      <c r="G1093" s="825"/>
    </row>
    <row r="1094" spans="1:8">
      <c r="A1094" s="95"/>
      <c r="B1094" s="817" t="s">
        <v>838</v>
      </c>
      <c r="C1094" s="818"/>
      <c r="D1094" s="98" t="s">
        <v>301</v>
      </c>
      <c r="E1094" s="98" t="s">
        <v>297</v>
      </c>
      <c r="F1094" s="99" t="s">
        <v>839</v>
      </c>
      <c r="G1094" s="107" t="s">
        <v>840</v>
      </c>
    </row>
    <row r="1095" spans="1:8">
      <c r="A1095" s="95"/>
      <c r="B1095" s="115"/>
      <c r="C1095" s="102"/>
      <c r="D1095" s="103" t="s">
        <v>322</v>
      </c>
      <c r="E1095" s="103" t="s">
        <v>323</v>
      </c>
      <c r="F1095" s="104" t="s">
        <v>324</v>
      </c>
      <c r="G1095" s="109" t="s">
        <v>325</v>
      </c>
    </row>
    <row r="1096" spans="1:8">
      <c r="A1096" s="95"/>
      <c r="B1096" s="826"/>
      <c r="C1096" s="827"/>
      <c r="D1096" s="96"/>
      <c r="E1096" s="96"/>
      <c r="F1096" s="96"/>
      <c r="G1096" s="116"/>
    </row>
    <row r="1097" spans="1:8" ht="13.5" thickBot="1">
      <c r="A1097" s="95"/>
      <c r="B1097" s="828" t="s">
        <v>841</v>
      </c>
      <c r="C1097" s="829"/>
      <c r="D1097" s="77"/>
      <c r="E1097" s="82"/>
      <c r="F1097" s="86"/>
      <c r="G1097" s="112"/>
    </row>
    <row r="1098" spans="1:8" ht="14.25" thickTop="1" thickBot="1">
      <c r="A1098" s="95"/>
      <c r="B1098" s="808"/>
      <c r="C1098" s="808"/>
      <c r="D1098" s="808"/>
      <c r="E1098" s="809"/>
      <c r="F1098" s="120" t="s">
        <v>856</v>
      </c>
      <c r="G1098" s="118">
        <f>SUM(G1093:G1097)</f>
        <v>0</v>
      </c>
    </row>
    <row r="1099" spans="1:8" ht="14.25" thickTop="1" thickBot="1">
      <c r="A1099" s="95"/>
      <c r="B1099" s="810"/>
      <c r="C1099" s="810"/>
      <c r="D1099" s="810"/>
      <c r="E1099" s="810"/>
      <c r="F1099" s="810"/>
      <c r="G1099" s="834"/>
    </row>
    <row r="1100" spans="1:8" ht="13.5" thickTop="1">
      <c r="A1100" s="95"/>
      <c r="B1100" s="811" t="s">
        <v>326</v>
      </c>
      <c r="C1100" s="812"/>
      <c r="D1100" s="812"/>
      <c r="E1100" s="812"/>
      <c r="F1100" s="813"/>
      <c r="G1100" s="121">
        <f>+G1064+G1080+G1091</f>
        <v>42561</v>
      </c>
    </row>
    <row r="1101" spans="1:8">
      <c r="A1101" s="95"/>
      <c r="B1101" s="814" t="s">
        <v>861</v>
      </c>
      <c r="C1101" s="815"/>
      <c r="D1101" s="815"/>
      <c r="E1101" s="816"/>
      <c r="F1101" s="128">
        <f>'MANO DE OBRA'!D377</f>
        <v>0</v>
      </c>
      <c r="G1101" s="122">
        <f>ROUND(G1100*F1101,0)</f>
        <v>0</v>
      </c>
    </row>
    <row r="1102" spans="1:8" ht="13.5" thickBot="1">
      <c r="A1102" s="95"/>
      <c r="B1102" s="805" t="s">
        <v>1049</v>
      </c>
      <c r="C1102" s="806"/>
      <c r="D1102" s="806"/>
      <c r="E1102" s="806"/>
      <c r="F1102" s="807"/>
      <c r="G1102" s="118">
        <f>ROUND(G1100+G1101,-2)</f>
        <v>42600</v>
      </c>
      <c r="H1102" s="505" t="s">
        <v>1670</v>
      </c>
    </row>
    <row r="1103" spans="1:8" ht="13.5" thickTop="1">
      <c r="A1103" s="95"/>
      <c r="B1103" s="90" t="s">
        <v>303</v>
      </c>
      <c r="C1103" s="843"/>
      <c r="D1103" s="843"/>
      <c r="E1103" s="843"/>
      <c r="F1103" s="92" t="s">
        <v>781</v>
      </c>
      <c r="G1103" s="93" t="s">
        <v>370</v>
      </c>
    </row>
    <row r="1104" spans="1:8">
      <c r="A1104" s="95"/>
      <c r="B1104" s="91" t="s">
        <v>834</v>
      </c>
      <c r="C1104" s="844" t="s">
        <v>369</v>
      </c>
      <c r="D1104" s="844"/>
      <c r="E1104" s="844"/>
      <c r="F1104" s="15" t="s">
        <v>833</v>
      </c>
      <c r="G1104" s="165" t="str">
        <f>'MANO DE OBRA'!D61</f>
        <v>Agosto de 2010</v>
      </c>
    </row>
    <row r="1105" spans="1:7" ht="13.5" thickBot="1">
      <c r="A1105" s="127"/>
      <c r="B1105" s="94" t="s">
        <v>835</v>
      </c>
      <c r="C1105" s="845" t="s">
        <v>1291</v>
      </c>
      <c r="D1105" s="845"/>
      <c r="E1105" s="845"/>
      <c r="F1105" s="845"/>
      <c r="G1105" s="846"/>
    </row>
    <row r="1106" spans="1:7" ht="14.25" thickTop="1" thickBot="1">
      <c r="A1106" s="95"/>
      <c r="B1106" s="847"/>
      <c r="C1106" s="847"/>
      <c r="D1106" s="847"/>
      <c r="E1106" s="847"/>
      <c r="F1106" s="847"/>
      <c r="G1106" s="847"/>
    </row>
    <row r="1107" spans="1:7" ht="13.5" thickTop="1">
      <c r="A1107" s="95"/>
      <c r="B1107" s="811" t="s">
        <v>304</v>
      </c>
      <c r="C1107" s="812"/>
      <c r="D1107" s="812"/>
      <c r="E1107" s="812"/>
      <c r="F1107" s="812"/>
      <c r="G1107" s="825"/>
    </row>
    <row r="1108" spans="1:7">
      <c r="A1108" s="95"/>
      <c r="B1108" s="105"/>
      <c r="C1108" s="97"/>
      <c r="D1108" s="98" t="s">
        <v>301</v>
      </c>
      <c r="E1108" s="98" t="s">
        <v>1072</v>
      </c>
      <c r="F1108" s="99" t="s">
        <v>839</v>
      </c>
      <c r="G1108" s="107" t="s">
        <v>840</v>
      </c>
    </row>
    <row r="1109" spans="1:7">
      <c r="A1109" s="95"/>
      <c r="B1109" s="821" t="s">
        <v>838</v>
      </c>
      <c r="C1109" s="822"/>
      <c r="D1109" s="100" t="s">
        <v>308</v>
      </c>
      <c r="E1109" s="100" t="s">
        <v>305</v>
      </c>
      <c r="F1109" s="101" t="s">
        <v>306</v>
      </c>
      <c r="G1109" s="108" t="s">
        <v>310</v>
      </c>
    </row>
    <row r="1110" spans="1:7">
      <c r="A1110" s="95"/>
      <c r="B1110" s="115"/>
      <c r="C1110" s="102"/>
      <c r="D1110" s="103"/>
      <c r="E1110" s="103" t="s">
        <v>309</v>
      </c>
      <c r="F1110" s="104" t="s">
        <v>307</v>
      </c>
      <c r="G1110" s="109"/>
    </row>
    <row r="1111" spans="1:7">
      <c r="A1111" s="127"/>
      <c r="B1111" s="826" t="str">
        <f>'MAQUINARIA Y EQUIPOS'!C28</f>
        <v>HERRAMIENTAS MENORES</v>
      </c>
      <c r="C1111" s="824"/>
      <c r="D1111" s="87">
        <v>1</v>
      </c>
      <c r="E1111" s="82">
        <f>ROUND(G1144*0.05,0)</f>
        <v>833</v>
      </c>
      <c r="F1111" s="81">
        <v>1</v>
      </c>
      <c r="G1111" s="110">
        <f>ROUND(D1111*E1111/F1111,0)</f>
        <v>833</v>
      </c>
    </row>
    <row r="1112" spans="1:7">
      <c r="A1112" s="95"/>
      <c r="B1112" s="835"/>
      <c r="C1112" s="836"/>
      <c r="D1112" s="37"/>
      <c r="E1112" s="82"/>
      <c r="F1112" s="83"/>
      <c r="G1112" s="111"/>
    </row>
    <row r="1113" spans="1:7">
      <c r="A1113" s="95"/>
      <c r="B1113" s="835"/>
      <c r="C1113" s="836"/>
      <c r="D1113" s="89"/>
      <c r="E1113" s="82"/>
      <c r="F1113" s="83"/>
      <c r="G1113" s="111"/>
    </row>
    <row r="1114" spans="1:7">
      <c r="A1114" s="95"/>
      <c r="B1114" s="835"/>
      <c r="C1114" s="836"/>
      <c r="D1114" s="89"/>
      <c r="E1114" s="82"/>
      <c r="F1114" s="83"/>
      <c r="G1114" s="111"/>
    </row>
    <row r="1115" spans="1:7">
      <c r="A1115" s="95"/>
      <c r="B1115" s="835" t="s">
        <v>841</v>
      </c>
      <c r="C1115" s="836"/>
      <c r="D1115" s="37"/>
      <c r="E1115" s="82"/>
      <c r="F1115" s="83"/>
      <c r="G1115" s="111"/>
    </row>
    <row r="1116" spans="1:7" ht="13.5" thickBot="1">
      <c r="A1116" s="95"/>
      <c r="B1116" s="839" t="s">
        <v>841</v>
      </c>
      <c r="C1116" s="840"/>
      <c r="D1116" s="77"/>
      <c r="E1116" s="106"/>
      <c r="F1116" s="86"/>
      <c r="G1116" s="112"/>
    </row>
    <row r="1117" spans="1:7" ht="14.25" thickTop="1" thickBot="1">
      <c r="A1117" s="95"/>
      <c r="B1117" s="808"/>
      <c r="C1117" s="808"/>
      <c r="D1117" s="808"/>
      <c r="E1117" s="809"/>
      <c r="F1117" s="119" t="s">
        <v>856</v>
      </c>
      <c r="G1117" s="118">
        <f>SUM(G1111:G1116)</f>
        <v>833</v>
      </c>
    </row>
    <row r="1118" spans="1:7" ht="14.25" thickTop="1" thickBot="1">
      <c r="A1118" s="95"/>
      <c r="B1118" s="830"/>
      <c r="C1118" s="830"/>
      <c r="D1118" s="830"/>
      <c r="E1118" s="830"/>
      <c r="F1118" s="830"/>
      <c r="G1118" s="830"/>
    </row>
    <row r="1119" spans="1:7" ht="13.5" thickTop="1">
      <c r="A1119" s="95"/>
      <c r="B1119" s="811" t="s">
        <v>311</v>
      </c>
      <c r="C1119" s="812"/>
      <c r="D1119" s="812"/>
      <c r="E1119" s="812"/>
      <c r="F1119" s="812"/>
      <c r="G1119" s="825"/>
    </row>
    <row r="1120" spans="1:7">
      <c r="A1120" s="95"/>
      <c r="B1120" s="817" t="s">
        <v>838</v>
      </c>
      <c r="C1120" s="818"/>
      <c r="D1120" s="98" t="s">
        <v>842</v>
      </c>
      <c r="E1120" s="98" t="s">
        <v>853</v>
      </c>
      <c r="F1120" s="99" t="s">
        <v>1047</v>
      </c>
      <c r="G1120" s="107" t="s">
        <v>840</v>
      </c>
    </row>
    <row r="1121" spans="1:8">
      <c r="A1121" s="95"/>
      <c r="B1121" s="115"/>
      <c r="C1121" s="102"/>
      <c r="D1121" s="100"/>
      <c r="E1121" s="100" t="s">
        <v>312</v>
      </c>
      <c r="F1121" s="101" t="s">
        <v>313</v>
      </c>
      <c r="G1121" s="108" t="s">
        <v>314</v>
      </c>
    </row>
    <row r="1122" spans="1:8">
      <c r="A1122" s="125"/>
      <c r="B1122" s="841" t="str">
        <f>MATERIALES2!C562</f>
        <v>TUBO GRESS DE 4"</v>
      </c>
      <c r="C1122" s="842"/>
      <c r="D1122" s="87" t="s">
        <v>865</v>
      </c>
      <c r="E1122" s="142">
        <v>2</v>
      </c>
      <c r="F1122" s="80">
        <f>MATERIALES2!E562</f>
        <v>6254</v>
      </c>
      <c r="G1122" s="110">
        <f>ROUND(E1122*F1122,0)</f>
        <v>12508</v>
      </c>
    </row>
    <row r="1123" spans="1:8">
      <c r="A1123" s="123"/>
      <c r="B1123" s="854" t="str">
        <f>MATERIALES2!C563</f>
        <v>ACCESORIO GRES DE 4"</v>
      </c>
      <c r="C1123" s="855"/>
      <c r="D1123" s="37" t="s">
        <v>865</v>
      </c>
      <c r="E1123" s="83">
        <v>1</v>
      </c>
      <c r="F1123" s="82">
        <f>MATERIALES2!E563</f>
        <v>5773</v>
      </c>
      <c r="G1123" s="111">
        <f>ROUND(E1123*F1123,0)</f>
        <v>5773</v>
      </c>
    </row>
    <row r="1124" spans="1:8">
      <c r="A1124" s="123"/>
      <c r="B1124" s="854" t="str">
        <f>MATERIALES2!C49</f>
        <v>MORTERO 1:3 (MATERIALES)</v>
      </c>
      <c r="C1124" s="855"/>
      <c r="D1124" s="37" t="s">
        <v>865</v>
      </c>
      <c r="E1124" s="83">
        <v>0.02</v>
      </c>
      <c r="F1124" s="82">
        <f>MATERIALES2!E49</f>
        <v>365000</v>
      </c>
      <c r="G1124" s="111">
        <f>ROUND(E1124*F1124,0)</f>
        <v>7300</v>
      </c>
    </row>
    <row r="1125" spans="1:8">
      <c r="A1125" s="123"/>
      <c r="B1125" s="854"/>
      <c r="C1125" s="855"/>
      <c r="D1125" s="37"/>
      <c r="E1125" s="83"/>
      <c r="F1125" s="82"/>
      <c r="G1125" s="111"/>
    </row>
    <row r="1126" spans="1:8">
      <c r="A1126" s="123"/>
      <c r="B1126" s="854"/>
      <c r="C1126" s="855"/>
      <c r="D1126" s="37"/>
      <c r="E1126" s="83"/>
      <c r="F1126" s="82"/>
      <c r="G1126" s="111"/>
    </row>
    <row r="1127" spans="1:8">
      <c r="A1127" s="95"/>
      <c r="B1127" s="938"/>
      <c r="C1127" s="939"/>
      <c r="D1127" s="53" t="s">
        <v>841</v>
      </c>
      <c r="E1127" s="53"/>
      <c r="F1127" s="82"/>
      <c r="G1127" s="111"/>
    </row>
    <row r="1128" spans="1:8">
      <c r="A1128" s="95"/>
      <c r="B1128" s="837" t="s">
        <v>841</v>
      </c>
      <c r="C1128" s="838"/>
      <c r="D1128" s="53" t="s">
        <v>841</v>
      </c>
      <c r="E1128" s="53"/>
      <c r="F1128" s="82"/>
      <c r="G1128" s="111"/>
    </row>
    <row r="1129" spans="1:8">
      <c r="A1129" s="95"/>
      <c r="B1129" s="837" t="s">
        <v>841</v>
      </c>
      <c r="C1129" s="838"/>
      <c r="D1129" s="53" t="s">
        <v>841</v>
      </c>
      <c r="E1129" s="53"/>
      <c r="F1129" s="82"/>
      <c r="G1129" s="111"/>
      <c r="H1129" s="505" t="s">
        <v>1670</v>
      </c>
    </row>
    <row r="1130" spans="1:8" ht="13.5" thickBot="1">
      <c r="A1130" s="95"/>
      <c r="B1130" s="839" t="s">
        <v>841</v>
      </c>
      <c r="C1130" s="840"/>
      <c r="D1130" s="84" t="s">
        <v>841</v>
      </c>
      <c r="E1130" s="84"/>
      <c r="F1130" s="85"/>
      <c r="G1130" s="112"/>
    </row>
    <row r="1131" spans="1:8" ht="13.5" thickTop="1">
      <c r="A1131" s="95"/>
      <c r="B1131" s="808"/>
      <c r="C1131" s="809"/>
      <c r="D1131" s="801" t="s">
        <v>856</v>
      </c>
      <c r="E1131" s="802"/>
      <c r="F1131" s="9"/>
      <c r="G1131" s="113">
        <f>SUM(G1122:G1130)</f>
        <v>25581</v>
      </c>
    </row>
    <row r="1132" spans="1:8">
      <c r="A1132" s="95"/>
      <c r="B1132" s="819"/>
      <c r="C1132" s="820"/>
      <c r="D1132" s="801" t="s">
        <v>857</v>
      </c>
      <c r="E1132" s="802"/>
      <c r="F1132" s="79">
        <f>'MANO DE OBRA'!D60</f>
        <v>0.05</v>
      </c>
      <c r="G1132" s="113">
        <f>ROUND(G1131*F1132,0)</f>
        <v>1279</v>
      </c>
    </row>
    <row r="1133" spans="1:8" ht="13.5" thickBot="1">
      <c r="A1133" s="95"/>
      <c r="B1133" s="819"/>
      <c r="C1133" s="820"/>
      <c r="D1133" s="803" t="s">
        <v>320</v>
      </c>
      <c r="E1133" s="804"/>
      <c r="F1133" s="114"/>
      <c r="G1133" s="118">
        <f>+G1131+G1132</f>
        <v>26860</v>
      </c>
    </row>
    <row r="1134" spans="1:8" ht="14.25" thickTop="1" thickBot="1">
      <c r="A1134" s="95"/>
      <c r="B1134" s="830"/>
      <c r="C1134" s="830"/>
      <c r="D1134" s="830"/>
      <c r="E1134" s="830"/>
      <c r="F1134" s="830"/>
      <c r="G1134" s="830"/>
    </row>
    <row r="1135" spans="1:8" ht="13.5" thickTop="1">
      <c r="A1135" s="95"/>
      <c r="B1135" s="811" t="s">
        <v>858</v>
      </c>
      <c r="C1135" s="812"/>
      <c r="D1135" s="812"/>
      <c r="E1135" s="812"/>
      <c r="F1135" s="812"/>
      <c r="G1135" s="825"/>
    </row>
    <row r="1136" spans="1:8">
      <c r="A1136" s="95"/>
      <c r="B1136" s="817"/>
      <c r="C1136" s="818"/>
      <c r="D1136" s="98" t="s">
        <v>301</v>
      </c>
      <c r="E1136" s="98" t="s">
        <v>859</v>
      </c>
      <c r="F1136" s="99" t="s">
        <v>839</v>
      </c>
      <c r="G1136" s="107" t="s">
        <v>840</v>
      </c>
    </row>
    <row r="1137" spans="1:7">
      <c r="A1137" s="95"/>
      <c r="B1137" s="821" t="s">
        <v>838</v>
      </c>
      <c r="C1137" s="822"/>
      <c r="D1137" s="100" t="s">
        <v>316</v>
      </c>
      <c r="E1137" s="100" t="s">
        <v>315</v>
      </c>
      <c r="F1137" s="101" t="s">
        <v>306</v>
      </c>
      <c r="G1137" s="108" t="s">
        <v>319</v>
      </c>
    </row>
    <row r="1138" spans="1:7">
      <c r="A1138" s="95"/>
      <c r="B1138" s="115"/>
      <c r="C1138" s="102"/>
      <c r="D1138" s="103"/>
      <c r="E1138" s="103" t="s">
        <v>317</v>
      </c>
      <c r="F1138" s="104" t="s">
        <v>318</v>
      </c>
      <c r="G1138" s="109"/>
    </row>
    <row r="1139" spans="1:7">
      <c r="A1139" s="95"/>
      <c r="B1139" s="823" t="str">
        <f>'MANO DE OBRA'!B10</f>
        <v>AYUDANTE CUAD. TIPO AA</v>
      </c>
      <c r="C1139" s="824"/>
      <c r="D1139" s="87">
        <v>1</v>
      </c>
      <c r="E1139" s="80">
        <f>'MANO DE OBRA'!E10</f>
        <v>34680</v>
      </c>
      <c r="F1139" s="81">
        <v>45</v>
      </c>
      <c r="G1139" s="110">
        <f>ROUND(D1139*E1139/F1139,0)</f>
        <v>771</v>
      </c>
    </row>
    <row r="1140" spans="1:7">
      <c r="A1140" s="95"/>
      <c r="B1140" s="835" t="str">
        <f>'MANO DE OBRA'!B15</f>
        <v xml:space="preserve">OFICIAL CUAD. TIPO AA </v>
      </c>
      <c r="C1140" s="836"/>
      <c r="D1140" s="37">
        <v>1</v>
      </c>
      <c r="E1140" s="82">
        <f>'MANO DE OBRA'!E15</f>
        <v>71474</v>
      </c>
      <c r="F1140" s="83">
        <v>4.5</v>
      </c>
      <c r="G1140" s="111">
        <f>ROUND(D1140*E1140/F1140,0)</f>
        <v>15883</v>
      </c>
    </row>
    <row r="1141" spans="1:7">
      <c r="A1141" s="95"/>
      <c r="B1141" s="835"/>
      <c r="C1141" s="836"/>
      <c r="D1141" s="89"/>
      <c r="E1141" s="82"/>
      <c r="F1141" s="83"/>
      <c r="G1141" s="111"/>
    </row>
    <row r="1142" spans="1:7">
      <c r="A1142" s="95"/>
      <c r="B1142" s="835" t="s">
        <v>841</v>
      </c>
      <c r="C1142" s="836"/>
      <c r="D1142" s="37"/>
      <c r="E1142" s="82"/>
      <c r="F1142" s="83"/>
      <c r="G1142" s="111"/>
    </row>
    <row r="1143" spans="1:7" ht="13.5" thickBot="1">
      <c r="A1143" s="95"/>
      <c r="B1143" s="828" t="s">
        <v>841</v>
      </c>
      <c r="C1143" s="829"/>
      <c r="D1143" s="77"/>
      <c r="E1143" s="82"/>
      <c r="F1143" s="86"/>
      <c r="G1143" s="112"/>
    </row>
    <row r="1144" spans="1:7" ht="14.25" thickTop="1" thickBot="1">
      <c r="A1144" s="95"/>
      <c r="B1144" s="808"/>
      <c r="C1144" s="808"/>
      <c r="D1144" s="808"/>
      <c r="E1144" s="809"/>
      <c r="F1144" s="120" t="s">
        <v>856</v>
      </c>
      <c r="G1144" s="118">
        <f>SUM(G1139:G1143)</f>
        <v>16654</v>
      </c>
    </row>
    <row r="1145" spans="1:7" ht="14.25" thickTop="1" thickBot="1">
      <c r="A1145" s="95"/>
      <c r="B1145" s="810"/>
      <c r="C1145" s="810"/>
      <c r="D1145" s="810"/>
      <c r="E1145" s="810"/>
      <c r="F1145" s="810"/>
      <c r="G1145" s="810"/>
    </row>
    <row r="1146" spans="1:7" ht="13.5" thickTop="1">
      <c r="A1146" s="95"/>
      <c r="B1146" s="811" t="s">
        <v>321</v>
      </c>
      <c r="C1146" s="812"/>
      <c r="D1146" s="812"/>
      <c r="E1146" s="812"/>
      <c r="F1146" s="812"/>
      <c r="G1146" s="825"/>
    </row>
    <row r="1147" spans="1:7">
      <c r="A1147" s="95"/>
      <c r="B1147" s="817" t="s">
        <v>838</v>
      </c>
      <c r="C1147" s="818"/>
      <c r="D1147" s="98" t="s">
        <v>301</v>
      </c>
      <c r="E1147" s="98" t="s">
        <v>297</v>
      </c>
      <c r="F1147" s="99" t="s">
        <v>839</v>
      </c>
      <c r="G1147" s="107" t="s">
        <v>840</v>
      </c>
    </row>
    <row r="1148" spans="1:7">
      <c r="A1148" s="95"/>
      <c r="B1148" s="115"/>
      <c r="C1148" s="102"/>
      <c r="D1148" s="103" t="s">
        <v>322</v>
      </c>
      <c r="E1148" s="103" t="s">
        <v>323</v>
      </c>
      <c r="F1148" s="104" t="s">
        <v>324</v>
      </c>
      <c r="G1148" s="109" t="s">
        <v>325</v>
      </c>
    </row>
    <row r="1149" spans="1:7">
      <c r="A1149" s="95"/>
      <c r="B1149" s="826"/>
      <c r="C1149" s="827"/>
      <c r="D1149" s="96"/>
      <c r="E1149" s="96"/>
      <c r="F1149" s="96"/>
      <c r="G1149" s="116"/>
    </row>
    <row r="1150" spans="1:7" ht="13.5" thickBot="1">
      <c r="A1150" s="95"/>
      <c r="B1150" s="828" t="s">
        <v>841</v>
      </c>
      <c r="C1150" s="829"/>
      <c r="D1150" s="77"/>
      <c r="E1150" s="82"/>
      <c r="F1150" s="86"/>
      <c r="G1150" s="112"/>
    </row>
    <row r="1151" spans="1:7" ht="14.25" thickTop="1" thickBot="1">
      <c r="A1151" s="95"/>
      <c r="B1151" s="808"/>
      <c r="C1151" s="808"/>
      <c r="D1151" s="808"/>
      <c r="E1151" s="809"/>
      <c r="F1151" s="120" t="s">
        <v>856</v>
      </c>
      <c r="G1151" s="118">
        <f>SUM(G1146:G1150)</f>
        <v>0</v>
      </c>
    </row>
    <row r="1152" spans="1:7" ht="14.25" thickTop="1" thickBot="1">
      <c r="A1152" s="95"/>
      <c r="B1152" s="810"/>
      <c r="C1152" s="810"/>
      <c r="D1152" s="810"/>
      <c r="E1152" s="810"/>
      <c r="F1152" s="810"/>
      <c r="G1152" s="834"/>
    </row>
    <row r="1153" spans="1:8" ht="13.5" thickTop="1">
      <c r="A1153" s="95"/>
      <c r="B1153" s="811" t="s">
        <v>326</v>
      </c>
      <c r="C1153" s="812"/>
      <c r="D1153" s="812"/>
      <c r="E1153" s="812"/>
      <c r="F1153" s="813"/>
      <c r="G1153" s="121">
        <f>+G1117+G1133+G1144+G1151</f>
        <v>44347</v>
      </c>
    </row>
    <row r="1154" spans="1:8">
      <c r="A1154" s="95"/>
      <c r="B1154" s="814" t="s">
        <v>861</v>
      </c>
      <c r="C1154" s="815"/>
      <c r="D1154" s="815"/>
      <c r="E1154" s="816"/>
      <c r="F1154" s="128">
        <f>'MANO DE OBRA'!D430</f>
        <v>0</v>
      </c>
      <c r="G1154" s="122">
        <f>ROUND(G1153*F1154,0)</f>
        <v>0</v>
      </c>
    </row>
    <row r="1155" spans="1:8" ht="13.5" thickBot="1">
      <c r="A1155" s="95"/>
      <c r="B1155" s="805" t="s">
        <v>1049</v>
      </c>
      <c r="C1155" s="806"/>
      <c r="D1155" s="806"/>
      <c r="E1155" s="806"/>
      <c r="F1155" s="807"/>
      <c r="G1155" s="118">
        <f>ROUND(G1153+G1154,-2)</f>
        <v>44300</v>
      </c>
      <c r="H1155" s="505" t="s">
        <v>1670</v>
      </c>
    </row>
    <row r="1156" spans="1:8" ht="13.5" thickTop="1"/>
  </sheetData>
  <mergeCells count="1067">
    <mergeCell ref="B978:C978"/>
    <mergeCell ref="B972:C974"/>
    <mergeCell ref="D972:E972"/>
    <mergeCell ref="D973:E973"/>
    <mergeCell ref="D974:E974"/>
    <mergeCell ref="B984:C984"/>
    <mergeCell ref="B985:E985"/>
    <mergeCell ref="B986:G986"/>
    <mergeCell ref="B987:G987"/>
    <mergeCell ref="B980:C980"/>
    <mergeCell ref="B981:C981"/>
    <mergeCell ref="B982:C982"/>
    <mergeCell ref="B983:C983"/>
    <mergeCell ref="B993:G993"/>
    <mergeCell ref="B994:F994"/>
    <mergeCell ref="B995:E995"/>
    <mergeCell ref="B996:F996"/>
    <mergeCell ref="B988:C988"/>
    <mergeCell ref="B990:C990"/>
    <mergeCell ref="B991:C991"/>
    <mergeCell ref="B992:E992"/>
    <mergeCell ref="B961:E961"/>
    <mergeCell ref="B962:G962"/>
    <mergeCell ref="B963:G963"/>
    <mergeCell ref="B964:C964"/>
    <mergeCell ref="B957:C957"/>
    <mergeCell ref="B958:C958"/>
    <mergeCell ref="B959:C959"/>
    <mergeCell ref="B960:C960"/>
    <mergeCell ref="B970:C970"/>
    <mergeCell ref="B971:C971"/>
    <mergeCell ref="B966:C966"/>
    <mergeCell ref="B967:C967"/>
    <mergeCell ref="B968:C968"/>
    <mergeCell ref="B969:C969"/>
    <mergeCell ref="B975:G975"/>
    <mergeCell ref="B976:G976"/>
    <mergeCell ref="B977:C977"/>
    <mergeCell ref="B931:C931"/>
    <mergeCell ref="B932:C932"/>
    <mergeCell ref="B933:C933"/>
    <mergeCell ref="B943:G943"/>
    <mergeCell ref="B944:F944"/>
    <mergeCell ref="B945:E945"/>
    <mergeCell ref="B946:F946"/>
    <mergeCell ref="B938:C938"/>
    <mergeCell ref="B940:C940"/>
    <mergeCell ref="B941:C941"/>
    <mergeCell ref="B942:E942"/>
    <mergeCell ref="B951:G951"/>
    <mergeCell ref="B953:C953"/>
    <mergeCell ref="B955:C955"/>
    <mergeCell ref="B956:C956"/>
    <mergeCell ref="C947:E947"/>
    <mergeCell ref="C948:E948"/>
    <mergeCell ref="C949:G949"/>
    <mergeCell ref="B950:G950"/>
    <mergeCell ref="B864:C864"/>
    <mergeCell ref="B865:C865"/>
    <mergeCell ref="B875:C875"/>
    <mergeCell ref="B867:C867"/>
    <mergeCell ref="B868:C868"/>
    <mergeCell ref="B866:C866"/>
    <mergeCell ref="B869:C869"/>
    <mergeCell ref="B874:G874"/>
    <mergeCell ref="D870:E870"/>
    <mergeCell ref="D871:E871"/>
    <mergeCell ref="C846:E846"/>
    <mergeCell ref="C847:G847"/>
    <mergeCell ref="B848:G848"/>
    <mergeCell ref="B849:G849"/>
    <mergeCell ref="B855:C855"/>
    <mergeCell ref="B857:C857"/>
    <mergeCell ref="B851:C851"/>
    <mergeCell ref="B853:C853"/>
    <mergeCell ref="B854:C854"/>
    <mergeCell ref="D872:E872"/>
    <mergeCell ref="B870:C872"/>
    <mergeCell ref="B873:G873"/>
    <mergeCell ref="B832:C832"/>
    <mergeCell ref="B824:G824"/>
    <mergeCell ref="B825:G825"/>
    <mergeCell ref="B826:C826"/>
    <mergeCell ref="B827:C827"/>
    <mergeCell ref="B838:C838"/>
    <mergeCell ref="B839:C839"/>
    <mergeCell ref="B840:E840"/>
    <mergeCell ref="B841:G841"/>
    <mergeCell ref="B833:E833"/>
    <mergeCell ref="B834:G834"/>
    <mergeCell ref="B835:G835"/>
    <mergeCell ref="B836:C836"/>
    <mergeCell ref="B858:C858"/>
    <mergeCell ref="B861:G861"/>
    <mergeCell ref="B862:C862"/>
    <mergeCell ref="B842:F842"/>
    <mergeCell ref="B843:E843"/>
    <mergeCell ref="B844:F844"/>
    <mergeCell ref="C845:E845"/>
    <mergeCell ref="B859:E859"/>
    <mergeCell ref="B856:C856"/>
    <mergeCell ref="B860:G860"/>
    <mergeCell ref="B815:C815"/>
    <mergeCell ref="B816:C816"/>
    <mergeCell ref="B808:E808"/>
    <mergeCell ref="B809:G809"/>
    <mergeCell ref="B810:G810"/>
    <mergeCell ref="B811:C811"/>
    <mergeCell ref="B821:C823"/>
    <mergeCell ref="D821:E821"/>
    <mergeCell ref="D822:E822"/>
    <mergeCell ref="D823:E823"/>
    <mergeCell ref="B817:C817"/>
    <mergeCell ref="B818:C818"/>
    <mergeCell ref="B819:C819"/>
    <mergeCell ref="B820:C820"/>
    <mergeCell ref="B829:C829"/>
    <mergeCell ref="B830:C830"/>
    <mergeCell ref="B831:C831"/>
    <mergeCell ref="C795:E795"/>
    <mergeCell ref="C796:G796"/>
    <mergeCell ref="B797:G797"/>
    <mergeCell ref="B790:G790"/>
    <mergeCell ref="B791:F791"/>
    <mergeCell ref="B792:E792"/>
    <mergeCell ref="B793:F793"/>
    <mergeCell ref="B804:C804"/>
    <mergeCell ref="B805:C805"/>
    <mergeCell ref="B806:C806"/>
    <mergeCell ref="B807:C807"/>
    <mergeCell ref="B798:G798"/>
    <mergeCell ref="B800:C800"/>
    <mergeCell ref="B802:C802"/>
    <mergeCell ref="B803:C803"/>
    <mergeCell ref="B813:C813"/>
    <mergeCell ref="B814:C814"/>
    <mergeCell ref="B777:C777"/>
    <mergeCell ref="B778:C778"/>
    <mergeCell ref="B779:C779"/>
    <mergeCell ref="B780:C780"/>
    <mergeCell ref="B772:G772"/>
    <mergeCell ref="B773:G773"/>
    <mergeCell ref="B774:C774"/>
    <mergeCell ref="B775:C775"/>
    <mergeCell ref="B785:C785"/>
    <mergeCell ref="B787:C787"/>
    <mergeCell ref="B788:C788"/>
    <mergeCell ref="B789:E789"/>
    <mergeCell ref="B781:C781"/>
    <mergeCell ref="B782:E782"/>
    <mergeCell ref="B783:G783"/>
    <mergeCell ref="B784:G784"/>
    <mergeCell ref="C794:E794"/>
    <mergeCell ref="B754:C754"/>
    <mergeCell ref="B755:C755"/>
    <mergeCell ref="B756:C756"/>
    <mergeCell ref="B757:C757"/>
    <mergeCell ref="B748:G748"/>
    <mergeCell ref="B750:C750"/>
    <mergeCell ref="B752:C752"/>
    <mergeCell ref="B753:C753"/>
    <mergeCell ref="B763:C763"/>
    <mergeCell ref="B764:C764"/>
    <mergeCell ref="B765:C765"/>
    <mergeCell ref="B766:C766"/>
    <mergeCell ref="B758:E758"/>
    <mergeCell ref="B759:G759"/>
    <mergeCell ref="B760:G760"/>
    <mergeCell ref="B761:C761"/>
    <mergeCell ref="B769:C771"/>
    <mergeCell ref="D769:E769"/>
    <mergeCell ref="D770:E770"/>
    <mergeCell ref="D771:E771"/>
    <mergeCell ref="B767:C767"/>
    <mergeCell ref="B768:C768"/>
    <mergeCell ref="B730:C730"/>
    <mergeCell ref="B722:G722"/>
    <mergeCell ref="B723:G723"/>
    <mergeCell ref="B724:C724"/>
    <mergeCell ref="B725:C725"/>
    <mergeCell ref="B735:C735"/>
    <mergeCell ref="B737:C737"/>
    <mergeCell ref="B738:C738"/>
    <mergeCell ref="B739:E739"/>
    <mergeCell ref="B731:C731"/>
    <mergeCell ref="B732:E732"/>
    <mergeCell ref="B733:G733"/>
    <mergeCell ref="B734:G734"/>
    <mergeCell ref="C744:E744"/>
    <mergeCell ref="C745:E745"/>
    <mergeCell ref="C746:G746"/>
    <mergeCell ref="B747:G747"/>
    <mergeCell ref="B740:G740"/>
    <mergeCell ref="B741:F741"/>
    <mergeCell ref="B742:E742"/>
    <mergeCell ref="B743:F743"/>
    <mergeCell ref="B713:C713"/>
    <mergeCell ref="B714:C714"/>
    <mergeCell ref="B706:E706"/>
    <mergeCell ref="B707:G707"/>
    <mergeCell ref="B708:G708"/>
    <mergeCell ref="B709:C709"/>
    <mergeCell ref="B719:C721"/>
    <mergeCell ref="D719:E719"/>
    <mergeCell ref="D720:E720"/>
    <mergeCell ref="D721:E721"/>
    <mergeCell ref="B715:C715"/>
    <mergeCell ref="B716:C716"/>
    <mergeCell ref="B717:C717"/>
    <mergeCell ref="B718:C718"/>
    <mergeCell ref="B727:C727"/>
    <mergeCell ref="B728:C728"/>
    <mergeCell ref="B729:C729"/>
    <mergeCell ref="C693:E693"/>
    <mergeCell ref="C694:G694"/>
    <mergeCell ref="B695:G695"/>
    <mergeCell ref="B688:G688"/>
    <mergeCell ref="B689:F689"/>
    <mergeCell ref="B690:E690"/>
    <mergeCell ref="B691:F691"/>
    <mergeCell ref="B702:C702"/>
    <mergeCell ref="B703:C703"/>
    <mergeCell ref="B704:C704"/>
    <mergeCell ref="B705:C705"/>
    <mergeCell ref="B696:G696"/>
    <mergeCell ref="B698:C698"/>
    <mergeCell ref="B700:C700"/>
    <mergeCell ref="B701:C701"/>
    <mergeCell ref="B711:C711"/>
    <mergeCell ref="B712:C712"/>
    <mergeCell ref="B675:C675"/>
    <mergeCell ref="B676:C676"/>
    <mergeCell ref="B677:C677"/>
    <mergeCell ref="B678:C678"/>
    <mergeCell ref="B670:G670"/>
    <mergeCell ref="B671:G671"/>
    <mergeCell ref="B672:C672"/>
    <mergeCell ref="B673:C673"/>
    <mergeCell ref="B683:C683"/>
    <mergeCell ref="B685:C685"/>
    <mergeCell ref="B686:C686"/>
    <mergeCell ref="B687:E687"/>
    <mergeCell ref="B679:C679"/>
    <mergeCell ref="B680:E680"/>
    <mergeCell ref="B681:G681"/>
    <mergeCell ref="B682:G682"/>
    <mergeCell ref="C692:E692"/>
    <mergeCell ref="B653:C653"/>
    <mergeCell ref="B644:G644"/>
    <mergeCell ref="B646:C646"/>
    <mergeCell ref="B648:C648"/>
    <mergeCell ref="B649:C649"/>
    <mergeCell ref="B659:C659"/>
    <mergeCell ref="B660:C660"/>
    <mergeCell ref="B661:C661"/>
    <mergeCell ref="B662:C662"/>
    <mergeCell ref="B654:E654"/>
    <mergeCell ref="B655:G655"/>
    <mergeCell ref="B656:G656"/>
    <mergeCell ref="B657:C657"/>
    <mergeCell ref="B667:C669"/>
    <mergeCell ref="D667:E667"/>
    <mergeCell ref="D668:E668"/>
    <mergeCell ref="D669:E669"/>
    <mergeCell ref="B663:C663"/>
    <mergeCell ref="B664:C664"/>
    <mergeCell ref="B665:C665"/>
    <mergeCell ref="B666:C666"/>
    <mergeCell ref="B634:C634"/>
    <mergeCell ref="B635:E635"/>
    <mergeCell ref="B627:C627"/>
    <mergeCell ref="B628:E628"/>
    <mergeCell ref="B629:G629"/>
    <mergeCell ref="B630:G630"/>
    <mergeCell ref="C640:E640"/>
    <mergeCell ref="C641:E641"/>
    <mergeCell ref="C642:G642"/>
    <mergeCell ref="B643:G643"/>
    <mergeCell ref="B636:G636"/>
    <mergeCell ref="B637:F637"/>
    <mergeCell ref="B638:E638"/>
    <mergeCell ref="B639:F639"/>
    <mergeCell ref="B650:C650"/>
    <mergeCell ref="B651:C651"/>
    <mergeCell ref="B652:C652"/>
    <mergeCell ref="D615:E615"/>
    <mergeCell ref="D616:E616"/>
    <mergeCell ref="D617:E617"/>
    <mergeCell ref="B611:C611"/>
    <mergeCell ref="B612:C612"/>
    <mergeCell ref="B613:C613"/>
    <mergeCell ref="B614:C614"/>
    <mergeCell ref="B623:C623"/>
    <mergeCell ref="B624:C624"/>
    <mergeCell ref="B625:C625"/>
    <mergeCell ref="B626:C626"/>
    <mergeCell ref="B618:G618"/>
    <mergeCell ref="B619:G619"/>
    <mergeCell ref="B620:C620"/>
    <mergeCell ref="B621:C621"/>
    <mergeCell ref="B631:C631"/>
    <mergeCell ref="B633:C633"/>
    <mergeCell ref="B1142:C1142"/>
    <mergeCell ref="B1134:G1134"/>
    <mergeCell ref="B1135:G1135"/>
    <mergeCell ref="B1136:C1136"/>
    <mergeCell ref="B1137:C1137"/>
    <mergeCell ref="B1154:E1154"/>
    <mergeCell ref="B1155:F1155"/>
    <mergeCell ref="B1147:C1147"/>
    <mergeCell ref="B1149:C1149"/>
    <mergeCell ref="B1150:C1150"/>
    <mergeCell ref="B1151:E1151"/>
    <mergeCell ref="C588:E588"/>
    <mergeCell ref="C589:E589"/>
    <mergeCell ref="C590:G590"/>
    <mergeCell ref="B591:G591"/>
    <mergeCell ref="B1152:G1152"/>
    <mergeCell ref="B1153:F1153"/>
    <mergeCell ref="B1143:C1143"/>
    <mergeCell ref="B1144:E1144"/>
    <mergeCell ref="B1145:G1145"/>
    <mergeCell ref="B1146:G1146"/>
    <mergeCell ref="B598:C598"/>
    <mergeCell ref="B599:C599"/>
    <mergeCell ref="B600:C600"/>
    <mergeCell ref="B601:C601"/>
    <mergeCell ref="B592:G592"/>
    <mergeCell ref="B594:C594"/>
    <mergeCell ref="B596:C596"/>
    <mergeCell ref="B597:C597"/>
    <mergeCell ref="B607:C607"/>
    <mergeCell ref="B608:C608"/>
    <mergeCell ref="B609:C609"/>
    <mergeCell ref="B1125:C1125"/>
    <mergeCell ref="B1117:E1117"/>
    <mergeCell ref="B1118:G1118"/>
    <mergeCell ref="B1119:G1119"/>
    <mergeCell ref="B1120:C1120"/>
    <mergeCell ref="B1130:C1130"/>
    <mergeCell ref="B1131:C1133"/>
    <mergeCell ref="D1131:E1131"/>
    <mergeCell ref="D1132:E1132"/>
    <mergeCell ref="D1133:E1133"/>
    <mergeCell ref="B1126:C1126"/>
    <mergeCell ref="B1127:C1127"/>
    <mergeCell ref="B1128:C1128"/>
    <mergeCell ref="B1129:C1129"/>
    <mergeCell ref="B1139:C1139"/>
    <mergeCell ref="B1140:C1140"/>
    <mergeCell ref="B1141:C1141"/>
    <mergeCell ref="C1105:G1105"/>
    <mergeCell ref="B1106:G1106"/>
    <mergeCell ref="B1099:G1099"/>
    <mergeCell ref="B1100:F1100"/>
    <mergeCell ref="B1101:E1101"/>
    <mergeCell ref="B1102:F1102"/>
    <mergeCell ref="B1113:C1113"/>
    <mergeCell ref="B1114:C1114"/>
    <mergeCell ref="B1115:C1115"/>
    <mergeCell ref="B1116:C1116"/>
    <mergeCell ref="B1107:G1107"/>
    <mergeCell ref="B1109:C1109"/>
    <mergeCell ref="B1111:C1111"/>
    <mergeCell ref="B1112:C1112"/>
    <mergeCell ref="B1122:C1122"/>
    <mergeCell ref="B1123:C1123"/>
    <mergeCell ref="B1124:C1124"/>
    <mergeCell ref="B1087:C1087"/>
    <mergeCell ref="B1088:C1088"/>
    <mergeCell ref="B1089:C1089"/>
    <mergeCell ref="B1081:G1081"/>
    <mergeCell ref="B1082:G1082"/>
    <mergeCell ref="B1083:C1083"/>
    <mergeCell ref="B1084:C1084"/>
    <mergeCell ref="B1094:C1094"/>
    <mergeCell ref="B1096:C1096"/>
    <mergeCell ref="B1097:C1097"/>
    <mergeCell ref="B1098:E1098"/>
    <mergeCell ref="B1090:C1090"/>
    <mergeCell ref="B1091:E1091"/>
    <mergeCell ref="B1092:G1092"/>
    <mergeCell ref="B1093:G1093"/>
    <mergeCell ref="C1103:E1103"/>
    <mergeCell ref="C1104:E1104"/>
    <mergeCell ref="B1070:C1070"/>
    <mergeCell ref="B1071:C1071"/>
    <mergeCell ref="B1072:C1072"/>
    <mergeCell ref="B1073:C1073"/>
    <mergeCell ref="B1065:G1065"/>
    <mergeCell ref="B1066:G1066"/>
    <mergeCell ref="B1067:C1067"/>
    <mergeCell ref="B1069:C1069"/>
    <mergeCell ref="B1078:C1080"/>
    <mergeCell ref="D1078:E1078"/>
    <mergeCell ref="D1079:E1079"/>
    <mergeCell ref="D1080:E1080"/>
    <mergeCell ref="B1074:C1074"/>
    <mergeCell ref="B1075:C1075"/>
    <mergeCell ref="B1076:C1076"/>
    <mergeCell ref="B1077:C1077"/>
    <mergeCell ref="B1086:C1086"/>
    <mergeCell ref="C1051:E1051"/>
    <mergeCell ref="C1052:G1052"/>
    <mergeCell ref="B1053:G1053"/>
    <mergeCell ref="B1054:G1054"/>
    <mergeCell ref="B889:C889"/>
    <mergeCell ref="B890:E890"/>
    <mergeCell ref="C1050:E1050"/>
    <mergeCell ref="C895:E895"/>
    <mergeCell ref="C896:E896"/>
    <mergeCell ref="C897:G897"/>
    <mergeCell ref="B1061:C1061"/>
    <mergeCell ref="B1062:C1062"/>
    <mergeCell ref="B1063:C1063"/>
    <mergeCell ref="B1064:E1064"/>
    <mergeCell ref="B1056:C1056"/>
    <mergeCell ref="B1058:C1058"/>
    <mergeCell ref="B1059:C1059"/>
    <mergeCell ref="B1060:C1060"/>
    <mergeCell ref="B903:C903"/>
    <mergeCell ref="B904:C904"/>
    <mergeCell ref="B905:C905"/>
    <mergeCell ref="B898:G898"/>
    <mergeCell ref="B899:G899"/>
    <mergeCell ref="B901:C901"/>
    <mergeCell ref="B893:E893"/>
    <mergeCell ref="B918:C918"/>
    <mergeCell ref="B919:C919"/>
    <mergeCell ref="B920:C920"/>
    <mergeCell ref="B921:C921"/>
    <mergeCell ref="B914:C914"/>
    <mergeCell ref="B915:C915"/>
    <mergeCell ref="B916:C916"/>
    <mergeCell ref="B1044:C1044"/>
    <mergeCell ref="B1045:E1045"/>
    <mergeCell ref="B1046:G1046"/>
    <mergeCell ref="B1038:E1038"/>
    <mergeCell ref="B1039:G1039"/>
    <mergeCell ref="B1040:G1040"/>
    <mergeCell ref="B1041:C1041"/>
    <mergeCell ref="B1047:F1047"/>
    <mergeCell ref="B1048:E1048"/>
    <mergeCell ref="B1049:F1049"/>
    <mergeCell ref="B894:F894"/>
    <mergeCell ref="B908:C908"/>
    <mergeCell ref="B909:E909"/>
    <mergeCell ref="B910:G910"/>
    <mergeCell ref="B911:G911"/>
    <mergeCell ref="B907:C907"/>
    <mergeCell ref="B912:C912"/>
    <mergeCell ref="B906:C906"/>
    <mergeCell ref="B917:C917"/>
    <mergeCell ref="B925:G925"/>
    <mergeCell ref="B926:G926"/>
    <mergeCell ref="B927:C927"/>
    <mergeCell ref="B928:C928"/>
    <mergeCell ref="B922:C924"/>
    <mergeCell ref="D922:E922"/>
    <mergeCell ref="D923:E923"/>
    <mergeCell ref="D924:E924"/>
    <mergeCell ref="B934:C934"/>
    <mergeCell ref="B935:E935"/>
    <mergeCell ref="B936:G936"/>
    <mergeCell ref="B937:G937"/>
    <mergeCell ref="B930:C930"/>
    <mergeCell ref="D1025:E1025"/>
    <mergeCell ref="D1026:E1026"/>
    <mergeCell ref="D1027:E1027"/>
    <mergeCell ref="B1028:G1028"/>
    <mergeCell ref="B1022:C1022"/>
    <mergeCell ref="B1023:C1023"/>
    <mergeCell ref="B1024:C1024"/>
    <mergeCell ref="B1025:C1027"/>
    <mergeCell ref="B1034:C1034"/>
    <mergeCell ref="B1035:C1035"/>
    <mergeCell ref="B1036:C1036"/>
    <mergeCell ref="B1037:C1037"/>
    <mergeCell ref="B1029:G1029"/>
    <mergeCell ref="B1030:C1030"/>
    <mergeCell ref="B1031:C1031"/>
    <mergeCell ref="B1033:C1033"/>
    <mergeCell ref="B1043:C1043"/>
    <mergeCell ref="B1000:G1000"/>
    <mergeCell ref="B1001:G1001"/>
    <mergeCell ref="B1003:C1003"/>
    <mergeCell ref="C997:E997"/>
    <mergeCell ref="C998:E998"/>
    <mergeCell ref="B1009:C1009"/>
    <mergeCell ref="B1010:C1010"/>
    <mergeCell ref="B1011:E1011"/>
    <mergeCell ref="B1012:G1012"/>
    <mergeCell ref="B1005:C1005"/>
    <mergeCell ref="B1006:C1006"/>
    <mergeCell ref="B1007:C1007"/>
    <mergeCell ref="B1008:C1008"/>
    <mergeCell ref="B1018:C1018"/>
    <mergeCell ref="B1019:C1019"/>
    <mergeCell ref="B1020:C1020"/>
    <mergeCell ref="B1021:C1021"/>
    <mergeCell ref="B1013:G1013"/>
    <mergeCell ref="B1014:C1014"/>
    <mergeCell ref="B1016:C1016"/>
    <mergeCell ref="B1017:C1017"/>
    <mergeCell ref="C1:G1"/>
    <mergeCell ref="C2:G2"/>
    <mergeCell ref="C5:G5"/>
    <mergeCell ref="C6:E6"/>
    <mergeCell ref="C7:E7"/>
    <mergeCell ref="C8:G8"/>
    <mergeCell ref="B876:C876"/>
    <mergeCell ref="B878:C878"/>
    <mergeCell ref="B886:C886"/>
    <mergeCell ref="B883:E883"/>
    <mergeCell ref="C3:G3"/>
    <mergeCell ref="B4:G4"/>
    <mergeCell ref="B9:G9"/>
    <mergeCell ref="B10:G10"/>
    <mergeCell ref="B12:C12"/>
    <mergeCell ref="B14:C14"/>
    <mergeCell ref="C999:G999"/>
    <mergeCell ref="B884:G884"/>
    <mergeCell ref="B885:G885"/>
    <mergeCell ref="B879:C879"/>
    <mergeCell ref="B880:C880"/>
    <mergeCell ref="B881:C881"/>
    <mergeCell ref="B888:C888"/>
    <mergeCell ref="B882:C882"/>
    <mergeCell ref="B891:G891"/>
    <mergeCell ref="B892:F892"/>
    <mergeCell ref="B610:C610"/>
    <mergeCell ref="B602:E602"/>
    <mergeCell ref="B603:G603"/>
    <mergeCell ref="B604:G604"/>
    <mergeCell ref="B605:C605"/>
    <mergeCell ref="B615:C617"/>
    <mergeCell ref="B28:C28"/>
    <mergeCell ref="B29:C29"/>
    <mergeCell ref="B30:C30"/>
    <mergeCell ref="B31:C31"/>
    <mergeCell ref="B32:C32"/>
    <mergeCell ref="B33:C33"/>
    <mergeCell ref="B21:G21"/>
    <mergeCell ref="B22:G22"/>
    <mergeCell ref="B23:C23"/>
    <mergeCell ref="B25:C25"/>
    <mergeCell ref="B26:C26"/>
    <mergeCell ref="B27:C27"/>
    <mergeCell ref="B15:C15"/>
    <mergeCell ref="B16:C16"/>
    <mergeCell ref="B17:C17"/>
    <mergeCell ref="B18:C18"/>
    <mergeCell ref="B19:C19"/>
    <mergeCell ref="B20:E20"/>
    <mergeCell ref="B46:C46"/>
    <mergeCell ref="B47:E47"/>
    <mergeCell ref="B48:G48"/>
    <mergeCell ref="B49:G49"/>
    <mergeCell ref="B50:C50"/>
    <mergeCell ref="B52:C52"/>
    <mergeCell ref="B39:C39"/>
    <mergeCell ref="B40:C40"/>
    <mergeCell ref="B42:C42"/>
    <mergeCell ref="B43:C43"/>
    <mergeCell ref="B44:C44"/>
    <mergeCell ref="B45:C45"/>
    <mergeCell ref="B34:C36"/>
    <mergeCell ref="D34:E34"/>
    <mergeCell ref="D35:E35"/>
    <mergeCell ref="D36:E36"/>
    <mergeCell ref="B37:G37"/>
    <mergeCell ref="B38:G38"/>
    <mergeCell ref="B67:C67"/>
    <mergeCell ref="B68:C68"/>
    <mergeCell ref="B69:C69"/>
    <mergeCell ref="B70:C70"/>
    <mergeCell ref="B71:C71"/>
    <mergeCell ref="B72:C72"/>
    <mergeCell ref="C59:E59"/>
    <mergeCell ref="C60:E60"/>
    <mergeCell ref="C61:G61"/>
    <mergeCell ref="B62:G62"/>
    <mergeCell ref="B63:G63"/>
    <mergeCell ref="B65:C65"/>
    <mergeCell ref="B53:C53"/>
    <mergeCell ref="B54:E54"/>
    <mergeCell ref="B55:G55"/>
    <mergeCell ref="B56:F56"/>
    <mergeCell ref="B57:E57"/>
    <mergeCell ref="B58:F58"/>
    <mergeCell ref="B86:C86"/>
    <mergeCell ref="B87:C89"/>
    <mergeCell ref="D87:E87"/>
    <mergeCell ref="D88:E88"/>
    <mergeCell ref="D89:E89"/>
    <mergeCell ref="B90:G90"/>
    <mergeCell ref="B80:C80"/>
    <mergeCell ref="B81:C81"/>
    <mergeCell ref="B82:C82"/>
    <mergeCell ref="B83:C83"/>
    <mergeCell ref="B84:C84"/>
    <mergeCell ref="B85:C85"/>
    <mergeCell ref="B73:E73"/>
    <mergeCell ref="B74:G74"/>
    <mergeCell ref="B75:G75"/>
    <mergeCell ref="B76:C76"/>
    <mergeCell ref="B78:C78"/>
    <mergeCell ref="B79:C79"/>
    <mergeCell ref="B105:C105"/>
    <mergeCell ref="B106:C106"/>
    <mergeCell ref="B107:E107"/>
    <mergeCell ref="B108:G108"/>
    <mergeCell ref="B109:F109"/>
    <mergeCell ref="B110:E110"/>
    <mergeCell ref="B98:C98"/>
    <mergeCell ref="B99:C99"/>
    <mergeCell ref="B100:E100"/>
    <mergeCell ref="B101:G101"/>
    <mergeCell ref="B102:G102"/>
    <mergeCell ref="B103:C103"/>
    <mergeCell ref="B91:G91"/>
    <mergeCell ref="B92:C92"/>
    <mergeCell ref="B93:C93"/>
    <mergeCell ref="B95:C95"/>
    <mergeCell ref="B96:C96"/>
    <mergeCell ref="B97:C97"/>
    <mergeCell ref="B125:C125"/>
    <mergeCell ref="B126:E126"/>
    <mergeCell ref="B127:G127"/>
    <mergeCell ref="B128:G128"/>
    <mergeCell ref="B129:C129"/>
    <mergeCell ref="B131:C131"/>
    <mergeCell ref="B118:C118"/>
    <mergeCell ref="B120:C120"/>
    <mergeCell ref="B121:C121"/>
    <mergeCell ref="B122:C122"/>
    <mergeCell ref="B123:C123"/>
    <mergeCell ref="B124:C124"/>
    <mergeCell ref="B111:F111"/>
    <mergeCell ref="C112:E112"/>
    <mergeCell ref="C113:E113"/>
    <mergeCell ref="C114:G114"/>
    <mergeCell ref="B115:G115"/>
    <mergeCell ref="B116:G116"/>
    <mergeCell ref="B143:G143"/>
    <mergeCell ref="B144:G144"/>
    <mergeCell ref="B145:C145"/>
    <mergeCell ref="B146:C146"/>
    <mergeCell ref="B148:C148"/>
    <mergeCell ref="B149:C149"/>
    <mergeCell ref="B138:C138"/>
    <mergeCell ref="B139:C139"/>
    <mergeCell ref="B140:C142"/>
    <mergeCell ref="D140:E140"/>
    <mergeCell ref="D141:E141"/>
    <mergeCell ref="D142:E142"/>
    <mergeCell ref="B132:C132"/>
    <mergeCell ref="B133:C133"/>
    <mergeCell ref="B134:C134"/>
    <mergeCell ref="B135:C135"/>
    <mergeCell ref="B136:C136"/>
    <mergeCell ref="B137:C137"/>
    <mergeCell ref="B163:E163"/>
    <mergeCell ref="B164:F164"/>
    <mergeCell ref="C165:E165"/>
    <mergeCell ref="C166:E166"/>
    <mergeCell ref="C167:G167"/>
    <mergeCell ref="B168:G168"/>
    <mergeCell ref="B156:C156"/>
    <mergeCell ref="B158:C158"/>
    <mergeCell ref="B159:C159"/>
    <mergeCell ref="B160:E160"/>
    <mergeCell ref="B161:G161"/>
    <mergeCell ref="B162:F162"/>
    <mergeCell ref="B150:C150"/>
    <mergeCell ref="B151:C151"/>
    <mergeCell ref="B152:C152"/>
    <mergeCell ref="B153:E153"/>
    <mergeCell ref="B154:G154"/>
    <mergeCell ref="B155:G155"/>
    <mergeCell ref="B184:C184"/>
    <mergeCell ref="B185:C185"/>
    <mergeCell ref="B186:C186"/>
    <mergeCell ref="B187:C187"/>
    <mergeCell ref="B188:C188"/>
    <mergeCell ref="B189:C189"/>
    <mergeCell ref="B177:C177"/>
    <mergeCell ref="B178:C178"/>
    <mergeCell ref="B179:E179"/>
    <mergeCell ref="B180:G180"/>
    <mergeCell ref="B181:G181"/>
    <mergeCell ref="B182:C182"/>
    <mergeCell ref="B169:G169"/>
    <mergeCell ref="B171:C171"/>
    <mergeCell ref="B173:C173"/>
    <mergeCell ref="B174:C174"/>
    <mergeCell ref="B175:C175"/>
    <mergeCell ref="B176:C176"/>
    <mergeCell ref="B203:C203"/>
    <mergeCell ref="B204:C204"/>
    <mergeCell ref="B205:C205"/>
    <mergeCell ref="B206:E206"/>
    <mergeCell ref="B207:G207"/>
    <mergeCell ref="B208:G208"/>
    <mergeCell ref="B196:G196"/>
    <mergeCell ref="B197:G197"/>
    <mergeCell ref="B198:C198"/>
    <mergeCell ref="B199:C199"/>
    <mergeCell ref="B201:C201"/>
    <mergeCell ref="B202:C202"/>
    <mergeCell ref="B190:C190"/>
    <mergeCell ref="B191:C191"/>
    <mergeCell ref="B192:C192"/>
    <mergeCell ref="B193:C195"/>
    <mergeCell ref="D193:E193"/>
    <mergeCell ref="D194:E194"/>
    <mergeCell ref="D195:E195"/>
    <mergeCell ref="B222:G222"/>
    <mergeCell ref="B224:C224"/>
    <mergeCell ref="B226:C226"/>
    <mergeCell ref="B227:C227"/>
    <mergeCell ref="B228:C228"/>
    <mergeCell ref="B229:C229"/>
    <mergeCell ref="B216:E216"/>
    <mergeCell ref="B217:F217"/>
    <mergeCell ref="C218:E218"/>
    <mergeCell ref="C219:E219"/>
    <mergeCell ref="C220:G220"/>
    <mergeCell ref="B221:G221"/>
    <mergeCell ref="B209:C209"/>
    <mergeCell ref="B211:C211"/>
    <mergeCell ref="B212:C212"/>
    <mergeCell ref="B213:E213"/>
    <mergeCell ref="B214:G214"/>
    <mergeCell ref="B215:F215"/>
    <mergeCell ref="B243:C243"/>
    <mergeCell ref="B244:C244"/>
    <mergeCell ref="B245:C245"/>
    <mergeCell ref="B246:C248"/>
    <mergeCell ref="D246:E246"/>
    <mergeCell ref="D247:E247"/>
    <mergeCell ref="D248:E248"/>
    <mergeCell ref="B237:C237"/>
    <mergeCell ref="B238:C238"/>
    <mergeCell ref="B239:C239"/>
    <mergeCell ref="B240:C240"/>
    <mergeCell ref="B241:C241"/>
    <mergeCell ref="B242:C242"/>
    <mergeCell ref="B230:C230"/>
    <mergeCell ref="B231:C231"/>
    <mergeCell ref="B232:E232"/>
    <mergeCell ref="B233:G233"/>
    <mergeCell ref="B234:G234"/>
    <mergeCell ref="B235:C235"/>
    <mergeCell ref="B262:C262"/>
    <mergeCell ref="B264:C264"/>
    <mergeCell ref="B265:C265"/>
    <mergeCell ref="B266:E266"/>
    <mergeCell ref="B267:G267"/>
    <mergeCell ref="B268:F268"/>
    <mergeCell ref="B256:C256"/>
    <mergeCell ref="B257:C257"/>
    <mergeCell ref="B258:C258"/>
    <mergeCell ref="B259:E259"/>
    <mergeCell ref="B260:G260"/>
    <mergeCell ref="B261:G261"/>
    <mergeCell ref="B249:G249"/>
    <mergeCell ref="B250:G250"/>
    <mergeCell ref="B251:C251"/>
    <mergeCell ref="B252:C252"/>
    <mergeCell ref="B254:C254"/>
    <mergeCell ref="B255:C255"/>
    <mergeCell ref="B283:C283"/>
    <mergeCell ref="B284:C284"/>
    <mergeCell ref="B285:E285"/>
    <mergeCell ref="B286:G286"/>
    <mergeCell ref="B287:G287"/>
    <mergeCell ref="B288:C288"/>
    <mergeCell ref="B275:G275"/>
    <mergeCell ref="B277:C277"/>
    <mergeCell ref="B279:C279"/>
    <mergeCell ref="B280:C280"/>
    <mergeCell ref="B281:C281"/>
    <mergeCell ref="B282:C282"/>
    <mergeCell ref="B269:E269"/>
    <mergeCell ref="B270:F270"/>
    <mergeCell ref="C271:E271"/>
    <mergeCell ref="C272:E272"/>
    <mergeCell ref="C273:G273"/>
    <mergeCell ref="B274:G274"/>
    <mergeCell ref="B302:G302"/>
    <mergeCell ref="B303:G303"/>
    <mergeCell ref="B304:C304"/>
    <mergeCell ref="B305:C305"/>
    <mergeCell ref="B307:C307"/>
    <mergeCell ref="B308:C308"/>
    <mergeCell ref="B296:C296"/>
    <mergeCell ref="B297:C297"/>
    <mergeCell ref="B298:C298"/>
    <mergeCell ref="B299:C301"/>
    <mergeCell ref="D299:E299"/>
    <mergeCell ref="D300:E300"/>
    <mergeCell ref="D301:E301"/>
    <mergeCell ref="B290:C290"/>
    <mergeCell ref="B291:C291"/>
    <mergeCell ref="B292:C292"/>
    <mergeCell ref="B293:C293"/>
    <mergeCell ref="B294:C294"/>
    <mergeCell ref="B295:C295"/>
    <mergeCell ref="B322:E322"/>
    <mergeCell ref="B323:F323"/>
    <mergeCell ref="C324:E324"/>
    <mergeCell ref="C325:E325"/>
    <mergeCell ref="C326:G326"/>
    <mergeCell ref="B327:G327"/>
    <mergeCell ref="B315:C315"/>
    <mergeCell ref="B317:C317"/>
    <mergeCell ref="B318:C318"/>
    <mergeCell ref="B319:E319"/>
    <mergeCell ref="B320:G320"/>
    <mergeCell ref="B321:F321"/>
    <mergeCell ref="B309:C309"/>
    <mergeCell ref="B310:C310"/>
    <mergeCell ref="B311:C311"/>
    <mergeCell ref="B312:E312"/>
    <mergeCell ref="B313:G313"/>
    <mergeCell ref="B314:G314"/>
    <mergeCell ref="B343:C343"/>
    <mergeCell ref="B344:C344"/>
    <mergeCell ref="B345:C345"/>
    <mergeCell ref="B346:C346"/>
    <mergeCell ref="B347:C347"/>
    <mergeCell ref="B348:C348"/>
    <mergeCell ref="B336:C336"/>
    <mergeCell ref="B337:C337"/>
    <mergeCell ref="B338:E338"/>
    <mergeCell ref="B339:G339"/>
    <mergeCell ref="B340:G340"/>
    <mergeCell ref="B341:C341"/>
    <mergeCell ref="B328:G328"/>
    <mergeCell ref="B330:C330"/>
    <mergeCell ref="B332:C332"/>
    <mergeCell ref="B333:C333"/>
    <mergeCell ref="B334:C334"/>
    <mergeCell ref="B335:C335"/>
    <mergeCell ref="B362:C362"/>
    <mergeCell ref="B363:C363"/>
    <mergeCell ref="B364:C364"/>
    <mergeCell ref="B365:E365"/>
    <mergeCell ref="B366:G366"/>
    <mergeCell ref="B367:G367"/>
    <mergeCell ref="B355:G355"/>
    <mergeCell ref="B356:G356"/>
    <mergeCell ref="B357:C357"/>
    <mergeCell ref="B358:C358"/>
    <mergeCell ref="B360:C360"/>
    <mergeCell ref="B361:C361"/>
    <mergeCell ref="B349:C349"/>
    <mergeCell ref="B350:C350"/>
    <mergeCell ref="B351:C351"/>
    <mergeCell ref="B352:C354"/>
    <mergeCell ref="D352:E352"/>
    <mergeCell ref="D353:E353"/>
    <mergeCell ref="D354:E354"/>
    <mergeCell ref="B381:G381"/>
    <mergeCell ref="B383:C383"/>
    <mergeCell ref="B385:C385"/>
    <mergeCell ref="B386:C386"/>
    <mergeCell ref="B387:C387"/>
    <mergeCell ref="B388:C388"/>
    <mergeCell ref="B375:E375"/>
    <mergeCell ref="B376:F376"/>
    <mergeCell ref="C377:E377"/>
    <mergeCell ref="C378:E378"/>
    <mergeCell ref="C379:G379"/>
    <mergeCell ref="B380:G380"/>
    <mergeCell ref="B368:C368"/>
    <mergeCell ref="B370:C370"/>
    <mergeCell ref="B371:C371"/>
    <mergeCell ref="B372:E372"/>
    <mergeCell ref="B373:G373"/>
    <mergeCell ref="B374:F374"/>
    <mergeCell ref="B402:C402"/>
    <mergeCell ref="B403:C403"/>
    <mergeCell ref="B404:C404"/>
    <mergeCell ref="B405:C407"/>
    <mergeCell ref="D405:E405"/>
    <mergeCell ref="D406:E406"/>
    <mergeCell ref="D407:E407"/>
    <mergeCell ref="B396:C396"/>
    <mergeCell ref="B397:C397"/>
    <mergeCell ref="B398:C398"/>
    <mergeCell ref="B399:C399"/>
    <mergeCell ref="B400:C400"/>
    <mergeCell ref="B401:C401"/>
    <mergeCell ref="B389:C389"/>
    <mergeCell ref="B390:C390"/>
    <mergeCell ref="B391:E391"/>
    <mergeCell ref="B392:G392"/>
    <mergeCell ref="B393:G393"/>
    <mergeCell ref="B394:C394"/>
    <mergeCell ref="B421:C421"/>
    <mergeCell ref="B423:C423"/>
    <mergeCell ref="B424:C424"/>
    <mergeCell ref="B425:E425"/>
    <mergeCell ref="B426:G426"/>
    <mergeCell ref="B427:F427"/>
    <mergeCell ref="B415:C415"/>
    <mergeCell ref="B416:C416"/>
    <mergeCell ref="B417:C417"/>
    <mergeCell ref="B418:E418"/>
    <mergeCell ref="B419:G419"/>
    <mergeCell ref="B420:G420"/>
    <mergeCell ref="B408:G408"/>
    <mergeCell ref="B409:G409"/>
    <mergeCell ref="B410:C410"/>
    <mergeCell ref="B411:C411"/>
    <mergeCell ref="B413:C413"/>
    <mergeCell ref="B414:C414"/>
    <mergeCell ref="B442:C442"/>
    <mergeCell ref="B443:C443"/>
    <mergeCell ref="B444:E444"/>
    <mergeCell ref="B445:G445"/>
    <mergeCell ref="B446:G446"/>
    <mergeCell ref="B447:C447"/>
    <mergeCell ref="B434:G434"/>
    <mergeCell ref="B436:C436"/>
    <mergeCell ref="B438:C438"/>
    <mergeCell ref="B439:C439"/>
    <mergeCell ref="B440:C440"/>
    <mergeCell ref="B441:C441"/>
    <mergeCell ref="B428:E428"/>
    <mergeCell ref="B429:F429"/>
    <mergeCell ref="C430:E430"/>
    <mergeCell ref="C431:E431"/>
    <mergeCell ref="C432:G432"/>
    <mergeCell ref="B433:G433"/>
    <mergeCell ref="B461:G461"/>
    <mergeCell ref="B462:G462"/>
    <mergeCell ref="B463:C463"/>
    <mergeCell ref="B464:C464"/>
    <mergeCell ref="B466:C466"/>
    <mergeCell ref="B467:C467"/>
    <mergeCell ref="B455:C455"/>
    <mergeCell ref="B456:C456"/>
    <mergeCell ref="B457:C457"/>
    <mergeCell ref="B458:C460"/>
    <mergeCell ref="D458:E458"/>
    <mergeCell ref="D459:E459"/>
    <mergeCell ref="D460:E460"/>
    <mergeCell ref="B449:C449"/>
    <mergeCell ref="B450:C450"/>
    <mergeCell ref="B451:C451"/>
    <mergeCell ref="B452:C452"/>
    <mergeCell ref="B453:C453"/>
    <mergeCell ref="B454:C454"/>
    <mergeCell ref="B481:E481"/>
    <mergeCell ref="B482:F482"/>
    <mergeCell ref="C483:E483"/>
    <mergeCell ref="C484:E484"/>
    <mergeCell ref="C485:G485"/>
    <mergeCell ref="B486:G486"/>
    <mergeCell ref="B474:C474"/>
    <mergeCell ref="B476:C476"/>
    <mergeCell ref="B477:C477"/>
    <mergeCell ref="B478:E478"/>
    <mergeCell ref="B479:G479"/>
    <mergeCell ref="B480:F480"/>
    <mergeCell ref="B468:C468"/>
    <mergeCell ref="B469:C469"/>
    <mergeCell ref="B470:C470"/>
    <mergeCell ref="B471:E471"/>
    <mergeCell ref="B472:G472"/>
    <mergeCell ref="B473:G473"/>
    <mergeCell ref="B502:C502"/>
    <mergeCell ref="B503:C503"/>
    <mergeCell ref="B504:C504"/>
    <mergeCell ref="B505:C505"/>
    <mergeCell ref="B506:C506"/>
    <mergeCell ref="B507:C507"/>
    <mergeCell ref="B495:C495"/>
    <mergeCell ref="B496:C496"/>
    <mergeCell ref="B497:E497"/>
    <mergeCell ref="B498:G498"/>
    <mergeCell ref="B499:G499"/>
    <mergeCell ref="B500:C500"/>
    <mergeCell ref="B487:G487"/>
    <mergeCell ref="B489:C489"/>
    <mergeCell ref="B491:C491"/>
    <mergeCell ref="B492:C492"/>
    <mergeCell ref="B493:C493"/>
    <mergeCell ref="B494:C494"/>
    <mergeCell ref="B521:C521"/>
    <mergeCell ref="B522:C522"/>
    <mergeCell ref="B523:C523"/>
    <mergeCell ref="B524:E524"/>
    <mergeCell ref="B525:G525"/>
    <mergeCell ref="B526:G526"/>
    <mergeCell ref="B514:G514"/>
    <mergeCell ref="B515:G515"/>
    <mergeCell ref="B516:C516"/>
    <mergeCell ref="B517:C517"/>
    <mergeCell ref="B519:C519"/>
    <mergeCell ref="B520:C520"/>
    <mergeCell ref="B508:C508"/>
    <mergeCell ref="B509:C509"/>
    <mergeCell ref="B510:C510"/>
    <mergeCell ref="B511:C513"/>
    <mergeCell ref="D511:E511"/>
    <mergeCell ref="D512:E512"/>
    <mergeCell ref="D513:E513"/>
    <mergeCell ref="B540:G540"/>
    <mergeCell ref="B542:C542"/>
    <mergeCell ref="B544:C544"/>
    <mergeCell ref="B545:C545"/>
    <mergeCell ref="B546:C546"/>
    <mergeCell ref="B547:C547"/>
    <mergeCell ref="B534:E534"/>
    <mergeCell ref="B535:F535"/>
    <mergeCell ref="C536:E536"/>
    <mergeCell ref="C537:E537"/>
    <mergeCell ref="C538:G538"/>
    <mergeCell ref="B539:G539"/>
    <mergeCell ref="B527:C527"/>
    <mergeCell ref="B529:C529"/>
    <mergeCell ref="B530:C530"/>
    <mergeCell ref="B531:E531"/>
    <mergeCell ref="B532:G532"/>
    <mergeCell ref="B533:F533"/>
    <mergeCell ref="B563:C565"/>
    <mergeCell ref="D563:E563"/>
    <mergeCell ref="D564:E564"/>
    <mergeCell ref="D565:E565"/>
    <mergeCell ref="B566:G566"/>
    <mergeCell ref="B567:G567"/>
    <mergeCell ref="B555:C555"/>
    <mergeCell ref="B556:C556"/>
    <mergeCell ref="B557:C557"/>
    <mergeCell ref="B558:C558"/>
    <mergeCell ref="B559:C559"/>
    <mergeCell ref="B562:C562"/>
    <mergeCell ref="B561:C561"/>
    <mergeCell ref="B560:C560"/>
    <mergeCell ref="B548:C548"/>
    <mergeCell ref="B549:C549"/>
    <mergeCell ref="B550:E550"/>
    <mergeCell ref="B551:G551"/>
    <mergeCell ref="B552:G552"/>
    <mergeCell ref="B553:C553"/>
    <mergeCell ref="B582:C582"/>
    <mergeCell ref="B583:E583"/>
    <mergeCell ref="B584:G584"/>
    <mergeCell ref="B585:F585"/>
    <mergeCell ref="B586:E586"/>
    <mergeCell ref="B587:F587"/>
    <mergeCell ref="B575:C575"/>
    <mergeCell ref="B576:E576"/>
    <mergeCell ref="B577:G577"/>
    <mergeCell ref="B578:G578"/>
    <mergeCell ref="B579:C579"/>
    <mergeCell ref="B581:C581"/>
    <mergeCell ref="B568:C568"/>
    <mergeCell ref="B569:C569"/>
    <mergeCell ref="B571:C571"/>
    <mergeCell ref="B572:C572"/>
    <mergeCell ref="B573:C573"/>
    <mergeCell ref="B574:C574"/>
  </mergeCells>
  <phoneticPr fontId="0" type="noConversion"/>
  <hyperlinks>
    <hyperlink ref="H6" location="'ITEMS RESUMEN'!DESAGUES" display="volver"/>
    <hyperlink ref="H32" location="'ITEMS RESUMEN'!DESAGUES" display="volver"/>
    <hyperlink ref="H58" location="'ITEMS RESUMEN'!DESAGUES" display="volver"/>
    <hyperlink ref="H85" location="'ITEMS RESUMEN'!DESAGUES" display="volver"/>
    <hyperlink ref="H111" location="'ITEMS RESUMEN'!DESAGUES" display="volver"/>
    <hyperlink ref="H138" location="'ITEMS RESUMEN'!DESAGUES" display="volver"/>
    <hyperlink ref="H164" location="'ITEMS RESUMEN'!DESAGUES" display="volver"/>
    <hyperlink ref="H191" location="'ITEMS RESUMEN'!DESAGUES" display="volver"/>
    <hyperlink ref="H217" location="'ITEMS RESUMEN'!DESAGUES" display="volver"/>
    <hyperlink ref="H243" location="'ITEMS RESUMEN'!DESAGUES" display="volver"/>
    <hyperlink ref="H270" location="'ITEMS RESUMEN'!DESAGUES" display="volver"/>
    <hyperlink ref="H297" location="'ITEMS RESUMEN'!DESAGUES" display="volver"/>
    <hyperlink ref="H323" location="'ITEMS RESUMEN'!DESAGUES" display="volver"/>
    <hyperlink ref="H350" location="'ITEMS RESUMEN'!DESAGUES" display="volver"/>
    <hyperlink ref="H376" location="'ITEMS RESUMEN'!DESAGUES" display="volver"/>
    <hyperlink ref="H403" location="'ITEMS RESUMEN'!DESAGUES" display="volver"/>
    <hyperlink ref="H429" location="'ITEMS RESUMEN'!DESAGUES" display="volver"/>
    <hyperlink ref="H455" location="'ITEMS RESUMEN'!DESAGUES" display="volver"/>
    <hyperlink ref="H482" location="'ITEMS RESUMEN'!DESAGUES" display="volver"/>
    <hyperlink ref="H509" location="'ITEMS RESUMEN'!DESAGUES" display="volver"/>
    <hyperlink ref="H535" location="'ITEMS RESUMEN'!DESAGUES" display="volver"/>
    <hyperlink ref="H561" location="'ITEMS RESUMEN'!DESAGUES" display="volver"/>
    <hyperlink ref="H587" location="'ITEMS RESUMEN'!DESAGUES" display="volver"/>
    <hyperlink ref="H613" location="'ITEMS RESUMEN'!DESAGUES" display="volver"/>
    <hyperlink ref="H639" location="'ITEMS RESUMEN'!DESAGUES" display="volver"/>
    <hyperlink ref="H665" location="'ITEMS RESUMEN'!DESAGUES" display="volver"/>
    <hyperlink ref="H691" location="'ITEMS RESUMEN'!DESAGUES" display="volver"/>
    <hyperlink ref="H717" location="'ITEMS RESUMEN'!DESAGUES" display="volver"/>
    <hyperlink ref="H743" location="'ITEMS RESUMEN'!DESAGUES" display="volver"/>
    <hyperlink ref="H767" location="'ITEMS RESUMEN'!DESAGUES" display="volver"/>
    <hyperlink ref="H793" location="'ITEMS RESUMEN'!DESAGUES" display="volver"/>
    <hyperlink ref="H819" location="'ITEMS RESUMEN'!DESAGUES" display="volver"/>
    <hyperlink ref="H844" location="'ITEMS RESUMEN'!DESAGUES" display="volver"/>
    <hyperlink ref="H868" location="'ITEMS RESUMEN'!DESAGUES" display="volver"/>
    <hyperlink ref="H894" location="'ITEMS RESUMEN'!DESAGUES" display="volver"/>
    <hyperlink ref="H920" location="'ITEMS RESUMEN'!DESAGUES" display="volver"/>
    <hyperlink ref="H946" location="'ITEMS RESUMEN'!DESAGUES" display="volver"/>
    <hyperlink ref="H970" location="'ITEMS RESUMEN'!DESAGUES" display="volver"/>
    <hyperlink ref="H996" location="'ITEMS RESUMEN'!DESAGUES" display="volver"/>
    <hyperlink ref="H1023" location="'ITEMS RESUMEN'!DESAGUES" display="volver"/>
    <hyperlink ref="H1049" location="'ITEMS RESUMEN'!DESAGUES" display="volver"/>
    <hyperlink ref="H1075" location="'ITEMS RESUMEN'!DESAGUES" display="volver"/>
    <hyperlink ref="H1102" location="'ITEMS RESUMEN'!DESAGUES" display="volver"/>
    <hyperlink ref="H1129" location="'ITEMS RESUMEN'!DESAGUES" display="volver"/>
    <hyperlink ref="H1155" location="'ITEMS RESUMEN'!DESAGUES" display="volver"/>
  </hyperlinks>
  <pageMargins left="0.98425196850393704" right="0.78740157480314965" top="0.59055118110236227" bottom="0.59055118110236227" header="0" footer="0"/>
  <pageSetup scale="90" orientation="portrait" r:id="rId1"/>
  <headerFooter alignWithMargins="0"/>
  <rowBreaks count="18" manualBreakCount="18">
    <brk id="58" max="16383" man="1"/>
    <brk id="111" max="16383" man="1"/>
    <brk id="164" max="16383" man="1"/>
    <brk id="217" max="16383" man="1"/>
    <brk id="270" max="16383" man="1"/>
    <brk id="323" max="16383" man="1"/>
    <brk id="376" max="16383" man="1"/>
    <brk id="429" max="16383" man="1"/>
    <brk id="482" max="16383" man="1"/>
    <brk id="535" max="16383" man="1"/>
    <brk id="587" min="1" max="6" man="1"/>
    <brk id="639" min="1" max="6" man="1"/>
    <brk id="793" min="1" max="6" man="1"/>
    <brk id="844" min="1" max="6" man="1"/>
    <brk id="894" min="1" max="6" man="1"/>
    <brk id="996" min="1" max="6" man="1"/>
    <brk id="1049" min="1" max="6" man="1"/>
    <brk id="1102" min="1" max="6" man="1"/>
  </rowBreaks>
  <colBreaks count="1" manualBreakCount="1">
    <brk id="1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511</vt:i4>
      </vt:variant>
    </vt:vector>
  </HeadingPairs>
  <TitlesOfParts>
    <vt:vector size="536" baseType="lpstr">
      <vt:lpstr>ITEMS RESUMEN</vt:lpstr>
      <vt:lpstr>MAQUINARIA Y EQUIPOS</vt:lpstr>
      <vt:lpstr>MATERIALES2</vt:lpstr>
      <vt:lpstr>MANO DE OBRA</vt:lpstr>
      <vt:lpstr>CONCRETOS - HIERROS</vt:lpstr>
      <vt:lpstr>PRELIMINARES</vt:lpstr>
      <vt:lpstr>EXCAVACIONES</vt:lpstr>
      <vt:lpstr>CIMIENTOS</vt:lpstr>
      <vt:lpstr>DESAGUES</vt:lpstr>
      <vt:lpstr>ESTRUCTURAS</vt:lpstr>
      <vt:lpstr>INST. SANIT</vt:lpstr>
      <vt:lpstr>INST. HIDR.</vt:lpstr>
      <vt:lpstr>INST. ELECT</vt:lpstr>
      <vt:lpstr>MAMPOSTERIA</vt:lpstr>
      <vt:lpstr>PAÑETES</vt:lpstr>
      <vt:lpstr>PISOS</vt:lpstr>
      <vt:lpstr>CUBIERTA</vt:lpstr>
      <vt:lpstr>CIELORASO</vt:lpstr>
      <vt:lpstr>APAR.SANIT</vt:lpstr>
      <vt:lpstr>ESTUCO Y PINTURA</vt:lpstr>
      <vt:lpstr>CARPINTERIA MADERA</vt:lpstr>
      <vt:lpstr>CARPINTERIA METALICA-ALUMINIO</vt:lpstr>
      <vt:lpstr>PAVIMENTOS</vt:lpstr>
      <vt:lpstr>MOBILIARIO URBANO</vt:lpstr>
      <vt:lpstr>OTROS</vt:lpstr>
      <vt:lpstr>_cie1</vt:lpstr>
      <vt:lpstr>_cie2</vt:lpstr>
      <vt:lpstr>_cie3</vt:lpstr>
      <vt:lpstr>_cie4</vt:lpstr>
      <vt:lpstr>_cie5</vt:lpstr>
      <vt:lpstr>_cie6</vt:lpstr>
      <vt:lpstr>DESAGUES!Accesorio_gres_3</vt:lpstr>
      <vt:lpstr>DESAGUES!Accesorio_gres_4</vt:lpstr>
      <vt:lpstr>DESAGUES!Accesorio_gres_6</vt:lpstr>
      <vt:lpstr>DESAGUES!Accesorio_gres_8</vt:lpstr>
      <vt:lpstr>Acomet_pvc_1_2_estrato_2</vt:lpstr>
      <vt:lpstr>Acomet_pvc_1_2_estrato_2a</vt:lpstr>
      <vt:lpstr>Acomet_pvc_1_2_estrato_3</vt:lpstr>
      <vt:lpstr>Acomet_pvc_1_2_estrato_4</vt:lpstr>
      <vt:lpstr>Acomet_pvc_3_4_estrato_1</vt:lpstr>
      <vt:lpstr>Acomet_pvc_3_4_estrato_2</vt:lpstr>
      <vt:lpstr>Acomet_pvc_3_4_estrato_3</vt:lpstr>
      <vt:lpstr>Acomet_pvc_3_4_estrato_4</vt:lpstr>
      <vt:lpstr>Anden_concret_e0.10</vt:lpstr>
      <vt:lpstr>'ITEMS RESUMEN'!APARATOS_SANITARIOS</vt:lpstr>
      <vt:lpstr>apasanit10</vt:lpstr>
      <vt:lpstr>apasanit11</vt:lpstr>
      <vt:lpstr>apasanit12</vt:lpstr>
      <vt:lpstr>apasanit13</vt:lpstr>
      <vt:lpstr>apasanit14</vt:lpstr>
      <vt:lpstr>apasanit15</vt:lpstr>
      <vt:lpstr>apasanit16</vt:lpstr>
      <vt:lpstr>apasanit17</vt:lpstr>
      <vt:lpstr>apasanit18</vt:lpstr>
      <vt:lpstr>apasanit19</vt:lpstr>
      <vt:lpstr>apasanit2</vt:lpstr>
      <vt:lpstr>apasanit20</vt:lpstr>
      <vt:lpstr>apasanit3</vt:lpstr>
      <vt:lpstr>apasanit4</vt:lpstr>
      <vt:lpstr>apasanit5</vt:lpstr>
      <vt:lpstr>apasanit6</vt:lpstr>
      <vt:lpstr>apasanit7</vt:lpstr>
      <vt:lpstr>apasanit8</vt:lpstr>
      <vt:lpstr>apasanit9</vt:lpstr>
      <vt:lpstr>APAR.SANIT!Área_de_impresión</vt:lpstr>
      <vt:lpstr>'CARPINTERIA MADERA'!Área_de_impresión</vt:lpstr>
      <vt:lpstr>'CARPINTERIA METALICA-ALUMINIO'!Área_de_impresión</vt:lpstr>
      <vt:lpstr>CIELORASO!Área_de_impresión</vt:lpstr>
      <vt:lpstr>CIMIENTOS!Área_de_impresión</vt:lpstr>
      <vt:lpstr>'CONCRETOS - HIERROS'!Área_de_impresión</vt:lpstr>
      <vt:lpstr>CUBIERTA!Área_de_impresión</vt:lpstr>
      <vt:lpstr>DESAGUES!Área_de_impresión</vt:lpstr>
      <vt:lpstr>ESTRUCTURAS!Área_de_impresión</vt:lpstr>
      <vt:lpstr>'ESTUCO Y PINTURA'!Área_de_impresión</vt:lpstr>
      <vt:lpstr>EXCAVACIONES!Área_de_impresión</vt:lpstr>
      <vt:lpstr>'INST. ELECT'!Área_de_impresión</vt:lpstr>
      <vt:lpstr>'INST. HIDR.'!Área_de_impresión</vt:lpstr>
      <vt:lpstr>'INST. SANIT'!Área_de_impresión</vt:lpstr>
      <vt:lpstr>'ITEMS RESUMEN'!Área_de_impresión</vt:lpstr>
      <vt:lpstr>MAMPOSTERIA!Área_de_impresión</vt:lpstr>
      <vt:lpstr>'MANO DE OBRA'!Área_de_impresión</vt:lpstr>
      <vt:lpstr>'MAQUINARIA Y EQUIPOS'!Área_de_impresión</vt:lpstr>
      <vt:lpstr>MATERIALES2!Área_de_impresión</vt:lpstr>
      <vt:lpstr>PAÑETES!Área_de_impresión</vt:lpstr>
      <vt:lpstr>PISOS!Área_de_impresión</vt:lpstr>
      <vt:lpstr>PRELIMINARES!Área_de_impresión</vt:lpstr>
      <vt:lpstr>PRELIMINARES!Arreglo_sanitario</vt:lpstr>
      <vt:lpstr>PRELIMINARES!Aseo_general</vt:lpstr>
      <vt:lpstr>CIMIENTOS!Base_concr_2000psi</vt:lpstr>
      <vt:lpstr>DESAGUES!Caja_inpec_0.5x0.5x0.5</vt:lpstr>
      <vt:lpstr>DESAGUES!Caja_inspec_0.30x0.30</vt:lpstr>
      <vt:lpstr>DESAGUES!Caja_inspec_0.4x0.4</vt:lpstr>
      <vt:lpstr>DESAGUES!Caja_inspec_0.5x0.5</vt:lpstr>
      <vt:lpstr>DESAGUES!Caja_inspec_0.7x0.7</vt:lpstr>
      <vt:lpstr>DESAGUES!Caja_inspec_0.9x0.9x0.9</vt:lpstr>
      <vt:lpstr>PRELIMINARES!Campamento_20m</vt:lpstr>
      <vt:lpstr>'CARPINTERIA METALICA-ALUMINIO'!CANALMETALICO</vt:lpstr>
      <vt:lpstr>'CARPINTERIA METALICA-ALUMINIO'!CANASTA</vt:lpstr>
      <vt:lpstr>'ITEMS RESUMEN'!CARPINTERIA_DE_MADERA</vt:lpstr>
      <vt:lpstr>'ITEMS RESUMEN'!CARPINTERIA_METALICA_Y_ALUMINIO</vt:lpstr>
      <vt:lpstr>carpmad10</vt:lpstr>
      <vt:lpstr>carpmad11</vt:lpstr>
      <vt:lpstr>carpmad12</vt:lpstr>
      <vt:lpstr>carpmad13</vt:lpstr>
      <vt:lpstr>carpmad14</vt:lpstr>
      <vt:lpstr>carpmad15</vt:lpstr>
      <vt:lpstr>carpmad16</vt:lpstr>
      <vt:lpstr>carpmad2</vt:lpstr>
      <vt:lpstr>carpmad3</vt:lpstr>
      <vt:lpstr>carpmad4</vt:lpstr>
      <vt:lpstr>carpmad5</vt:lpstr>
      <vt:lpstr>carpmad6</vt:lpstr>
      <vt:lpstr>carpmad7</vt:lpstr>
      <vt:lpstr>carpmad8</vt:lpstr>
      <vt:lpstr>carpmad9</vt:lpstr>
      <vt:lpstr>carpmet1</vt:lpstr>
      <vt:lpstr>carpmet10</vt:lpstr>
      <vt:lpstr>carpmet11</vt:lpstr>
      <vt:lpstr>carpmet12</vt:lpstr>
      <vt:lpstr>carpmet13</vt:lpstr>
      <vt:lpstr>carpmet14</vt:lpstr>
      <vt:lpstr>carpmet15</vt:lpstr>
      <vt:lpstr>carpmet16</vt:lpstr>
      <vt:lpstr>carpmet17</vt:lpstr>
      <vt:lpstr>carpmet18</vt:lpstr>
      <vt:lpstr>carpmet19</vt:lpstr>
      <vt:lpstr>carpmet2</vt:lpstr>
      <vt:lpstr>carpmet20</vt:lpstr>
      <vt:lpstr>carpmet21</vt:lpstr>
      <vt:lpstr>carpmet22</vt:lpstr>
      <vt:lpstr>carpmet3</vt:lpstr>
      <vt:lpstr>carpmet4</vt:lpstr>
      <vt:lpstr>carpmet5</vt:lpstr>
      <vt:lpstr>carpmet6</vt:lpstr>
      <vt:lpstr>carpmet7</vt:lpstr>
      <vt:lpstr>carpmet8</vt:lpstr>
      <vt:lpstr>carpmet9</vt:lpstr>
      <vt:lpstr>carpmetal1</vt:lpstr>
      <vt:lpstr>PRELIMINARES!Cerramiento_fibr_plastica</vt:lpstr>
      <vt:lpstr>'ITEMS RESUMEN'!CIELO_RASOS</vt:lpstr>
      <vt:lpstr>'ITEMS RESUMEN'!CIMIENTOS</vt:lpstr>
      <vt:lpstr>Columna_0.20x0.36</vt:lpstr>
      <vt:lpstr>Columna_0.25x0.25m</vt:lpstr>
      <vt:lpstr>Columna_0.25x0.30m</vt:lpstr>
      <vt:lpstr>Columna_0.25x0.30m_6</vt:lpstr>
      <vt:lpstr>Columna_0.45x0.30_1_2</vt:lpstr>
      <vt:lpstr>Columna_0.45x0.30m</vt:lpstr>
      <vt:lpstr>columneta_0.07x0.30m</vt:lpstr>
      <vt:lpstr>columneta_0.12x0.3m</vt:lpstr>
      <vt:lpstr>Columneta_0.15x0.15m</vt:lpstr>
      <vt:lpstr>columneta_0.15x0.30m</vt:lpstr>
      <vt:lpstr>CIMIENTOS!Concr_ciclo_3000PSI</vt:lpstr>
      <vt:lpstr>'CONCRETOS - HIERROS'!concreto2000psi</vt:lpstr>
      <vt:lpstr>'CONCRETOS - HIERROS'!concreto2500psi</vt:lpstr>
      <vt:lpstr>'CONCRETOS - HIERROS'!concreto3000psi</vt:lpstr>
      <vt:lpstr>'CONCRETOS - HIERROS'!concreto3500psi</vt:lpstr>
      <vt:lpstr>'ITEMS RESUMEN'!CONCRETOS_Y_MORTEROS</vt:lpstr>
      <vt:lpstr>CIMIENTOS!Cons_estr_tanqu_sub</vt:lpstr>
      <vt:lpstr>DESAGUES!Const_cala_inspe_0.6x0.6</vt:lpstr>
      <vt:lpstr>CIMIENTOS!Const_estru_tanque</vt:lpstr>
      <vt:lpstr>Const_punt_sanit_pvc2</vt:lpstr>
      <vt:lpstr>Const_punt_sanit_pvc4</vt:lpstr>
      <vt:lpstr>CIMIENTOS!Const_vig_cimie_3000psi</vt:lpstr>
      <vt:lpstr>CIMIENTOS!Const_vig_trapez_3000psi</vt:lpstr>
      <vt:lpstr>DESAGUES!Constr_caja_inspc_1x1</vt:lpstr>
      <vt:lpstr>DESAGUES!Construc_caja_inspec_0.8x0.8</vt:lpstr>
      <vt:lpstr>cu_10</vt:lpstr>
      <vt:lpstr>cu_11</vt:lpstr>
      <vt:lpstr>cu_12</vt:lpstr>
      <vt:lpstr>cu_13</vt:lpstr>
      <vt:lpstr>cu_14</vt:lpstr>
      <vt:lpstr>cu_15</vt:lpstr>
      <vt:lpstr>cu_16</vt:lpstr>
      <vt:lpstr>cu_17</vt:lpstr>
      <vt:lpstr>cu_18</vt:lpstr>
      <vt:lpstr>cu_19</vt:lpstr>
      <vt:lpstr>cu_2</vt:lpstr>
      <vt:lpstr>cu_20</vt:lpstr>
      <vt:lpstr>cu_21</vt:lpstr>
      <vt:lpstr>cu_22</vt:lpstr>
      <vt:lpstr>cu_23</vt:lpstr>
      <vt:lpstr>cu_24</vt:lpstr>
      <vt:lpstr>cu_25</vt:lpstr>
      <vt:lpstr>cu_26</vt:lpstr>
      <vt:lpstr>cu_27</vt:lpstr>
      <vt:lpstr>cu_28</vt:lpstr>
      <vt:lpstr>cu_29</vt:lpstr>
      <vt:lpstr>cu_3</vt:lpstr>
      <vt:lpstr>CU_30</vt:lpstr>
      <vt:lpstr>cu_4</vt:lpstr>
      <vt:lpstr>cu_5</vt:lpstr>
      <vt:lpstr>cu_6</vt:lpstr>
      <vt:lpstr>cu_7</vt:lpstr>
      <vt:lpstr>cu_8</vt:lpstr>
      <vt:lpstr>cu_9</vt:lpstr>
      <vt:lpstr>'ITEMS RESUMEN'!CUBIERTA</vt:lpstr>
      <vt:lpstr>PRELIMINARES!Demo_piso_exist_baldosa</vt:lpstr>
      <vt:lpstr>PRELIMINARES!Demo_vigas_colum_acarr</vt:lpstr>
      <vt:lpstr>PRELIMINARES!Demol_cimiento_conc_ciclo</vt:lpstr>
      <vt:lpstr>PRELIMINARES!Demol_guar_escob</vt:lpstr>
      <vt:lpstr>PRELIMINARES!Demol_guard_escob_med_caña</vt:lpstr>
      <vt:lpstr>PRELIMINARES!Demolicion_columna_mamp</vt:lpstr>
      <vt:lpstr>PRELIMINARES!Demolicion_enchape</vt:lpstr>
      <vt:lpstr>PRELIMINARES!Demolicion_meson</vt:lpstr>
      <vt:lpstr>PRELIMINARES!Demolicion_muros</vt:lpstr>
      <vt:lpstr>PRELIMINARES!Demolicion_placa_maciza</vt:lpstr>
      <vt:lpstr>PRELIMINARES!Demolicion_vigas_columnas</vt:lpstr>
      <vt:lpstr>PRELIMINARES!Demonte_apar_sanit</vt:lpstr>
      <vt:lpstr>'ITEMS RESUMEN'!DESAGUES</vt:lpstr>
      <vt:lpstr>PRELIMINARES!Descapote_a_mano</vt:lpstr>
      <vt:lpstr>PRELIMINARES!Descapote_con_maquina</vt:lpstr>
      <vt:lpstr>PRELIMINARES!Desm_ciel_raso_entra_madera</vt:lpstr>
      <vt:lpstr>PRELIMINARES!Desm_cubiert_entrama_madera</vt:lpstr>
      <vt:lpstr>PRELIMINARES!Desm_hoj_puert_lamina</vt:lpstr>
      <vt:lpstr>PRELIMINARES!Desm_marc_puert_mad_metal</vt:lpstr>
      <vt:lpstr>PRELIMINARES!Desm_marc_puert_vaiven</vt:lpstr>
      <vt:lpstr>PRELIMINARES!Desm_reinst_un_odontol</vt:lpstr>
      <vt:lpstr>PRELIMINARES!Desm_tanq_elevado</vt:lpstr>
      <vt:lpstr>PRELIMINARES!Desmo_porto_metal</vt:lpstr>
      <vt:lpstr>PRELIMINARES!Desmonte_cielo_raso</vt:lpstr>
      <vt:lpstr>PRELIMINARES!Desmonte_cubierta_AC</vt:lpstr>
      <vt:lpstr>PRELIMINARES!Desmonte_ventanas</vt:lpstr>
      <vt:lpstr>Dintel_concret_3000psi</vt:lpstr>
      <vt:lpstr>elec1</vt:lpstr>
      <vt:lpstr>elec10</vt:lpstr>
      <vt:lpstr>elec11</vt:lpstr>
      <vt:lpstr>elec12</vt:lpstr>
      <vt:lpstr>elec13</vt:lpstr>
      <vt:lpstr>elec14</vt:lpstr>
      <vt:lpstr>elec15</vt:lpstr>
      <vt:lpstr>elec16</vt:lpstr>
      <vt:lpstr>elec17</vt:lpstr>
      <vt:lpstr>elec18</vt:lpstr>
      <vt:lpstr>elec19</vt:lpstr>
      <vt:lpstr>elec2</vt:lpstr>
      <vt:lpstr>elec20</vt:lpstr>
      <vt:lpstr>elec21</vt:lpstr>
      <vt:lpstr>elec22</vt:lpstr>
      <vt:lpstr>elec23</vt:lpstr>
      <vt:lpstr>elec24</vt:lpstr>
      <vt:lpstr>elec25</vt:lpstr>
      <vt:lpstr>elec26</vt:lpstr>
      <vt:lpstr>elec27</vt:lpstr>
      <vt:lpstr>elec28</vt:lpstr>
      <vt:lpstr>elec29</vt:lpstr>
      <vt:lpstr>elec3</vt:lpstr>
      <vt:lpstr>elec30</vt:lpstr>
      <vt:lpstr>elec31</vt:lpstr>
      <vt:lpstr>elec32</vt:lpstr>
      <vt:lpstr>elec33</vt:lpstr>
      <vt:lpstr>elec34</vt:lpstr>
      <vt:lpstr>elec35</vt:lpstr>
      <vt:lpstr>elec36</vt:lpstr>
      <vt:lpstr>elec37</vt:lpstr>
      <vt:lpstr>elec38</vt:lpstr>
      <vt:lpstr>elec39</vt:lpstr>
      <vt:lpstr>elec4</vt:lpstr>
      <vt:lpstr>elec40</vt:lpstr>
      <vt:lpstr>elec41</vt:lpstr>
      <vt:lpstr>elec42</vt:lpstr>
      <vt:lpstr>elec43</vt:lpstr>
      <vt:lpstr>elec44</vt:lpstr>
      <vt:lpstr>elec5</vt:lpstr>
      <vt:lpstr>elec6</vt:lpstr>
      <vt:lpstr>elec7</vt:lpstr>
      <vt:lpstr>elec8</vt:lpstr>
      <vt:lpstr>elec9</vt:lpstr>
      <vt:lpstr>'ITEMS RESUMEN'!ESTRUCTURAS</vt:lpstr>
      <vt:lpstr>'ITEMS RESUMEN'!ESTUCO_Y_PINTURA</vt:lpstr>
      <vt:lpstr>estuco10</vt:lpstr>
      <vt:lpstr>estuco11</vt:lpstr>
      <vt:lpstr>estuco12</vt:lpstr>
      <vt:lpstr>estuco13</vt:lpstr>
      <vt:lpstr>estuco14</vt:lpstr>
      <vt:lpstr>estuco15</vt:lpstr>
      <vt:lpstr>estuco16</vt:lpstr>
      <vt:lpstr>estuco17</vt:lpstr>
      <vt:lpstr>estuco18</vt:lpstr>
      <vt:lpstr>estuco19</vt:lpstr>
      <vt:lpstr>estuco2</vt:lpstr>
      <vt:lpstr>estuco20</vt:lpstr>
      <vt:lpstr>estuco21</vt:lpstr>
      <vt:lpstr>estuco22</vt:lpstr>
      <vt:lpstr>estuco23</vt:lpstr>
      <vt:lpstr>estuco3</vt:lpstr>
      <vt:lpstr>estuco4</vt:lpstr>
      <vt:lpstr>estuco5</vt:lpstr>
      <vt:lpstr>estuco6</vt:lpstr>
      <vt:lpstr>estuco7</vt:lpstr>
      <vt:lpstr>estuco8</vt:lpstr>
      <vt:lpstr>estuco9</vt:lpstr>
      <vt:lpstr>EXCAVACIONES!Exc_derrum_2_3m</vt:lpstr>
      <vt:lpstr>EXCAVACIONES!Exc_derrum_2m</vt:lpstr>
      <vt:lpstr>EXCAVACIONES!Exc_derrum_3_4m</vt:lpstr>
      <vt:lpstr>EXCAVACIONES!Exc_derrum_4_5m</vt:lpstr>
      <vt:lpstr>EXCAVACIONES!Exc_derrum_5_6m</vt:lpstr>
      <vt:lpstr>EXCAVACIONES!Exc_man_congl_4_5m</vt:lpstr>
      <vt:lpstr>EXCAVACIONES!Exc_man_congl_5_6m</vt:lpstr>
      <vt:lpstr>EXCAVACIONES!Exc_man_congl_agua_2m_bomb</vt:lpstr>
      <vt:lpstr>EXCAVACIONES!Exc_man_conglo_agua_2_3m_bomb</vt:lpstr>
      <vt:lpstr>EXCAVACIONES!Exc_man_conglo_agua_3_4m_bomb</vt:lpstr>
      <vt:lpstr>EXCAVACIONES!Exc_man_conglo_agua_4_5m_bomb</vt:lpstr>
      <vt:lpstr>EXCAVACIONES!Exc_man_conglo_agua_5_6m_bomb</vt:lpstr>
      <vt:lpstr>EXCAVACIONES!Exc_man_conglom_2_3m</vt:lpstr>
      <vt:lpstr>EXCAVACIONES!Exc_man_conglom_2m</vt:lpstr>
      <vt:lpstr>EXCAVACIONES!Exc_man_conglom_3_4m</vt:lpstr>
      <vt:lpstr>EXCAVACIONES!Exc_man_mat_blan_seco</vt:lpstr>
      <vt:lpstr>EXCAVACIONES!Exc_man_mat_bland_humed</vt:lpstr>
      <vt:lpstr>EXCAVACIONES!Exc_man_mat_duro_humed</vt:lpstr>
      <vt:lpstr>EXCAVACIONES!Exc_man_mat_duro_seco</vt:lpstr>
      <vt:lpstr>EXCAVACIONES!Exc_man_pied_agua_2m_bomb</vt:lpstr>
      <vt:lpstr>EXCAVACIONES!Exc_man_piedr_agua_3_4m_bomb</vt:lpstr>
      <vt:lpstr>EXCAVACIONES!Exc_man_piedr_agua_4_5m_bomb</vt:lpstr>
      <vt:lpstr>EXCAVACIONES!Exc_man_piedra_2_3m</vt:lpstr>
      <vt:lpstr>EXCAVACIONES!Exc_man_piedra_2m</vt:lpstr>
      <vt:lpstr>EXCAVACIONES!Exc_man_piedra_3_4m</vt:lpstr>
      <vt:lpstr>EXCAVACIONES!Exc_man_roca_2_3m</vt:lpstr>
      <vt:lpstr>EXCAVACIONES!Exc_man_roca_2m</vt:lpstr>
      <vt:lpstr>EXCAVACIONES!Exc_man_roca_3_4m</vt:lpstr>
      <vt:lpstr>EXCAVACIONES!Exc_man_roca_4_5m</vt:lpstr>
      <vt:lpstr>Exc_man_roca_agua_2_4m_bomb</vt:lpstr>
      <vt:lpstr>EXCAVACIONES!Exc_man_roca_agua_2m_bomb</vt:lpstr>
      <vt:lpstr>EXCAVACIONES!Exc_man_roca_agua_3_4m_bomb</vt:lpstr>
      <vt:lpstr>EXCAVACIONES!Exc_man_tier_agua_2_3m_bomb</vt:lpstr>
      <vt:lpstr>EXCAVACIONES!Exc_man_tier_agua_2m_bomb</vt:lpstr>
      <vt:lpstr>EXCAVACIONES!Exc_man_tier_agua_3_4m_bomb</vt:lpstr>
      <vt:lpstr>EXCAVACIONES!Exc_man_tier_agua_4_5m_bomb</vt:lpstr>
      <vt:lpstr>EXCAVACIONES!Exc_man_tierra_1.5m</vt:lpstr>
      <vt:lpstr>EXCAVACIONES!Exc_man_tierra_1m</vt:lpstr>
      <vt:lpstr>EXCAVACIONES!Exc_man_tierra_2_3m</vt:lpstr>
      <vt:lpstr>EXCAVACIONES!Exc_man_tierra_2m</vt:lpstr>
      <vt:lpstr>EXCAVACIONES!Exc_man_tierra_3_4m</vt:lpstr>
      <vt:lpstr>EXCAVACIONES!Exc_man_tierra_4_5m</vt:lpstr>
      <vt:lpstr>EXCAVACIONES!Exc_man_tierra_5_6m</vt:lpstr>
      <vt:lpstr>EXCAVACIONES!Exc_mano_mat_suel_hum</vt:lpstr>
      <vt:lpstr>EXCAVACIONES!Exca_mano_mat_suel</vt:lpstr>
      <vt:lpstr>excava52</vt:lpstr>
      <vt:lpstr>excava53</vt:lpstr>
      <vt:lpstr>'CONCRETOS - HIERROS'!hierro1´4</vt:lpstr>
      <vt:lpstr>'CONCRETOS - HIERROS'!hierro3´8</vt:lpstr>
      <vt:lpstr>'ITEMS RESUMEN'!INSTALACIONES_ELECTRICAS</vt:lpstr>
      <vt:lpstr>'ITEMS RESUMEN'!INSTALACIONES_ELECTRICAS1</vt:lpstr>
      <vt:lpstr>'ITEMS RESUMEN'!INSTALACIONES_HIDRAULICAS</vt:lpstr>
      <vt:lpstr>PRELIMINARES!Limpieza_adec_terreno</vt:lpstr>
      <vt:lpstr>PRELIMINARES!loc_repla_manual</vt:lpstr>
      <vt:lpstr>m_10</vt:lpstr>
      <vt:lpstr>m_11</vt:lpstr>
      <vt:lpstr>m_12</vt:lpstr>
      <vt:lpstr>m_13</vt:lpstr>
      <vt:lpstr>m_14</vt:lpstr>
      <vt:lpstr>m_15</vt:lpstr>
      <vt:lpstr>m_16</vt:lpstr>
      <vt:lpstr>m_17</vt:lpstr>
      <vt:lpstr>m_18</vt:lpstr>
      <vt:lpstr>m_19</vt:lpstr>
      <vt:lpstr>m_2</vt:lpstr>
      <vt:lpstr>m_20</vt:lpstr>
      <vt:lpstr>m_21</vt:lpstr>
      <vt:lpstr>m_22</vt:lpstr>
      <vt:lpstr>m_23</vt:lpstr>
      <vt:lpstr>m_3</vt:lpstr>
      <vt:lpstr>m_4</vt:lpstr>
      <vt:lpstr>m_5</vt:lpstr>
      <vt:lpstr>m_6</vt:lpstr>
      <vt:lpstr>m_7</vt:lpstr>
      <vt:lpstr>m_8</vt:lpstr>
      <vt:lpstr>m_9</vt:lpstr>
      <vt:lpstr>'ITEMS RESUMEN'!MAMPOSTERIA</vt:lpstr>
      <vt:lpstr>'ITEMS RESUMEN'!MOBILIARIO_URBANO</vt:lpstr>
      <vt:lpstr>mobilurban2</vt:lpstr>
      <vt:lpstr>mobilurban3</vt:lpstr>
      <vt:lpstr>mobilurban4</vt:lpstr>
      <vt:lpstr>mobilurban5</vt:lpstr>
      <vt:lpstr>mobilurban6</vt:lpstr>
      <vt:lpstr>mobilurban7</vt:lpstr>
      <vt:lpstr>mobilurban8</vt:lpstr>
      <vt:lpstr>mobilurban9</vt:lpstr>
      <vt:lpstr>'CONCRETOS - HIERROS'!mortero1´2</vt:lpstr>
      <vt:lpstr>'CONCRETOS - HIERROS'!mortero1´2imp</vt:lpstr>
      <vt:lpstr>'CONCRETOS - HIERROS'!mortero1´3</vt:lpstr>
      <vt:lpstr>'CONCRETOS - HIERROS'!mortero1´3imp</vt:lpstr>
      <vt:lpstr>'CONCRETOS - HIERROS'!mortero1´4</vt:lpstr>
      <vt:lpstr>'CONCRETOS - HIERROS'!mortero1´5</vt:lpstr>
      <vt:lpstr>'CONCRETOS - HIERROS'!mortero1´6</vt:lpstr>
      <vt:lpstr>PRELIMINARES!Movimiento_de_tierra</vt:lpstr>
      <vt:lpstr>'ITEMS RESUMEN'!MOVIMIENTO_TIERRA1</vt:lpstr>
      <vt:lpstr>'ITEMS RESUMEN'!MOVIMIENTOS_DE_TIERRA</vt:lpstr>
      <vt:lpstr>otros_2</vt:lpstr>
      <vt:lpstr>otros_3</vt:lpstr>
      <vt:lpstr>p_1</vt:lpstr>
      <vt:lpstr>p_10</vt:lpstr>
      <vt:lpstr>p_11</vt:lpstr>
      <vt:lpstr>p_12</vt:lpstr>
      <vt:lpstr>p_13</vt:lpstr>
      <vt:lpstr>p_14</vt:lpstr>
      <vt:lpstr>p_15</vt:lpstr>
      <vt:lpstr>p_16</vt:lpstr>
      <vt:lpstr>p_17</vt:lpstr>
      <vt:lpstr>p_2</vt:lpstr>
      <vt:lpstr>p_3</vt:lpstr>
      <vt:lpstr>p_4</vt:lpstr>
      <vt:lpstr>p_5</vt:lpstr>
      <vt:lpstr>p_6</vt:lpstr>
      <vt:lpstr>p_7</vt:lpstr>
      <vt:lpstr>p_8</vt:lpstr>
      <vt:lpstr>p_9</vt:lpstr>
      <vt:lpstr>'ITEMS RESUMEN'!PAÑETES</vt:lpstr>
      <vt:lpstr>'ITEMS RESUMEN'!PAVIMENTO</vt:lpstr>
      <vt:lpstr>pis_1</vt:lpstr>
      <vt:lpstr>pis_10</vt:lpstr>
      <vt:lpstr>pis_11</vt:lpstr>
      <vt:lpstr>pis_12</vt:lpstr>
      <vt:lpstr>pis_13</vt:lpstr>
      <vt:lpstr>pis_14</vt:lpstr>
      <vt:lpstr>pis_15</vt:lpstr>
      <vt:lpstr>pis_16</vt:lpstr>
      <vt:lpstr>pis_17</vt:lpstr>
      <vt:lpstr>pis_18</vt:lpstr>
      <vt:lpstr>pis_19</vt:lpstr>
      <vt:lpstr>pis_2</vt:lpstr>
      <vt:lpstr>pis_20</vt:lpstr>
      <vt:lpstr>pis_21</vt:lpstr>
      <vt:lpstr>pis_22</vt:lpstr>
      <vt:lpstr>pis_23</vt:lpstr>
      <vt:lpstr>pis_24</vt:lpstr>
      <vt:lpstr>pis_25</vt:lpstr>
      <vt:lpstr>pis_267</vt:lpstr>
      <vt:lpstr>pis_27</vt:lpstr>
      <vt:lpstr>pis_28</vt:lpstr>
      <vt:lpstr>pis_29</vt:lpstr>
      <vt:lpstr>pis_3</vt:lpstr>
      <vt:lpstr>pis_30</vt:lpstr>
      <vt:lpstr>pis_31</vt:lpstr>
      <vt:lpstr>pis_32</vt:lpstr>
      <vt:lpstr>pis_33</vt:lpstr>
      <vt:lpstr>pis_34</vt:lpstr>
      <vt:lpstr>pis_4</vt:lpstr>
      <vt:lpstr>pis_5</vt:lpstr>
      <vt:lpstr>pis_6</vt:lpstr>
      <vt:lpstr>pis_8</vt:lpstr>
      <vt:lpstr>pis_9</vt:lpstr>
      <vt:lpstr>'ITEMS RESUMEN'!PISOS_Y_ENCHAPES</vt:lpstr>
      <vt:lpstr>Placa_maciza_h0.08</vt:lpstr>
      <vt:lpstr>prelim_41</vt:lpstr>
      <vt:lpstr>'ITEMS RESUMEN'!PRELIMINARES1</vt:lpstr>
      <vt:lpstr>'ITEMS RESUMEN'!PRELIMINARES2</vt:lpstr>
      <vt:lpstr>Punt_pvc_agua_1_2_ducha</vt:lpstr>
      <vt:lpstr>Punt_pvc_agua_1_2_lavam</vt:lpstr>
      <vt:lpstr>DESAGUES!Punto_des_gres_4_sani</vt:lpstr>
      <vt:lpstr>DESAGUES!Punto_desague_3_sifon</vt:lpstr>
      <vt:lpstr>DESAGUES!Punto_desague_gres_3_4</vt:lpstr>
      <vt:lpstr>Red_sumin_pvc_2</vt:lpstr>
      <vt:lpstr>EXCAVACIONES!Rell_mat_gran_casc</vt:lpstr>
      <vt:lpstr>EXCAVACIONES!Rell_mat_selec_arena</vt:lpstr>
      <vt:lpstr>EXCAVACIONES!Rell_mat_selec_rece</vt:lpstr>
      <vt:lpstr>EXCAVACIONES!relle_misma_excv</vt:lpstr>
      <vt:lpstr>PRELIMINARES!Retiro_de_escombros</vt:lpstr>
      <vt:lpstr>PRELIMINARES!Sello_punto_hidraulico</vt:lpstr>
      <vt:lpstr>PRELIMINARES!Sello_puntos_sanitarios</vt:lpstr>
      <vt:lpstr>CIMIENTOS!Sobr_ladril_tole_0.25x0.25_imperm</vt:lpstr>
      <vt:lpstr>CIMIENTOS!Sobre_concr_3000ps_imper</vt:lpstr>
      <vt:lpstr>CIMIENTOS!Sobre_concr_3000psi</vt:lpstr>
      <vt:lpstr>CIMIENTOS!Sobre_ladr_tol_0.15x0.25_imper</vt:lpstr>
      <vt:lpstr>CIMIENTOS!Sobre_ladril_arrob_imp</vt:lpstr>
      <vt:lpstr>CIMIENTOS!Sobrec_bloq_cem_010_imperm</vt:lpstr>
      <vt:lpstr>CIMIENTOS!Sobrec_bloq_cem_imperm</vt:lpstr>
      <vt:lpstr>CIMIENTOS!Sobrec_ladril_tolet_imperm</vt:lpstr>
      <vt:lpstr>CIMIENTOS!Sobrec_ladrill_tole</vt:lpstr>
      <vt:lpstr>Sum_inst_red_hidr_pvc_1</vt:lpstr>
      <vt:lpstr>Sum_inst_red_hidr_pvc_1_2</vt:lpstr>
      <vt:lpstr>Sum_inst_red_hidrau_pvc_3_4</vt:lpstr>
      <vt:lpstr>Sum_inst_tanq_elev_ac_1000</vt:lpstr>
      <vt:lpstr>Sum_inst_tanq_elev_ac_250</vt:lpstr>
      <vt:lpstr>Sum_inst_tanq_elev_ac_500</vt:lpstr>
      <vt:lpstr>Sum_inst_tanq_elev_plast_1000</vt:lpstr>
      <vt:lpstr>Sum_inst_tanq_elev_plast_250</vt:lpstr>
      <vt:lpstr>Sum_inst_tanq_elev_plast_500</vt:lpstr>
      <vt:lpstr>PRELIMINARES!Sum_inst_vidrio_corru</vt:lpstr>
      <vt:lpstr>PRELIMINARES!Sum_mueble_formica</vt:lpstr>
      <vt:lpstr>PRELIMINARES!Sum_valla_inform_2x4</vt:lpstr>
      <vt:lpstr>PRELIMINARES!Sum_vallas_portatil_07x12</vt:lpstr>
      <vt:lpstr>Sumin_inst_llav_registr_3_4</vt:lpstr>
      <vt:lpstr>Suminis_inst_red_sanit_pvc2</vt:lpstr>
      <vt:lpstr>Suminist_instal_rejilla_piso</vt:lpstr>
      <vt:lpstr>Sumn_inst_red_sanit_pvc4</vt:lpstr>
      <vt:lpstr>Sumn_inst_red_sanit_pvc6</vt:lpstr>
      <vt:lpstr>APAR.SANIT!Títulos_a_imprimir</vt:lpstr>
      <vt:lpstr>'CARPINTERIA MADERA'!Títulos_a_imprimir</vt:lpstr>
      <vt:lpstr>'CARPINTERIA METALICA-ALUMINIO'!Títulos_a_imprimir</vt:lpstr>
      <vt:lpstr>CIMIENTOS!Títulos_a_imprimir</vt:lpstr>
      <vt:lpstr>'CONCRETOS - HIERROS'!Títulos_a_imprimir</vt:lpstr>
      <vt:lpstr>CUBIERTA!Títulos_a_imprimir</vt:lpstr>
      <vt:lpstr>DESAGUES!Títulos_a_imprimir</vt:lpstr>
      <vt:lpstr>ESTRUCTURAS!Títulos_a_imprimir</vt:lpstr>
      <vt:lpstr>'ESTUCO Y PINTURA'!Títulos_a_imprimir</vt:lpstr>
      <vt:lpstr>EXCAVACIONES!Títulos_a_imprimir</vt:lpstr>
      <vt:lpstr>'INST. ELECT'!Títulos_a_imprimir</vt:lpstr>
      <vt:lpstr>'INST. HIDR.'!Títulos_a_imprimir</vt:lpstr>
      <vt:lpstr>'INST. SANIT'!Títulos_a_imprimir</vt:lpstr>
      <vt:lpstr>MAMPOSTERIA!Títulos_a_imprimir</vt:lpstr>
      <vt:lpstr>'MANO DE OBRA'!Títulos_a_imprimir</vt:lpstr>
      <vt:lpstr>'MAQUINARIA Y EQUIPOS'!Títulos_a_imprimir</vt:lpstr>
      <vt:lpstr>PAÑETES!Títulos_a_imprimir</vt:lpstr>
      <vt:lpstr>PISOS!Títulos_a_imprimir</vt:lpstr>
      <vt:lpstr>PRELIMINARES!Títulos_a_imprimir</vt:lpstr>
      <vt:lpstr>Tuber_aguas_negr_pvc3</vt:lpstr>
      <vt:lpstr>Tuberia_ag_lluv_pvc_3</vt:lpstr>
      <vt:lpstr>DESAGUES!Tuberia_drenaje_gres_6</vt:lpstr>
      <vt:lpstr>DESAGUES!Tuberia_gres_3</vt:lpstr>
      <vt:lpstr>DESAGUES!Tuberia_gres_4</vt:lpstr>
      <vt:lpstr>Tuberia_revintila_pvc3</vt:lpstr>
      <vt:lpstr>DESAGUES!Tuberis_drenaje_gres_4</vt:lpstr>
      <vt:lpstr>DESAGUES!Tuberis_gres_6</vt:lpstr>
      <vt:lpstr>DESAGUES!Tuberis_gres_8</vt:lpstr>
      <vt:lpstr>'CARPINTERIA MADERA'!VENTANAFIJA</vt:lpstr>
      <vt:lpstr>vias2</vt:lpstr>
      <vt:lpstr>vias3</vt:lpstr>
      <vt:lpstr>vias4</vt:lpstr>
      <vt:lpstr>vias5</vt:lpstr>
      <vt:lpstr>vias6</vt:lpstr>
      <vt:lpstr>vias7</vt:lpstr>
      <vt:lpstr>vias8</vt:lpstr>
      <vt:lpstr>vias9</vt:lpstr>
      <vt:lpstr>Viga_0.20x0.36</vt:lpstr>
      <vt:lpstr>Viga_aerea_0.10x0.20</vt:lpstr>
      <vt:lpstr>Viga_amarre_0.12x0.20</vt:lpstr>
      <vt:lpstr>Viga_amarre_0.12x0.25</vt:lpstr>
      <vt:lpstr>Viga_amarre_0.12x0.30</vt:lpstr>
      <vt:lpstr>Viga_amarre_0.12x0.30_4</vt:lpstr>
      <vt:lpstr>Viga_amarre_0.15x0.30</vt:lpstr>
      <vt:lpstr>Viga_amarre_0.20x0.25</vt:lpstr>
      <vt:lpstr>CIMIENTOS!Viga_cimie_tee_invert_3000psi</vt:lpstr>
      <vt:lpstr>CIMIENTOS!Viga_cimien_lindero_3000psi</vt:lpstr>
      <vt:lpstr>Viga_correa_0.08x0.20</vt:lpstr>
      <vt:lpstr>CIMIENTOS!Zapatas_1.2_1.2</vt:lpstr>
      <vt:lpstr>CIMIENTOS!Zapatas_1_1</vt:lpstr>
    </vt:vector>
  </TitlesOfParts>
  <Manager>MARIO DANIEL HERNANDEZ</Manager>
  <Company>SAADHER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BASE DE DATOS</dc:title>
  <dc:subject>CREACION Y ACTUALIZACION</dc:subject>
  <dc:creator>LUIS SURMAI</dc:creator>
  <cp:lastModifiedBy>usuario</cp:lastModifiedBy>
  <cp:lastPrinted>2009-10-26T21:42:02Z</cp:lastPrinted>
  <dcterms:created xsi:type="dcterms:W3CDTF">2000-03-23T15:49:07Z</dcterms:created>
  <dcterms:modified xsi:type="dcterms:W3CDTF">2010-08-20T16:35:12Z</dcterms:modified>
</cp:coreProperties>
</file>